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730" windowHeight="95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2" i="1" l="1"/>
  <c r="L12" i="1" s="1"/>
  <c r="P12" i="1"/>
  <c r="J12" i="1" l="1"/>
  <c r="R11" i="1"/>
  <c r="H11" i="1"/>
  <c r="J11" i="1" s="1"/>
  <c r="L11" i="1"/>
  <c r="P11" i="1"/>
  <c r="H10" i="1" l="1"/>
  <c r="J10" i="1" s="1"/>
  <c r="P10" i="1"/>
  <c r="L10" i="1" l="1"/>
  <c r="H9" i="1"/>
  <c r="J9" i="1" s="1"/>
  <c r="P9" i="1"/>
  <c r="L9" i="1" l="1"/>
  <c r="O30" i="1" l="1"/>
  <c r="O22" i="1" s="1"/>
  <c r="O29" i="1"/>
  <c r="O21" i="1" s="1"/>
  <c r="O28" i="1" l="1"/>
  <c r="O19" i="1" s="1"/>
  <c r="O27" i="1"/>
  <c r="O16" i="1" s="1"/>
  <c r="O15" i="1" l="1"/>
  <c r="O18" i="1"/>
  <c r="H8" i="1"/>
  <c r="P8" i="1"/>
  <c r="H6" i="1"/>
  <c r="H7" i="1"/>
  <c r="P6" i="1"/>
  <c r="P7" i="1"/>
  <c r="J7" i="1" l="1"/>
  <c r="L7" i="1"/>
  <c r="J6" i="1"/>
  <c r="L6" i="1"/>
  <c r="J8" i="1"/>
  <c r="L8" i="1"/>
</calcChain>
</file>

<file path=xl/sharedStrings.xml><?xml version="1.0" encoding="utf-8"?>
<sst xmlns="http://schemas.openxmlformats.org/spreadsheetml/2006/main" count="60" uniqueCount="55">
  <si>
    <t>DMO AUV Ballasting Worksheet</t>
  </si>
  <si>
    <t>Date of Ballasting</t>
  </si>
  <si>
    <t>Vehicle Configuration</t>
  </si>
  <si>
    <t>Initial Weighing</t>
  </si>
  <si>
    <t>Adjustment</t>
  </si>
  <si>
    <t>Technician(s)</t>
  </si>
  <si>
    <t>Final Weighing</t>
  </si>
  <si>
    <t xml:space="preserve">Desired Buoyancy (lbs+) </t>
  </si>
  <si>
    <t>FW Worst-case Buoyancy (lbs)</t>
  </si>
  <si>
    <t>IW Worst-case Buoyancy (lbs)</t>
  </si>
  <si>
    <t>EJM, DRT</t>
  </si>
  <si>
    <t>I2MAP on Mapper</t>
  </si>
  <si>
    <t>FW Sink Bag Weight  (lbs wet)</t>
  </si>
  <si>
    <t>IW Sink Bag Weight (lbs wet)</t>
  </si>
  <si>
    <t>IW Scale Weight at Surface (lbs)</t>
  </si>
  <si>
    <t>IW Scale Weight at Bottom (lbs)</t>
  </si>
  <si>
    <t>FW Scale Weight at Surface (lbs)</t>
  </si>
  <si>
    <t xml:space="preserve">FW  Scale Weight at Bottom (lbs) </t>
  </si>
  <si>
    <t>Conventions:</t>
  </si>
  <si>
    <t>- "Scale Weight": Pounds as weighed by scale with submerged vehicle and sink bag attached.</t>
  </si>
  <si>
    <t>Ballast Added (lbs wet)</t>
  </si>
  <si>
    <t>Ballast Needed  (lbs wet)</t>
  </si>
  <si>
    <t>- "lbs wet"  is shorthand for measured weight in seawater.</t>
  </si>
  <si>
    <t>- IW and FW are abbreviated Initial and Final Weights, respectively.</t>
  </si>
  <si>
    <t>- Weights are positive down, buoyancys are positive up forces.</t>
  </si>
  <si>
    <t>Calculators:</t>
  </si>
  <si>
    <t>Lead Dry to Wet Weight</t>
  </si>
  <si>
    <t>Input</t>
  </si>
  <si>
    <t>Output</t>
  </si>
  <si>
    <t>Lead Wet to Dry Weight</t>
  </si>
  <si>
    <t>Densities:</t>
  </si>
  <si>
    <t>NA</t>
  </si>
  <si>
    <t>Steel Dry to Wet Weight</t>
  </si>
  <si>
    <t>Steel Wet to Dry Weight</t>
  </si>
  <si>
    <t>Ratio to Seawater (1 - p_fluid/p_solid)</t>
  </si>
  <si>
    <t>Seawater  ((lb/ft.3)</t>
  </si>
  <si>
    <t>Lead (lb/ft.3)</t>
  </si>
  <si>
    <t>Steel (lb/ft.3)</t>
  </si>
  <si>
    <t>TG-24</t>
  </si>
  <si>
    <t>TG-24 Dry to Wet Weight</t>
  </si>
  <si>
    <t>Generic Foam</t>
  </si>
  <si>
    <t>Generic Foam D to Wet</t>
  </si>
  <si>
    <t>- Ballast Needed and Added are positive for weight added.D12</t>
  </si>
  <si>
    <t>Gulper 20</t>
  </si>
  <si>
    <t>Expected Buoyancy (lbs+)</t>
  </si>
  <si>
    <t>DMC, DRT</t>
  </si>
  <si>
    <t>changed from digital scale to spring scale</t>
  </si>
  <si>
    <t>Comment</t>
  </si>
  <si>
    <t>Length of Vehicle (meters)</t>
  </si>
  <si>
    <t>Dry Weight of Vehicle (lbs)</t>
  </si>
  <si>
    <t>HT, EJM</t>
  </si>
  <si>
    <t>Vehicle Length (in.)</t>
  </si>
  <si>
    <t>DC, FC</t>
  </si>
  <si>
    <t>HJT,DC</t>
  </si>
  <si>
    <t>Mapper2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</si>
</sst>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scheme val="minor"/>
    </font>
    <font>
      <b/>
      <sz val="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/>
    </xf>
    <xf numFmtId="0" fontId="5" fillId="0" borderId="0" xfId="0" applyFont="1" applyBorder="1"/>
    <xf numFmtId="0" fontId="3" fillId="0" borderId="0" xfId="0" applyFont="1" applyBorder="1"/>
    <xf numFmtId="0" fontId="3" fillId="2" borderId="0" xfId="0" applyFont="1" applyFill="1" applyBorder="1"/>
    <xf numFmtId="0" fontId="5" fillId="2" borderId="0" xfId="0" applyFont="1" applyFill="1" applyBorder="1"/>
    <xf numFmtId="14" fontId="5" fillId="0" borderId="0" xfId="0" applyNumberFormat="1" applyFont="1" applyBorder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quotePrefix="1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2" fontId="5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left"/>
    </xf>
    <xf numFmtId="0" fontId="8" fillId="0" borderId="1" xfId="1" applyFont="1" applyFill="1" applyAlignment="1">
      <alignment horizontal="left" vertical="top" wrapText="1"/>
    </xf>
  </cellXfs>
  <cellStyles count="2">
    <cellStyle name="Normal" xfId="0" builtinId="0"/>
    <cellStyle name="Total" xfId="1" builtinId="2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5:S12" totalsRowShown="0" headerRowDxfId="24" dataDxfId="23" headerRowCellStyle="Total">
  <autoFilter ref="A5:S12"/>
  <tableColumns count="19">
    <tableColumn id="1" name="Date of Ballasting" dataDxfId="22"/>
    <tableColumn id="2" name="Technician(s)" dataDxfId="21"/>
    <tableColumn id="3" name="Vehicle Configuration" dataDxfId="20"/>
    <tableColumn id="19" name="Vehicle Length (in.)" dataDxfId="19"/>
    <tableColumn id="4" name="IW Sink Bag Weight (lbs wet)" dataDxfId="18"/>
    <tableColumn id="5" name="IW Scale Weight at Surface (lbs)" dataDxfId="17"/>
    <tableColumn id="6" name="IW Scale Weight at Bottom (lbs)" dataDxfId="16"/>
    <tableColumn id="7" name="IW Worst-case Buoyancy (lbs)" dataDxfId="15">
      <calculatedColumnFormula>(E6-F6)-2*(G6-F6)</calculatedColumnFormula>
    </tableColumn>
    <tableColumn id="8" name="Desired Buoyancy (lbs+) " dataDxfId="14"/>
    <tableColumn id="9" name="Ballast Needed  (lbs wet)" dataDxfId="13">
      <calculatedColumnFormula>((H6-I6))</calculatedColumnFormula>
    </tableColumn>
    <tableColumn id="10" name="Ballast Added (lbs wet)" dataDxfId="12"/>
    <tableColumn id="15" name="Expected Buoyancy (lbs+)" dataDxfId="11">
      <calculatedColumnFormula>Table4[[#This Row],[IW Worst-case Buoyancy (lbs)]]-Table4[[#This Row],[Ballast Added (lbs wet)]]</calculatedColumnFormula>
    </tableColumn>
    <tableColumn id="11" name="FW Sink Bag Weight  (lbs wet)" dataDxfId="10"/>
    <tableColumn id="12" name="FW Scale Weight at Surface (lbs)" dataDxfId="9"/>
    <tableColumn id="13" name="FW  Scale Weight at Bottom (lbs) " dataDxfId="8"/>
    <tableColumn id="14" name="FW Worst-case Buoyancy (lbs)" dataDxfId="7">
      <calculatedColumnFormula>(M6-N6)-2*(O6-N6)</calculatedColumnFormula>
    </tableColumn>
    <tableColumn id="18" name="Length of Vehicle (meters)" dataDxfId="6"/>
    <tableColumn id="17" name="Dry Weight of Vehicle (lbs)" dataDxfId="5"/>
    <tableColumn id="16" name="Comment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Normal="100" workbookViewId="0">
      <selection activeCell="J12" sqref="J12"/>
    </sheetView>
  </sheetViews>
  <sheetFormatPr defaultColWidth="15" defaultRowHeight="11.25" x14ac:dyDescent="0.2"/>
  <cols>
    <col min="1" max="2" width="15" style="3"/>
    <col min="3" max="4" width="17.5703125" style="3" customWidth="1"/>
    <col min="5" max="5" width="13.85546875" style="3" customWidth="1"/>
    <col min="6" max="6" width="22.140625" style="3" customWidth="1"/>
    <col min="7" max="7" width="12.28515625" style="3" customWidth="1"/>
    <col min="8" max="8" width="12" style="3" customWidth="1"/>
    <col min="9" max="9" width="12.42578125" style="3" customWidth="1"/>
    <col min="10" max="11" width="11" style="3" customWidth="1"/>
    <col min="12" max="12" width="12.5703125" style="3" customWidth="1"/>
    <col min="13" max="13" width="17.85546875" style="3" customWidth="1"/>
    <col min="14" max="18" width="12.5703125" style="3" customWidth="1"/>
    <col min="19" max="16384" width="15" style="3"/>
  </cols>
  <sheetData>
    <row r="1" spans="1:19" ht="32.25" customHeight="1" x14ac:dyDescent="0.4">
      <c r="A1" s="1" t="s">
        <v>0</v>
      </c>
      <c r="B1" s="2"/>
    </row>
    <row r="3" spans="1:19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ht="12" x14ac:dyDescent="0.2">
      <c r="A4" s="8"/>
      <c r="B4" s="8"/>
      <c r="C4" s="8"/>
      <c r="D4" s="8"/>
      <c r="E4" s="10" t="s">
        <v>3</v>
      </c>
      <c r="F4" s="10"/>
      <c r="G4" s="10"/>
      <c r="H4" s="10"/>
      <c r="I4" s="9" t="s">
        <v>4</v>
      </c>
      <c r="J4" s="9"/>
      <c r="K4" s="9"/>
      <c r="L4" s="9"/>
      <c r="M4" s="10" t="s">
        <v>6</v>
      </c>
      <c r="N4" s="11"/>
      <c r="O4" s="11"/>
      <c r="P4" s="11"/>
      <c r="Q4" s="11"/>
      <c r="R4" s="11"/>
    </row>
    <row r="5" spans="1:19" ht="23.25" thickBot="1" x14ac:dyDescent="0.25">
      <c r="A5" s="7" t="s">
        <v>1</v>
      </c>
      <c r="B5" s="7" t="s">
        <v>5</v>
      </c>
      <c r="C5" s="7" t="s">
        <v>2</v>
      </c>
      <c r="D5" s="7" t="s">
        <v>51</v>
      </c>
      <c r="E5" s="6" t="s">
        <v>13</v>
      </c>
      <c r="F5" s="6" t="s">
        <v>14</v>
      </c>
      <c r="G5" s="6" t="s">
        <v>15</v>
      </c>
      <c r="H5" s="6" t="s">
        <v>9</v>
      </c>
      <c r="I5" s="6" t="s">
        <v>7</v>
      </c>
      <c r="J5" s="6" t="s">
        <v>21</v>
      </c>
      <c r="K5" s="6" t="s">
        <v>20</v>
      </c>
      <c r="L5" s="6" t="s">
        <v>44</v>
      </c>
      <c r="M5" s="6" t="s">
        <v>12</v>
      </c>
      <c r="N5" s="6" t="s">
        <v>16</v>
      </c>
      <c r="O5" s="6" t="s">
        <v>17</v>
      </c>
      <c r="P5" s="6" t="s">
        <v>8</v>
      </c>
      <c r="Q5" s="6" t="s">
        <v>48</v>
      </c>
      <c r="R5" s="6" t="s">
        <v>49</v>
      </c>
      <c r="S5" s="29" t="s">
        <v>47</v>
      </c>
    </row>
    <row r="6" spans="1:19" ht="12" thickTop="1" x14ac:dyDescent="0.2">
      <c r="A6" s="12">
        <v>41908</v>
      </c>
      <c r="B6" s="5" t="s">
        <v>10</v>
      </c>
      <c r="C6" s="5" t="s">
        <v>11</v>
      </c>
      <c r="D6" s="5"/>
      <c r="E6" s="22">
        <v>17.5</v>
      </c>
      <c r="F6" s="22">
        <v>14.5</v>
      </c>
      <c r="G6" s="22">
        <v>16.7</v>
      </c>
      <c r="H6" s="22">
        <f t="shared" ref="H6:H8" si="0">(E6-F6)-2*(G6-F6)</f>
        <v>-1.3999999999999986</v>
      </c>
      <c r="I6" s="22">
        <v>4.4000000000000004</v>
      </c>
      <c r="J6" s="22">
        <f t="shared" ref="J6:J8" si="1">((H6-I6))</f>
        <v>-5.7999999999999989</v>
      </c>
      <c r="K6" s="22">
        <v>-5.4</v>
      </c>
      <c r="L6" s="22">
        <f>Table4[[#This Row],[IW Worst-case Buoyancy (lbs)]]-Table4[[#This Row],[Ballast Added (lbs wet)]]</f>
        <v>4.0000000000000018</v>
      </c>
      <c r="M6" s="22">
        <v>17.5</v>
      </c>
      <c r="N6" s="22">
        <v>9.1</v>
      </c>
      <c r="O6" s="22">
        <v>11.3</v>
      </c>
      <c r="P6" s="22">
        <f t="shared" ref="P6:P8" si="2">(M6-N6)-2*(O6-N6)</f>
        <v>3.9999999999999982</v>
      </c>
      <c r="Q6" s="22"/>
      <c r="R6" s="22"/>
      <c r="S6" s="28"/>
    </row>
    <row r="7" spans="1:19" x14ac:dyDescent="0.2">
      <c r="A7" s="12">
        <v>41918</v>
      </c>
      <c r="B7" s="5" t="s">
        <v>10</v>
      </c>
      <c r="C7" s="5" t="s">
        <v>43</v>
      </c>
      <c r="D7" s="5"/>
      <c r="E7" s="22">
        <v>17.5</v>
      </c>
      <c r="F7" s="22">
        <v>7.1</v>
      </c>
      <c r="G7" s="22">
        <v>10.5</v>
      </c>
      <c r="H7" s="22">
        <f t="shared" si="0"/>
        <v>3.5999999999999996</v>
      </c>
      <c r="I7" s="22">
        <v>5</v>
      </c>
      <c r="J7" s="22">
        <f t="shared" si="1"/>
        <v>-1.4000000000000004</v>
      </c>
      <c r="K7" s="22">
        <v>-1.82</v>
      </c>
      <c r="L7" s="22">
        <f>Table4[[#This Row],[IW Worst-case Buoyancy (lbs)]]-Table4[[#This Row],[Ballast Added (lbs wet)]]</f>
        <v>5.42</v>
      </c>
      <c r="M7" s="22"/>
      <c r="N7" s="22"/>
      <c r="O7" s="22"/>
      <c r="P7" s="22">
        <f t="shared" si="2"/>
        <v>0</v>
      </c>
      <c r="Q7" s="22"/>
      <c r="R7" s="22"/>
      <c r="S7" s="28"/>
    </row>
    <row r="8" spans="1:19" x14ac:dyDescent="0.2">
      <c r="A8" s="24">
        <v>41927</v>
      </c>
      <c r="B8" s="4" t="s">
        <v>45</v>
      </c>
      <c r="C8" s="4" t="s">
        <v>43</v>
      </c>
      <c r="D8" s="4"/>
      <c r="E8" s="23">
        <v>17.25</v>
      </c>
      <c r="F8" s="23">
        <v>9.25</v>
      </c>
      <c r="G8" s="23">
        <v>11.75</v>
      </c>
      <c r="H8" s="23">
        <f t="shared" si="0"/>
        <v>3</v>
      </c>
      <c r="I8" s="23">
        <v>5</v>
      </c>
      <c r="J8" s="23">
        <f t="shared" si="1"/>
        <v>-2</v>
      </c>
      <c r="K8" s="23">
        <v>-2</v>
      </c>
      <c r="L8" s="23">
        <f>Table4[[#This Row],[IW Worst-case Buoyancy (lbs)]]-Table4[[#This Row],[Ballast Added (lbs wet)]]</f>
        <v>5</v>
      </c>
      <c r="M8" s="23">
        <v>17.5</v>
      </c>
      <c r="N8" s="23">
        <v>8.5</v>
      </c>
      <c r="O8" s="23">
        <v>10</v>
      </c>
      <c r="P8" s="23">
        <f t="shared" si="2"/>
        <v>6</v>
      </c>
      <c r="Q8" s="23"/>
      <c r="R8" s="23"/>
      <c r="S8" s="28" t="s">
        <v>46</v>
      </c>
    </row>
    <row r="9" spans="1:19" x14ac:dyDescent="0.2">
      <c r="A9" s="25">
        <v>41948</v>
      </c>
      <c r="B9" s="26" t="s">
        <v>50</v>
      </c>
      <c r="C9" s="26" t="s">
        <v>11</v>
      </c>
      <c r="D9" s="27">
        <v>215</v>
      </c>
      <c r="E9" s="27">
        <v>16.5</v>
      </c>
      <c r="F9" s="27">
        <v>11</v>
      </c>
      <c r="G9" s="27">
        <v>14</v>
      </c>
      <c r="H9" s="27">
        <f>(E9-F9)-2*(G9-F9)</f>
        <v>-0.5</v>
      </c>
      <c r="I9" s="27">
        <v>4</v>
      </c>
      <c r="J9" s="27">
        <f>((H9-I9))</f>
        <v>-4.5</v>
      </c>
      <c r="K9" s="27">
        <v>-3.6</v>
      </c>
      <c r="L9" s="27">
        <f>Table4[[#This Row],[IW Worst-case Buoyancy (lbs)]]-Table4[[#This Row],[Ballast Added (lbs wet)]]</f>
        <v>3.1</v>
      </c>
      <c r="M9" s="27"/>
      <c r="N9" s="27"/>
      <c r="O9" s="27"/>
      <c r="P9" s="27">
        <f>(M9-N9)-2*(O9-N9)</f>
        <v>0</v>
      </c>
      <c r="Q9" s="27"/>
      <c r="R9" s="27"/>
      <c r="S9" s="28"/>
    </row>
    <row r="10" spans="1:19" x14ac:dyDescent="0.2">
      <c r="A10" s="25">
        <v>42502</v>
      </c>
      <c r="B10" s="26" t="s">
        <v>52</v>
      </c>
      <c r="C10" s="26" t="s">
        <v>11</v>
      </c>
      <c r="D10" s="28"/>
      <c r="E10" s="27">
        <v>18</v>
      </c>
      <c r="F10" s="27">
        <v>5</v>
      </c>
      <c r="G10" s="27">
        <v>6.25</v>
      </c>
      <c r="H10" s="27">
        <f>(E10-F10)-2*(G10-F10)</f>
        <v>10.5</v>
      </c>
      <c r="I10" s="27">
        <v>5</v>
      </c>
      <c r="J10" s="27">
        <f>((H10-I10))</f>
        <v>5.5</v>
      </c>
      <c r="K10" s="27">
        <v>5</v>
      </c>
      <c r="L10" s="27">
        <f>Table4[[#This Row],[IW Worst-case Buoyancy (lbs)]]-Table4[[#This Row],[Ballast Added (lbs wet)]]</f>
        <v>5.5</v>
      </c>
      <c r="M10" s="27"/>
      <c r="N10" s="27"/>
      <c r="O10" s="27"/>
      <c r="P10" s="27">
        <f>(M10-N10)-2*(O10-N10)</f>
        <v>0</v>
      </c>
      <c r="Q10" s="27"/>
      <c r="R10" s="27"/>
      <c r="S10" s="28"/>
    </row>
    <row r="11" spans="1:19" x14ac:dyDescent="0.2">
      <c r="A11" s="25">
        <v>42774</v>
      </c>
      <c r="B11" s="26"/>
      <c r="C11" s="26" t="s">
        <v>43</v>
      </c>
      <c r="D11" s="28"/>
      <c r="E11" s="27">
        <v>21.25</v>
      </c>
      <c r="F11" s="27">
        <v>10.75</v>
      </c>
      <c r="G11" s="27">
        <v>13.5</v>
      </c>
      <c r="H11" s="27">
        <f>(E11-F11)-2*(G11-F11)</f>
        <v>5</v>
      </c>
      <c r="I11" s="27"/>
      <c r="J11" s="27">
        <f>((H11-I11))</f>
        <v>5</v>
      </c>
      <c r="K11" s="27"/>
      <c r="L11" s="27">
        <f>Table4[[#This Row],[IW Worst-case Buoyancy (lbs)]]-Table4[[#This Row],[Ballast Added (lbs wet)]]</f>
        <v>5</v>
      </c>
      <c r="M11" s="27"/>
      <c r="N11" s="27"/>
      <c r="O11" s="27"/>
      <c r="P11" s="27">
        <f>(M11-N11)-2*(O11-N11)</f>
        <v>0</v>
      </c>
      <c r="Q11" s="27"/>
      <c r="R11" s="27">
        <f>562.5*2.24</f>
        <v>1260.0000000000002</v>
      </c>
      <c r="S11" s="28"/>
    </row>
    <row r="12" spans="1:19" x14ac:dyDescent="0.2">
      <c r="A12" s="25">
        <v>42783</v>
      </c>
      <c r="B12" s="26" t="s">
        <v>53</v>
      </c>
      <c r="C12" s="26" t="s">
        <v>54</v>
      </c>
      <c r="D12" s="28"/>
      <c r="E12" s="27">
        <v>21</v>
      </c>
      <c r="F12" s="27">
        <v>10.75</v>
      </c>
      <c r="G12" s="27">
        <v>12.25</v>
      </c>
      <c r="H12" s="27">
        <f>(E12-F12)-2*(G12-F12)</f>
        <v>7.25</v>
      </c>
      <c r="I12" s="27">
        <v>7.25</v>
      </c>
      <c r="J12" s="27">
        <f>((H12-I12))</f>
        <v>0</v>
      </c>
      <c r="K12" s="27"/>
      <c r="L12" s="27">
        <f>Table4[[#This Row],[IW Worst-case Buoyancy (lbs)]]-Table4[[#This Row],[Ballast Added (lbs wet)]]</f>
        <v>7.25</v>
      </c>
      <c r="M12" s="27"/>
      <c r="N12" s="27"/>
      <c r="O12" s="27"/>
      <c r="P12" s="27">
        <f>(M12-N12)-2*(O12-N12)</f>
        <v>0</v>
      </c>
      <c r="Q12" s="27"/>
      <c r="R12" s="27"/>
      <c r="S12" s="28"/>
    </row>
    <row r="13" spans="1:19" ht="12" customHeight="1" x14ac:dyDescent="0.2">
      <c r="E13" s="2" t="s">
        <v>18</v>
      </c>
      <c r="M13" s="2" t="s">
        <v>25</v>
      </c>
    </row>
    <row r="14" spans="1:19" x14ac:dyDescent="0.2">
      <c r="E14" s="16" t="s">
        <v>19</v>
      </c>
      <c r="F14" s="15"/>
      <c r="G14" s="15"/>
      <c r="H14" s="15"/>
      <c r="N14" s="17" t="s">
        <v>27</v>
      </c>
      <c r="O14" s="17" t="s">
        <v>28</v>
      </c>
    </row>
    <row r="15" spans="1:19" x14ac:dyDescent="0.2">
      <c r="E15" s="13" t="s">
        <v>22</v>
      </c>
      <c r="M15" s="3" t="s">
        <v>26</v>
      </c>
      <c r="N15" s="21">
        <v>2</v>
      </c>
      <c r="O15" s="20">
        <f>N15*O27</f>
        <v>1.8194950634696756</v>
      </c>
    </row>
    <row r="16" spans="1:19" x14ac:dyDescent="0.2">
      <c r="E16" s="13" t="s">
        <v>23</v>
      </c>
      <c r="M16" s="3" t="s">
        <v>29</v>
      </c>
      <c r="N16" s="3">
        <v>1.4</v>
      </c>
      <c r="O16" s="20">
        <f>N16/O27</f>
        <v>1.5388884840723644</v>
      </c>
    </row>
    <row r="17" spans="5:15" x14ac:dyDescent="0.2">
      <c r="E17" s="14" t="s">
        <v>24</v>
      </c>
      <c r="O17" s="20"/>
    </row>
    <row r="18" spans="5:15" x14ac:dyDescent="0.2">
      <c r="E18" s="13" t="s">
        <v>42</v>
      </c>
      <c r="M18" s="3" t="s">
        <v>32</v>
      </c>
      <c r="N18" s="3">
        <v>10</v>
      </c>
      <c r="O18" s="20">
        <f>N18*O28</f>
        <v>8.6942592626602107</v>
      </c>
    </row>
    <row r="19" spans="5:15" x14ac:dyDescent="0.2">
      <c r="M19" s="3" t="s">
        <v>33</v>
      </c>
      <c r="O19" s="20">
        <f>N19/O28</f>
        <v>0</v>
      </c>
    </row>
    <row r="20" spans="5:15" x14ac:dyDescent="0.2">
      <c r="O20" s="20"/>
    </row>
    <row r="21" spans="5:15" x14ac:dyDescent="0.2">
      <c r="M21" s="3" t="s">
        <v>39</v>
      </c>
      <c r="N21" s="3">
        <v>5</v>
      </c>
      <c r="O21" s="20">
        <f>N21*O29</f>
        <v>-8.3310416666666658</v>
      </c>
    </row>
    <row r="22" spans="5:15" x14ac:dyDescent="0.2">
      <c r="M22" s="3" t="s">
        <v>41</v>
      </c>
      <c r="N22" s="3">
        <v>5</v>
      </c>
      <c r="O22" s="20">
        <f>N22*O30</f>
        <v>-4.4101470588235294</v>
      </c>
    </row>
    <row r="24" spans="5:15" x14ac:dyDescent="0.2">
      <c r="M24" s="2" t="s">
        <v>30</v>
      </c>
    </row>
    <row r="25" spans="5:15" x14ac:dyDescent="0.2">
      <c r="O25" s="3" t="s">
        <v>34</v>
      </c>
    </row>
    <row r="26" spans="5:15" x14ac:dyDescent="0.2">
      <c r="M26" s="3" t="s">
        <v>35</v>
      </c>
      <c r="N26" s="20">
        <v>63.988999999999997</v>
      </c>
      <c r="O26" s="18" t="s">
        <v>31</v>
      </c>
    </row>
    <row r="27" spans="5:15" x14ac:dyDescent="0.2">
      <c r="M27" s="3" t="s">
        <v>36</v>
      </c>
      <c r="N27" s="20">
        <v>709</v>
      </c>
      <c r="O27" s="19">
        <f>1-N26/N27</f>
        <v>0.9097475317348378</v>
      </c>
    </row>
    <row r="28" spans="5:15" x14ac:dyDescent="0.2">
      <c r="M28" s="3" t="s">
        <v>37</v>
      </c>
      <c r="N28" s="20">
        <v>490.05900000000003</v>
      </c>
      <c r="O28" s="19">
        <f>1-N26/N28</f>
        <v>0.86942592626602111</v>
      </c>
    </row>
    <row r="29" spans="5:15" x14ac:dyDescent="0.2">
      <c r="M29" s="3" t="s">
        <v>38</v>
      </c>
      <c r="N29" s="3">
        <v>24</v>
      </c>
      <c r="O29" s="19">
        <f>1-N26/N29</f>
        <v>-1.6662083333333331</v>
      </c>
    </row>
    <row r="30" spans="5:15" x14ac:dyDescent="0.2">
      <c r="M30" s="3" t="s">
        <v>40</v>
      </c>
      <c r="N30" s="3">
        <v>34</v>
      </c>
      <c r="O30" s="19">
        <f>1-N26/N30</f>
        <v>-0.88202941176470584</v>
      </c>
    </row>
  </sheetData>
  <conditionalFormatting sqref="H6:H12">
    <cfRule type="cellIs" dxfId="3" priority="2" operator="lessThan">
      <formula>2</formula>
    </cfRule>
    <cfRule type="cellIs" dxfId="2" priority="4" operator="lessThan">
      <formula>0</formula>
    </cfRule>
  </conditionalFormatting>
  <conditionalFormatting sqref="P6:R12">
    <cfRule type="cellIs" dxfId="1" priority="1" operator="lessThan">
      <formula>1</formula>
    </cfRule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meteor</cp:lastModifiedBy>
  <dcterms:created xsi:type="dcterms:W3CDTF">2014-09-30T15:49:56Z</dcterms:created>
  <dcterms:modified xsi:type="dcterms:W3CDTF">2017-02-18T01:06:01Z</dcterms:modified>
</cp:coreProperties>
</file>