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olasco\Desktop\"/>
    </mc:Choice>
  </mc:AlternateContent>
  <bookViews>
    <workbookView xWindow="0" yWindow="0" windowWidth="34305" windowHeight="12555" activeTab="2"/>
  </bookViews>
  <sheets>
    <sheet name="Sheet1 (2)" sheetId="2" r:id="rId1"/>
    <sheet name="Sheet1" sheetId="1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3" l="1"/>
  <c r="F32" i="3"/>
  <c r="F33" i="3"/>
  <c r="F34" i="3"/>
  <c r="F35" i="3"/>
  <c r="F36" i="3"/>
  <c r="F37" i="3"/>
  <c r="F38" i="3"/>
  <c r="F39" i="3"/>
  <c r="F30" i="3"/>
  <c r="L14" i="3"/>
  <c r="E16" i="3"/>
  <c r="D27" i="3"/>
  <c r="D23" i="3"/>
  <c r="C30" i="3"/>
  <c r="E31" i="3"/>
  <c r="E32" i="3"/>
  <c r="E33" i="3"/>
  <c r="E34" i="3"/>
  <c r="E35" i="3"/>
  <c r="E36" i="3"/>
  <c r="E37" i="3"/>
  <c r="E38" i="3"/>
  <c r="E39" i="3"/>
  <c r="E30" i="3"/>
  <c r="G14" i="3"/>
  <c r="D20" i="3"/>
  <c r="D26" i="3"/>
  <c r="D22" i="3"/>
  <c r="D25" i="3" s="1"/>
  <c r="D13" i="3"/>
  <c r="D12" i="3"/>
  <c r="D11" i="3" s="1"/>
  <c r="D21" i="3"/>
  <c r="D24" i="3" s="1"/>
  <c r="D18" i="3" s="1"/>
  <c r="C33" i="3" l="1"/>
  <c r="D33" i="3" s="1"/>
  <c r="C32" i="3"/>
  <c r="C37" i="3"/>
  <c r="D37" i="3" s="1"/>
  <c r="C36" i="3"/>
  <c r="D36" i="3" s="1"/>
  <c r="C31" i="3"/>
  <c r="D31" i="3" s="1"/>
  <c r="C39" i="3"/>
  <c r="C38" i="3"/>
  <c r="D38" i="3" s="1"/>
  <c r="C35" i="3"/>
  <c r="D35" i="3" s="1"/>
  <c r="C34" i="3"/>
  <c r="D34" i="3" s="1"/>
  <c r="D39" i="3"/>
  <c r="D30" i="3"/>
  <c r="D32" i="3"/>
  <c r="M37" i="2" l="1"/>
  <c r="L45" i="2"/>
  <c r="M45" i="2" s="1"/>
  <c r="L46" i="2"/>
  <c r="N46" i="2" s="1"/>
  <c r="L47" i="2"/>
  <c r="L48" i="2"/>
  <c r="L49" i="2"/>
  <c r="N49" i="2" s="1"/>
  <c r="L50" i="2"/>
  <c r="L51" i="2"/>
  <c r="M51" i="2" s="1"/>
  <c r="L52" i="2"/>
  <c r="L53" i="2"/>
  <c r="L54" i="2"/>
  <c r="L55" i="2"/>
  <c r="L56" i="2"/>
  <c r="L57" i="2"/>
  <c r="N57" i="2" s="1"/>
  <c r="L58" i="2"/>
  <c r="N58" i="2" s="1"/>
  <c r="L44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3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44" i="2"/>
  <c r="M49" i="2"/>
  <c r="N53" i="2"/>
  <c r="M54" i="2"/>
  <c r="M55" i="2"/>
  <c r="M56" i="2"/>
  <c r="L14" i="2"/>
  <c r="M14" i="2" s="1"/>
  <c r="L15" i="2"/>
  <c r="N15" i="2" s="1"/>
  <c r="L16" i="2"/>
  <c r="M16" i="2" s="1"/>
  <c r="L17" i="2"/>
  <c r="L18" i="2"/>
  <c r="L19" i="2"/>
  <c r="L20" i="2"/>
  <c r="N20" i="2" s="1"/>
  <c r="L21" i="2"/>
  <c r="N21" i="2" s="1"/>
  <c r="L22" i="2"/>
  <c r="L23" i="2"/>
  <c r="N23" i="2" s="1"/>
  <c r="L24" i="2"/>
  <c r="L25" i="2"/>
  <c r="M25" i="2" s="1"/>
  <c r="L26" i="2"/>
  <c r="N26" i="2" s="1"/>
  <c r="L27" i="2"/>
  <c r="N27" i="2" s="1"/>
  <c r="L13" i="2"/>
  <c r="M13" i="2" s="1"/>
  <c r="N25" i="2"/>
  <c r="N24" i="2"/>
  <c r="M24" i="2"/>
  <c r="M23" i="2"/>
  <c r="N22" i="2"/>
  <c r="M22" i="2"/>
  <c r="M20" i="2"/>
  <c r="N19" i="2"/>
  <c r="M19" i="2"/>
  <c r="N18" i="2"/>
  <c r="M18" i="2"/>
  <c r="N17" i="2"/>
  <c r="M17" i="2"/>
  <c r="M47" i="2"/>
  <c r="N47" i="2"/>
  <c r="M48" i="2"/>
  <c r="N48" i="2"/>
  <c r="M50" i="2"/>
  <c r="N50" i="2"/>
  <c r="N51" i="2"/>
  <c r="M52" i="2"/>
  <c r="N52" i="2"/>
  <c r="M53" i="2"/>
  <c r="N44" i="2"/>
  <c r="M44" i="2"/>
  <c r="E33" i="2"/>
  <c r="E2" i="2"/>
  <c r="M33" i="2"/>
  <c r="M2" i="2"/>
  <c r="M41" i="2"/>
  <c r="M36" i="2"/>
  <c r="M35" i="2"/>
  <c r="M40" i="2"/>
  <c r="E39" i="2"/>
  <c r="E38" i="2"/>
  <c r="M39" i="2"/>
  <c r="M38" i="2"/>
  <c r="M34" i="2"/>
  <c r="M10" i="2"/>
  <c r="M9" i="2"/>
  <c r="E8" i="2"/>
  <c r="E7" i="2"/>
  <c r="E6" i="2"/>
  <c r="M5" i="2"/>
  <c r="M8" i="2" s="1"/>
  <c r="M4" i="2"/>
  <c r="M7" i="2" s="1"/>
  <c r="M3" i="2"/>
  <c r="C19" i="1"/>
  <c r="C20" i="1"/>
  <c r="C21" i="1"/>
  <c r="C22" i="1"/>
  <c r="C23" i="1"/>
  <c r="C24" i="1"/>
  <c r="C25" i="1"/>
  <c r="C31" i="1"/>
  <c r="C32" i="1"/>
  <c r="C33" i="1"/>
  <c r="C34" i="1"/>
  <c r="C35" i="1"/>
  <c r="C16" i="1"/>
  <c r="O10" i="1"/>
  <c r="O9" i="1"/>
  <c r="O5" i="1"/>
  <c r="O8" i="1" s="1"/>
  <c r="O4" i="1"/>
  <c r="O7" i="1" s="1"/>
  <c r="O6" i="1" s="1"/>
  <c r="O2" i="1" s="1"/>
  <c r="O3" i="1"/>
  <c r="E7" i="1"/>
  <c r="E6" i="1" s="1"/>
  <c r="E2" i="1" s="1"/>
  <c r="C26" i="1" s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B31" i="1"/>
  <c r="B32" i="1"/>
  <c r="B33" i="1"/>
  <c r="B34" i="1"/>
  <c r="B35" i="1"/>
  <c r="B25" i="1"/>
  <c r="B26" i="1"/>
  <c r="B27" i="1"/>
  <c r="B28" i="1"/>
  <c r="B29" i="1"/>
  <c r="B30" i="1"/>
  <c r="F9" i="1"/>
  <c r="F10" i="1"/>
  <c r="B16" i="1"/>
  <c r="B17" i="1"/>
  <c r="B18" i="1"/>
  <c r="B19" i="1"/>
  <c r="B20" i="1"/>
  <c r="B21" i="1"/>
  <c r="B22" i="1"/>
  <c r="B23" i="1"/>
  <c r="B24" i="1"/>
  <c r="E8" i="1"/>
  <c r="M57" i="2" l="1"/>
  <c r="M46" i="2"/>
  <c r="N45" i="2"/>
  <c r="M58" i="2"/>
  <c r="N56" i="2"/>
  <c r="N55" i="2"/>
  <c r="N54" i="2"/>
  <c r="N16" i="2"/>
  <c r="M26" i="2"/>
  <c r="N14" i="2"/>
  <c r="M15" i="2"/>
  <c r="M21" i="2"/>
  <c r="M27" i="2"/>
  <c r="N13" i="2"/>
  <c r="E37" i="2"/>
  <c r="C30" i="1"/>
  <c r="C18" i="1"/>
  <c r="C29" i="1"/>
  <c r="C17" i="1"/>
  <c r="C28" i="1"/>
  <c r="C27" i="1"/>
  <c r="M6" i="2"/>
  <c r="M22" i="1"/>
  <c r="M21" i="1"/>
  <c r="M17" i="1"/>
  <c r="M33" i="1"/>
  <c r="M18" i="1"/>
  <c r="M20" i="1"/>
  <c r="M19" i="1"/>
  <c r="M30" i="1"/>
  <c r="M28" i="1"/>
  <c r="M27" i="1"/>
  <c r="M26" i="1"/>
  <c r="M25" i="1"/>
  <c r="M24" i="1"/>
  <c r="M35" i="1"/>
  <c r="M23" i="1"/>
  <c r="M32" i="1"/>
  <c r="M31" i="1"/>
  <c r="M29" i="1"/>
  <c r="M16" i="1"/>
  <c r="M34" i="1"/>
</calcChain>
</file>

<file path=xl/sharedStrings.xml><?xml version="1.0" encoding="utf-8"?>
<sst xmlns="http://schemas.openxmlformats.org/spreadsheetml/2006/main" count="157" uniqueCount="62">
  <si>
    <t>Shaft Radius [in]</t>
  </si>
  <si>
    <t>Piston Arm Radius[in]</t>
  </si>
  <si>
    <t>Shaft Area [in^2]</t>
  </si>
  <si>
    <t>Piston Area [in^2]</t>
  </si>
  <si>
    <t>Pressure on Hyraulics [psi]</t>
  </si>
  <si>
    <t>Length of Arm (L) (in)</t>
  </si>
  <si>
    <t>Length of Backend (in)</t>
  </si>
  <si>
    <t>Pressure on Hyraulics [Pa]</t>
  </si>
  <si>
    <t>Force of the Hydraulics [Pa]</t>
  </si>
  <si>
    <t>Shaft Area - Piston</t>
  </si>
  <si>
    <t>Approx</t>
  </si>
  <si>
    <t>Actual</t>
  </si>
  <si>
    <t>Shaft Radius [m]</t>
  </si>
  <si>
    <t>Piston Arm Radius[m]</t>
  </si>
  <si>
    <t>Shaft Area [m^2]</t>
  </si>
  <si>
    <t>Piston Area [m^2]</t>
  </si>
  <si>
    <t>Shaft Area - Piston [m^2]</t>
  </si>
  <si>
    <t>Length of Backend (m)</t>
  </si>
  <si>
    <t>Length of Arm (L) (m)</t>
  </si>
  <si>
    <t>Angle</t>
  </si>
  <si>
    <t>Resultant F</t>
  </si>
  <si>
    <t>Measured outside -3/8" wall thickness</t>
  </si>
  <si>
    <t>1 psi = 6894.75729 Pa</t>
  </si>
  <si>
    <t>Unit Conversion</t>
  </si>
  <si>
    <t>1 inch = 0.0254 m</t>
  </si>
  <si>
    <t>1 Pa = N/(m^2)</t>
  </si>
  <si>
    <t xml:space="preserve"> Approx Angle</t>
  </si>
  <si>
    <t>Resultant F [N/m^2]</t>
  </si>
  <si>
    <t>Resultant F [psi/in^2]</t>
  </si>
  <si>
    <t>Force of the Hydraulics [psi*in^2]</t>
  </si>
  <si>
    <t>Equations</t>
  </si>
  <si>
    <t>Area = PI()*(r^2)</t>
  </si>
  <si>
    <t>P = F/A</t>
  </si>
  <si>
    <t>F = P*A</t>
  </si>
  <si>
    <t>L_2</t>
  </si>
  <si>
    <t>L_1</t>
  </si>
  <si>
    <t>A_p</t>
  </si>
  <si>
    <t>A_s</t>
  </si>
  <si>
    <t>A_t = A_s-A_p</t>
  </si>
  <si>
    <t>P_h</t>
  </si>
  <si>
    <t>F_h</t>
  </si>
  <si>
    <t>SF = 5</t>
  </si>
  <si>
    <t>OD 4"-.25" wall t</t>
  </si>
  <si>
    <t>OD 4"-3/8" wall t</t>
  </si>
  <si>
    <t>SF = 4</t>
  </si>
  <si>
    <t>r_s</t>
  </si>
  <si>
    <t>r_p</t>
  </si>
  <si>
    <t>F_hz = (L_1 * F_h*sin(radians(theta)))/L_2</t>
  </si>
  <si>
    <t>Pressure on Hyraulics [bar]</t>
  </si>
  <si>
    <t>Convert Numbers</t>
  </si>
  <si>
    <t>Force of the Hydraulics [bar*in^2]</t>
  </si>
  <si>
    <t>Force of the Hydraulics [kg*m/s^2]</t>
  </si>
  <si>
    <t>Pressure on Hyraulics [N/m^2]</t>
  </si>
  <si>
    <t>SF*1.75</t>
  </si>
  <si>
    <t>N</t>
  </si>
  <si>
    <t>lbf</t>
  </si>
  <si>
    <t>The force of the knuckle hydraulic at 45 degress, with 190 bar of pressure with a SF 5 is:</t>
  </si>
  <si>
    <t>lb =</t>
  </si>
  <si>
    <t>Ratio</t>
  </si>
  <si>
    <t>3 to 2</t>
  </si>
  <si>
    <t>N*SF</t>
  </si>
  <si>
    <t>(1.2SF)*13558lb=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</si>
</sst>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#,##0.000"/>
    <numFmt numFmtId="166" formatCode="0.00000"/>
    <numFmt numFmtId="168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0" fillId="0" borderId="0" xfId="0" applyNumberFormat="1"/>
    <xf numFmtId="3" fontId="0" fillId="2" borderId="0" xfId="0" applyNumberFormat="1" applyFill="1"/>
    <xf numFmtId="0" fontId="0" fillId="2" borderId="0" xfId="0" applyFill="1"/>
    <xf numFmtId="165" fontId="0" fillId="0" borderId="0" xfId="0" applyNumberFormat="1"/>
    <xf numFmtId="165" fontId="0" fillId="2" borderId="0" xfId="0" applyNumberFormat="1" applyFill="1"/>
    <xf numFmtId="0" fontId="1" fillId="0" borderId="0" xfId="0" applyFont="1"/>
    <xf numFmtId="168" fontId="0" fillId="0" borderId="0" xfId="0" applyNumberFormat="1"/>
    <xf numFmtId="2" fontId="0" fillId="0" borderId="0" xfId="0" applyNumberFormat="1"/>
    <xf numFmtId="0" fontId="0" fillId="0" borderId="0" xfId="0" applyBorder="1"/>
    <xf numFmtId="0" fontId="2" fillId="0" borderId="1" xfId="0" applyFont="1" applyBorder="1"/>
    <xf numFmtId="0" fontId="2" fillId="0" borderId="0" xfId="0" applyFont="1"/>
    <xf numFmtId="0" fontId="0" fillId="0" borderId="2" xfId="0" applyBorder="1"/>
    <xf numFmtId="3" fontId="0" fillId="0" borderId="2" xfId="0" applyNumberFormat="1" applyBorder="1"/>
    <xf numFmtId="3" fontId="0" fillId="2" borderId="2" xfId="0" applyNumberFormat="1" applyFill="1" applyBorder="1"/>
    <xf numFmtId="0" fontId="0" fillId="2" borderId="2" xfId="0" applyFill="1" applyBorder="1"/>
    <xf numFmtId="168" fontId="0" fillId="0" borderId="2" xfId="0" applyNumberFormat="1" applyBorder="1"/>
    <xf numFmtId="0" fontId="1" fillId="0" borderId="2" xfId="0" applyFont="1" applyBorder="1"/>
    <xf numFmtId="168" fontId="1" fillId="0" borderId="2" xfId="0" applyNumberFormat="1" applyFont="1" applyBorder="1"/>
    <xf numFmtId="165" fontId="0" fillId="0" borderId="2" xfId="0" applyNumberFormat="1" applyBorder="1"/>
    <xf numFmtId="165" fontId="0" fillId="2" borderId="2" xfId="0" applyNumberFormat="1" applyFill="1" applyBorder="1"/>
    <xf numFmtId="2" fontId="0" fillId="0" borderId="2" xfId="0" applyNumberFormat="1" applyBorder="1"/>
    <xf numFmtId="2" fontId="1" fillId="0" borderId="2" xfId="0" applyNumberFormat="1" applyFont="1" applyBorder="1"/>
    <xf numFmtId="0" fontId="1" fillId="0" borderId="0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7" xfId="0" applyBorder="1"/>
    <xf numFmtId="0" fontId="0" fillId="0" borderId="0" xfId="0" applyFill="1"/>
    <xf numFmtId="2" fontId="0" fillId="0" borderId="0" xfId="0" applyNumberFormat="1" applyFill="1"/>
    <xf numFmtId="2" fontId="0" fillId="0" borderId="2" xfId="0" applyNumberFormat="1" applyFill="1" applyBorder="1"/>
    <xf numFmtId="2" fontId="0" fillId="0" borderId="1" xfId="0" applyNumberFormat="1" applyBorder="1" applyAlignment="1">
      <alignment horizontal="center"/>
    </xf>
    <xf numFmtId="166" fontId="0" fillId="0" borderId="2" xfId="0" applyNumberFormat="1" applyFill="1" applyBorder="1"/>
    <xf numFmtId="2" fontId="3" fillId="3" borderId="2" xfId="0" applyNumberFormat="1" applyFont="1" applyFill="1" applyBorder="1"/>
    <xf numFmtId="20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3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58"/>
  <sheetViews>
    <sheetView workbookViewId="0">
      <selection activeCell="C2" sqref="C2:E10"/>
    </sheetView>
  </sheetViews>
  <sheetFormatPr defaultRowHeight="15" x14ac:dyDescent="0.25"/>
  <cols>
    <col min="1" max="1" width="6.140625" bestFit="1" customWidth="1"/>
    <col min="2" max="2" width="12" hidden="1" customWidth="1"/>
    <col min="3" max="3" width="13.28515625" bestFit="1" customWidth="1"/>
    <col min="4" max="4" width="31" bestFit="1" customWidth="1"/>
    <col min="5" max="5" width="20.140625" bestFit="1" customWidth="1"/>
    <col min="6" max="6" width="15.85546875" bestFit="1" customWidth="1"/>
    <col min="7" max="7" width="30.28515625" bestFit="1" customWidth="1"/>
    <col min="9" max="9" width="6.140625" bestFit="1" customWidth="1"/>
    <col min="10" max="10" width="12" hidden="1" customWidth="1"/>
    <col min="11" max="11" width="13.28515625" bestFit="1" customWidth="1"/>
    <col min="12" max="12" width="25.7109375" bestFit="1" customWidth="1"/>
    <col min="13" max="13" width="13.85546875" bestFit="1" customWidth="1"/>
    <col min="14" max="14" width="9.5703125" bestFit="1" customWidth="1"/>
  </cols>
  <sheetData>
    <row r="2" spans="3:18" x14ac:dyDescent="0.25">
      <c r="C2" s="12" t="s">
        <v>40</v>
      </c>
      <c r="D2" s="12" t="s">
        <v>29</v>
      </c>
      <c r="E2" s="13">
        <f>E3*E6</f>
        <v>132771.55952233862</v>
      </c>
      <c r="F2" s="9"/>
      <c r="G2" s="9"/>
      <c r="K2" s="12" t="s">
        <v>40</v>
      </c>
      <c r="L2" s="12" t="s">
        <v>8</v>
      </c>
      <c r="M2" s="19">
        <f>M3*M6</f>
        <v>590597.29584663373</v>
      </c>
    </row>
    <row r="3" spans="3:18" x14ac:dyDescent="0.25">
      <c r="C3" s="12" t="s">
        <v>39</v>
      </c>
      <c r="D3" s="12" t="s">
        <v>4</v>
      </c>
      <c r="E3" s="14">
        <v>4200</v>
      </c>
      <c r="F3" s="9"/>
      <c r="G3" s="9"/>
      <c r="K3" s="12" t="s">
        <v>39</v>
      </c>
      <c r="L3" s="12" t="s">
        <v>7</v>
      </c>
      <c r="M3" s="20">
        <f>6894.757*E3</f>
        <v>28957979.399999999</v>
      </c>
      <c r="Q3" s="9"/>
      <c r="R3" s="9"/>
    </row>
    <row r="4" spans="3:18" x14ac:dyDescent="0.25">
      <c r="C4" s="12" t="s">
        <v>45</v>
      </c>
      <c r="D4" s="12" t="s">
        <v>0</v>
      </c>
      <c r="E4" s="15">
        <v>3.75</v>
      </c>
      <c r="F4" s="9" t="s">
        <v>42</v>
      </c>
      <c r="K4" s="12" t="s">
        <v>45</v>
      </c>
      <c r="L4" s="12" t="s">
        <v>12</v>
      </c>
      <c r="M4" s="20">
        <f>E4*0.0254</f>
        <v>9.5250000000000001E-2</v>
      </c>
      <c r="Q4" s="9"/>
      <c r="R4" s="9"/>
    </row>
    <row r="5" spans="3:18" x14ac:dyDescent="0.25">
      <c r="C5" s="12" t="s">
        <v>46</v>
      </c>
      <c r="D5" s="12" t="s">
        <v>1</v>
      </c>
      <c r="E5" s="15">
        <v>2</v>
      </c>
      <c r="F5" s="9" t="s">
        <v>11</v>
      </c>
      <c r="K5" s="12" t="s">
        <v>46</v>
      </c>
      <c r="L5" s="12" t="s">
        <v>13</v>
      </c>
      <c r="M5" s="20">
        <f>E5*0.0254</f>
        <v>5.0799999999999998E-2</v>
      </c>
      <c r="Q5" s="9"/>
      <c r="R5" s="9"/>
    </row>
    <row r="6" spans="3:18" x14ac:dyDescent="0.25">
      <c r="C6" s="12" t="s">
        <v>38</v>
      </c>
      <c r="D6" s="12" t="s">
        <v>9</v>
      </c>
      <c r="E6" s="15">
        <f>E7-E8</f>
        <v>31.612276076747293</v>
      </c>
      <c r="F6" s="9"/>
      <c r="G6" s="24" t="s">
        <v>23</v>
      </c>
      <c r="H6" s="25"/>
      <c r="K6" s="12" t="s">
        <v>38</v>
      </c>
      <c r="L6" s="12" t="s">
        <v>16</v>
      </c>
      <c r="M6" s="20">
        <f>M7-M8</f>
        <v>2.0394976033674288E-2</v>
      </c>
      <c r="Q6" s="9"/>
      <c r="R6" s="9"/>
    </row>
    <row r="7" spans="3:18" x14ac:dyDescent="0.25">
      <c r="C7" s="12" t="s">
        <v>37</v>
      </c>
      <c r="D7" s="12" t="s">
        <v>2</v>
      </c>
      <c r="E7" s="12">
        <f>PI()*(E4^2)</f>
        <v>44.178646691106465</v>
      </c>
      <c r="F7" s="9"/>
      <c r="G7" s="26" t="s">
        <v>22</v>
      </c>
      <c r="H7" s="27"/>
      <c r="K7" s="12" t="s">
        <v>37</v>
      </c>
      <c r="L7" s="12" t="s">
        <v>14</v>
      </c>
      <c r="M7" s="19">
        <f>PI()*(M4^2)</f>
        <v>2.8502295699234251E-2</v>
      </c>
      <c r="Q7" s="9"/>
      <c r="R7" s="9"/>
    </row>
    <row r="8" spans="3:18" x14ac:dyDescent="0.25">
      <c r="C8" s="12" t="s">
        <v>36</v>
      </c>
      <c r="D8" s="12" t="s">
        <v>3</v>
      </c>
      <c r="E8" s="12">
        <f>PI()*(E5^2)</f>
        <v>12.566370614359172</v>
      </c>
      <c r="F8" s="9"/>
      <c r="G8" s="26" t="s">
        <v>24</v>
      </c>
      <c r="H8" s="27"/>
      <c r="K8" s="12" t="s">
        <v>36</v>
      </c>
      <c r="L8" s="12" t="s">
        <v>15</v>
      </c>
      <c r="M8" s="19">
        <f>PI()*(M5^2)</f>
        <v>8.107319665559963E-3</v>
      </c>
      <c r="Q8" s="9"/>
      <c r="R8" s="9"/>
    </row>
    <row r="9" spans="3:18" x14ac:dyDescent="0.25">
      <c r="C9" s="12" t="s">
        <v>35</v>
      </c>
      <c r="D9" s="12" t="s">
        <v>6</v>
      </c>
      <c r="E9" s="12">
        <v>33</v>
      </c>
      <c r="F9" s="9" t="s">
        <v>10</v>
      </c>
      <c r="G9" s="26" t="s">
        <v>25</v>
      </c>
      <c r="H9" s="27"/>
      <c r="K9" s="12" t="s">
        <v>35</v>
      </c>
      <c r="L9" s="12" t="s">
        <v>17</v>
      </c>
      <c r="M9" s="19">
        <f>E9*0.0254</f>
        <v>0.83819999999999995</v>
      </c>
      <c r="Q9" s="23"/>
      <c r="R9" s="9"/>
    </row>
    <row r="10" spans="3:18" x14ac:dyDescent="0.25">
      <c r="C10" s="12" t="s">
        <v>34</v>
      </c>
      <c r="D10" s="12" t="s">
        <v>5</v>
      </c>
      <c r="E10" s="12">
        <v>115.5</v>
      </c>
      <c r="F10" s="9" t="s">
        <v>10</v>
      </c>
      <c r="G10" s="26"/>
      <c r="H10" s="27"/>
      <c r="K10" s="12" t="s">
        <v>34</v>
      </c>
      <c r="L10" s="12" t="s">
        <v>18</v>
      </c>
      <c r="M10" s="19">
        <f>E10*0.0254</f>
        <v>2.9337</v>
      </c>
      <c r="Q10" s="9"/>
      <c r="R10" s="9"/>
    </row>
    <row r="11" spans="3:18" x14ac:dyDescent="0.25">
      <c r="G11" s="26"/>
      <c r="H11" s="27"/>
      <c r="M11" s="4"/>
      <c r="Q11" s="9"/>
      <c r="R11" s="9"/>
    </row>
    <row r="12" spans="3:18" x14ac:dyDescent="0.25">
      <c r="C12" s="12" t="s">
        <v>19</v>
      </c>
      <c r="D12" s="12" t="s">
        <v>28</v>
      </c>
      <c r="G12" s="28" t="s">
        <v>30</v>
      </c>
      <c r="H12" s="29"/>
      <c r="K12" s="12" t="s">
        <v>19</v>
      </c>
      <c r="L12" s="12" t="s">
        <v>27</v>
      </c>
      <c r="M12" s="12" t="s">
        <v>44</v>
      </c>
      <c r="N12" s="12" t="s">
        <v>41</v>
      </c>
    </row>
    <row r="13" spans="3:18" x14ac:dyDescent="0.25">
      <c r="C13" s="12">
        <v>20</v>
      </c>
      <c r="D13" s="16">
        <f>($E$9*$E$2*SIN(RADIANS(C13)))/$E$10</f>
        <v>12974.442233543657</v>
      </c>
      <c r="G13" s="26" t="s">
        <v>31</v>
      </c>
      <c r="H13" s="27"/>
      <c r="K13" s="12">
        <v>20</v>
      </c>
      <c r="L13" s="21">
        <f>($M$9*$M$2*SIN(RADIANS(K13))/$M$10)</f>
        <v>57713.191935205148</v>
      </c>
      <c r="M13" s="21">
        <f>4*L13</f>
        <v>230852.76774082059</v>
      </c>
      <c r="N13" s="21">
        <f>5*L13</f>
        <v>288565.95967602573</v>
      </c>
    </row>
    <row r="14" spans="3:18" x14ac:dyDescent="0.25">
      <c r="C14" s="12">
        <v>25</v>
      </c>
      <c r="D14" s="16">
        <f>($E$9*$E$2*SIN(RADIANS(C14)))/$E$10</f>
        <v>16031.910198266445</v>
      </c>
      <c r="G14" s="26" t="s">
        <v>32</v>
      </c>
      <c r="H14" s="27"/>
      <c r="K14" s="12">
        <v>25</v>
      </c>
      <c r="L14" s="21">
        <f>($M$9*$M$2*SIN(RADIANS(K14))/$M$10)</f>
        <v>71313.486445560557</v>
      </c>
      <c r="M14" s="21">
        <f t="shared" ref="M14:M27" si="0">4*L14</f>
        <v>285253.94578224223</v>
      </c>
      <c r="N14" s="21">
        <f t="shared" ref="N14:N27" si="1">5*L14</f>
        <v>356567.43222780281</v>
      </c>
    </row>
    <row r="15" spans="3:18" x14ac:dyDescent="0.25">
      <c r="C15" s="12">
        <v>30</v>
      </c>
      <c r="D15" s="16">
        <f>($E$9*$E$2*SIN(RADIANS(C15)))/$E$10</f>
        <v>18967.365646048369</v>
      </c>
      <c r="G15" s="26" t="s">
        <v>33</v>
      </c>
      <c r="H15" s="27"/>
      <c r="K15" s="12">
        <v>30</v>
      </c>
      <c r="L15" s="21">
        <f>($M$9*$M$2*SIN(RADIANS(K15))/$M$10)</f>
        <v>84371.042263804804</v>
      </c>
      <c r="M15" s="21">
        <f t="shared" si="0"/>
        <v>337484.16905521922</v>
      </c>
      <c r="N15" s="21">
        <f t="shared" si="1"/>
        <v>421855.21131902403</v>
      </c>
    </row>
    <row r="16" spans="3:18" x14ac:dyDescent="0.25">
      <c r="C16" s="12">
        <v>35</v>
      </c>
      <c r="D16" s="16">
        <f>($E$9*$E$2*SIN(RADIANS(C16)))/$E$10</f>
        <v>21758.467988455363</v>
      </c>
      <c r="G16" s="30" t="s">
        <v>47</v>
      </c>
      <c r="H16" s="29"/>
      <c r="K16" s="12">
        <v>35</v>
      </c>
      <c r="L16" s="21">
        <f>($M$9*$M$2*SIN(RADIANS(K16))/$M$10)</f>
        <v>96786.483505793309</v>
      </c>
      <c r="M16" s="21">
        <f t="shared" si="0"/>
        <v>387145.93402317323</v>
      </c>
      <c r="N16" s="21">
        <f t="shared" si="1"/>
        <v>483932.41752896656</v>
      </c>
    </row>
    <row r="17" spans="1:18" x14ac:dyDescent="0.25">
      <c r="C17" s="12">
        <v>40</v>
      </c>
      <c r="D17" s="16">
        <f>($E$9*$E$2*SIN(RADIANS(C17)))/$E$10</f>
        <v>24383.975251348027</v>
      </c>
      <c r="K17" s="12">
        <v>40</v>
      </c>
      <c r="L17" s="21">
        <f>($M$9*$M$2*SIN(RADIANS(K17))/$M$10)</f>
        <v>108465.32116702614</v>
      </c>
      <c r="M17" s="21">
        <f t="shared" si="0"/>
        <v>433861.28466810455</v>
      </c>
      <c r="N17" s="21">
        <f t="shared" si="1"/>
        <v>542326.60583513067</v>
      </c>
    </row>
    <row r="18" spans="1:18" x14ac:dyDescent="0.25">
      <c r="C18" s="17">
        <v>45</v>
      </c>
      <c r="D18" s="18">
        <f>($E$9*$E$2*SIN(RADIANS(C18)))/$E$10</f>
        <v>26823.905739131129</v>
      </c>
      <c r="E18" s="6" t="s">
        <v>26</v>
      </c>
      <c r="K18" s="17">
        <v>45</v>
      </c>
      <c r="L18" s="22">
        <f>($M$9*$M$2*SIN(RADIANS(K18))/$M$10)</f>
        <v>119318.67224102635</v>
      </c>
      <c r="M18" s="22">
        <f t="shared" si="0"/>
        <v>477274.68896410539</v>
      </c>
      <c r="N18" s="22">
        <f t="shared" si="1"/>
        <v>596593.36120513175</v>
      </c>
    </row>
    <row r="19" spans="1:18" x14ac:dyDescent="0.25">
      <c r="C19" s="12">
        <v>50</v>
      </c>
      <c r="D19" s="16">
        <f>($E$9*$E$2*SIN(RADIANS(C19)))/$E$10</f>
        <v>29059.690107522318</v>
      </c>
      <c r="K19" s="12">
        <v>50</v>
      </c>
      <c r="L19" s="21">
        <f>($M$9*$M$2*SIN(RADIANS(K19))/$M$10)</f>
        <v>129263.93617268823</v>
      </c>
      <c r="M19" s="21">
        <f t="shared" si="0"/>
        <v>517055.74469075294</v>
      </c>
      <c r="N19" s="21">
        <f t="shared" si="1"/>
        <v>646319.6808634412</v>
      </c>
    </row>
    <row r="20" spans="1:18" x14ac:dyDescent="0.25">
      <c r="C20" s="12">
        <v>55</v>
      </c>
      <c r="D20" s="16">
        <f>($E$9*$E$2*SIN(RADIANS(C20)))/$E$10</f>
        <v>31074.312687474638</v>
      </c>
      <c r="K20" s="12">
        <v>55</v>
      </c>
      <c r="L20" s="21">
        <f>($M$9*$M$2*SIN(RADIANS(K20))/$M$10)</f>
        <v>138225.42349837726</v>
      </c>
      <c r="M20" s="21">
        <f t="shared" si="0"/>
        <v>552901.69399350905</v>
      </c>
      <c r="N20" s="21">
        <f t="shared" si="1"/>
        <v>691127.11749188625</v>
      </c>
    </row>
    <row r="21" spans="1:18" x14ac:dyDescent="0.25">
      <c r="C21" s="12">
        <v>60</v>
      </c>
      <c r="D21" s="16">
        <f>($E$9*$E$2*SIN(RADIANS(C21)))/$E$10</f>
        <v>32852.440984692264</v>
      </c>
      <c r="G21" s="6"/>
      <c r="H21" s="6"/>
      <c r="K21" s="12">
        <v>60</v>
      </c>
      <c r="L21" s="21">
        <f>($M$9*$M$2*SIN(RADIANS(K21))/$M$10)</f>
        <v>146134.93188845098</v>
      </c>
      <c r="M21" s="21">
        <f t="shared" si="0"/>
        <v>584539.72755380394</v>
      </c>
      <c r="N21" s="21">
        <f t="shared" si="1"/>
        <v>730674.65944225492</v>
      </c>
    </row>
    <row r="22" spans="1:18" x14ac:dyDescent="0.25">
      <c r="C22" s="12">
        <v>65</v>
      </c>
      <c r="D22" s="16">
        <f>($E$9*$E$2*SIN(RADIANS(C22)))/$E$10</f>
        <v>34380.542369170158</v>
      </c>
      <c r="K22" s="12">
        <v>65</v>
      </c>
      <c r="L22" s="21">
        <f>($M$9*$M$2*SIN(RADIANS(K22))/$M$10)</f>
        <v>152932.26520816921</v>
      </c>
      <c r="M22" s="21">
        <f t="shared" si="0"/>
        <v>611729.06083267683</v>
      </c>
      <c r="N22" s="21">
        <f t="shared" si="1"/>
        <v>764661.32604084606</v>
      </c>
    </row>
    <row r="23" spans="1:18" x14ac:dyDescent="0.25">
      <c r="C23" s="12">
        <v>70</v>
      </c>
      <c r="D23" s="16">
        <f>($E$9*$E$2*SIN(RADIANS(C23)))/$E$10</f>
        <v>35646.987066679598</v>
      </c>
      <c r="K23" s="12">
        <v>70</v>
      </c>
      <c r="L23" s="21">
        <f>($M$9*$M$2*SIN(RADIANS(K23))/$M$10)</f>
        <v>158565.69164662677</v>
      </c>
      <c r="M23" s="21">
        <f t="shared" si="0"/>
        <v>634262.76658650709</v>
      </c>
      <c r="N23" s="21">
        <f t="shared" si="1"/>
        <v>792828.45823313389</v>
      </c>
    </row>
    <row r="24" spans="1:18" x14ac:dyDescent="0.25">
      <c r="C24" s="12">
        <v>75</v>
      </c>
      <c r="D24" s="16">
        <f>($E$9*$E$2*SIN(RADIANS(C24)))/$E$10</f>
        <v>36642.136668372324</v>
      </c>
      <c r="K24" s="12">
        <v>75</v>
      </c>
      <c r="L24" s="21">
        <f>($M$9*$M$2*SIN(RADIANS(K24))/$M$10)</f>
        <v>162992.33742707112</v>
      </c>
      <c r="M24" s="21">
        <f t="shared" si="0"/>
        <v>651969.34970828448</v>
      </c>
      <c r="N24" s="21">
        <f t="shared" si="1"/>
        <v>814961.68713535555</v>
      </c>
    </row>
    <row r="25" spans="1:18" x14ac:dyDescent="0.25">
      <c r="C25" s="12">
        <v>80</v>
      </c>
      <c r="D25" s="16">
        <f>($E$9*$E$2*SIN(RADIANS(C25)))/$E$10</f>
        <v>37358.417484891695</v>
      </c>
      <c r="K25" s="12">
        <v>80</v>
      </c>
      <c r="L25" s="21">
        <f>($M$9*$M$2*SIN(RADIANS(K25))/$M$10)</f>
        <v>166178.51310223129</v>
      </c>
      <c r="M25" s="21">
        <f t="shared" si="0"/>
        <v>664714.05240892514</v>
      </c>
      <c r="N25" s="21">
        <f t="shared" si="1"/>
        <v>830892.56551115646</v>
      </c>
    </row>
    <row r="26" spans="1:18" x14ac:dyDescent="0.25">
      <c r="C26" s="12">
        <v>85</v>
      </c>
      <c r="D26" s="16">
        <f>($E$9*$E$2*SIN(RADIANS(C26)))/$E$10</f>
        <v>37790.378186721806</v>
      </c>
      <c r="K26" s="12">
        <v>85</v>
      </c>
      <c r="L26" s="21">
        <f>($M$9*$M$2*SIN(RADIANS(K26))/$M$10)</f>
        <v>168099.96995135385</v>
      </c>
      <c r="M26" s="21">
        <f t="shared" si="0"/>
        <v>672399.8798054154</v>
      </c>
      <c r="N26" s="21">
        <f t="shared" si="1"/>
        <v>840499.84975676925</v>
      </c>
    </row>
    <row r="27" spans="1:18" x14ac:dyDescent="0.25">
      <c r="C27" s="12">
        <v>90</v>
      </c>
      <c r="D27" s="16">
        <f>($E$9*$E$2*SIN(RADIANS(C27)))/$E$10</f>
        <v>37934.731292096745</v>
      </c>
      <c r="K27" s="12">
        <v>90</v>
      </c>
      <c r="L27" s="21">
        <f>($M$9*$M$2*SIN(RADIANS(K27))/$M$10)</f>
        <v>168742.08452760961</v>
      </c>
      <c r="M27" s="21">
        <f t="shared" si="0"/>
        <v>674968.33811043843</v>
      </c>
      <c r="N27" s="21">
        <f t="shared" si="1"/>
        <v>843710.42263804807</v>
      </c>
    </row>
    <row r="29" spans="1:18" x14ac:dyDescent="0.25">
      <c r="A29" s="9"/>
      <c r="B29" s="9"/>
      <c r="C29" s="9"/>
      <c r="D29" s="9"/>
      <c r="E29" s="9"/>
      <c r="F29" s="9"/>
      <c r="G29" s="9"/>
    </row>
    <row r="30" spans="1:18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  <c r="Q30" s="11"/>
      <c r="R30" s="11"/>
    </row>
    <row r="31" spans="1:18" x14ac:dyDescent="0.25">
      <c r="C31" s="7"/>
    </row>
    <row r="33" spans="4:14" x14ac:dyDescent="0.25">
      <c r="D33" s="12" t="s">
        <v>8</v>
      </c>
      <c r="E33" s="13">
        <f>E34*E37</f>
        <v>120607.70546672065</v>
      </c>
      <c r="L33" s="12" t="s">
        <v>8</v>
      </c>
      <c r="M33" s="19">
        <f>M34*M37</f>
        <v>536489.77961223677</v>
      </c>
    </row>
    <row r="34" spans="4:14" x14ac:dyDescent="0.25">
      <c r="D34" s="12" t="s">
        <v>4</v>
      </c>
      <c r="E34" s="14">
        <v>4200</v>
      </c>
      <c r="L34" s="12" t="s">
        <v>7</v>
      </c>
      <c r="M34" s="20">
        <f>6894.757*E34</f>
        <v>28957979.399999999</v>
      </c>
    </row>
    <row r="35" spans="4:14" x14ac:dyDescent="0.25">
      <c r="D35" s="12" t="s">
        <v>0</v>
      </c>
      <c r="E35" s="15">
        <v>3.625</v>
      </c>
      <c r="F35" t="s">
        <v>43</v>
      </c>
      <c r="L35" s="12" t="s">
        <v>12</v>
      </c>
      <c r="M35" s="20">
        <f>E35*0.0254</f>
        <v>9.207499999999999E-2</v>
      </c>
    </row>
    <row r="36" spans="4:14" x14ac:dyDescent="0.25">
      <c r="D36" s="12" t="s">
        <v>1</v>
      </c>
      <c r="E36" s="15">
        <v>2</v>
      </c>
      <c r="F36" t="s">
        <v>11</v>
      </c>
      <c r="L36" s="12" t="s">
        <v>13</v>
      </c>
      <c r="M36" s="20">
        <f>E36*0.0254</f>
        <v>5.0799999999999998E-2</v>
      </c>
    </row>
    <row r="37" spans="4:14" x14ac:dyDescent="0.25">
      <c r="D37" s="12" t="s">
        <v>9</v>
      </c>
      <c r="E37" s="15">
        <f>E38-E39</f>
        <v>28.716120349219203</v>
      </c>
      <c r="L37" s="12" t="s">
        <v>16</v>
      </c>
      <c r="M37" s="20">
        <f>M38-M39</f>
        <v>1.8526492204502254E-2</v>
      </c>
    </row>
    <row r="38" spans="4:14" x14ac:dyDescent="0.25">
      <c r="D38" s="12" t="s">
        <v>2</v>
      </c>
      <c r="E38" s="12">
        <f>PI()*(E35^2)</f>
        <v>41.282490963578375</v>
      </c>
      <c r="L38" s="12" t="s">
        <v>14</v>
      </c>
      <c r="M38" s="19">
        <f>PI()*(M35^2)</f>
        <v>2.6633811870062217E-2</v>
      </c>
    </row>
    <row r="39" spans="4:14" x14ac:dyDescent="0.25">
      <c r="D39" s="12" t="s">
        <v>3</v>
      </c>
      <c r="E39" s="12">
        <f>PI()*(E36^2)</f>
        <v>12.566370614359172</v>
      </c>
      <c r="L39" s="12" t="s">
        <v>15</v>
      </c>
      <c r="M39" s="19">
        <f>PI()*(M36^2)</f>
        <v>8.107319665559963E-3</v>
      </c>
    </row>
    <row r="40" spans="4:14" x14ac:dyDescent="0.25">
      <c r="D40" s="12" t="s">
        <v>6</v>
      </c>
      <c r="E40" s="12">
        <v>33</v>
      </c>
      <c r="F40" t="s">
        <v>10</v>
      </c>
      <c r="L40" s="12" t="s">
        <v>17</v>
      </c>
      <c r="M40" s="19">
        <f>E40*0.0254</f>
        <v>0.83819999999999995</v>
      </c>
    </row>
    <row r="41" spans="4:14" x14ac:dyDescent="0.25">
      <c r="D41" s="12" t="s">
        <v>5</v>
      </c>
      <c r="E41" s="12">
        <v>115.5</v>
      </c>
      <c r="F41" t="s">
        <v>10</v>
      </c>
      <c r="L41" s="12" t="s">
        <v>18</v>
      </c>
      <c r="M41" s="19">
        <f>E41*0.0254</f>
        <v>2.9337</v>
      </c>
    </row>
    <row r="42" spans="4:14" x14ac:dyDescent="0.25">
      <c r="M42" s="4"/>
    </row>
    <row r="43" spans="4:14" x14ac:dyDescent="0.25">
      <c r="D43" s="12" t="s">
        <v>19</v>
      </c>
      <c r="E43" s="12"/>
      <c r="K43" s="12" t="s">
        <v>19</v>
      </c>
      <c r="L43" s="12" t="s">
        <v>27</v>
      </c>
      <c r="M43" s="12" t="s">
        <v>44</v>
      </c>
      <c r="N43" s="12" t="s">
        <v>41</v>
      </c>
    </row>
    <row r="44" spans="4:14" x14ac:dyDescent="0.25">
      <c r="D44" s="12">
        <v>20</v>
      </c>
      <c r="E44" s="16">
        <f>($E$40*$E$33*SIN(RADIANS(D44))/$E$41)</f>
        <v>11785.789917116525</v>
      </c>
      <c r="K44" s="12">
        <v>20</v>
      </c>
      <c r="L44" s="21">
        <f>($M$40*$M$33*SIN(RADIANS(K44))/$M$41)</f>
        <v>52425.803233066748</v>
      </c>
      <c r="M44" s="21">
        <f>4*L44</f>
        <v>209703.21293226699</v>
      </c>
      <c r="N44" s="21">
        <f>5*L44</f>
        <v>262129.01616533374</v>
      </c>
    </row>
    <row r="45" spans="4:14" x14ac:dyDescent="0.25">
      <c r="D45" s="12">
        <v>25</v>
      </c>
      <c r="E45" s="16">
        <f>($E$40*$E$33*SIN(RADIANS(D45))/$E$41)</f>
        <v>14563.148239108496</v>
      </c>
      <c r="K45" s="12">
        <v>25</v>
      </c>
      <c r="L45" s="21">
        <f t="shared" ref="L45:L58" si="2">($M$40*$M$33*SIN(RADIANS(K45))/$M$41)</f>
        <v>64780.108028964118</v>
      </c>
      <c r="M45" s="21">
        <f t="shared" ref="M45:M58" si="3">4*L45</f>
        <v>259120.43211585647</v>
      </c>
      <c r="N45" s="21">
        <f t="shared" ref="N45:N58" si="4">5*L45</f>
        <v>323900.54014482058</v>
      </c>
    </row>
    <row r="46" spans="4:14" x14ac:dyDescent="0.25">
      <c r="D46" s="12">
        <v>30</v>
      </c>
      <c r="E46" s="16">
        <f>($E$40*$E$33*SIN(RADIANS(D46))/$E$41)</f>
        <v>17229.67220953152</v>
      </c>
      <c r="K46" s="12">
        <v>30</v>
      </c>
      <c r="L46" s="21">
        <f t="shared" si="2"/>
        <v>76641.397087462377</v>
      </c>
      <c r="M46" s="21">
        <f t="shared" si="3"/>
        <v>306565.58834984951</v>
      </c>
      <c r="N46" s="21">
        <f t="shared" si="4"/>
        <v>383206.98543731187</v>
      </c>
    </row>
    <row r="47" spans="4:14" x14ac:dyDescent="0.25">
      <c r="D47" s="12">
        <v>35</v>
      </c>
      <c r="E47" s="16">
        <f>($E$40*$E$33*SIN(RADIANS(D47))/$E$41)</f>
        <v>19765.067970879489</v>
      </c>
      <c r="K47" s="12">
        <v>35</v>
      </c>
      <c r="L47" s="21">
        <f t="shared" si="2"/>
        <v>87919.398836784239</v>
      </c>
      <c r="M47" s="21">
        <f t="shared" si="3"/>
        <v>351677.59534713696</v>
      </c>
      <c r="N47" s="21">
        <f t="shared" si="4"/>
        <v>439596.9941839212</v>
      </c>
    </row>
    <row r="48" spans="4:14" x14ac:dyDescent="0.25">
      <c r="D48" s="12">
        <v>40</v>
      </c>
      <c r="E48" s="16">
        <f>($E$40*$E$33*SIN(RADIANS(D48))/$E$41)</f>
        <v>22150.039630494721</v>
      </c>
      <c r="K48" s="12">
        <v>40</v>
      </c>
      <c r="L48" s="21">
        <f t="shared" si="2"/>
        <v>98528.280873773678</v>
      </c>
      <c r="M48" s="21">
        <f t="shared" si="3"/>
        <v>394113.12349509471</v>
      </c>
      <c r="N48" s="21">
        <f t="shared" si="4"/>
        <v>492641.40436886839</v>
      </c>
    </row>
    <row r="49" spans="4:14" x14ac:dyDescent="0.25">
      <c r="D49" s="17">
        <v>45</v>
      </c>
      <c r="E49" s="18">
        <f>($E$40*$E$33*SIN(RADIANS(D49))/$E$41)</f>
        <v>24366.436113962285</v>
      </c>
      <c r="F49" s="6" t="s">
        <v>26</v>
      </c>
      <c r="K49" s="17">
        <v>45</v>
      </c>
      <c r="L49" s="21">
        <f t="shared" si="2"/>
        <v>108387.30320031113</v>
      </c>
      <c r="M49" s="22">
        <f t="shared" si="3"/>
        <v>433549.21280124452</v>
      </c>
      <c r="N49" s="22">
        <f t="shared" si="4"/>
        <v>541936.5160015556</v>
      </c>
    </row>
    <row r="50" spans="4:14" x14ac:dyDescent="0.25">
      <c r="D50" s="12">
        <v>50</v>
      </c>
      <c r="E50" s="16">
        <f>($E$40*$E$33*SIN(RADIANS(D50))/$E$41)</f>
        <v>26397.389305746212</v>
      </c>
      <c r="K50" s="12">
        <v>50</v>
      </c>
      <c r="L50" s="21">
        <f t="shared" si="2"/>
        <v>117421.43270345118</v>
      </c>
      <c r="M50" s="21">
        <f t="shared" si="3"/>
        <v>469685.73081380472</v>
      </c>
      <c r="N50" s="21">
        <f t="shared" si="4"/>
        <v>587107.16351725592</v>
      </c>
    </row>
    <row r="51" spans="4:14" x14ac:dyDescent="0.25">
      <c r="D51" s="12">
        <v>55</v>
      </c>
      <c r="E51" s="16">
        <f>($E$40*$E$33*SIN(RADIANS(D51))/$E$41)</f>
        <v>28227.442425733952</v>
      </c>
      <c r="K51" s="12">
        <v>55</v>
      </c>
      <c r="L51" s="21">
        <f t="shared" si="2"/>
        <v>125561.91420271838</v>
      </c>
      <c r="M51" s="21">
        <f t="shared" si="3"/>
        <v>502247.65681087354</v>
      </c>
      <c r="N51" s="21">
        <f t="shared" si="4"/>
        <v>627809.57101359195</v>
      </c>
    </row>
    <row r="52" spans="4:14" x14ac:dyDescent="0.25">
      <c r="D52" s="12">
        <v>60</v>
      </c>
      <c r="E52" s="16">
        <f>($E$40*$E$33*SIN(RADIANS(D52))/$E$41)</f>
        <v>29842.667664666114</v>
      </c>
      <c r="G52" s="6"/>
      <c r="H52" s="6"/>
      <c r="K52" s="12">
        <v>60</v>
      </c>
      <c r="L52" s="21">
        <f t="shared" si="2"/>
        <v>132746.79371854622</v>
      </c>
      <c r="M52" s="21">
        <f t="shared" si="3"/>
        <v>530987.17487418489</v>
      </c>
      <c r="N52" s="21">
        <f t="shared" si="4"/>
        <v>663733.96859273105</v>
      </c>
    </row>
    <row r="53" spans="4:14" x14ac:dyDescent="0.25">
      <c r="D53" s="12">
        <v>65</v>
      </c>
      <c r="E53" s="16">
        <f>($E$40*$E$33*SIN(RADIANS(D53))/$E$41)</f>
        <v>31230.772183174762</v>
      </c>
      <c r="K53" s="12">
        <v>65</v>
      </c>
      <c r="L53" s="21">
        <f t="shared" si="2"/>
        <v>138921.38997947038</v>
      </c>
      <c r="M53" s="21">
        <f t="shared" si="3"/>
        <v>555685.5599178815</v>
      </c>
      <c r="N53" s="21">
        <f t="shared" si="4"/>
        <v>694606.94989735191</v>
      </c>
    </row>
    <row r="54" spans="4:14" x14ac:dyDescent="0.25">
      <c r="D54" s="12">
        <v>70</v>
      </c>
      <c r="E54" s="16">
        <f>($E$40*$E$33*SIN(RADIANS(D54))/$E$41)</f>
        <v>32381.191667713614</v>
      </c>
      <c r="K54" s="12">
        <v>70</v>
      </c>
      <c r="L54" s="21">
        <f t="shared" si="2"/>
        <v>144038.71057962201</v>
      </c>
      <c r="M54" s="21">
        <f t="shared" si="3"/>
        <v>576154.84231848805</v>
      </c>
      <c r="N54" s="21">
        <f t="shared" si="4"/>
        <v>720193.55289811012</v>
      </c>
    </row>
    <row r="55" spans="4:14" x14ac:dyDescent="0.25">
      <c r="D55" s="12">
        <v>75</v>
      </c>
      <c r="E55" s="16">
        <f>($E$40*$E$33*SIN(RADIANS(D55))/$E$41)</f>
        <v>33285.170731363069</v>
      </c>
      <c r="K55" s="12">
        <v>75</v>
      </c>
      <c r="L55" s="21">
        <f t="shared" si="2"/>
        <v>148059.80961931142</v>
      </c>
      <c r="M55" s="21">
        <f t="shared" si="3"/>
        <v>592239.23847724567</v>
      </c>
      <c r="N55" s="21">
        <f t="shared" si="4"/>
        <v>740299.04809655715</v>
      </c>
    </row>
    <row r="56" spans="4:14" x14ac:dyDescent="0.25">
      <c r="D56" s="12">
        <v>80</v>
      </c>
      <c r="E56" s="16">
        <f>($E$40*$E$33*SIN(RADIANS(D56))/$E$41)</f>
        <v>33935.829547611247</v>
      </c>
      <c r="K56" s="12">
        <v>80</v>
      </c>
      <c r="L56" s="21">
        <f t="shared" si="2"/>
        <v>150954.08410684043</v>
      </c>
      <c r="M56" s="21">
        <f t="shared" si="3"/>
        <v>603816.3364273617</v>
      </c>
      <c r="N56" s="21">
        <f t="shared" si="4"/>
        <v>754770.42053420213</v>
      </c>
    </row>
    <row r="57" spans="4:14" x14ac:dyDescent="0.25">
      <c r="D57" s="12">
        <v>85</v>
      </c>
      <c r="E57" s="16">
        <f>($E$40*$E$33*SIN(RADIANS(D57))/$E$41)</f>
        <v>34328.216209987986</v>
      </c>
      <c r="K57" s="12">
        <v>85</v>
      </c>
      <c r="L57" s="21">
        <f t="shared" si="2"/>
        <v>152699.50686574835</v>
      </c>
      <c r="M57" s="21">
        <f t="shared" si="3"/>
        <v>610798.0274629934</v>
      </c>
      <c r="N57" s="21">
        <f t="shared" si="4"/>
        <v>763497.53432874172</v>
      </c>
    </row>
    <row r="58" spans="4:14" x14ac:dyDescent="0.25">
      <c r="D58" s="12">
        <v>90</v>
      </c>
      <c r="E58" s="16">
        <f>($E$40*$E$33*SIN(RADIANS(D58))/$E$41)</f>
        <v>34459.344419063047</v>
      </c>
      <c r="K58" s="12">
        <v>90</v>
      </c>
      <c r="L58" s="21">
        <f t="shared" si="2"/>
        <v>153282.79417492478</v>
      </c>
      <c r="M58" s="21">
        <f t="shared" si="3"/>
        <v>613131.17669969914</v>
      </c>
      <c r="N58" s="21">
        <f t="shared" si="4"/>
        <v>766413.97087462386</v>
      </c>
    </row>
  </sheetData>
  <conditionalFormatting sqref="D13:D27 C69:C79 C3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3:E58 C62:C68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62:K66 L44:L58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2:L27 K31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4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5"/>
  <sheetViews>
    <sheetView workbookViewId="0">
      <selection activeCell="D59" sqref="D59:D60"/>
    </sheetView>
  </sheetViews>
  <sheetFormatPr defaultRowHeight="15" x14ac:dyDescent="0.25"/>
  <cols>
    <col min="2" max="2" width="0" hidden="1" customWidth="1"/>
    <col min="4" max="4" width="30.42578125" bestFit="1" customWidth="1"/>
    <col min="12" max="12" width="0" hidden="1" customWidth="1"/>
    <col min="13" max="13" width="12" bestFit="1" customWidth="1"/>
    <col min="14" max="14" width="29" bestFit="1" customWidth="1"/>
    <col min="15" max="15" width="16.42578125" bestFit="1" customWidth="1"/>
  </cols>
  <sheetData>
    <row r="2" spans="1:15" x14ac:dyDescent="0.25">
      <c r="D2" t="s">
        <v>8</v>
      </c>
      <c r="E2" s="1">
        <f>E3/E6</f>
        <v>146.25931180547511</v>
      </c>
      <c r="N2" t="s">
        <v>8</v>
      </c>
      <c r="O2" s="4">
        <f>O3/O6</f>
        <v>1563057867.639008</v>
      </c>
    </row>
    <row r="3" spans="1:15" x14ac:dyDescent="0.25">
      <c r="D3" t="s">
        <v>4</v>
      </c>
      <c r="E3" s="2">
        <v>4200</v>
      </c>
      <c r="N3" t="s">
        <v>7</v>
      </c>
      <c r="O3" s="5">
        <f>6894.757*E3</f>
        <v>28957979.399999999</v>
      </c>
    </row>
    <row r="4" spans="1:15" x14ac:dyDescent="0.25">
      <c r="D4" t="s">
        <v>0</v>
      </c>
      <c r="E4" s="3">
        <v>3.625</v>
      </c>
      <c r="G4" t="s">
        <v>21</v>
      </c>
      <c r="N4" t="s">
        <v>12</v>
      </c>
      <c r="O4" s="5">
        <f>E4*0.0254</f>
        <v>9.207499999999999E-2</v>
      </c>
    </row>
    <row r="5" spans="1:15" x14ac:dyDescent="0.25">
      <c r="D5" t="s">
        <v>1</v>
      </c>
      <c r="E5" s="3">
        <v>2</v>
      </c>
      <c r="G5" t="s">
        <v>11</v>
      </c>
      <c r="N5" t="s">
        <v>13</v>
      </c>
      <c r="O5" s="5">
        <f>E5*0.0254</f>
        <v>5.0799999999999998E-2</v>
      </c>
    </row>
    <row r="6" spans="1:15" x14ac:dyDescent="0.25">
      <c r="D6" t="s">
        <v>9</v>
      </c>
      <c r="E6" s="3">
        <f>E7-E8</f>
        <v>28.716120349219203</v>
      </c>
      <c r="N6" t="s">
        <v>16</v>
      </c>
      <c r="O6" s="5">
        <f>O7-O8</f>
        <v>1.8526492204502254E-2</v>
      </c>
    </row>
    <row r="7" spans="1:15" x14ac:dyDescent="0.25">
      <c r="D7" t="s">
        <v>2</v>
      </c>
      <c r="E7">
        <f>PI()*(E4^2)</f>
        <v>41.282490963578375</v>
      </c>
      <c r="N7" t="s">
        <v>14</v>
      </c>
      <c r="O7" s="4">
        <f>PI()*(O4^2)</f>
        <v>2.6633811870062217E-2</v>
      </c>
    </row>
    <row r="8" spans="1:15" x14ac:dyDescent="0.25">
      <c r="D8" t="s">
        <v>3</v>
      </c>
      <c r="E8">
        <f>PI()*(E5^2)</f>
        <v>12.566370614359172</v>
      </c>
      <c r="N8" t="s">
        <v>15</v>
      </c>
      <c r="O8" s="4">
        <f>PI()*(O5^2)</f>
        <v>8.107319665559963E-3</v>
      </c>
    </row>
    <row r="9" spans="1:15" x14ac:dyDescent="0.25">
      <c r="D9" t="s">
        <v>6</v>
      </c>
      <c r="E9">
        <v>33</v>
      </c>
      <c r="F9">
        <f>E9/12</f>
        <v>2.75</v>
      </c>
      <c r="G9" t="s">
        <v>10</v>
      </c>
      <c r="N9" t="s">
        <v>17</v>
      </c>
      <c r="O9" s="4">
        <f>E9*0.0254</f>
        <v>0.83819999999999995</v>
      </c>
    </row>
    <row r="10" spans="1:15" x14ac:dyDescent="0.25">
      <c r="D10" t="s">
        <v>5</v>
      </c>
      <c r="E10">
        <v>115.5</v>
      </c>
      <c r="F10">
        <f>E10/12</f>
        <v>9.625</v>
      </c>
      <c r="G10" t="s">
        <v>10</v>
      </c>
      <c r="N10" t="s">
        <v>18</v>
      </c>
      <c r="O10" s="4">
        <f>E10*0.0254</f>
        <v>2.9337</v>
      </c>
    </row>
    <row r="11" spans="1:15" x14ac:dyDescent="0.25">
      <c r="O11" s="4"/>
    </row>
    <row r="12" spans="1:15" x14ac:dyDescent="0.25">
      <c r="O12" s="4"/>
    </row>
    <row r="13" spans="1:15" x14ac:dyDescent="0.25">
      <c r="O13" s="4"/>
    </row>
    <row r="14" spans="1:15" x14ac:dyDescent="0.25">
      <c r="O14" s="4"/>
    </row>
    <row r="15" spans="1:15" x14ac:dyDescent="0.25">
      <c r="A15" t="s">
        <v>19</v>
      </c>
      <c r="K15" t="s">
        <v>19</v>
      </c>
      <c r="M15" t="s">
        <v>20</v>
      </c>
      <c r="O15" s="4"/>
    </row>
    <row r="16" spans="1:15" x14ac:dyDescent="0.25">
      <c r="A16">
        <v>20</v>
      </c>
      <c r="B16">
        <f t="shared" ref="B16:B35" si="0">SIN(RADIANS(A16))</f>
        <v>0.34202014332566871</v>
      </c>
      <c r="C16">
        <f>($E$9*$E$2*B16)/$E$10</f>
        <v>14.292465938977788</v>
      </c>
      <c r="K16">
        <v>20</v>
      </c>
      <c r="L16">
        <f t="shared" ref="L16:L35" si="1">SIN(RADIANS(K16))</f>
        <v>0.34202014332566871</v>
      </c>
      <c r="M16">
        <f>($O$9*$O$2*L16/$O$10)</f>
        <v>152742078.83320218</v>
      </c>
    </row>
    <row r="17" spans="1:13" x14ac:dyDescent="0.25">
      <c r="A17">
        <v>25</v>
      </c>
      <c r="B17">
        <f t="shared" si="0"/>
        <v>0.42261826174069944</v>
      </c>
      <c r="C17">
        <f t="shared" ref="C17:C35" si="2">($E$9*$E$2*B17)/$E$10</f>
        <v>17.660530319605957</v>
      </c>
      <c r="K17">
        <v>25</v>
      </c>
      <c r="L17">
        <f t="shared" si="1"/>
        <v>0.42261826174069944</v>
      </c>
      <c r="M17">
        <f t="shared" ref="M17:M35" si="3">($O$9*$O$2*L17/$O$10)</f>
        <v>188736228.29192051</v>
      </c>
    </row>
    <row r="18" spans="1:13" x14ac:dyDescent="0.25">
      <c r="A18">
        <v>30</v>
      </c>
      <c r="B18">
        <f t="shared" si="0"/>
        <v>0.49999999999999994</v>
      </c>
      <c r="C18">
        <f t="shared" si="2"/>
        <v>20.894187400782151</v>
      </c>
      <c r="K18">
        <v>30</v>
      </c>
      <c r="L18">
        <f t="shared" si="1"/>
        <v>0.49999999999999994</v>
      </c>
      <c r="M18">
        <f t="shared" si="3"/>
        <v>223293981.09128681</v>
      </c>
    </row>
    <row r="19" spans="1:13" x14ac:dyDescent="0.25">
      <c r="A19">
        <v>35</v>
      </c>
      <c r="B19">
        <f t="shared" si="0"/>
        <v>0.57357643635104605</v>
      </c>
      <c r="C19">
        <f t="shared" si="2"/>
        <v>23.968827099583109</v>
      </c>
      <c r="K19">
        <v>35</v>
      </c>
      <c r="L19">
        <f t="shared" si="1"/>
        <v>0.57357643635104605</v>
      </c>
      <c r="M19">
        <f t="shared" si="3"/>
        <v>256152331.86595631</v>
      </c>
    </row>
    <row r="20" spans="1:13" x14ac:dyDescent="0.25">
      <c r="A20">
        <v>40</v>
      </c>
      <c r="B20">
        <f t="shared" si="0"/>
        <v>0.64278760968653925</v>
      </c>
      <c r="C20">
        <f t="shared" si="2"/>
        <v>26.861049551382735</v>
      </c>
      <c r="K20">
        <v>40</v>
      </c>
      <c r="L20">
        <f t="shared" si="1"/>
        <v>0.64278760968653925</v>
      </c>
      <c r="M20">
        <f t="shared" si="3"/>
        <v>287061208.7261191</v>
      </c>
    </row>
    <row r="21" spans="1:13" x14ac:dyDescent="0.25">
      <c r="A21">
        <v>45</v>
      </c>
      <c r="B21">
        <f t="shared" si="0"/>
        <v>0.70710678118654746</v>
      </c>
      <c r="C21">
        <f t="shared" si="2"/>
        <v>29.548843196951168</v>
      </c>
      <c r="K21">
        <v>45</v>
      </c>
      <c r="L21">
        <f t="shared" si="1"/>
        <v>0.70710678118654746</v>
      </c>
      <c r="M21">
        <f t="shared" si="3"/>
        <v>315785376.45557928</v>
      </c>
    </row>
    <row r="22" spans="1:13" x14ac:dyDescent="0.25">
      <c r="A22">
        <v>50</v>
      </c>
      <c r="B22">
        <f t="shared" si="0"/>
        <v>0.76604444311897801</v>
      </c>
      <c r="C22">
        <f t="shared" si="2"/>
        <v>32.011752303711468</v>
      </c>
      <c r="K22">
        <v>50</v>
      </c>
      <c r="L22">
        <f t="shared" si="1"/>
        <v>0.76604444311897801</v>
      </c>
      <c r="M22">
        <f t="shared" si="3"/>
        <v>342106226.79378891</v>
      </c>
    </row>
    <row r="23" spans="1:13" x14ac:dyDescent="0.25">
      <c r="A23">
        <v>55</v>
      </c>
      <c r="B23">
        <f t="shared" si="0"/>
        <v>0.8191520442889918</v>
      </c>
      <c r="C23">
        <f t="shared" si="2"/>
        <v>34.231032646216001</v>
      </c>
      <c r="K23">
        <v>55</v>
      </c>
      <c r="L23">
        <f t="shared" si="1"/>
        <v>0.8191520442889918</v>
      </c>
      <c r="M23">
        <f t="shared" si="3"/>
        <v>365823442.17671019</v>
      </c>
    </row>
    <row r="24" spans="1:13" x14ac:dyDescent="0.25">
      <c r="A24">
        <v>60</v>
      </c>
      <c r="B24">
        <f t="shared" si="0"/>
        <v>0.8660254037844386</v>
      </c>
      <c r="C24">
        <f t="shared" si="2"/>
        <v>36.189794161020195</v>
      </c>
      <c r="K24">
        <v>60</v>
      </c>
      <c r="L24">
        <f t="shared" si="1"/>
        <v>0.8660254037844386</v>
      </c>
      <c r="M24">
        <f t="shared" si="3"/>
        <v>386756520.27443296</v>
      </c>
    </row>
    <row r="25" spans="1:13" x14ac:dyDescent="0.25">
      <c r="A25">
        <v>65</v>
      </c>
      <c r="B25">
        <f t="shared" si="0"/>
        <v>0.90630778703664994</v>
      </c>
      <c r="C25">
        <f t="shared" si="2"/>
        <v>37.873129490263864</v>
      </c>
      <c r="K25">
        <v>65</v>
      </c>
      <c r="L25">
        <f t="shared" si="1"/>
        <v>0.90630778703664994</v>
      </c>
      <c r="M25">
        <f t="shared" si="3"/>
        <v>404746147.72289544</v>
      </c>
    </row>
    <row r="26" spans="1:13" x14ac:dyDescent="0.25">
      <c r="A26">
        <v>70</v>
      </c>
      <c r="B26">
        <f t="shared" si="0"/>
        <v>0.93969262078590832</v>
      </c>
      <c r="C26">
        <f t="shared" si="2"/>
        <v>39.268227435665779</v>
      </c>
      <c r="K26">
        <v>70</v>
      </c>
      <c r="L26">
        <f t="shared" si="1"/>
        <v>0.93969262078590832</v>
      </c>
      <c r="M26">
        <f t="shared" si="3"/>
        <v>419655412.5947808</v>
      </c>
    </row>
    <row r="27" spans="1:13" x14ac:dyDescent="0.25">
      <c r="A27">
        <v>75</v>
      </c>
      <c r="B27">
        <f t="shared" si="0"/>
        <v>0.96592582628906831</v>
      </c>
      <c r="C27">
        <f t="shared" si="2"/>
        <v>40.364470459478284</v>
      </c>
      <c r="K27">
        <v>75</v>
      </c>
      <c r="L27">
        <f t="shared" si="1"/>
        <v>0.96592582628906831</v>
      </c>
      <c r="M27">
        <f t="shared" si="3"/>
        <v>431370846.38195366</v>
      </c>
    </row>
    <row r="28" spans="1:13" x14ac:dyDescent="0.25">
      <c r="A28">
        <v>80</v>
      </c>
      <c r="B28">
        <f t="shared" si="0"/>
        <v>0.98480775301220802</v>
      </c>
      <c r="C28">
        <f t="shared" si="2"/>
        <v>41.153515490360526</v>
      </c>
      <c r="K28">
        <v>80</v>
      </c>
      <c r="L28">
        <f t="shared" si="1"/>
        <v>0.98480775301220802</v>
      </c>
      <c r="M28">
        <f t="shared" si="3"/>
        <v>439803287.55932134</v>
      </c>
    </row>
    <row r="29" spans="1:13" x14ac:dyDescent="0.25">
      <c r="A29">
        <v>85</v>
      </c>
      <c r="B29">
        <f t="shared" si="0"/>
        <v>0.99619469809174555</v>
      </c>
      <c r="C29">
        <f t="shared" si="2"/>
        <v>41.629357419189063</v>
      </c>
      <c r="K29">
        <v>85</v>
      </c>
      <c r="L29">
        <f t="shared" si="1"/>
        <v>0.99619469809174555</v>
      </c>
      <c r="M29">
        <f t="shared" si="3"/>
        <v>444888560.15787685</v>
      </c>
    </row>
    <row r="30" spans="1:13" x14ac:dyDescent="0.25">
      <c r="A30">
        <v>90</v>
      </c>
      <c r="B30">
        <f t="shared" si="0"/>
        <v>1</v>
      </c>
      <c r="C30">
        <f t="shared" si="2"/>
        <v>41.788374801564309</v>
      </c>
      <c r="K30">
        <v>90</v>
      </c>
      <c r="L30">
        <f t="shared" si="1"/>
        <v>1</v>
      </c>
      <c r="M30">
        <f t="shared" si="3"/>
        <v>446587962.18257368</v>
      </c>
    </row>
    <row r="31" spans="1:13" x14ac:dyDescent="0.25">
      <c r="A31">
        <v>95</v>
      </c>
      <c r="B31">
        <f t="shared" si="0"/>
        <v>0.99619469809174555</v>
      </c>
      <c r="C31">
        <f t="shared" si="2"/>
        <v>41.629357419189063</v>
      </c>
      <c r="K31">
        <v>95</v>
      </c>
      <c r="L31">
        <f t="shared" si="1"/>
        <v>0.99619469809174555</v>
      </c>
      <c r="M31">
        <f t="shared" si="3"/>
        <v>444888560.15787685</v>
      </c>
    </row>
    <row r="32" spans="1:13" x14ac:dyDescent="0.25">
      <c r="A32">
        <v>100</v>
      </c>
      <c r="B32">
        <f t="shared" si="0"/>
        <v>0.98480775301220802</v>
      </c>
      <c r="C32">
        <f t="shared" si="2"/>
        <v>41.153515490360526</v>
      </c>
      <c r="K32">
        <v>100</v>
      </c>
      <c r="L32">
        <f t="shared" si="1"/>
        <v>0.98480775301220802</v>
      </c>
      <c r="M32">
        <f t="shared" si="3"/>
        <v>439803287.55932134</v>
      </c>
    </row>
    <row r="33" spans="1:13" x14ac:dyDescent="0.25">
      <c r="A33">
        <v>105</v>
      </c>
      <c r="B33">
        <f t="shared" si="0"/>
        <v>0.96592582628906831</v>
      </c>
      <c r="C33">
        <f t="shared" si="2"/>
        <v>40.364470459478284</v>
      </c>
      <c r="K33">
        <v>105</v>
      </c>
      <c r="L33">
        <f t="shared" si="1"/>
        <v>0.96592582628906831</v>
      </c>
      <c r="M33">
        <f t="shared" si="3"/>
        <v>431370846.38195366</v>
      </c>
    </row>
    <row r="34" spans="1:13" x14ac:dyDescent="0.25">
      <c r="A34">
        <v>110</v>
      </c>
      <c r="B34">
        <f t="shared" si="0"/>
        <v>0.93969262078590843</v>
      </c>
      <c r="C34">
        <f t="shared" si="2"/>
        <v>39.268227435665786</v>
      </c>
      <c r="K34">
        <v>110</v>
      </c>
      <c r="L34">
        <f t="shared" si="1"/>
        <v>0.93969262078590843</v>
      </c>
      <c r="M34">
        <f t="shared" si="3"/>
        <v>419655412.5947808</v>
      </c>
    </row>
    <row r="35" spans="1:13" x14ac:dyDescent="0.25">
      <c r="A35">
        <v>115</v>
      </c>
      <c r="B35">
        <f t="shared" si="0"/>
        <v>0.90630778703665005</v>
      </c>
      <c r="C35">
        <f t="shared" si="2"/>
        <v>37.873129490263864</v>
      </c>
      <c r="K35">
        <v>115</v>
      </c>
      <c r="L35">
        <f t="shared" si="1"/>
        <v>0.90630778703665005</v>
      </c>
      <c r="M35">
        <f t="shared" si="3"/>
        <v>404746147.72289556</v>
      </c>
    </row>
  </sheetData>
  <conditionalFormatting sqref="C12:C84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2:M3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L39"/>
  <sheetViews>
    <sheetView tabSelected="1" workbookViewId="0">
      <selection activeCell="F36" sqref="F36"/>
    </sheetView>
  </sheetViews>
  <sheetFormatPr defaultRowHeight="15" x14ac:dyDescent="0.25"/>
  <cols>
    <col min="3" max="3" width="31" bestFit="1" customWidth="1"/>
    <col min="4" max="4" width="14.85546875" bestFit="1" customWidth="1"/>
  </cols>
  <sheetData>
    <row r="4" spans="2:12" x14ac:dyDescent="0.25">
      <c r="D4" s="31"/>
      <c r="E4" s="31"/>
      <c r="F4" s="31"/>
    </row>
    <row r="5" spans="2:12" x14ac:dyDescent="0.25">
      <c r="D5" s="31"/>
      <c r="E5" s="31"/>
      <c r="F5" s="31"/>
    </row>
    <row r="6" spans="2:12" x14ac:dyDescent="0.25">
      <c r="B6" s="8"/>
      <c r="C6" s="8"/>
      <c r="D6" s="32"/>
      <c r="E6" s="32"/>
      <c r="F6" s="31"/>
    </row>
    <row r="7" spans="2:12" x14ac:dyDescent="0.25">
      <c r="B7" s="34"/>
      <c r="C7" s="34"/>
      <c r="D7" s="34"/>
      <c r="E7" s="32"/>
      <c r="F7" s="31"/>
    </row>
    <row r="8" spans="2:12" x14ac:dyDescent="0.25">
      <c r="B8" s="21" t="s">
        <v>40</v>
      </c>
      <c r="C8" s="21" t="s">
        <v>50</v>
      </c>
      <c r="D8" s="33"/>
      <c r="E8" s="32"/>
      <c r="F8" s="31"/>
    </row>
    <row r="9" spans="2:12" x14ac:dyDescent="0.25">
      <c r="B9" s="21" t="s">
        <v>45</v>
      </c>
      <c r="C9" s="21" t="s">
        <v>0</v>
      </c>
      <c r="D9" s="33">
        <v>3.25</v>
      </c>
      <c r="E9" s="32"/>
      <c r="F9" s="31"/>
    </row>
    <row r="10" spans="2:12" x14ac:dyDescent="0.25">
      <c r="B10" s="21" t="s">
        <v>46</v>
      </c>
      <c r="C10" s="21" t="s">
        <v>1</v>
      </c>
      <c r="D10" s="33">
        <v>2</v>
      </c>
      <c r="E10" s="32"/>
      <c r="F10" s="31"/>
    </row>
    <row r="11" spans="2:12" x14ac:dyDescent="0.25">
      <c r="B11" s="21" t="s">
        <v>38</v>
      </c>
      <c r="C11" s="21" t="s">
        <v>9</v>
      </c>
      <c r="D11" s="33">
        <f>D12-D13</f>
        <v>20.616701789183018</v>
      </c>
      <c r="E11" s="32"/>
      <c r="F11" s="31"/>
    </row>
    <row r="12" spans="2:12" x14ac:dyDescent="0.25">
      <c r="B12" s="21" t="s">
        <v>37</v>
      </c>
      <c r="C12" s="21" t="s">
        <v>2</v>
      </c>
      <c r="D12" s="33">
        <f>PI()*D9^2</f>
        <v>33.183072403542191</v>
      </c>
      <c r="E12" s="32"/>
      <c r="F12" s="31"/>
    </row>
    <row r="13" spans="2:12" x14ac:dyDescent="0.25">
      <c r="B13" s="21" t="s">
        <v>36</v>
      </c>
      <c r="C13" s="21" t="s">
        <v>3</v>
      </c>
      <c r="D13" s="33">
        <f>PI()*D10^2</f>
        <v>12.566370614359172</v>
      </c>
      <c r="E13" t="s">
        <v>56</v>
      </c>
    </row>
    <row r="14" spans="2:12" x14ac:dyDescent="0.25">
      <c r="B14" s="21" t="s">
        <v>35</v>
      </c>
      <c r="C14" s="21" t="s">
        <v>6</v>
      </c>
      <c r="D14" s="33">
        <v>33</v>
      </c>
      <c r="E14" s="6">
        <v>13558</v>
      </c>
      <c r="F14" s="6" t="s">
        <v>57</v>
      </c>
      <c r="G14">
        <f>E14/0.2248</f>
        <v>60311.387900355869</v>
      </c>
      <c r="H14" t="s">
        <v>54</v>
      </c>
      <c r="J14" s="38" t="s">
        <v>61</v>
      </c>
      <c r="K14" s="38"/>
      <c r="L14" s="39">
        <f>1.2*E14</f>
        <v>16269.599999999999</v>
      </c>
    </row>
    <row r="15" spans="2:12" x14ac:dyDescent="0.25">
      <c r="B15" s="21" t="s">
        <v>34</v>
      </c>
      <c r="C15" s="21" t="s">
        <v>5</v>
      </c>
      <c r="D15" s="33">
        <v>111</v>
      </c>
      <c r="E15" s="6"/>
    </row>
    <row r="16" spans="2:12" x14ac:dyDescent="0.25">
      <c r="B16" s="8"/>
      <c r="C16" s="8"/>
      <c r="D16" s="32"/>
      <c r="E16" s="7">
        <f>E14/D35</f>
        <v>1.5406667197640136</v>
      </c>
      <c r="F16" t="s">
        <v>58</v>
      </c>
      <c r="G16" s="37" t="s">
        <v>59</v>
      </c>
    </row>
    <row r="17" spans="2:6" ht="15.75" x14ac:dyDescent="0.25">
      <c r="B17" s="40" t="s">
        <v>49</v>
      </c>
      <c r="C17" s="40"/>
      <c r="D17" s="40"/>
      <c r="E17" s="6"/>
    </row>
    <row r="18" spans="2:6" x14ac:dyDescent="0.25">
      <c r="B18" s="21" t="s">
        <v>40</v>
      </c>
      <c r="C18" s="21" t="s">
        <v>51</v>
      </c>
      <c r="D18" s="33">
        <f>D23*D20</f>
        <v>186214.9985683304</v>
      </c>
    </row>
    <row r="19" spans="2:6" x14ac:dyDescent="0.25">
      <c r="B19" s="21" t="s">
        <v>39</v>
      </c>
      <c r="C19" s="21" t="s">
        <v>48</v>
      </c>
      <c r="D19" s="33">
        <v>140</v>
      </c>
    </row>
    <row r="20" spans="2:6" x14ac:dyDescent="0.25">
      <c r="B20" s="21" t="s">
        <v>39</v>
      </c>
      <c r="C20" s="21" t="s">
        <v>52</v>
      </c>
      <c r="D20" s="33">
        <f>D19*100000</f>
        <v>14000000</v>
      </c>
      <c r="E20" s="32"/>
      <c r="F20" s="31"/>
    </row>
    <row r="21" spans="2:6" x14ac:dyDescent="0.25">
      <c r="B21" s="21" t="s">
        <v>45</v>
      </c>
      <c r="C21" s="21" t="s">
        <v>12</v>
      </c>
      <c r="D21" s="33">
        <f>D9*0.0254</f>
        <v>8.2549999999999998E-2</v>
      </c>
      <c r="E21" s="8"/>
    </row>
    <row r="22" spans="2:6" x14ac:dyDescent="0.25">
      <c r="B22" s="21" t="s">
        <v>46</v>
      </c>
      <c r="C22" s="21" t="s">
        <v>13</v>
      </c>
      <c r="D22" s="33">
        <f>D10*0.0254</f>
        <v>5.0799999999999998E-2</v>
      </c>
      <c r="E22" s="8"/>
    </row>
    <row r="23" spans="2:6" x14ac:dyDescent="0.25">
      <c r="B23" s="21" t="s">
        <v>38</v>
      </c>
      <c r="C23" s="21" t="s">
        <v>9</v>
      </c>
      <c r="D23" s="35">
        <f>D24-D25</f>
        <v>1.3301071326309314E-2</v>
      </c>
      <c r="E23" s="8"/>
    </row>
    <row r="24" spans="2:6" x14ac:dyDescent="0.25">
      <c r="B24" s="21" t="s">
        <v>37</v>
      </c>
      <c r="C24" s="21" t="s">
        <v>14</v>
      </c>
      <c r="D24" s="35">
        <f>PI()*D21^2</f>
        <v>2.1408390991869277E-2</v>
      </c>
      <c r="E24" s="8"/>
    </row>
    <row r="25" spans="2:6" x14ac:dyDescent="0.25">
      <c r="B25" s="21" t="s">
        <v>36</v>
      </c>
      <c r="C25" s="21" t="s">
        <v>15</v>
      </c>
      <c r="D25" s="35">
        <f>PI()*D22^2</f>
        <v>8.107319665559963E-3</v>
      </c>
      <c r="E25" s="8"/>
    </row>
    <row r="26" spans="2:6" x14ac:dyDescent="0.25">
      <c r="B26" s="21" t="s">
        <v>35</v>
      </c>
      <c r="C26" s="21" t="s">
        <v>17</v>
      </c>
      <c r="D26" s="33">
        <f>D14*0.0254</f>
        <v>0.83819999999999995</v>
      </c>
      <c r="E26" s="8"/>
    </row>
    <row r="27" spans="2:6" x14ac:dyDescent="0.25">
      <c r="B27" s="21" t="s">
        <v>34</v>
      </c>
      <c r="C27" s="21" t="s">
        <v>18</v>
      </c>
      <c r="D27" s="33">
        <f>D15*0.0254</f>
        <v>2.8193999999999999</v>
      </c>
      <c r="E27" s="8"/>
    </row>
    <row r="28" spans="2:6" x14ac:dyDescent="0.25">
      <c r="B28" s="8"/>
      <c r="C28" s="8"/>
      <c r="D28" s="8"/>
      <c r="E28" s="8"/>
    </row>
    <row r="29" spans="2:6" ht="15.75" x14ac:dyDescent="0.25">
      <c r="B29" s="36" t="s">
        <v>19</v>
      </c>
      <c r="C29" s="36" t="s">
        <v>54</v>
      </c>
      <c r="D29" s="36" t="s">
        <v>55</v>
      </c>
      <c r="E29" s="36" t="s">
        <v>53</v>
      </c>
      <c r="F29" s="36" t="s">
        <v>60</v>
      </c>
    </row>
    <row r="30" spans="2:6" x14ac:dyDescent="0.25">
      <c r="B30" s="21">
        <v>20</v>
      </c>
      <c r="C30" s="21">
        <f>($D$26*SIN(RADIANS(B30))*$D$18)/($D$27)</f>
        <v>18934.650959379054</v>
      </c>
      <c r="D30" s="21">
        <f>C30*0.2248</f>
        <v>4256.5095356684114</v>
      </c>
      <c r="E30" s="21">
        <f>D30*1.75</f>
        <v>7448.8916874197203</v>
      </c>
      <c r="F30" s="12">
        <f>1.75*C30</f>
        <v>33135.639178913349</v>
      </c>
    </row>
    <row r="31" spans="2:6" x14ac:dyDescent="0.25">
      <c r="B31" s="21">
        <v>25</v>
      </c>
      <c r="C31" s="21">
        <f t="shared" ref="C31:C39" si="0">($D$26*SIN(RADIANS(B31))*$D$18)/($D$27)</f>
        <v>23396.660785268672</v>
      </c>
      <c r="D31" s="21">
        <f t="shared" ref="D31:D39" si="1">C31*0.2248</f>
        <v>5259.5693445283978</v>
      </c>
      <c r="E31" s="21">
        <f t="shared" ref="E31:E39" si="2">D31*1.75</f>
        <v>9204.2463529246961</v>
      </c>
      <c r="F31" s="12">
        <f t="shared" ref="F31:F39" si="3">1.75*C31</f>
        <v>40944.156374220176</v>
      </c>
    </row>
    <row r="32" spans="2:6" x14ac:dyDescent="0.25">
      <c r="B32" s="12">
        <v>30</v>
      </c>
      <c r="C32" s="21">
        <f t="shared" si="0"/>
        <v>27680.607895292353</v>
      </c>
      <c r="D32" s="21">
        <f t="shared" si="1"/>
        <v>6222.6006548617206</v>
      </c>
      <c r="E32" s="21">
        <f t="shared" si="2"/>
        <v>10889.551146008011</v>
      </c>
      <c r="F32" s="12">
        <f t="shared" si="3"/>
        <v>48441.06381676162</v>
      </c>
    </row>
    <row r="33" spans="2:6" x14ac:dyDescent="0.25">
      <c r="B33" s="21">
        <v>35</v>
      </c>
      <c r="C33" s="21">
        <f t="shared" si="0"/>
        <v>31753.888865224842</v>
      </c>
      <c r="D33" s="21">
        <f t="shared" si="1"/>
        <v>7138.2742169025441</v>
      </c>
      <c r="E33" s="21">
        <f t="shared" si="2"/>
        <v>12491.979879579452</v>
      </c>
      <c r="F33" s="12">
        <f t="shared" si="3"/>
        <v>55569.305514143474</v>
      </c>
    </row>
    <row r="34" spans="2:6" x14ac:dyDescent="0.25">
      <c r="B34" s="22">
        <v>40</v>
      </c>
      <c r="C34" s="21">
        <f t="shared" si="0"/>
        <v>35585.503567370637</v>
      </c>
      <c r="D34" s="22">
        <f t="shared" si="1"/>
        <v>7999.6212019449194</v>
      </c>
      <c r="E34" s="21">
        <f t="shared" si="2"/>
        <v>13999.33710340361</v>
      </c>
      <c r="F34" s="12">
        <f t="shared" si="3"/>
        <v>62274.631242898613</v>
      </c>
    </row>
    <row r="35" spans="2:6" x14ac:dyDescent="0.25">
      <c r="B35" s="22">
        <v>45</v>
      </c>
      <c r="C35" s="21">
        <f t="shared" si="0"/>
        <v>39146.291100254224</v>
      </c>
      <c r="D35" s="22">
        <f t="shared" si="1"/>
        <v>8800.0862393371499</v>
      </c>
      <c r="E35" s="21">
        <f t="shared" si="2"/>
        <v>15400.150918840012</v>
      </c>
      <c r="F35" s="12">
        <f t="shared" si="3"/>
        <v>68506.009425444892</v>
      </c>
    </row>
    <row r="36" spans="2:6" x14ac:dyDescent="0.25">
      <c r="B36" s="22">
        <v>50</v>
      </c>
      <c r="C36" s="21">
        <f t="shared" si="0"/>
        <v>42409.151720688031</v>
      </c>
      <c r="D36" s="22">
        <f t="shared" si="1"/>
        <v>9533.5773068106701</v>
      </c>
      <c r="E36" s="21">
        <f t="shared" si="2"/>
        <v>16683.760286918674</v>
      </c>
      <c r="F36" s="12">
        <f t="shared" si="3"/>
        <v>74216.015511204052</v>
      </c>
    </row>
    <row r="37" spans="2:6" x14ac:dyDescent="0.25">
      <c r="B37" s="21">
        <v>55</v>
      </c>
      <c r="C37" s="21">
        <f t="shared" si="0"/>
        <v>45349.253089181482</v>
      </c>
      <c r="D37" s="21">
        <f t="shared" si="1"/>
        <v>10194.512094447997</v>
      </c>
      <c r="E37" s="21">
        <f t="shared" si="2"/>
        <v>17840.396165283993</v>
      </c>
      <c r="F37" s="12">
        <f t="shared" si="3"/>
        <v>79361.19290606759</v>
      </c>
    </row>
    <row r="38" spans="2:6" x14ac:dyDescent="0.25">
      <c r="B38" s="21">
        <v>60</v>
      </c>
      <c r="C38" s="21">
        <f t="shared" si="0"/>
        <v>47944.219259038568</v>
      </c>
      <c r="D38" s="21">
        <f t="shared" si="1"/>
        <v>10777.860489431871</v>
      </c>
      <c r="E38" s="21">
        <f t="shared" si="2"/>
        <v>18861.255856505773</v>
      </c>
      <c r="F38" s="12">
        <f t="shared" si="3"/>
        <v>83902.383703317493</v>
      </c>
    </row>
    <row r="39" spans="2:6" x14ac:dyDescent="0.25">
      <c r="B39" s="21">
        <v>65</v>
      </c>
      <c r="C39" s="21">
        <f t="shared" si="0"/>
        <v>50174.300970823271</v>
      </c>
      <c r="D39" s="21">
        <f t="shared" si="1"/>
        <v>11279.182858241071</v>
      </c>
      <c r="E39" s="21">
        <f t="shared" si="2"/>
        <v>19738.570001921875</v>
      </c>
      <c r="F39" s="12">
        <f t="shared" si="3"/>
        <v>87805.026698940725</v>
      </c>
    </row>
  </sheetData>
  <mergeCells count="3">
    <mergeCell ref="B17:D17"/>
    <mergeCell ref="J14:K14"/>
    <mergeCell ref="B7:D7"/>
  </mergeCells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Sheet1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cp:lastPrinted>2019-05-22T18:52:18Z</cp:lastPrinted>
  <dcterms:created xsi:type="dcterms:W3CDTF">2019-05-20T21:17:58Z</dcterms:created>
  <dcterms:modified xsi:type="dcterms:W3CDTF">2019-05-23T15:20:10Z</dcterms:modified>
</cp:coreProperties>
</file>