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-30" windowWidth="19245" windowHeight="11070"/>
  </bookViews>
  <sheets>
    <sheet name="IPC-2152" sheetId="5" r:id="rId1"/>
    <sheet name="CV" sheetId="11" r:id="rId2"/>
    <sheet name="CVmod-Planes" sheetId="8" r:id="rId3"/>
    <sheet name="CVmod-Material" sheetId="6" r:id="rId4"/>
    <sheet name="CVmod-Thickness" sheetId="7" r:id="rId5"/>
    <sheet name="CVmod-Ounce" sheetId="4" r:id="rId6"/>
    <sheet name="CVtoWIDTH" sheetId="9" r:id="rId7"/>
  </sheets>
  <definedNames>
    <definedName name="_xlnm._FilterDatabase" localSheetId="0" hidden="1">'IPC-2152'!$F$4:$G$4</definedName>
  </definedNames>
  <calcPr calcId="125725"/>
</workbook>
</file>

<file path=xl/calcChain.xml><?xml version="1.0" encoding="utf-8"?>
<calcChain xmlns="http://schemas.openxmlformats.org/spreadsheetml/2006/main">
  <c r="K6" i="4"/>
  <c r="L6"/>
  <c r="M6"/>
  <c r="N6"/>
  <c r="Q6"/>
  <c r="R6"/>
  <c r="K7"/>
  <c r="L7"/>
  <c r="M7"/>
  <c r="N7"/>
  <c r="Q7"/>
  <c r="R7"/>
  <c r="S7"/>
  <c r="T7"/>
  <c r="W7"/>
  <c r="X7"/>
  <c r="Y7"/>
  <c r="Z7"/>
  <c r="K8"/>
  <c r="L8"/>
  <c r="M8"/>
  <c r="N8"/>
  <c r="Q8"/>
  <c r="R8"/>
  <c r="S8"/>
  <c r="T8"/>
  <c r="W8"/>
  <c r="X8"/>
  <c r="Y8"/>
  <c r="Z8"/>
  <c r="AC8"/>
  <c r="AD8"/>
  <c r="AE8"/>
  <c r="AF8"/>
  <c r="K9"/>
  <c r="L9"/>
  <c r="M9"/>
  <c r="N9"/>
  <c r="Q9"/>
  <c r="R9"/>
  <c r="S9"/>
  <c r="T9"/>
  <c r="W9"/>
  <c r="X9"/>
  <c r="Y9"/>
  <c r="Z9"/>
  <c r="AC9"/>
  <c r="AD9"/>
  <c r="AE9"/>
  <c r="AF9"/>
  <c r="AI9"/>
  <c r="AJ9"/>
  <c r="AK9"/>
  <c r="AL9"/>
  <c r="K10"/>
  <c r="L10"/>
  <c r="M10"/>
  <c r="N10"/>
  <c r="Q10"/>
  <c r="R10"/>
  <c r="S10"/>
  <c r="T10"/>
  <c r="W10"/>
  <c r="X10"/>
  <c r="Y10"/>
  <c r="Z10"/>
  <c r="AC10"/>
  <c r="AD10"/>
  <c r="AE10"/>
  <c r="AF10"/>
  <c r="AI10"/>
  <c r="AJ10"/>
  <c r="AK10"/>
  <c r="AL10"/>
  <c r="AC11"/>
  <c r="AD11"/>
  <c r="AE11"/>
  <c r="AF11"/>
  <c r="AI11"/>
  <c r="AJ11"/>
  <c r="AK11"/>
  <c r="AL11"/>
  <c r="K15"/>
  <c r="L15"/>
  <c r="M15"/>
  <c r="K16"/>
  <c r="L16"/>
  <c r="M16"/>
  <c r="Q16"/>
  <c r="R16"/>
  <c r="S16"/>
  <c r="W16"/>
  <c r="X16"/>
  <c r="Y16"/>
  <c r="K17"/>
  <c r="L17"/>
  <c r="M17"/>
  <c r="Q17"/>
  <c r="R17"/>
  <c r="S17"/>
  <c r="W17"/>
  <c r="X17"/>
  <c r="Y17"/>
  <c r="AC17"/>
  <c r="AD17"/>
  <c r="AE17"/>
  <c r="K18"/>
  <c r="L18"/>
  <c r="M18"/>
  <c r="Q18"/>
  <c r="R18"/>
  <c r="S18"/>
  <c r="W18"/>
  <c r="X18"/>
  <c r="Y18"/>
  <c r="AC18"/>
  <c r="AD18"/>
  <c r="AE18"/>
  <c r="AI18"/>
  <c r="AJ18"/>
  <c r="AK18"/>
  <c r="K19"/>
  <c r="L19"/>
  <c r="M19"/>
  <c r="Q19"/>
  <c r="R19"/>
  <c r="S19"/>
  <c r="W19"/>
  <c r="X19"/>
  <c r="Y19"/>
  <c r="AC19"/>
  <c r="AD19"/>
  <c r="AE19"/>
  <c r="AI19"/>
  <c r="AJ19"/>
  <c r="AK19"/>
  <c r="AC20"/>
  <c r="AD20"/>
  <c r="AE20"/>
  <c r="AI20"/>
  <c r="AJ20"/>
  <c r="AK20"/>
  <c r="K24"/>
  <c r="L24"/>
  <c r="M24"/>
  <c r="K25"/>
  <c r="L25"/>
  <c r="M25"/>
  <c r="K26"/>
  <c r="L26"/>
  <c r="M26"/>
  <c r="K27"/>
  <c r="L27"/>
  <c r="M27"/>
  <c r="K28"/>
  <c r="L28"/>
  <c r="M28"/>
  <c r="K29"/>
  <c r="L29"/>
  <c r="M29"/>
  <c r="J33"/>
  <c r="K33"/>
  <c r="L33"/>
  <c r="M33"/>
  <c r="J34"/>
  <c r="K34"/>
  <c r="L34"/>
  <c r="M34"/>
  <c r="J35"/>
  <c r="K35"/>
  <c r="L35"/>
  <c r="M35"/>
  <c r="J36"/>
  <c r="K36"/>
  <c r="L36"/>
  <c r="M36"/>
  <c r="J37"/>
  <c r="K37"/>
  <c r="L37"/>
  <c r="M37"/>
  <c r="J38"/>
  <c r="K38"/>
  <c r="L38"/>
  <c r="M38"/>
  <c r="G5" i="5"/>
  <c r="J5"/>
  <c r="M5"/>
  <c r="P5"/>
  <c r="G7"/>
  <c r="G8" s="1"/>
  <c r="J7"/>
  <c r="M7"/>
  <c r="D9"/>
  <c r="D7" s="1"/>
  <c r="G9" l="1"/>
  <c r="J8"/>
  <c r="M8" l="1"/>
  <c r="M9" s="1"/>
  <c r="J23" s="1"/>
  <c r="J9"/>
  <c r="J26" l="1"/>
  <c r="J24"/>
  <c r="J27" s="1"/>
  <c r="P9" s="1"/>
  <c r="P6" s="1"/>
</calcChain>
</file>

<file path=xl/comments1.xml><?xml version="1.0" encoding="utf-8"?>
<comments xmlns="http://schemas.openxmlformats.org/spreadsheetml/2006/main">
  <authors>
    <author>Jack C Olson</author>
  </authors>
  <commentList>
    <comment ref="J4" authorId="0">
      <text>
        <r>
          <rPr>
            <b/>
            <sz val="8"/>
            <color indexed="81"/>
            <rFont val="Arial"/>
            <family val="2"/>
          </rPr>
          <t>enter "0" if no plane is adjacent to trace</t>
        </r>
      </text>
    </comment>
    <comment ref="D9" authorId="0">
      <text>
        <r>
          <rPr>
            <b/>
            <sz val="8"/>
            <color indexed="81"/>
            <rFont val="Arial"/>
            <family val="2"/>
          </rPr>
          <t>IPC-2152 data is only verified for traces with cross-sectional area between 5-700 square mils</t>
        </r>
      </text>
    </comment>
  </commentList>
</comments>
</file>

<file path=xl/comments2.xml><?xml version="1.0" encoding="utf-8"?>
<comments xmlns="http://schemas.openxmlformats.org/spreadsheetml/2006/main">
  <authors>
    <author>Jack C Olson</author>
  </authors>
  <commentList>
    <comment ref="G15" authorId="0">
      <text>
        <r>
          <rPr>
            <b/>
            <sz val="8"/>
            <color indexed="81"/>
            <rFont val="Tahoma"/>
          </rPr>
          <t>Jack C Olson:</t>
        </r>
        <r>
          <rPr>
            <sz val="8"/>
            <color indexed="81"/>
            <rFont val="Tahoma"/>
          </rPr>
          <t xml:space="preserve">
different on charts
</t>
        </r>
      </text>
    </comment>
  </commentList>
</comments>
</file>

<file path=xl/sharedStrings.xml><?xml version="1.0" encoding="utf-8"?>
<sst xmlns="http://schemas.openxmlformats.org/spreadsheetml/2006/main" count="232" uniqueCount="124">
  <si>
    <t>100 C</t>
  </si>
  <si>
    <t>30A</t>
  </si>
  <si>
    <t>20A</t>
  </si>
  <si>
    <t>5A</t>
  </si>
  <si>
    <t>1A</t>
  </si>
  <si>
    <t>2.5A</t>
  </si>
  <si>
    <t>0.5 OZ</t>
  </si>
  <si>
    <t>75 C</t>
  </si>
  <si>
    <t>10 C</t>
  </si>
  <si>
    <t>45 C</t>
  </si>
  <si>
    <t>20 C</t>
  </si>
  <si>
    <t>2 OZ</t>
  </si>
  <si>
    <t>1 OZ</t>
  </si>
  <si>
    <t>3 OZ</t>
  </si>
  <si>
    <t>10A</t>
  </si>
  <si>
    <t>100C</t>
  </si>
  <si>
    <t>2-3</t>
  </si>
  <si>
    <t>1-3</t>
  </si>
  <si>
    <t>.5-3</t>
  </si>
  <si>
    <t>75C</t>
  </si>
  <si>
    <t>45C</t>
  </si>
  <si>
    <t>20C</t>
  </si>
  <si>
    <t>10C</t>
  </si>
  <si>
    <t>Ave</t>
  </si>
  <si>
    <t>2oz</t>
  </si>
  <si>
    <t>1oz</t>
  </si>
  <si>
    <t>.5oz</t>
  </si>
  <si>
    <t>material</t>
  </si>
  <si>
    <t>Poly</t>
  </si>
  <si>
    <t>conductivity</t>
  </si>
  <si>
    <t>thickness</t>
  </si>
  <si>
    <t>distance</t>
  </si>
  <si>
    <t>safety margin</t>
  </si>
  <si>
    <t>Chart Value</t>
  </si>
  <si>
    <t>Trace Width Calculator</t>
  </si>
  <si>
    <t>distance (mils)</t>
  </si>
  <si>
    <t>thickness (mils)</t>
  </si>
  <si>
    <t>WIDTH (mils)</t>
  </si>
  <si>
    <t>For 2oz planes</t>
  </si>
  <si>
    <t>adjust 4%</t>
  </si>
  <si>
    <t xml:space="preserve">For planes larger </t>
  </si>
  <si>
    <t>temp rise</t>
  </si>
  <si>
    <t>plane oz</t>
  </si>
  <si>
    <t>copper thickness</t>
  </si>
  <si>
    <t>trace oz</t>
  </si>
  <si>
    <t>trace adjust</t>
  </si>
  <si>
    <t>plane adjust</t>
  </si>
  <si>
    <t>nearest plane</t>
  </si>
  <si>
    <t>FR4</t>
  </si>
  <si>
    <t xml:space="preserve">percent derate </t>
  </si>
  <si>
    <t>none</t>
  </si>
  <si>
    <t>area adjust</t>
  </si>
  <si>
    <t>distance adjust</t>
  </si>
  <si>
    <t>63.637^(1.9386)</t>
  </si>
  <si>
    <t>15.663x^(1.8121)</t>
  </si>
  <si>
    <t>27.987x^(1.8658)</t>
  </si>
  <si>
    <t>125.49x^(1.9817)</t>
  </si>
  <si>
    <t>8.868x^(1.7655)</t>
  </si>
  <si>
    <t>6.5379x^(1.7433)</t>
  </si>
  <si>
    <t>4.8512x^(1.7175)</t>
  </si>
  <si>
    <t>3.9366x^(1.6997)</t>
  </si>
  <si>
    <t>3.3749x^(1.686)</t>
  </si>
  <si>
    <t>2.7506x^(1.6686)</t>
  </si>
  <si>
    <t>27.987^(1.8658)</t>
  </si>
  <si>
    <t>15.663^(1.8121)</t>
  </si>
  <si>
    <t>8.868^(1.7655)</t>
  </si>
  <si>
    <t>6.5379^(1.7433)</t>
  </si>
  <si>
    <t>4.8512^(1.7175)</t>
  </si>
  <si>
    <t>3.9366^(1.6997)</t>
  </si>
  <si>
    <t>3.3749^(1.686)</t>
  </si>
  <si>
    <t>2.7506^(1.6686)</t>
  </si>
  <si>
    <t>63.637x^(1.9386)</t>
  </si>
  <si>
    <t>.5OZ</t>
  </si>
  <si>
    <t>1OZ</t>
  </si>
  <si>
    <t>2OZ</t>
  </si>
  <si>
    <t>3OZ</t>
  </si>
  <si>
    <t>-0.0352*LN(x)-0.0827</t>
  </si>
  <si>
    <t>-0.0185*LN(x)-0.0139</t>
  </si>
  <si>
    <t>rise</t>
  </si>
  <si>
    <t>area</t>
  </si>
  <si>
    <t>oz</t>
  </si>
  <si>
    <t>oz adjust</t>
  </si>
  <si>
    <t>IF(D7=2,63.637*D6^(1.9386),IF(D7=5,27.987*D6^(1.8658),IF(D7=10,15.663*D6^(1.8121),IF(D7=20,8.868*D6^(1.7655),IF(D7=30,6.5379*D6^(1.7433),IF(D7=45,4.8512*D6^(1.7175),IF(D7=60,3.9366*D6^(1.6997),IF(D7=100,2.7506*D6^(1.6686)))))))))</t>
  </si>
  <si>
    <t>multiplier</t>
  </si>
  <si>
    <t>25.959x^ -0.7666</t>
  </si>
  <si>
    <t>(pick)</t>
  </si>
  <si>
    <t>only valid from 28-94 mils</t>
  </si>
  <si>
    <t>.0031x+0.4054</t>
  </si>
  <si>
    <t>&gt; 20"</t>
  </si>
  <si>
    <t>&lt; 20"</t>
  </si>
  <si>
    <t>&gt; 40"</t>
  </si>
  <si>
    <t>thick adjust</t>
  </si>
  <si>
    <t>material adj</t>
  </si>
  <si>
    <t xml:space="preserve">board </t>
  </si>
  <si>
    <t>(based on IPC-2152, "Determining Current Carrying Capacity in Printed Board Design")</t>
  </si>
  <si>
    <t>than 20 square inches"</t>
  </si>
  <si>
    <t>than 40 square inches"</t>
  </si>
  <si>
    <t>new multiplier</t>
  </si>
  <si>
    <t>There is not enough information in IPC-2152 Appendix A to create an accurate response curve, but this equation approximates the multiplier inside the range of test data, reduces the risk for thinner (greater multiplier) and a more conservative multiplier for thicker boards. Boards less than 28 or more than 94 will generate warning</t>
  </si>
  <si>
    <t>adjust 2%</t>
  </si>
  <si>
    <t>From IPC-2152 figure A-13, used most conservative numbers for 1oz plane on small board area. In calculator, if area is larger, additional percentage is applied</t>
  </si>
  <si>
    <t>equiv.temp</t>
  </si>
  <si>
    <t>derate adjust</t>
  </si>
  <si>
    <t>Chart Width</t>
  </si>
  <si>
    <t>start multiplier</t>
  </si>
  <si>
    <t>adjusted CV</t>
  </si>
  <si>
    <t>T(lowercurve)</t>
  </si>
  <si>
    <t>T(highercurve)</t>
  </si>
  <si>
    <t>PTFE</t>
  </si>
  <si>
    <t>CV to width</t>
  </si>
  <si>
    <t>plane</t>
  </si>
  <si>
    <t>chart  value</t>
  </si>
  <si>
    <t>requirement</t>
  </si>
  <si>
    <t>CV[T(lo),I(input)]</t>
  </si>
  <si>
    <t>CV[T(hi),I(input)]</t>
  </si>
  <si>
    <t>http://FrontDoor.biz/PCBportal/HowTo2152.pdf</t>
  </si>
  <si>
    <t>Use these estimates at your own risk….  Derating is strongly encouraged!</t>
  </si>
  <si>
    <r>
      <t>For smaller boards, IPC-2152 Figure 5-1 should be used (Conservative Chart).</t>
    </r>
    <r>
      <rPr>
        <sz val="12"/>
        <color indexed="55"/>
        <rFont val="Courier New Greek"/>
        <family val="3"/>
        <charset val="161"/>
      </rPr>
      <t xml:space="preserve"> </t>
    </r>
  </si>
  <si>
    <t xml:space="preserve">This calculator uses data from IPC-2152 Figure 5-2 (Universal Chart), which should only be used if the board area is at least 3x3". </t>
  </si>
  <si>
    <t>a gift from Jack and Borko</t>
  </si>
  <si>
    <t>The article "Determining Circuit Board Current Carrying Capability" proposed a method of using an estimated cross-sectional area for a given currrent and temp- erature rise, and then modifying the cross-sectional area for specific design parameters. This approach was incorrect, because IPC-2152 Appendix A describes changes in expected temperature rise, not cross-sectional area. This calculator performs the adjustments correctly, using "equivalent temperatures".</t>
  </si>
  <si>
    <t>current (amps)</t>
  </si>
  <si>
    <t>plane area (sq)</t>
  </si>
  <si>
    <t xml:space="preserve">version 3.1415926 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</si>
</sst>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2">
    <font>
      <sz val="12"/>
      <name val="Courier New Greek"/>
    </font>
    <font>
      <sz val="12"/>
      <name val="Courier New Greek"/>
      <family val="3"/>
      <charset val="161"/>
    </font>
    <font>
      <sz val="8"/>
      <color indexed="81"/>
      <name val="Tahoma"/>
    </font>
    <font>
      <b/>
      <sz val="8"/>
      <color indexed="81"/>
      <name val="Tahoma"/>
    </font>
    <font>
      <sz val="10"/>
      <name val="Arial"/>
    </font>
    <font>
      <b/>
      <sz val="14"/>
      <color indexed="9"/>
      <name val="Arial"/>
      <family val="2"/>
    </font>
    <font>
      <b/>
      <sz val="10"/>
      <color indexed="5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5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9"/>
      <name val="Arial"/>
      <family val="2"/>
    </font>
    <font>
      <strike/>
      <sz val="10"/>
      <name val="Arial"/>
      <family val="2"/>
    </font>
    <font>
      <u/>
      <sz val="12"/>
      <color indexed="12"/>
      <name val="Courier New Greek"/>
    </font>
    <font>
      <sz val="8"/>
      <name val="Arial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sz val="11"/>
      <color indexed="8"/>
      <name val="Arial"/>
      <family val="2"/>
    </font>
    <font>
      <b/>
      <sz val="12"/>
      <color indexed="22"/>
      <name val="Arial"/>
      <family val="2"/>
    </font>
    <font>
      <sz val="10"/>
      <color indexed="22"/>
      <name val="Arial"/>
      <family val="2"/>
    </font>
    <font>
      <sz val="12"/>
      <color indexed="55"/>
      <name val="Arial"/>
      <family val="2"/>
    </font>
    <font>
      <sz val="9"/>
      <name val="Courier New Greek"/>
      <family val="3"/>
      <charset val="161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color indexed="63"/>
      <name val="Arial"/>
      <family val="2"/>
    </font>
    <font>
      <b/>
      <sz val="12"/>
      <color indexed="63"/>
      <name val="Arial"/>
      <family val="2"/>
    </font>
    <font>
      <b/>
      <sz val="8"/>
      <color indexed="81"/>
      <name val="Arial"/>
      <family val="2"/>
    </font>
    <font>
      <sz val="12"/>
      <color indexed="55"/>
      <name val="Courier New Greek"/>
      <family val="3"/>
      <charset val="161"/>
    </font>
    <font>
      <b/>
      <u/>
      <sz val="10"/>
      <color indexed="55"/>
      <name val="Arial"/>
      <family val="2"/>
    </font>
    <font>
      <sz val="10"/>
      <color indexed="55"/>
      <name val="Arial"/>
      <family val="2"/>
    </font>
    <font>
      <b/>
      <sz val="10"/>
      <color indexed="2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/>
    <xf numFmtId="0" fontId="4" fillId="0" borderId="0" xfId="2"/>
    <xf numFmtId="0" fontId="0" fillId="0" borderId="0" xfId="0" applyBorder="1"/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10" fillId="0" borderId="0" xfId="0" applyFont="1"/>
    <xf numFmtId="0" fontId="6" fillId="0" borderId="0" xfId="2" applyFont="1"/>
    <xf numFmtId="164" fontId="8" fillId="3" borderId="25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/>
    <xf numFmtId="0" fontId="11" fillId="0" borderId="17" xfId="0" applyFont="1" applyBorder="1" applyAlignment="1">
      <alignment horizontal="center"/>
    </xf>
    <xf numFmtId="0" fontId="11" fillId="0" borderId="28" xfId="0" applyFont="1" applyBorder="1"/>
    <xf numFmtId="0" fontId="11" fillId="0" borderId="0" xfId="0" applyFont="1"/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1" xfId="0" applyFont="1" applyBorder="1"/>
    <xf numFmtId="0" fontId="11" fillId="0" borderId="26" xfId="0" applyFont="1" applyBorder="1"/>
    <xf numFmtId="49" fontId="12" fillId="0" borderId="27" xfId="0" applyNumberFormat="1" applyFont="1" applyBorder="1"/>
    <xf numFmtId="0" fontId="12" fillId="0" borderId="28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2" fontId="8" fillId="0" borderId="33" xfId="0" applyNumberFormat="1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2" fontId="8" fillId="0" borderId="3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6" fillId="4" borderId="32" xfId="2" applyFont="1" applyFill="1" applyBorder="1" applyAlignment="1">
      <alignment horizontal="center"/>
    </xf>
    <xf numFmtId="0" fontId="6" fillId="4" borderId="33" xfId="2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5" fillId="0" borderId="0" xfId="0" applyFont="1"/>
    <xf numFmtId="0" fontId="7" fillId="3" borderId="22" xfId="0" applyFont="1" applyFill="1" applyBorder="1" applyAlignment="1">
      <alignment horizontal="left" vertical="center"/>
    </xf>
    <xf numFmtId="0" fontId="6" fillId="0" borderId="25" xfId="2" applyFont="1" applyBorder="1" applyAlignment="1">
      <alignment horizontal="center"/>
    </xf>
    <xf numFmtId="0" fontId="6" fillId="0" borderId="36" xfId="2" applyFont="1" applyBorder="1" applyAlignment="1">
      <alignment horizontal="center"/>
    </xf>
    <xf numFmtId="0" fontId="16" fillId="0" borderId="7" xfId="2" applyFont="1" applyBorder="1" applyAlignment="1">
      <alignment horizontal="center"/>
    </xf>
    <xf numFmtId="0" fontId="16" fillId="0" borderId="8" xfId="2" applyFont="1" applyBorder="1" applyAlignment="1">
      <alignment horizontal="center"/>
    </xf>
    <xf numFmtId="0" fontId="11" fillId="0" borderId="27" xfId="0" applyFont="1" applyBorder="1" applyAlignment="1">
      <alignment horizontal="left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vertical="center"/>
    </xf>
    <xf numFmtId="0" fontId="1" fillId="2" borderId="38" xfId="0" applyFont="1" applyFill="1" applyBorder="1"/>
    <xf numFmtId="0" fontId="8" fillId="2" borderId="39" xfId="0" applyFont="1" applyFill="1" applyBorder="1" applyAlignment="1">
      <alignment vertical="center"/>
    </xf>
    <xf numFmtId="0" fontId="19" fillId="2" borderId="40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vertical="center"/>
    </xf>
    <xf numFmtId="0" fontId="7" fillId="6" borderId="41" xfId="0" applyFont="1" applyFill="1" applyBorder="1" applyAlignment="1" applyProtection="1">
      <alignment horizontal="center" vertical="center"/>
      <protection locked="0"/>
    </xf>
    <xf numFmtId="0" fontId="8" fillId="3" borderId="34" xfId="0" applyFont="1" applyFill="1" applyBorder="1" applyAlignment="1">
      <alignment vertical="center"/>
    </xf>
    <xf numFmtId="164" fontId="8" fillId="3" borderId="35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left" vertical="center"/>
    </xf>
    <xf numFmtId="0" fontId="21" fillId="3" borderId="34" xfId="0" applyFont="1" applyFill="1" applyBorder="1" applyAlignment="1">
      <alignment horizontal="left" vertical="center"/>
    </xf>
    <xf numFmtId="2" fontId="21" fillId="3" borderId="37" xfId="0" applyNumberFormat="1" applyFont="1" applyFill="1" applyBorder="1" applyAlignment="1">
      <alignment horizontal="center" vertical="center"/>
    </xf>
    <xf numFmtId="0" fontId="7" fillId="3" borderId="42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43" xfId="0" applyFont="1" applyBorder="1" applyAlignment="1">
      <alignment horizontal="center" vertical="top" wrapText="1"/>
    </xf>
    <xf numFmtId="0" fontId="12" fillId="0" borderId="44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12" fillId="0" borderId="45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164" fontId="8" fillId="3" borderId="42" xfId="0" applyNumberFormat="1" applyFont="1" applyFill="1" applyBorder="1" applyAlignment="1">
      <alignment horizontal="center" vertical="center"/>
    </xf>
    <xf numFmtId="2" fontId="11" fillId="0" borderId="27" xfId="0" applyNumberFormat="1" applyFont="1" applyBorder="1"/>
    <xf numFmtId="2" fontId="11" fillId="0" borderId="43" xfId="0" applyNumberFormat="1" applyFont="1" applyBorder="1"/>
    <xf numFmtId="2" fontId="11" fillId="0" borderId="28" xfId="0" applyNumberFormat="1" applyFont="1" applyBorder="1"/>
    <xf numFmtId="0" fontId="24" fillId="0" borderId="0" xfId="0" applyFont="1"/>
    <xf numFmtId="0" fontId="23" fillId="3" borderId="43" xfId="0" applyFont="1" applyFill="1" applyBorder="1"/>
    <xf numFmtId="0" fontId="23" fillId="3" borderId="30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2" xfId="0" applyFont="1" applyFill="1" applyBorder="1"/>
    <xf numFmtId="2" fontId="12" fillId="0" borderId="29" xfId="0" applyNumberFormat="1" applyFont="1" applyBorder="1" applyAlignment="1">
      <alignment horizontal="center" vertical="top" wrapText="1"/>
    </xf>
    <xf numFmtId="0" fontId="7" fillId="3" borderId="46" xfId="0" applyFont="1" applyFill="1" applyBorder="1" applyAlignment="1">
      <alignment horizontal="left" vertical="center"/>
    </xf>
    <xf numFmtId="0" fontId="7" fillId="6" borderId="47" xfId="0" applyFont="1" applyFill="1" applyBorder="1" applyAlignment="1" applyProtection="1">
      <alignment horizontal="center" vertical="center"/>
      <protection locked="0"/>
    </xf>
    <xf numFmtId="0" fontId="7" fillId="3" borderId="48" xfId="0" applyFont="1" applyFill="1" applyBorder="1" applyAlignment="1">
      <alignment horizontal="left" vertical="center"/>
    </xf>
    <xf numFmtId="1" fontId="9" fillId="7" borderId="41" xfId="0" applyNumberFormat="1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left" vertical="center"/>
    </xf>
    <xf numFmtId="1" fontId="26" fillId="3" borderId="49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5" fillId="3" borderId="38" xfId="0" applyFont="1" applyFill="1" applyBorder="1" applyAlignment="1">
      <alignment vertical="center"/>
    </xf>
    <xf numFmtId="0" fontId="25" fillId="3" borderId="38" xfId="0" applyFont="1" applyFill="1" applyBorder="1" applyAlignment="1">
      <alignment horizontal="left" vertical="center"/>
    </xf>
    <xf numFmtId="165" fontId="25" fillId="3" borderId="49" xfId="0" applyNumberFormat="1" applyFont="1" applyFill="1" applyBorder="1" applyAlignment="1">
      <alignment horizontal="center" vertical="center"/>
    </xf>
    <xf numFmtId="0" fontId="13" fillId="0" borderId="19" xfId="0" applyFont="1" applyBorder="1"/>
    <xf numFmtId="0" fontId="13" fillId="0" borderId="19" xfId="0" applyFont="1" applyBorder="1" applyAlignment="1">
      <alignment horizontal="center"/>
    </xf>
    <xf numFmtId="0" fontId="25" fillId="3" borderId="48" xfId="0" applyFont="1" applyFill="1" applyBorder="1" applyAlignment="1">
      <alignment vertical="center"/>
    </xf>
    <xf numFmtId="1" fontId="25" fillId="3" borderId="35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vertical="center"/>
    </xf>
    <xf numFmtId="164" fontId="25" fillId="3" borderId="37" xfId="0" applyNumberFormat="1" applyFont="1" applyFill="1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 vertical="center"/>
    </xf>
    <xf numFmtId="164" fontId="25" fillId="3" borderId="25" xfId="0" applyNumberFormat="1" applyFont="1" applyFill="1" applyBorder="1" applyAlignment="1">
      <alignment horizontal="center" vertical="center"/>
    </xf>
    <xf numFmtId="0" fontId="11" fillId="0" borderId="17" xfId="0" applyFont="1" applyBorder="1"/>
    <xf numFmtId="0" fontId="28" fillId="0" borderId="0" xfId="0" applyFont="1"/>
    <xf numFmtId="0" fontId="23" fillId="3" borderId="28" xfId="0" applyFont="1" applyFill="1" applyBorder="1"/>
    <xf numFmtId="0" fontId="23" fillId="3" borderId="17" xfId="0" applyFont="1" applyFill="1" applyBorder="1" applyAlignment="1">
      <alignment horizontal="center"/>
    </xf>
    <xf numFmtId="0" fontId="23" fillId="3" borderId="28" xfId="0" applyFont="1" applyFill="1" applyBorder="1" applyAlignment="1">
      <alignment horizontal="left"/>
    </xf>
    <xf numFmtId="0" fontId="24" fillId="3" borderId="9" xfId="0" applyFont="1" applyFill="1" applyBorder="1" applyAlignment="1">
      <alignment horizontal="center"/>
    </xf>
    <xf numFmtId="0" fontId="28" fillId="0" borderId="50" xfId="0" applyFont="1" applyBorder="1" applyAlignment="1">
      <alignment horizontal="center"/>
    </xf>
    <xf numFmtId="0" fontId="28" fillId="0" borderId="51" xfId="0" applyFont="1" applyBorder="1"/>
    <xf numFmtId="0" fontId="28" fillId="0" borderId="52" xfId="0" applyFont="1" applyBorder="1"/>
    <xf numFmtId="0" fontId="30" fillId="0" borderId="51" xfId="0" applyFont="1" applyBorder="1" applyAlignment="1">
      <alignment horizontal="left" vertical="top" wrapText="1"/>
    </xf>
    <xf numFmtId="0" fontId="30" fillId="0" borderId="52" xfId="0" applyFont="1" applyBorder="1" applyAlignment="1">
      <alignment horizontal="left" vertical="top" wrapText="1"/>
    </xf>
    <xf numFmtId="0" fontId="20" fillId="0" borderId="53" xfId="0" applyFont="1" applyBorder="1" applyAlignment="1">
      <alignment horizontal="left" vertical="top" wrapText="1"/>
    </xf>
    <xf numFmtId="0" fontId="20" fillId="0" borderId="54" xfId="0" applyFont="1" applyBorder="1" applyAlignment="1">
      <alignment horizontal="left" vertical="top" wrapText="1"/>
    </xf>
    <xf numFmtId="0" fontId="20" fillId="0" borderId="55" xfId="0" applyFont="1" applyBorder="1" applyAlignment="1">
      <alignment horizontal="left" vertical="top" wrapText="1"/>
    </xf>
    <xf numFmtId="0" fontId="28" fillId="0" borderId="0" xfId="0" applyFont="1" applyAlignment="1"/>
    <xf numFmtId="0" fontId="28" fillId="0" borderId="56" xfId="0" applyFont="1" applyBorder="1" applyAlignment="1"/>
    <xf numFmtId="0" fontId="28" fillId="0" borderId="50" xfId="0" applyFont="1" applyBorder="1" applyAlignment="1"/>
    <xf numFmtId="0" fontId="28" fillId="0" borderId="57" xfId="0" applyFont="1" applyBorder="1" applyAlignment="1"/>
    <xf numFmtId="0" fontId="1" fillId="0" borderId="0" xfId="0" applyFont="1" applyAlignment="1"/>
    <xf numFmtId="0" fontId="2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1" fillId="2" borderId="40" xfId="0" applyFont="1" applyFill="1" applyBorder="1" applyAlignment="1">
      <alignment vertical="center"/>
    </xf>
    <xf numFmtId="0" fontId="7" fillId="8" borderId="58" xfId="0" applyFont="1" applyFill="1" applyBorder="1" applyAlignment="1">
      <alignment horizontal="center" vertical="center"/>
    </xf>
    <xf numFmtId="0" fontId="7" fillId="8" borderId="5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29" fillId="0" borderId="50" xfId="1" applyFont="1" applyBorder="1" applyAlignment="1" applyProtection="1">
      <alignment horizontal="center"/>
    </xf>
    <xf numFmtId="0" fontId="18" fillId="2" borderId="40" xfId="0" applyFont="1" applyFill="1" applyBorder="1" applyAlignment="1">
      <alignment horizontal="center" vertical="center"/>
    </xf>
    <xf numFmtId="0" fontId="17" fillId="0" borderId="54" xfId="0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/>
    </xf>
    <xf numFmtId="49" fontId="31" fillId="2" borderId="40" xfId="0" applyNumberFormat="1" applyFont="1" applyFill="1" applyBorder="1" applyAlignment="1">
      <alignment horizontal="right" vertical="center"/>
    </xf>
    <xf numFmtId="0" fontId="30" fillId="0" borderId="0" xfId="0" applyFont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7" fillId="0" borderId="5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6" fillId="0" borderId="0" xfId="2" applyFont="1" applyAlignment="1">
      <alignment vertical="top" wrapText="1"/>
    </xf>
    <xf numFmtId="0" fontId="4" fillId="0" borderId="0" xfId="2" applyAlignment="1">
      <alignment vertical="top" wrapText="1"/>
    </xf>
    <xf numFmtId="0" fontId="6" fillId="0" borderId="0" xfId="2" applyFont="1" applyAlignment="1">
      <alignment horizontal="left" wrapText="1"/>
    </xf>
    <xf numFmtId="0" fontId="6" fillId="4" borderId="58" xfId="0" applyFont="1" applyFill="1" applyBorder="1" applyAlignment="1">
      <alignment horizontal="center"/>
    </xf>
    <xf numFmtId="0" fontId="6" fillId="4" borderId="60" xfId="0" applyFont="1" applyFill="1" applyBorder="1" applyAlignment="1">
      <alignment horizontal="center"/>
    </xf>
    <xf numFmtId="0" fontId="6" fillId="4" borderId="59" xfId="0" applyFont="1" applyFill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_IPC-2152CVmod" xfId="2"/>
  </cellStyles>
  <dxfs count="5">
    <dxf>
      <font>
        <condense val="0"/>
        <extend val="0"/>
        <color indexed="10"/>
      </font>
      <fill>
        <patternFill>
          <bgColor indexed="63"/>
        </patternFill>
      </fill>
    </dxf>
    <dxf>
      <font>
        <condense val="0"/>
        <extend val="0"/>
        <color indexed="10"/>
      </font>
      <fill>
        <patternFill>
          <bgColor indexed="63"/>
        </patternFill>
      </fill>
    </dxf>
    <dxf>
      <font>
        <condense val="0"/>
        <extend val="0"/>
        <color indexed="10"/>
      </font>
      <fill>
        <patternFill>
          <bgColor indexed="63"/>
        </patternFill>
      </fill>
    </dxf>
    <dxf>
      <font>
        <condense val="0"/>
        <extend val="0"/>
        <color indexed="10"/>
      </font>
      <fill>
        <patternFill>
          <bgColor indexed="63"/>
        </patternFill>
      </fill>
    </dxf>
    <dxf>
      <font>
        <condense val="0"/>
        <extend val="0"/>
        <color indexed="10"/>
      </font>
      <fill>
        <patternFill>
          <bgColor indexed="6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Courier New Greek"/>
                <a:ea typeface="Courier New Greek"/>
                <a:cs typeface="Courier New Greek"/>
              </a:defRPr>
            </a:pPr>
            <a:r>
              <a:t>Universal (Int&amp;Ext.Air) </a:t>
            </a:r>
          </a:p>
        </c:rich>
      </c:tx>
      <c:layout>
        <c:manualLayout>
          <c:xMode val="edge"/>
          <c:yMode val="edge"/>
          <c:x val="0.34590535441713238"/>
          <c:y val="2.508178844056706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823282609233255"/>
          <c:y val="0.13195201744820065"/>
          <c:w val="0.66702621303490639"/>
          <c:h val="0.7437295528898582"/>
        </c:manualLayout>
      </c:layout>
      <c:scatterChart>
        <c:scatterStyle val="smoothMarker"/>
        <c:ser>
          <c:idx val="0"/>
          <c:order val="0"/>
          <c:tx>
            <c:strRef>
              <c:f>CV!$B$42</c:f>
              <c:strCache>
                <c:ptCount val="1"/>
                <c:pt idx="0">
                  <c:v>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14655180124838008"/>
                  <c:y val="0.16357688113413305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CV!$C$43:$C$54</c:f>
              <c:numCache>
                <c:formatCode>0.00</c:formatCode>
                <c:ptCount val="12"/>
                <c:pt idx="0">
                  <c:v>0.2</c:v>
                </c:pt>
                <c:pt idx="1">
                  <c:v>0.25</c:v>
                </c:pt>
                <c:pt idx="2">
                  <c:v>0.4</c:v>
                </c:pt>
                <c:pt idx="3">
                  <c:v>0.5</c:v>
                </c:pt>
                <c:pt idx="4">
                  <c:v>0.75</c:v>
                </c:pt>
                <c:pt idx="5">
                  <c:v>0.9</c:v>
                </c:pt>
                <c:pt idx="6">
                  <c:v>1</c:v>
                </c:pt>
                <c:pt idx="7">
                  <c:v>1.5</c:v>
                </c:pt>
                <c:pt idx="8" formatCode="General">
                  <c:v>1.55</c:v>
                </c:pt>
                <c:pt idx="9" formatCode="General">
                  <c:v>1.8</c:v>
                </c:pt>
                <c:pt idx="10" formatCode="General">
                  <c:v>2</c:v>
                </c:pt>
                <c:pt idx="11" formatCode="General">
                  <c:v>2.4</c:v>
                </c:pt>
              </c:numCache>
            </c:numRef>
          </c:xVal>
          <c:yVal>
            <c:numRef>
              <c:f>CV!$B$43:$B$54</c:f>
              <c:numCache>
                <c:formatCode>General</c:formatCode>
                <c:ptCount val="12"/>
                <c:pt idx="0">
                  <c:v>5</c:v>
                </c:pt>
                <c:pt idx="1">
                  <c:v>8.4</c:v>
                </c:pt>
                <c:pt idx="2">
                  <c:v>20</c:v>
                </c:pt>
                <c:pt idx="3">
                  <c:v>32.4</c:v>
                </c:pt>
                <c:pt idx="4">
                  <c:v>70</c:v>
                </c:pt>
                <c:pt idx="5">
                  <c:v>102</c:v>
                </c:pt>
                <c:pt idx="6">
                  <c:v>125</c:v>
                </c:pt>
                <c:pt idx="7">
                  <c:v>285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CV!$J$57</c:f>
              <c:strCache>
                <c:ptCount val="1"/>
                <c:pt idx="0">
                  <c:v>100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27693980088848291"/>
                  <c:y val="0.77862595419847325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CV!$K$58:$K$69</c:f>
              <c:numCache>
                <c:formatCode>General</c:formatCode>
                <c:ptCount val="12"/>
                <c:pt idx="0">
                  <c:v>1.5</c:v>
                </c:pt>
                <c:pt idx="1">
                  <c:v>2</c:v>
                </c:pt>
                <c:pt idx="2">
                  <c:v>2.5</c:v>
                </c:pt>
                <c:pt idx="3">
                  <c:v>3.5</c:v>
                </c:pt>
                <c:pt idx="4">
                  <c:v>4.2</c:v>
                </c:pt>
                <c:pt idx="5" formatCode="0.00">
                  <c:v>5</c:v>
                </c:pt>
                <c:pt idx="6">
                  <c:v>8.6</c:v>
                </c:pt>
                <c:pt idx="7" formatCode="0.00">
                  <c:v>13</c:v>
                </c:pt>
                <c:pt idx="8" formatCode="0.00">
                  <c:v>16.600000000000001</c:v>
                </c:pt>
                <c:pt idx="9">
                  <c:v>19.7</c:v>
                </c:pt>
                <c:pt idx="10">
                  <c:v>25</c:v>
                </c:pt>
                <c:pt idx="11">
                  <c:v>27.7</c:v>
                </c:pt>
              </c:numCache>
            </c:numRef>
          </c:xVal>
          <c:yVal>
            <c:numRef>
              <c:f>CV!$J$58:$J$69</c:f>
              <c:numCache>
                <c:formatCode>General</c:formatCode>
                <c:ptCount val="12"/>
                <c:pt idx="0">
                  <c:v>5.5</c:v>
                </c:pt>
                <c:pt idx="1">
                  <c:v>8.6999999999999993</c:v>
                </c:pt>
                <c:pt idx="2">
                  <c:v>12.5</c:v>
                </c:pt>
                <c:pt idx="3">
                  <c:v>22.4</c:v>
                </c:pt>
                <c:pt idx="4">
                  <c:v>30</c:v>
                </c:pt>
                <c:pt idx="5">
                  <c:v>40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588</c:v>
                </c:pt>
                <c:pt idx="11">
                  <c:v>700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CV!$J$42</c:f>
              <c:strCache>
                <c:ptCount val="1"/>
                <c:pt idx="0">
                  <c:v>20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32327603216554429"/>
                  <c:y val="0.40567066521264994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CV!$K$43:$K$54</c:f>
              <c:numCache>
                <c:formatCode>0.00</c:formatCode>
                <c:ptCount val="12"/>
                <c:pt idx="0">
                  <c:v>0.72</c:v>
                </c:pt>
                <c:pt idx="1">
                  <c:v>1.08</c:v>
                </c:pt>
                <c:pt idx="2">
                  <c:v>1.35</c:v>
                </c:pt>
                <c:pt idx="3">
                  <c:v>1.58</c:v>
                </c:pt>
                <c:pt idx="4">
                  <c:v>2</c:v>
                </c:pt>
                <c:pt idx="5">
                  <c:v>2.5</c:v>
                </c:pt>
                <c:pt idx="6">
                  <c:v>4</c:v>
                </c:pt>
                <c:pt idx="7">
                  <c:v>5.8</c:v>
                </c:pt>
                <c:pt idx="8" formatCode="General">
                  <c:v>7.4</c:v>
                </c:pt>
                <c:pt idx="9" formatCode="General">
                  <c:v>8.6</c:v>
                </c:pt>
                <c:pt idx="10" formatCode="General">
                  <c:v>10</c:v>
                </c:pt>
                <c:pt idx="11" formatCode="General">
                  <c:v>11.75</c:v>
                </c:pt>
              </c:numCache>
            </c:numRef>
          </c:xVal>
          <c:yVal>
            <c:numRef>
              <c:f>CV!$J$43:$J$54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31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523</c:v>
                </c:pt>
                <c:pt idx="11">
                  <c:v>700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CV!$D$42</c:f>
              <c:strCache>
                <c:ptCount val="1"/>
                <c:pt idx="0">
                  <c:v>2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18103457801270478"/>
                  <c:y val="0.2529989094874591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CV!$E$43:$E$54</c:f>
              <c:numCache>
                <c:formatCode>0.00</c:formatCode>
                <c:ptCount val="12"/>
                <c:pt idx="0">
                  <c:v>0.27</c:v>
                </c:pt>
                <c:pt idx="1">
                  <c:v>0.38500000000000001</c:v>
                </c:pt>
                <c:pt idx="2">
                  <c:v>0.47</c:v>
                </c:pt>
                <c:pt idx="3">
                  <c:v>0.55000000000000004</c:v>
                </c:pt>
                <c:pt idx="4">
                  <c:v>0.68</c:v>
                </c:pt>
                <c:pt idx="5">
                  <c:v>0.84</c:v>
                </c:pt>
                <c:pt idx="6">
                  <c:v>1.27</c:v>
                </c:pt>
                <c:pt idx="7">
                  <c:v>1.8</c:v>
                </c:pt>
                <c:pt idx="8" formatCode="General">
                  <c:v>2.2000000000000002</c:v>
                </c:pt>
                <c:pt idx="9" formatCode="General">
                  <c:v>2.6</c:v>
                </c:pt>
                <c:pt idx="10" formatCode="General">
                  <c:v>2.94</c:v>
                </c:pt>
                <c:pt idx="11" formatCode="General">
                  <c:v>3.4</c:v>
                </c:pt>
              </c:numCache>
            </c:numRef>
          </c:xVal>
          <c:yVal>
            <c:numRef>
              <c:f>CV!$D$43:$D$54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30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CV!$F$42</c:f>
              <c:strCache>
                <c:ptCount val="1"/>
                <c:pt idx="0">
                  <c:v>5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22090528864645526"/>
                  <c:y val="0.29443838604143946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CV!$G$43:$G$54</c:f>
              <c:numCache>
                <c:formatCode>0.00</c:formatCode>
                <c:ptCount val="12"/>
                <c:pt idx="0">
                  <c:v>0.4</c:v>
                </c:pt>
                <c:pt idx="1">
                  <c:v>0.57999999999999996</c:v>
                </c:pt>
                <c:pt idx="2">
                  <c:v>0.72</c:v>
                </c:pt>
                <c:pt idx="3">
                  <c:v>0.83499999999999996</c:v>
                </c:pt>
                <c:pt idx="4">
                  <c:v>1.03</c:v>
                </c:pt>
                <c:pt idx="5">
                  <c:v>1.27</c:v>
                </c:pt>
                <c:pt idx="6">
                  <c:v>1.98</c:v>
                </c:pt>
                <c:pt idx="7">
                  <c:v>2.8</c:v>
                </c:pt>
                <c:pt idx="8" formatCode="General">
                  <c:v>3.6</c:v>
                </c:pt>
                <c:pt idx="9" formatCode="General">
                  <c:v>4.2</c:v>
                </c:pt>
                <c:pt idx="10" formatCode="General">
                  <c:v>4.7</c:v>
                </c:pt>
                <c:pt idx="11" formatCode="General">
                  <c:v>5.65</c:v>
                </c:pt>
              </c:numCache>
            </c:numRef>
          </c:xVal>
          <c:yVal>
            <c:numRef>
              <c:f>CV!$F$43:$F$54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30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ser>
          <c:idx val="5"/>
          <c:order val="5"/>
          <c:tx>
            <c:v>10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26724151992351658"/>
                  <c:y val="0.3456924754634678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CV!$I$43:$I$54</c:f>
              <c:numCache>
                <c:formatCode>0.00</c:formatCode>
                <c:ptCount val="12"/>
                <c:pt idx="0">
                  <c:v>0.53</c:v>
                </c:pt>
                <c:pt idx="1">
                  <c:v>0.78</c:v>
                </c:pt>
                <c:pt idx="2">
                  <c:v>0.99</c:v>
                </c:pt>
                <c:pt idx="3">
                  <c:v>1.145</c:v>
                </c:pt>
                <c:pt idx="4">
                  <c:v>1.42</c:v>
                </c:pt>
                <c:pt idx="5">
                  <c:v>1.79</c:v>
                </c:pt>
                <c:pt idx="6">
                  <c:v>2.8</c:v>
                </c:pt>
                <c:pt idx="7">
                  <c:v>4.05</c:v>
                </c:pt>
                <c:pt idx="8" formatCode="General">
                  <c:v>5.0999999999999996</c:v>
                </c:pt>
                <c:pt idx="9" formatCode="General">
                  <c:v>5.9</c:v>
                </c:pt>
                <c:pt idx="10" formatCode="General">
                  <c:v>6.8</c:v>
                </c:pt>
                <c:pt idx="11" formatCode="General">
                  <c:v>8.1999999999999993</c:v>
                </c:pt>
              </c:numCache>
            </c:numRef>
          </c:xVal>
          <c:yVal>
            <c:numRef>
              <c:f>CV!$H$43:$H$54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30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ser>
          <c:idx val="6"/>
          <c:order val="6"/>
          <c:tx>
            <c:v>30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34590535441713238"/>
                  <c:y val="0.4678298800436205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CV!$C$58:$C$69</c:f>
              <c:numCache>
                <c:formatCode>General</c:formatCode>
                <c:ptCount val="12"/>
                <c:pt idx="0">
                  <c:v>0.86</c:v>
                </c:pt>
                <c:pt idx="1">
                  <c:v>1.27</c:v>
                </c:pt>
                <c:pt idx="2">
                  <c:v>1.62</c:v>
                </c:pt>
                <c:pt idx="3">
                  <c:v>1.9</c:v>
                </c:pt>
                <c:pt idx="4">
                  <c:v>2.37</c:v>
                </c:pt>
                <c:pt idx="5" formatCode="0.00">
                  <c:v>3.02</c:v>
                </c:pt>
                <c:pt idx="6" formatCode="0.00">
                  <c:v>4.8</c:v>
                </c:pt>
                <c:pt idx="7" formatCode="0.00">
                  <c:v>7.2</c:v>
                </c:pt>
                <c:pt idx="8">
                  <c:v>9</c:v>
                </c:pt>
                <c:pt idx="9">
                  <c:v>10.5</c:v>
                </c:pt>
                <c:pt idx="10">
                  <c:v>12</c:v>
                </c:pt>
                <c:pt idx="11">
                  <c:v>14.6</c:v>
                </c:pt>
              </c:numCache>
            </c:numRef>
          </c:xVal>
          <c:yVal>
            <c:numRef>
              <c:f>CV!$B$58:$B$69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30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ser>
          <c:idx val="7"/>
          <c:order val="7"/>
          <c:tx>
            <c:v>45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35991398247763928"/>
                  <c:y val="0.5561613958560524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CV!$E$58:$E$69</c:f>
              <c:numCache>
                <c:formatCode>General</c:formatCode>
                <c:ptCount val="12"/>
                <c:pt idx="0">
                  <c:v>1.02</c:v>
                </c:pt>
                <c:pt idx="1">
                  <c:v>1.52</c:v>
                </c:pt>
                <c:pt idx="2">
                  <c:v>1.94</c:v>
                </c:pt>
                <c:pt idx="3">
                  <c:v>2.2799999999999998</c:v>
                </c:pt>
                <c:pt idx="4">
                  <c:v>2.87</c:v>
                </c:pt>
                <c:pt idx="5" formatCode="0.00">
                  <c:v>3.67</c:v>
                </c:pt>
                <c:pt idx="6" formatCode="0.00">
                  <c:v>5.8</c:v>
                </c:pt>
                <c:pt idx="7" formatCode="0.00">
                  <c:v>8.6999999999999993</c:v>
                </c:pt>
                <c:pt idx="8">
                  <c:v>11.1</c:v>
                </c:pt>
                <c:pt idx="9">
                  <c:v>13</c:v>
                </c:pt>
                <c:pt idx="10">
                  <c:v>14.9</c:v>
                </c:pt>
                <c:pt idx="11">
                  <c:v>18.100000000000001</c:v>
                </c:pt>
              </c:numCache>
            </c:numRef>
          </c:xVal>
          <c:yVal>
            <c:numRef>
              <c:f>CV!$D$58:$D$69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30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ser>
          <c:idx val="8"/>
          <c:order val="8"/>
          <c:tx>
            <c:v>60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35344846183432838"/>
                  <c:y val="0.6292257360959651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CV!$G$58:$G$69</c:f>
              <c:numCache>
                <c:formatCode>General</c:formatCode>
                <c:ptCount val="12"/>
                <c:pt idx="0">
                  <c:v>1.1599999999999999</c:v>
                </c:pt>
                <c:pt idx="1">
                  <c:v>1.72</c:v>
                </c:pt>
                <c:pt idx="2">
                  <c:v>2.2200000000000002</c:v>
                </c:pt>
                <c:pt idx="3">
                  <c:v>2.6</c:v>
                </c:pt>
                <c:pt idx="4">
                  <c:v>3.27</c:v>
                </c:pt>
                <c:pt idx="5" formatCode="0.00">
                  <c:v>4.2</c:v>
                </c:pt>
                <c:pt idx="6" formatCode="0.00">
                  <c:v>6.6</c:v>
                </c:pt>
                <c:pt idx="7" formatCode="0.00">
                  <c:v>10.15</c:v>
                </c:pt>
                <c:pt idx="8">
                  <c:v>12.8</c:v>
                </c:pt>
                <c:pt idx="9">
                  <c:v>15.2</c:v>
                </c:pt>
                <c:pt idx="10">
                  <c:v>17.350000000000001</c:v>
                </c:pt>
                <c:pt idx="11">
                  <c:v>21.1</c:v>
                </c:pt>
              </c:numCache>
            </c:numRef>
          </c:xVal>
          <c:yVal>
            <c:numRef>
              <c:f>CV!$F$58:$F$69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30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ser>
          <c:idx val="9"/>
          <c:order val="9"/>
          <c:tx>
            <c:v>75</c:v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Eq val="1"/>
            <c:trendlineLbl>
              <c:layout>
                <c:manualLayout>
                  <c:xMode val="edge"/>
                  <c:yMode val="edge"/>
                  <c:x val="0.31896568507000367"/>
                  <c:y val="0.71210468920392589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25" b="0" i="0" u="none" strike="noStrike" baseline="0">
                      <a:solidFill>
                        <a:srgbClr val="000000"/>
                      </a:solidFill>
                      <a:latin typeface="Courier New Greek"/>
                      <a:ea typeface="Courier New Greek"/>
                      <a:cs typeface="Courier New Greek"/>
                    </a:defRPr>
                  </a:pPr>
                  <a:endParaRPr lang="en-US"/>
                </a:p>
              </c:txPr>
            </c:trendlineLbl>
          </c:trendline>
          <c:xVal>
            <c:numRef>
              <c:f>CV!$I$58:$I$69</c:f>
              <c:numCache>
                <c:formatCode>General</c:formatCode>
                <c:ptCount val="12"/>
                <c:pt idx="0">
                  <c:v>1.27</c:v>
                </c:pt>
                <c:pt idx="1">
                  <c:v>1.9</c:v>
                </c:pt>
                <c:pt idx="2">
                  <c:v>2.4500000000000002</c:v>
                </c:pt>
                <c:pt idx="3">
                  <c:v>2.88</c:v>
                </c:pt>
                <c:pt idx="4">
                  <c:v>3.65</c:v>
                </c:pt>
                <c:pt idx="5" formatCode="0.00">
                  <c:v>4.51</c:v>
                </c:pt>
                <c:pt idx="6" formatCode="0.00">
                  <c:v>7.5</c:v>
                </c:pt>
                <c:pt idx="7" formatCode="0.00">
                  <c:v>11.3</c:v>
                </c:pt>
                <c:pt idx="8">
                  <c:v>14.35</c:v>
                </c:pt>
                <c:pt idx="9">
                  <c:v>17</c:v>
                </c:pt>
                <c:pt idx="10">
                  <c:v>19.399999999999999</c:v>
                </c:pt>
                <c:pt idx="11">
                  <c:v>23.7</c:v>
                </c:pt>
              </c:numCache>
            </c:numRef>
          </c:xVal>
          <c:yVal>
            <c:numRef>
              <c:f>CV!$H$58:$H$69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30</c:v>
                </c:pt>
                <c:pt idx="5">
                  <c:v>45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  <c:pt idx="11">
                  <c:v>700</c:v>
                </c:pt>
              </c:numCache>
            </c:numRef>
          </c:yVal>
          <c:smooth val="1"/>
        </c:ser>
        <c:axId val="62356096"/>
        <c:axId val="62382848"/>
      </c:scatterChart>
      <c:valAx>
        <c:axId val="623560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825" b="1" i="0" u="none" strike="noStrike" baseline="0">
                    <a:solidFill>
                      <a:srgbClr val="000000"/>
                    </a:solidFill>
                    <a:latin typeface="Courier New Greek"/>
                    <a:ea typeface="Courier New Greek"/>
                    <a:cs typeface="Courier New Greek"/>
                  </a:defRPr>
                </a:pPr>
                <a:r>
                  <a:t>Current</a:t>
                </a:r>
              </a:p>
            </c:rich>
          </c:tx>
          <c:layout>
            <c:manualLayout>
              <c:xMode val="edge"/>
              <c:yMode val="edge"/>
              <c:x val="0.41056056085024123"/>
              <c:y val="0.94002181025081788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25" b="0" i="0" u="none" strike="noStrike" baseline="0">
                <a:solidFill>
                  <a:srgbClr val="000000"/>
                </a:solidFill>
                <a:latin typeface="Courier New Greek"/>
                <a:ea typeface="Courier New Greek"/>
                <a:cs typeface="Courier New Greek"/>
              </a:defRPr>
            </a:pPr>
            <a:endParaRPr lang="en-US"/>
          </a:p>
        </c:txPr>
        <c:crossAx val="62382848"/>
        <c:crosses val="autoZero"/>
        <c:crossBetween val="midCat"/>
      </c:valAx>
      <c:valAx>
        <c:axId val="623828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25" b="1" i="0" u="none" strike="noStrike" baseline="0">
                    <a:solidFill>
                      <a:srgbClr val="000000"/>
                    </a:solidFill>
                    <a:latin typeface="Courier New Greek"/>
                    <a:ea typeface="Courier New Greek"/>
                    <a:cs typeface="Courier New Greek"/>
                  </a:defRPr>
                </a:pPr>
                <a:r>
                  <a:t>Cross-Sectional Area</a:t>
                </a:r>
              </a:p>
            </c:rich>
          </c:tx>
          <c:layout>
            <c:manualLayout>
              <c:xMode val="edge"/>
              <c:yMode val="edge"/>
              <c:x val="1.4008628060506918E-2"/>
              <c:y val="0.3685932388222464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25" b="0" i="0" u="none" strike="noStrike" baseline="0">
                <a:solidFill>
                  <a:srgbClr val="000000"/>
                </a:solidFill>
                <a:latin typeface="Courier New Greek"/>
                <a:ea typeface="Courier New Greek"/>
                <a:cs typeface="Courier New Greek"/>
              </a:defRPr>
            </a:pPr>
            <a:endParaRPr lang="en-US"/>
          </a:p>
        </c:txPr>
        <c:crossAx val="6235609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27629524825274"/>
          <c:y val="0.21155943293347873"/>
          <c:w val="0.14331904092672462"/>
          <c:h val="0.5463467829880043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Courier New Greek"/>
          <a:ea typeface="Courier New Greek"/>
          <a:cs typeface="Courier New Greek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r>
              <a:t>Modifying the Chart Value for Proximity to Planes </a:t>
            </a:r>
          </a:p>
        </c:rich>
      </c:tx>
      <c:layout>
        <c:manualLayout>
          <c:xMode val="edge"/>
          <c:yMode val="edge"/>
          <c:x val="0.18685850357187617"/>
          <c:y val="1.7964098118360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963053014162174"/>
          <c:y val="0.11077860506322082"/>
          <c:w val="0.80903571876174962"/>
          <c:h val="0.71257589202828531"/>
        </c:manualLayout>
      </c:layout>
      <c:scatterChart>
        <c:scatterStyle val="lineMarker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3300"/>
                </a:solidFill>
                <a:prstDash val="solid"/>
              </a:ln>
            </c:spPr>
            <c:trendlineType val="linear"/>
            <c:forward val="55"/>
            <c:dispEq val="1"/>
            <c:trendlineLbl>
              <c:layout>
                <c:manualLayout>
                  <c:xMode val="edge"/>
                  <c:yMode val="edge"/>
                  <c:x val="0.5934297531018925"/>
                  <c:y val="0.65269556496708481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'CVmod-Planes'!$A$2:$A$4</c:f>
              <c:numCache>
                <c:formatCode>General</c:formatCode>
                <c:ptCount val="3"/>
                <c:pt idx="0">
                  <c:v>5</c:v>
                </c:pt>
                <c:pt idx="1">
                  <c:v>20</c:v>
                </c:pt>
                <c:pt idx="2">
                  <c:v>40</c:v>
                </c:pt>
              </c:numCache>
            </c:numRef>
          </c:xVal>
          <c:yVal>
            <c:numRef>
              <c:f>'CVmod-Planes'!$B$2:$B$4</c:f>
              <c:numCache>
                <c:formatCode>General</c:formatCode>
                <c:ptCount val="3"/>
                <c:pt idx="0">
                  <c:v>0.42</c:v>
                </c:pt>
                <c:pt idx="1">
                  <c:v>0.47</c:v>
                </c:pt>
                <c:pt idx="2">
                  <c:v>0.53</c:v>
                </c:pt>
              </c:numCache>
            </c:numRef>
          </c:yVal>
        </c:ser>
        <c:axId val="62481536"/>
        <c:axId val="62483456"/>
      </c:scatterChart>
      <c:valAx>
        <c:axId val="62481536"/>
        <c:scaling>
          <c:orientation val="minMax"/>
          <c:max val="100"/>
        </c:scaling>
        <c:axPos val="b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z-axis distance to nearest plane (mils)</a:t>
                </a:r>
              </a:p>
            </c:rich>
          </c:tx>
          <c:layout>
            <c:manualLayout>
              <c:xMode val="edge"/>
              <c:yMode val="edge"/>
              <c:x val="0.29568818147637549"/>
              <c:y val="0.9191630203894267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low"/>
        <c:spPr>
          <a:ln w="3175">
            <a:solidFill>
              <a:srgbClr val="0033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83456"/>
        <c:crosses val="autoZero"/>
        <c:crossBetween val="midCat"/>
      </c:valAx>
      <c:valAx>
        <c:axId val="62483456"/>
        <c:scaling>
          <c:orientation val="minMax"/>
        </c:scaling>
        <c:axPos val="l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multiplier</a:t>
                </a:r>
              </a:p>
            </c:rich>
          </c:tx>
          <c:layout>
            <c:manualLayout>
              <c:xMode val="edge"/>
              <c:yMode val="edge"/>
              <c:x val="1.0266950745707482E-2"/>
              <c:y val="0.2574854063631619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spPr>
          <a:ln w="3175">
            <a:solidFill>
              <a:srgbClr val="0033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81536"/>
        <c:crosses val="autoZero"/>
        <c:crossBetween val="midCat"/>
      </c:valAx>
      <c:spPr>
        <a:noFill/>
        <a:ln w="25400">
          <a:solidFill>
            <a:srgbClr val="0033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r>
              <a:t>Modifying the Chart Value for Thermal Conductivity</a:t>
            </a:r>
          </a:p>
        </c:rich>
      </c:tx>
      <c:layout>
        <c:manualLayout>
          <c:xMode val="edge"/>
          <c:yMode val="edge"/>
          <c:x val="0.18518555729479588"/>
          <c:y val="1.50150590484792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226368044238772"/>
          <c:y val="0.11111143695874671"/>
          <c:w val="0.79218266176107122"/>
          <c:h val="0.67267464537187194"/>
        </c:manualLayout>
      </c:layout>
      <c:scatterChart>
        <c:scatterStyle val="lineMarker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3300"/>
                </a:solidFill>
                <a:prstDash val="solid"/>
              </a:ln>
            </c:spPr>
            <c:trendlineType val="linear"/>
            <c:forward val="0.06"/>
            <c:backward val="0.02"/>
            <c:dispEq val="1"/>
            <c:trendlineLbl>
              <c:layout>
                <c:manualLayout>
                  <c:xMode val="edge"/>
                  <c:yMode val="edge"/>
                  <c:x val="0.56378714109748962"/>
                  <c:y val="0.19219275582053486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'CVmod-Material'!$A$2:$A$3</c:f>
              <c:numCache>
                <c:formatCode>General</c:formatCode>
                <c:ptCount val="2"/>
                <c:pt idx="0">
                  <c:v>0.124</c:v>
                </c:pt>
                <c:pt idx="1">
                  <c:v>0.13800000000000001</c:v>
                </c:pt>
              </c:numCache>
            </c:numRef>
          </c:xVal>
          <c:yVal>
            <c:numRef>
              <c:f>'CVmod-Material'!$B$2:$B$3</c:f>
              <c:numCache>
                <c:formatCode>General</c:formatCode>
                <c:ptCount val="2"/>
                <c:pt idx="0">
                  <c:v>1.02</c:v>
                </c:pt>
                <c:pt idx="1">
                  <c:v>1</c:v>
                </c:pt>
              </c:numCache>
            </c:numRef>
          </c:yVal>
        </c:ser>
        <c:axId val="55952896"/>
        <c:axId val="62423424"/>
      </c:scatterChart>
      <c:valAx>
        <c:axId val="55952896"/>
        <c:scaling>
          <c:orientation val="minMax"/>
          <c:max val="0.2"/>
          <c:min val="0.1"/>
        </c:scaling>
        <c:axPos val="b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thermal conductivity</a:t>
                </a:r>
              </a:p>
            </c:rich>
          </c:tx>
          <c:layout>
            <c:manualLayout>
              <c:xMode val="edge"/>
              <c:yMode val="edge"/>
              <c:x val="0.41152346065510192"/>
              <c:y val="0.9189216137669322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majorTickMark val="none"/>
        <c:tickLblPos val="low"/>
        <c:spPr>
          <a:ln w="3175">
            <a:solidFill>
              <a:srgbClr val="FFCC99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23424"/>
        <c:crosses val="autoZero"/>
        <c:crossBetween val="midCat"/>
        <c:majorUnit val="0.01"/>
        <c:minorUnit val="1E-3"/>
      </c:valAx>
      <c:valAx>
        <c:axId val="62423424"/>
        <c:scaling>
          <c:orientation val="minMax"/>
        </c:scaling>
        <c:axPos val="l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multiplier</a:t>
                </a:r>
              </a:p>
            </c:rich>
          </c:tx>
          <c:layout>
            <c:manualLayout>
              <c:xMode val="edge"/>
              <c:yMode val="edge"/>
              <c:x val="1.0288086516377548E-2"/>
              <c:y val="0.237237932965972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majorTickMark val="none"/>
        <c:tickLblPos val="nextTo"/>
        <c:spPr>
          <a:ln w="3175">
            <a:solidFill>
              <a:srgbClr val="0033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952896"/>
        <c:crosses val="autoZero"/>
        <c:crossBetween val="midCat"/>
      </c:valAx>
      <c:spPr>
        <a:noFill/>
        <a:ln w="25400">
          <a:solidFill>
            <a:srgbClr val="0033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r>
              <a:t>Modifying the Chart Value for Material Thickness</a:t>
            </a:r>
          </a:p>
        </c:rich>
      </c:tx>
      <c:layout>
        <c:manualLayout>
          <c:xMode val="edge"/>
          <c:yMode val="edge"/>
          <c:x val="0.18609444117147791"/>
          <c:y val="1.7964098118360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496959469579717"/>
          <c:y val="0.11077860506322082"/>
          <c:w val="0.80981756817478312"/>
          <c:h val="0.70658785932216517"/>
        </c:manualLayout>
      </c:layout>
      <c:scatterChart>
        <c:scatterStyle val="lineMarker"/>
        <c:ser>
          <c:idx val="1"/>
          <c:order val="0"/>
          <c:tx>
            <c:v>thickness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forward val="24"/>
            <c:backward val="10"/>
            <c:dispEq val="1"/>
            <c:trendlineLbl>
              <c:layout>
                <c:manualLayout>
                  <c:xMode val="edge"/>
                  <c:yMode val="edge"/>
                  <c:x val="0.60122819455400556"/>
                  <c:y val="0.1467068012999411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'CVmod-Thickness'!$A$2:$A$4</c:f>
              <c:numCache>
                <c:formatCode>General</c:formatCode>
                <c:ptCount val="3"/>
                <c:pt idx="0">
                  <c:v>38</c:v>
                </c:pt>
                <c:pt idx="1">
                  <c:v>59</c:v>
                </c:pt>
                <c:pt idx="2">
                  <c:v>70</c:v>
                </c:pt>
              </c:numCache>
            </c:numRef>
          </c:xVal>
          <c:yVal>
            <c:numRef>
              <c:f>'CVmod-Thickness'!$B$2:$B$4</c:f>
              <c:numCache>
                <c:formatCode>General</c:formatCode>
                <c:ptCount val="3"/>
                <c:pt idx="0">
                  <c:v>1.6</c:v>
                </c:pt>
                <c:pt idx="1">
                  <c:v>1.1499999999999999</c:v>
                </c:pt>
                <c:pt idx="2">
                  <c:v>1</c:v>
                </c:pt>
              </c:numCache>
            </c:numRef>
          </c:yVal>
        </c:ser>
        <c:axId val="62516608"/>
        <c:axId val="55858688"/>
      </c:scatterChart>
      <c:valAx>
        <c:axId val="62516608"/>
        <c:scaling>
          <c:orientation val="minMax"/>
          <c:max val="100"/>
        </c:scaling>
        <c:axPos val="b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total board thickness (mils)</a:t>
                </a:r>
              </a:p>
            </c:rich>
          </c:tx>
          <c:layout>
            <c:manualLayout>
              <c:xMode val="edge"/>
              <c:yMode val="edge"/>
              <c:x val="0.37218888234295583"/>
              <c:y val="0.9191630203894267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FFCC99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858688"/>
        <c:crosses val="autoZero"/>
        <c:crossBetween val="midCat"/>
        <c:majorUnit val="10"/>
      </c:valAx>
      <c:valAx>
        <c:axId val="55858688"/>
        <c:scaling>
          <c:orientation val="minMax"/>
        </c:scaling>
        <c:axPos val="l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multiplier</a:t>
                </a:r>
              </a:p>
            </c:rich>
          </c:tx>
          <c:layout>
            <c:manualLayout>
              <c:xMode val="edge"/>
              <c:yMode val="edge"/>
              <c:x val="1.022496929513615E-2"/>
              <c:y val="0.254491390010101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33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516608"/>
        <c:crosses val="autoZero"/>
        <c:crossBetween val="midCat"/>
      </c:valAx>
      <c:spPr>
        <a:noFill/>
        <a:ln w="25400">
          <a:solidFill>
            <a:srgbClr val="0033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r>
              <a:t>Modifying the Chart Value for Copper Thickness</a:t>
            </a:r>
          </a:p>
        </c:rich>
      </c:tx>
      <c:layout>
        <c:manualLayout>
          <c:xMode val="edge"/>
          <c:yMode val="edge"/>
          <c:x val="0.18480511342273467"/>
          <c:y val="1.719200113046361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016443163303673"/>
          <c:y val="0.10601734030452563"/>
          <c:w val="0.76796791577891965"/>
          <c:h val="0.70773737987075214"/>
        </c:manualLayout>
      </c:layout>
      <c:scatterChart>
        <c:scatterStyle val="lineMarker"/>
        <c:ser>
          <c:idx val="0"/>
          <c:order val="0"/>
          <c:tx>
            <c:strRef>
              <c:f>'CVmod-Ounce'!$K$32</c:f>
              <c:strCache>
                <c:ptCount val="1"/>
                <c:pt idx="0">
                  <c:v>.5oz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xVal>
            <c:numRef>
              <c:f>'CVmod-Ounce'!$J$24:$J$28</c:f>
              <c:numCache>
                <c:formatCode>General</c:formatCode>
                <c:ptCount val="5"/>
                <c:pt idx="0">
                  <c:v>30</c:v>
                </c:pt>
                <c:pt idx="1">
                  <c:v>20</c:v>
                </c:pt>
                <c:pt idx="2">
                  <c:v>10</c:v>
                </c:pt>
                <c:pt idx="3">
                  <c:v>5</c:v>
                </c:pt>
                <c:pt idx="4">
                  <c:v>2.5</c:v>
                </c:pt>
              </c:numCache>
            </c:numRef>
          </c:xVal>
          <c:yVal>
            <c:numRef>
              <c:f>'CVmod-Ounce'!$K$33:$K$37</c:f>
              <c:numCache>
                <c:formatCode>0.00</c:formatCode>
                <c:ptCount val="5"/>
                <c:pt idx="0">
                  <c:v>0.79865771812080544</c:v>
                </c:pt>
                <c:pt idx="1">
                  <c:v>0.82308459775565024</c:v>
                </c:pt>
                <c:pt idx="2">
                  <c:v>0.8419563560767932</c:v>
                </c:pt>
                <c:pt idx="3">
                  <c:v>0.86109082069093323</c:v>
                </c:pt>
                <c:pt idx="4">
                  <c:v>0.88196530489754421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'CVmod-Ounce'!$L$32</c:f>
              <c:strCache>
                <c:ptCount val="1"/>
                <c:pt idx="0">
                  <c:v>1oz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xVal>
            <c:numRef>
              <c:f>'CVmod-Ounce'!$J$24:$J$28</c:f>
              <c:numCache>
                <c:formatCode>General</c:formatCode>
                <c:ptCount val="5"/>
                <c:pt idx="0">
                  <c:v>30</c:v>
                </c:pt>
                <c:pt idx="1">
                  <c:v>20</c:v>
                </c:pt>
                <c:pt idx="2">
                  <c:v>10</c:v>
                </c:pt>
                <c:pt idx="3">
                  <c:v>5</c:v>
                </c:pt>
                <c:pt idx="4">
                  <c:v>2.5</c:v>
                </c:pt>
              </c:numCache>
            </c:numRef>
          </c:xVal>
          <c:yVal>
            <c:numRef>
              <c:f>'CVmod-Ounce'!$L$33:$L$37</c:f>
              <c:numCache>
                <c:formatCode>0.00</c:formatCode>
                <c:ptCount val="5"/>
                <c:pt idx="0">
                  <c:v>0.79194630872483218</c:v>
                </c:pt>
                <c:pt idx="1">
                  <c:v>0.81741939307728784</c:v>
                </c:pt>
                <c:pt idx="2">
                  <c:v>0.83779995213590652</c:v>
                </c:pt>
                <c:pt idx="3">
                  <c:v>0.86013789302158772</c:v>
                </c:pt>
                <c:pt idx="4">
                  <c:v>0.88367844362600811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'CVmod-Ounce'!$M$32</c:f>
              <c:strCache>
                <c:ptCount val="1"/>
                <c:pt idx="0">
                  <c:v>2oz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xVal>
            <c:numRef>
              <c:f>'CVmod-Ounce'!$J$24:$J$28</c:f>
              <c:numCache>
                <c:formatCode>General</c:formatCode>
                <c:ptCount val="5"/>
                <c:pt idx="0">
                  <c:v>30</c:v>
                </c:pt>
                <c:pt idx="1">
                  <c:v>20</c:v>
                </c:pt>
                <c:pt idx="2">
                  <c:v>10</c:v>
                </c:pt>
                <c:pt idx="3">
                  <c:v>5</c:v>
                </c:pt>
                <c:pt idx="4">
                  <c:v>2.5</c:v>
                </c:pt>
              </c:numCache>
            </c:numRef>
          </c:xVal>
          <c:yVal>
            <c:numRef>
              <c:f>'CVmod-Ounce'!$M$33:$M$37</c:f>
              <c:numCache>
                <c:formatCode>0.00</c:formatCode>
                <c:ptCount val="5"/>
                <c:pt idx="0">
                  <c:v>0.9261744966442953</c:v>
                </c:pt>
                <c:pt idx="1">
                  <c:v>0.93124209736051855</c:v>
                </c:pt>
                <c:pt idx="2">
                  <c:v>0.93876309535260261</c:v>
                </c:pt>
                <c:pt idx="3">
                  <c:v>0.95313664302259071</c:v>
                </c:pt>
                <c:pt idx="4">
                  <c:v>0.9734532464600878</c:v>
                </c:pt>
              </c:numCache>
            </c:numRef>
          </c:yVal>
          <c:smooth val="1"/>
        </c:ser>
        <c:axId val="62449152"/>
        <c:axId val="62451712"/>
      </c:scatterChart>
      <c:valAx>
        <c:axId val="62449152"/>
        <c:scaling>
          <c:orientation val="minMax"/>
          <c:max val="35"/>
        </c:scaling>
        <c:axPos val="b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current (amps)</a:t>
                </a:r>
              </a:p>
            </c:rich>
          </c:tx>
          <c:layout>
            <c:manualLayout>
              <c:xMode val="edge"/>
              <c:yMode val="edge"/>
              <c:x val="0.45174583281112923"/>
              <c:y val="0.9083107263928277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51712"/>
        <c:crosses val="autoZero"/>
        <c:crossBetween val="midCat"/>
        <c:majorUnit val="5"/>
      </c:valAx>
      <c:valAx>
        <c:axId val="62451712"/>
        <c:scaling>
          <c:orientation val="minMax"/>
          <c:max val="1"/>
          <c:min val="0.75"/>
        </c:scaling>
        <c:axPos val="l"/>
        <c:majorGridlines>
          <c:spPr>
            <a:ln w="3175">
              <a:solidFill>
                <a:srgbClr val="FFCC9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multiplier</a:t>
                </a:r>
              </a:p>
            </c:rich>
          </c:tx>
          <c:layout>
            <c:manualLayout>
              <c:xMode val="edge"/>
              <c:yMode val="edge"/>
              <c:x val="1.2320340894848979E-2"/>
              <c:y val="0.2578800169569542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33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49152"/>
        <c:crosses val="autoZero"/>
        <c:crossBetween val="midCat"/>
      </c:valAx>
      <c:spPr>
        <a:noFill/>
        <a:ln w="25400">
          <a:solidFill>
            <a:srgbClr val="0033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93909011154275"/>
          <c:y val="0.41547336065287072"/>
          <c:w val="0.13347035969419727"/>
          <c:h val="0.1776506783481240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33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72</xdr:row>
      <xdr:rowOff>0</xdr:rowOff>
    </xdr:from>
    <xdr:to>
      <xdr:col>12</xdr:col>
      <xdr:colOff>180975</xdr:colOff>
      <xdr:row>117</xdr:row>
      <xdr:rowOff>161925</xdr:rowOff>
    </xdr:to>
    <xdr:graphicFrame macro="">
      <xdr:nvGraphicFramePr>
        <xdr:cNvPr id="1536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104775</xdr:colOff>
      <xdr:row>37</xdr:row>
      <xdr:rowOff>161925</xdr:rowOff>
    </xdr:to>
    <xdr:pic>
      <xdr:nvPicPr>
        <xdr:cNvPr id="15370" name="Picture 10" descr="C:\Documents and Settings\olsonjc\My Documents\JaxPCB\PCBjack\HowTo2152\CV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1534775" cy="7315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10</xdr:col>
      <xdr:colOff>381000</xdr:colOff>
      <xdr:row>20</xdr:row>
      <xdr:rowOff>95250</xdr:rowOff>
    </xdr:to>
    <xdr:graphicFrame macro="">
      <xdr:nvGraphicFramePr>
        <xdr:cNvPr id="102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361950</xdr:colOff>
      <xdr:row>20</xdr:row>
      <xdr:rowOff>85725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390525</xdr:colOff>
      <xdr:row>20</xdr:row>
      <xdr:rowOff>95250</xdr:rowOff>
    </xdr:to>
    <xdr:graphicFrame macro=""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238125</xdr:colOff>
      <xdr:row>21</xdr:row>
      <xdr:rowOff>142875</xdr:rowOff>
    </xdr:from>
    <xdr:to>
      <xdr:col>25</xdr:col>
      <xdr:colOff>266700</xdr:colOff>
      <xdr:row>37</xdr:row>
      <xdr:rowOff>190500</xdr:rowOff>
    </xdr:to>
    <xdr:graphicFrame macro="">
      <xdr:nvGraphicFramePr>
        <xdr:cNvPr id="513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76200</xdr:colOff>
      <xdr:row>28</xdr:row>
      <xdr:rowOff>95250</xdr:rowOff>
    </xdr:to>
    <xdr:pic>
      <xdr:nvPicPr>
        <xdr:cNvPr id="12291" name="Picture 3" descr="C:\Documents and Settings\olsonjc\My Documents\JaxPCB\PCBjack\HowTo2152\CVtoWIDTH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696200" cy="5429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frontdoor.biz/PCBportal/HowTo2152.pdf" TargetMode="External"/><Relationship Id="rId1" Type="http://schemas.openxmlformats.org/officeDocument/2006/relationships/hyperlink" Target="http://frontdoor.biz/PCBportal/HowTo2152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showGridLines="0" tabSelected="1" workbookViewId="0">
      <selection activeCell="P6" sqref="P6"/>
    </sheetView>
  </sheetViews>
  <sheetFormatPr defaultRowHeight="15.75"/>
  <cols>
    <col min="1" max="1" width="2.21875" style="4" customWidth="1"/>
    <col min="2" max="2" width="3" style="4" customWidth="1"/>
    <col min="3" max="3" width="12.77734375" style="4" customWidth="1"/>
    <col min="4" max="4" width="6.77734375" style="1" customWidth="1"/>
    <col min="5" max="5" width="1.44140625" style="4" customWidth="1"/>
    <col min="6" max="6" width="12.77734375" style="4" customWidth="1"/>
    <col min="7" max="7" width="6.77734375" style="1" customWidth="1"/>
    <col min="8" max="8" width="1.44140625" style="4" customWidth="1"/>
    <col min="9" max="9" width="12.77734375" style="4" customWidth="1"/>
    <col min="10" max="10" width="6.77734375" style="1" customWidth="1"/>
    <col min="11" max="11" width="1.44140625" style="4" customWidth="1"/>
    <col min="12" max="12" width="12.77734375" style="4" customWidth="1"/>
    <col min="13" max="13" width="6.77734375" style="1" customWidth="1"/>
    <col min="14" max="14" width="1.44140625" style="4" customWidth="1"/>
    <col min="15" max="15" width="12.77734375" style="4" customWidth="1"/>
    <col min="16" max="16" width="6.77734375" style="1" customWidth="1"/>
    <col min="17" max="17" width="3" style="4" customWidth="1"/>
    <col min="18" max="18" width="12.77734375" style="4" customWidth="1"/>
    <col min="19" max="19" width="6.77734375" style="1" customWidth="1"/>
    <col min="20" max="20" width="2.77734375" style="4" customWidth="1"/>
    <col min="21" max="16384" width="8.88671875" style="4"/>
  </cols>
  <sheetData>
    <row r="1" spans="1:20" ht="16.5" thickBot="1"/>
    <row r="2" spans="1:20" ht="25.5" customHeight="1" thickBot="1">
      <c r="B2" s="5"/>
      <c r="C2" s="6"/>
      <c r="D2" s="7"/>
      <c r="E2" s="6"/>
      <c r="F2" s="171" t="s">
        <v>34</v>
      </c>
      <c r="G2" s="171"/>
      <c r="H2" s="171"/>
      <c r="I2" s="171"/>
      <c r="J2" s="171"/>
      <c r="K2" s="171"/>
      <c r="L2" s="171"/>
      <c r="M2" s="171"/>
      <c r="N2" s="6"/>
      <c r="O2" s="6"/>
      <c r="P2" s="7"/>
      <c r="Q2" s="8"/>
      <c r="R2" s="88"/>
      <c r="S2" s="89"/>
      <c r="T2" s="88"/>
    </row>
    <row r="3" spans="1:20" s="9" customFormat="1" ht="19.5" customHeight="1" thickBot="1">
      <c r="B3" s="10"/>
      <c r="C3" s="169" t="s">
        <v>112</v>
      </c>
      <c r="D3" s="170"/>
      <c r="E3" s="46"/>
      <c r="F3" s="169" t="s">
        <v>43</v>
      </c>
      <c r="G3" s="170"/>
      <c r="H3" s="46"/>
      <c r="I3" s="169" t="s">
        <v>47</v>
      </c>
      <c r="J3" s="170"/>
      <c r="K3" s="46"/>
      <c r="L3" s="169" t="s">
        <v>93</v>
      </c>
      <c r="M3" s="170"/>
      <c r="N3" s="46"/>
      <c r="O3" s="169" t="s">
        <v>32</v>
      </c>
      <c r="P3" s="170"/>
      <c r="Q3" s="92"/>
      <c r="R3" s="90"/>
      <c r="S3" s="90"/>
      <c r="T3" s="90"/>
    </row>
    <row r="4" spans="1:20" ht="20.100000000000001" customHeight="1" thickBot="1">
      <c r="B4" s="11"/>
      <c r="C4" s="128" t="s">
        <v>121</v>
      </c>
      <c r="D4" s="129">
        <v>10</v>
      </c>
      <c r="E4" s="46"/>
      <c r="F4" s="130" t="s">
        <v>44</v>
      </c>
      <c r="G4" s="129">
        <v>1</v>
      </c>
      <c r="H4" s="46"/>
      <c r="I4" s="130" t="s">
        <v>35</v>
      </c>
      <c r="J4" s="129">
        <v>20</v>
      </c>
      <c r="K4" s="46"/>
      <c r="L4" s="130" t="s">
        <v>36</v>
      </c>
      <c r="M4" s="129">
        <v>63</v>
      </c>
      <c r="N4" s="46"/>
      <c r="O4" s="130" t="s">
        <v>49</v>
      </c>
      <c r="P4" s="129">
        <v>10</v>
      </c>
      <c r="Q4" s="92"/>
      <c r="R4" s="172"/>
      <c r="S4" s="172"/>
      <c r="T4" s="88"/>
    </row>
    <row r="5" spans="1:20" ht="20.100000000000001" hidden="1" customHeight="1" thickTop="1" thickBot="1">
      <c r="B5" s="11"/>
      <c r="C5" s="82"/>
      <c r="D5" s="104"/>
      <c r="E5" s="46"/>
      <c r="F5" s="98" t="s">
        <v>45</v>
      </c>
      <c r="G5" s="99">
        <f>IF(G4=2,-0.0185*LN(D4)+0.9861, IF(G4=3,1,-0.0318*LN(D4)+0.9128))</f>
        <v>0.83957779404278932</v>
      </c>
      <c r="H5" s="46"/>
      <c r="I5" s="98" t="s">
        <v>52</v>
      </c>
      <c r="J5" s="99">
        <f>IF(J4=0,1, IF(J4&gt;125,1,0.0031*J4+0.4054))</f>
        <v>0.46739999999999998</v>
      </c>
      <c r="K5" s="46"/>
      <c r="L5" s="98" t="s">
        <v>91</v>
      </c>
      <c r="M5" s="99">
        <f>25.959*M4^(-0.7666)</f>
        <v>1.0837110289730523</v>
      </c>
      <c r="N5" s="46"/>
      <c r="O5" s="47" t="s">
        <v>102</v>
      </c>
      <c r="P5" s="50">
        <f>(P4+100)/100</f>
        <v>1.1000000000000001</v>
      </c>
      <c r="Q5" s="92"/>
      <c r="R5" s="100"/>
      <c r="S5" s="100"/>
      <c r="T5" s="88"/>
    </row>
    <row r="6" spans="1:20" ht="20.100000000000001" customHeight="1" thickTop="1" thickBot="1">
      <c r="B6" s="11"/>
      <c r="C6" s="101" t="s">
        <v>41</v>
      </c>
      <c r="D6" s="97">
        <v>20</v>
      </c>
      <c r="E6" s="46"/>
      <c r="F6" s="96" t="s">
        <v>42</v>
      </c>
      <c r="G6" s="97">
        <v>1</v>
      </c>
      <c r="H6" s="46"/>
      <c r="I6" s="96" t="s">
        <v>122</v>
      </c>
      <c r="J6" s="97" t="s">
        <v>89</v>
      </c>
      <c r="K6" s="46"/>
      <c r="L6" s="96" t="s">
        <v>27</v>
      </c>
      <c r="M6" s="97" t="s">
        <v>48</v>
      </c>
      <c r="N6" s="46"/>
      <c r="O6" s="96" t="s">
        <v>37</v>
      </c>
      <c r="P6" s="131">
        <f>IF(G4=3,P5*P9*O21*1000, IF(G4=2,P5*P9*O20*1000, IF(G4=1,P5*P9*O19*1000,P5*P9*O18*1000)))</f>
        <v>212.27469310810383</v>
      </c>
      <c r="Q6" s="92"/>
      <c r="R6" s="91"/>
      <c r="S6" s="91"/>
      <c r="T6" s="88"/>
    </row>
    <row r="7" spans="1:20" ht="20.100000000000001" hidden="1" customHeight="1">
      <c r="B7" s="11"/>
      <c r="C7" s="140" t="s">
        <v>103</v>
      </c>
      <c r="D7" s="141">
        <f>IF(G4=3,D9*O21*1000, IF(G4=2,D9*O20*1000, IF(G4=1,D9*O19*1000,D9*O18*1000)))</f>
        <v>400.52293220430028</v>
      </c>
      <c r="E7" s="134"/>
      <c r="F7" s="142" t="s">
        <v>46</v>
      </c>
      <c r="G7" s="143">
        <f>IF(G6&gt;1,0.96,1)</f>
        <v>1</v>
      </c>
      <c r="H7" s="134"/>
      <c r="I7" s="142" t="s">
        <v>51</v>
      </c>
      <c r="J7" s="144">
        <f>IF(J6="&gt; 40""",0.94,IF(J6="&gt; 20""",0.96,1))</f>
        <v>1</v>
      </c>
      <c r="K7" s="134"/>
      <c r="L7" s="142" t="s">
        <v>92</v>
      </c>
      <c r="M7" s="144">
        <f>IF(M6="FR4",1.02, IF(M6="Poly",1,1))</f>
        <v>1.02</v>
      </c>
      <c r="N7" s="46"/>
      <c r="O7" s="126"/>
      <c r="P7" s="125"/>
      <c r="Q7" s="92"/>
      <c r="R7" s="88"/>
      <c r="S7" s="89"/>
      <c r="T7" s="88"/>
    </row>
    <row r="8" spans="1:20" ht="20.100000000000001" hidden="1" customHeight="1" thickBot="1">
      <c r="B8" s="11"/>
      <c r="C8" s="102" t="s">
        <v>104</v>
      </c>
      <c r="D8" s="103">
        <v>1</v>
      </c>
      <c r="E8" s="46"/>
      <c r="F8" s="142" t="s">
        <v>97</v>
      </c>
      <c r="G8" s="145">
        <f>G5*G7</f>
        <v>0.83957779404278932</v>
      </c>
      <c r="H8" s="134"/>
      <c r="I8" s="142" t="s">
        <v>97</v>
      </c>
      <c r="J8" s="145">
        <f>G8*J7*J5</f>
        <v>0.39241866093559974</v>
      </c>
      <c r="K8" s="134"/>
      <c r="L8" s="142" t="s">
        <v>97</v>
      </c>
      <c r="M8" s="145">
        <f>J8*M5*M7</f>
        <v>0.43377379944736105</v>
      </c>
      <c r="N8" s="46"/>
      <c r="O8" s="47"/>
      <c r="P8" s="118"/>
      <c r="Q8" s="92"/>
      <c r="R8" s="88"/>
      <c r="S8" s="89"/>
      <c r="T8" s="88"/>
    </row>
    <row r="9" spans="1:20" ht="20.100000000000001" customHeight="1" thickBot="1">
      <c r="B9" s="11"/>
      <c r="C9" s="132" t="s">
        <v>33</v>
      </c>
      <c r="D9" s="133">
        <f>IF(D6=2,63.637*D4^(1.9386),IF(D6=5,27.987*D4^(1.8658),IF(D6=10,15.663*D4^(1.8121),IF(D6=20,8.868*D4^(1.7655),IF(D6=30,6.5379*D4^(1.7433),IF(D6=45,4.8512*D4^(1.7175),IF(D6=60,3.9366*D4^(1.6997),IF(D6=75,3.3749*D4^(1.686)))))))))</f>
        <v>516.80378348941974</v>
      </c>
      <c r="E9" s="134"/>
      <c r="F9" s="135" t="s">
        <v>101</v>
      </c>
      <c r="G9" s="137">
        <f>D6*(1+(1-G8))</f>
        <v>23.208444119144215</v>
      </c>
      <c r="H9" s="134"/>
      <c r="I9" s="135" t="s">
        <v>101</v>
      </c>
      <c r="J9" s="137">
        <f>D6/J8</f>
        <v>50.965975859344319</v>
      </c>
      <c r="K9" s="134"/>
      <c r="L9" s="135" t="s">
        <v>101</v>
      </c>
      <c r="M9" s="137">
        <f>D6/M8</f>
        <v>46.106980240578181</v>
      </c>
      <c r="N9" s="134"/>
      <c r="O9" s="136" t="s">
        <v>105</v>
      </c>
      <c r="P9" s="133">
        <f>J27-(J27-J26)*(J24-M9)/(J24-J23)</f>
        <v>249.00257256082563</v>
      </c>
      <c r="Q9" s="92"/>
      <c r="R9" s="88"/>
      <c r="S9" s="89"/>
      <c r="T9" s="88"/>
    </row>
    <row r="10" spans="1:20" ht="24" customHeight="1" thickBot="1">
      <c r="B10" s="93"/>
      <c r="C10" s="168" t="s">
        <v>123</v>
      </c>
      <c r="D10" s="95"/>
      <c r="E10" s="174" t="s">
        <v>94</v>
      </c>
      <c r="F10" s="174"/>
      <c r="G10" s="174"/>
      <c r="H10" s="174"/>
      <c r="I10" s="174"/>
      <c r="J10" s="174"/>
      <c r="K10" s="174"/>
      <c r="L10" s="174"/>
      <c r="M10" s="174"/>
      <c r="N10" s="174"/>
      <c r="O10" s="177" t="s">
        <v>119</v>
      </c>
      <c r="P10" s="177"/>
      <c r="Q10" s="94"/>
      <c r="R10" s="88"/>
      <c r="S10" s="89"/>
      <c r="T10" s="88"/>
    </row>
    <row r="11" spans="1:20">
      <c r="G11" s="4"/>
      <c r="J11" s="4"/>
      <c r="M11" s="4"/>
    </row>
    <row r="12" spans="1:20" s="164" customFormat="1" ht="18" customHeight="1">
      <c r="A12" s="160"/>
      <c r="B12" s="161"/>
      <c r="C12" s="162"/>
      <c r="D12" s="152"/>
      <c r="E12" s="162"/>
      <c r="F12" s="173" t="s">
        <v>115</v>
      </c>
      <c r="G12" s="173"/>
      <c r="H12" s="173"/>
      <c r="I12" s="173"/>
      <c r="J12" s="173"/>
      <c r="K12" s="173"/>
      <c r="L12" s="173"/>
      <c r="M12" s="173"/>
      <c r="N12" s="162"/>
      <c r="O12" s="162"/>
      <c r="P12" s="152"/>
      <c r="Q12" s="163"/>
      <c r="S12" s="1"/>
    </row>
    <row r="13" spans="1:20" ht="18" customHeight="1">
      <c r="A13" s="147"/>
      <c r="B13" s="153"/>
      <c r="C13" s="176" t="s">
        <v>118</v>
      </c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54"/>
    </row>
    <row r="14" spans="1:20" ht="18" customHeight="1">
      <c r="A14" s="147"/>
      <c r="B14" s="153"/>
      <c r="C14" s="178" t="s">
        <v>117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54"/>
    </row>
    <row r="15" spans="1:20" s="166" customFormat="1" ht="42" customHeight="1">
      <c r="A15" s="165"/>
      <c r="B15" s="155"/>
      <c r="C15" s="178" t="s">
        <v>120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56"/>
      <c r="S15" s="167"/>
    </row>
    <row r="16" spans="1:20" ht="24" customHeight="1">
      <c r="B16" s="157"/>
      <c r="C16" s="158"/>
      <c r="D16" s="158"/>
      <c r="E16" s="158"/>
      <c r="F16" s="175" t="s">
        <v>116</v>
      </c>
      <c r="G16" s="175"/>
      <c r="H16" s="175"/>
      <c r="I16" s="175"/>
      <c r="J16" s="175"/>
      <c r="K16" s="175"/>
      <c r="L16" s="175"/>
      <c r="M16" s="175"/>
      <c r="N16" s="158"/>
      <c r="O16" s="158"/>
      <c r="P16" s="158"/>
      <c r="Q16" s="159"/>
    </row>
    <row r="17" spans="2:19" hidden="1">
      <c r="B17" s="51"/>
      <c r="C17" s="148" t="s">
        <v>111</v>
      </c>
      <c r="D17" s="149" t="s">
        <v>78</v>
      </c>
      <c r="E17" s="122"/>
      <c r="F17" s="150" t="s">
        <v>81</v>
      </c>
      <c r="G17" s="149" t="s">
        <v>80</v>
      </c>
      <c r="H17" s="122"/>
      <c r="I17" s="148" t="s">
        <v>110</v>
      </c>
      <c r="J17" s="149" t="s">
        <v>79</v>
      </c>
      <c r="K17" s="122"/>
      <c r="L17" s="148" t="s">
        <v>30</v>
      </c>
      <c r="M17" s="151"/>
      <c r="N17" s="122"/>
      <c r="O17" s="150" t="s">
        <v>109</v>
      </c>
      <c r="P17" s="149" t="s">
        <v>80</v>
      </c>
      <c r="Q17" s="51"/>
    </row>
    <row r="18" spans="2:19" hidden="1">
      <c r="B18" s="51"/>
      <c r="C18" s="61" t="s">
        <v>53</v>
      </c>
      <c r="D18" s="65">
        <v>2</v>
      </c>
      <c r="E18" s="51"/>
      <c r="F18" s="63" t="s">
        <v>76</v>
      </c>
      <c r="G18" s="53">
        <v>0.5</v>
      </c>
      <c r="H18" s="57"/>
      <c r="I18" s="54" t="s">
        <v>87</v>
      </c>
      <c r="J18" s="65" t="s">
        <v>89</v>
      </c>
      <c r="K18" s="57"/>
      <c r="L18" s="87" t="s">
        <v>84</v>
      </c>
      <c r="M18" s="58"/>
      <c r="N18" s="57"/>
      <c r="O18" s="54">
        <v>1.5499999999999999E-3</v>
      </c>
      <c r="P18" s="53">
        <v>0.5</v>
      </c>
      <c r="Q18" s="57"/>
    </row>
    <row r="19" spans="2:19" hidden="1">
      <c r="B19" s="51"/>
      <c r="C19" s="62" t="s">
        <v>63</v>
      </c>
      <c r="D19" s="53">
        <v>5</v>
      </c>
      <c r="E19" s="51"/>
      <c r="F19" s="63" t="s">
        <v>76</v>
      </c>
      <c r="G19" s="53">
        <v>1</v>
      </c>
      <c r="H19" s="57"/>
      <c r="I19" s="54"/>
      <c r="J19" s="53" t="s">
        <v>88</v>
      </c>
      <c r="K19" s="57"/>
      <c r="L19" s="54"/>
      <c r="M19" s="58"/>
      <c r="N19" s="57"/>
      <c r="O19" s="54">
        <v>7.7499999999999997E-4</v>
      </c>
      <c r="P19" s="53">
        <v>1</v>
      </c>
      <c r="Q19" s="57"/>
    </row>
    <row r="20" spans="2:19" hidden="1">
      <c r="B20" s="51"/>
      <c r="C20" s="62" t="s">
        <v>64</v>
      </c>
      <c r="D20" s="53">
        <v>10</v>
      </c>
      <c r="E20" s="51"/>
      <c r="F20" s="63" t="s">
        <v>77</v>
      </c>
      <c r="G20" s="53">
        <v>2</v>
      </c>
      <c r="H20" s="57"/>
      <c r="I20" s="54"/>
      <c r="J20" s="53" t="s">
        <v>90</v>
      </c>
      <c r="K20" s="57"/>
      <c r="L20" s="54" t="s">
        <v>86</v>
      </c>
      <c r="M20" s="58"/>
      <c r="N20" s="57"/>
      <c r="O20" s="54">
        <v>3.88E-4</v>
      </c>
      <c r="P20" s="53">
        <v>2</v>
      </c>
      <c r="Q20" s="57"/>
    </row>
    <row r="21" spans="2:19" hidden="1">
      <c r="B21" s="51"/>
      <c r="C21" s="62" t="s">
        <v>65</v>
      </c>
      <c r="D21" s="53">
        <v>20</v>
      </c>
      <c r="E21" s="51"/>
      <c r="F21" s="64">
        <v>0</v>
      </c>
      <c r="G21" s="55">
        <v>3</v>
      </c>
      <c r="H21" s="57"/>
      <c r="I21" s="56"/>
      <c r="J21" s="55" t="s">
        <v>50</v>
      </c>
      <c r="K21" s="57"/>
      <c r="L21" s="56"/>
      <c r="M21" s="60"/>
      <c r="N21" s="57"/>
      <c r="O21" s="56">
        <v>2.5799999999999998E-4</v>
      </c>
      <c r="P21" s="55">
        <v>3</v>
      </c>
      <c r="Q21" s="57"/>
    </row>
    <row r="22" spans="2:19" hidden="1">
      <c r="B22" s="51"/>
      <c r="C22" s="62" t="s">
        <v>66</v>
      </c>
      <c r="D22" s="53">
        <v>30</v>
      </c>
      <c r="E22" s="51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1"/>
      <c r="S22" s="52"/>
    </row>
    <row r="23" spans="2:19" ht="15.75" hidden="1" customHeight="1">
      <c r="B23" s="51"/>
      <c r="C23" s="62" t="s">
        <v>67</v>
      </c>
      <c r="D23" s="53">
        <v>45</v>
      </c>
      <c r="E23" s="51"/>
      <c r="F23" s="109"/>
      <c r="G23" s="110">
        <v>2</v>
      </c>
      <c r="H23" s="110"/>
      <c r="I23" s="110" t="s">
        <v>106</v>
      </c>
      <c r="J23" s="111">
        <f>LOOKUP(M9,G23:G30)</f>
        <v>45</v>
      </c>
      <c r="K23" s="107"/>
      <c r="L23" s="123" t="s">
        <v>27</v>
      </c>
      <c r="M23" s="124" t="s">
        <v>85</v>
      </c>
      <c r="N23" s="107"/>
      <c r="O23" s="107"/>
      <c r="P23" s="107"/>
      <c r="Q23" s="52"/>
      <c r="R23" s="51"/>
      <c r="S23" s="52"/>
    </row>
    <row r="24" spans="2:19" ht="15.75" hidden="1" customHeight="1">
      <c r="B24" s="51"/>
      <c r="C24" s="62" t="s">
        <v>68</v>
      </c>
      <c r="D24" s="53">
        <v>60</v>
      </c>
      <c r="E24" s="51"/>
      <c r="F24" s="112"/>
      <c r="G24" s="113">
        <v>5</v>
      </c>
      <c r="H24" s="113"/>
      <c r="I24" s="113" t="s">
        <v>107</v>
      </c>
      <c r="J24" s="114">
        <f>IF(J23=2,G24,IF(J23=5,G25,IF(J23=10,G26,IF(J23=20,G27,IF(J23=30,G28,IF(J23=45,G29,IF(J23=60,G30,100)))))))</f>
        <v>60</v>
      </c>
      <c r="K24" s="107"/>
      <c r="L24" s="120">
        <v>1.02</v>
      </c>
      <c r="M24" s="59" t="s">
        <v>48</v>
      </c>
      <c r="N24" s="107"/>
      <c r="O24" s="107"/>
      <c r="P24" s="107"/>
      <c r="Q24" s="52"/>
      <c r="R24" s="51"/>
      <c r="S24" s="52"/>
    </row>
    <row r="25" spans="2:19" hidden="1">
      <c r="B25" s="51"/>
      <c r="C25" s="146" t="s">
        <v>69</v>
      </c>
      <c r="D25" s="55">
        <v>75</v>
      </c>
      <c r="E25" s="51"/>
      <c r="F25" s="112"/>
      <c r="G25" s="113">
        <v>10</v>
      </c>
      <c r="H25" s="113"/>
      <c r="I25" s="113"/>
      <c r="J25" s="114"/>
      <c r="K25" s="107"/>
      <c r="L25" s="119">
        <v>1</v>
      </c>
      <c r="M25" s="58" t="s">
        <v>28</v>
      </c>
      <c r="N25" s="107"/>
      <c r="O25" s="107"/>
      <c r="P25" s="107"/>
      <c r="Q25" s="52"/>
      <c r="R25" s="51"/>
      <c r="S25" s="52"/>
    </row>
    <row r="26" spans="2:19" hidden="1">
      <c r="C26" s="138" t="s">
        <v>70</v>
      </c>
      <c r="D26" s="139">
        <v>100</v>
      </c>
      <c r="F26" s="112"/>
      <c r="G26" s="113">
        <v>20</v>
      </c>
      <c r="H26" s="113"/>
      <c r="I26" s="113" t="s">
        <v>113</v>
      </c>
      <c r="J26" s="127">
        <f>IF(J23=2,63.637*D4^(1.9386),IF(J23=5,27.987*D4^(1.8658),IF(J23=10,15.663*D4^(1.8121),IF(J23=20,8.868*D4^(1.7655),IF(J23=30,6.5379*D4^(1.7433),IF(J23=45,4.8512*D4^(1.7175),IF(J23=60,3.9366*D4^(1.6997),IF(J23=75,3.3749*D4^(1.686)))))))))</f>
        <v>253.13324096842493</v>
      </c>
      <c r="K26" s="108"/>
      <c r="L26" s="119"/>
      <c r="M26" s="58" t="s">
        <v>108</v>
      </c>
      <c r="N26" s="108"/>
      <c r="O26" s="108"/>
      <c r="P26" s="108"/>
      <c r="Q26" s="1"/>
    </row>
    <row r="27" spans="2:19" hidden="1">
      <c r="F27" s="112"/>
      <c r="G27" s="113">
        <v>30</v>
      </c>
      <c r="H27" s="113"/>
      <c r="I27" s="113" t="s">
        <v>114</v>
      </c>
      <c r="J27" s="127">
        <f>IF(J24=100,2.7506*D4^(1.6686),IF(J24=5,27.987*D4^(1.8658),IF(J24=10,15.663*D4^(1.8121),IF(J24=20,8.868*D4^(1.7655),IF(J24=30,6.5379*D4^(1.7433),IF(J24=45,4.8512*D4^(1.7175),IF(J24=60,3.9366*D4^(1.6997),IF(J24=75,3.3749*D4^(1.686)))))))))</f>
        <v>197.16112525872842</v>
      </c>
      <c r="K27" s="108"/>
      <c r="L27" s="121"/>
      <c r="M27" s="60"/>
      <c r="N27" s="108"/>
      <c r="O27" s="108"/>
      <c r="P27" s="108"/>
      <c r="Q27" s="1"/>
    </row>
    <row r="28" spans="2:19" hidden="1">
      <c r="C28" s="105"/>
      <c r="D28" s="106"/>
      <c r="F28" s="112"/>
      <c r="G28" s="113">
        <v>45</v>
      </c>
      <c r="H28" s="113"/>
      <c r="I28" s="113"/>
      <c r="J28" s="114"/>
      <c r="K28" s="108"/>
      <c r="L28" s="108"/>
      <c r="M28" s="108"/>
      <c r="N28" s="108"/>
      <c r="O28" s="108"/>
      <c r="P28" s="108"/>
      <c r="Q28" s="1"/>
    </row>
    <row r="29" spans="2:19" hidden="1">
      <c r="C29" s="105"/>
      <c r="D29" s="106"/>
      <c r="F29" s="112"/>
      <c r="G29" s="113">
        <v>60</v>
      </c>
      <c r="H29" s="113"/>
      <c r="I29" s="113"/>
      <c r="J29" s="114"/>
      <c r="K29" s="108"/>
      <c r="L29" s="108"/>
      <c r="M29" s="108"/>
      <c r="N29" s="108"/>
      <c r="O29" s="108"/>
      <c r="P29" s="108"/>
      <c r="Q29" s="1"/>
    </row>
    <row r="30" spans="2:19" hidden="1">
      <c r="C30" s="105"/>
      <c r="D30" s="106"/>
      <c r="F30" s="115"/>
      <c r="G30" s="116">
        <v>75</v>
      </c>
      <c r="H30" s="116"/>
      <c r="I30" s="116"/>
      <c r="J30" s="117"/>
      <c r="K30" s="108"/>
      <c r="L30" s="108"/>
      <c r="M30" s="108"/>
      <c r="N30" s="108"/>
      <c r="O30" s="108"/>
      <c r="P30" s="108"/>
      <c r="Q30" s="1"/>
    </row>
    <row r="31" spans="2:19" hidden="1">
      <c r="C31" s="105"/>
      <c r="D31" s="106"/>
      <c r="F31" s="113"/>
      <c r="G31" s="113"/>
      <c r="H31" s="113"/>
      <c r="I31" s="113"/>
      <c r="J31" s="113"/>
      <c r="K31" s="108"/>
      <c r="L31" s="108"/>
      <c r="M31" s="108"/>
      <c r="N31" s="108"/>
      <c r="O31" s="108"/>
      <c r="P31" s="108"/>
      <c r="Q31" s="1"/>
    </row>
    <row r="32" spans="2:19" hidden="1">
      <c r="C32" s="81" t="s">
        <v>82</v>
      </c>
    </row>
  </sheetData>
  <sheetProtection sheet="1" objects="1" scenarios="1"/>
  <mergeCells count="14">
    <mergeCell ref="R4:S4"/>
    <mergeCell ref="F12:M12"/>
    <mergeCell ref="E10:N10"/>
    <mergeCell ref="F16:M16"/>
    <mergeCell ref="C13:P13"/>
    <mergeCell ref="O10:P10"/>
    <mergeCell ref="C14:P14"/>
    <mergeCell ref="C15:P15"/>
    <mergeCell ref="C3:D3"/>
    <mergeCell ref="F3:G3"/>
    <mergeCell ref="I3:J3"/>
    <mergeCell ref="L3:M3"/>
    <mergeCell ref="O3:P3"/>
    <mergeCell ref="F2:M2"/>
  </mergeCells>
  <phoneticPr fontId="0" type="noConversion"/>
  <conditionalFormatting sqref="J4">
    <cfRule type="cellIs" dxfId="4" priority="1" stopIfTrue="1" operator="greaterThan">
      <formula>$M$4</formula>
    </cfRule>
  </conditionalFormatting>
  <conditionalFormatting sqref="M4">
    <cfRule type="cellIs" dxfId="3" priority="2" stopIfTrue="1" operator="lessThan">
      <formula>28</formula>
    </cfRule>
    <cfRule type="cellIs" dxfId="2" priority="3" stopIfTrue="1" operator="greaterThan">
      <formula>94</formula>
    </cfRule>
  </conditionalFormatting>
  <conditionalFormatting sqref="D9">
    <cfRule type="cellIs" dxfId="1" priority="4" stopIfTrue="1" operator="greaterThan">
      <formula>700</formula>
    </cfRule>
    <cfRule type="cellIs" dxfId="0" priority="5" stopIfTrue="1" operator="lessThan">
      <formula>5</formula>
    </cfRule>
  </conditionalFormatting>
  <dataValidations count="4">
    <dataValidation type="list" allowBlank="1" showInputMessage="1" showErrorMessage="1" sqref="J6">
      <formula1>$J$18:$J$21</formula1>
    </dataValidation>
    <dataValidation type="list" allowBlank="1" showInputMessage="1" showErrorMessage="1" sqref="D6">
      <formula1>$D$18:$D$25</formula1>
    </dataValidation>
    <dataValidation type="list" allowBlank="1" showInputMessage="1" showErrorMessage="1" sqref="M6">
      <formula1>$M$24:$M$25</formula1>
    </dataValidation>
    <dataValidation type="list" allowBlank="1" showInputMessage="1" showErrorMessage="1" sqref="G4 G6">
      <formula1>$P$18:$P$21</formula1>
    </dataValidation>
  </dataValidations>
  <hyperlinks>
    <hyperlink ref="F12" r:id="rId1" display="http://frontdoor.biz/PCBportal/HowTo2152.pdf"/>
    <hyperlink ref="F12:M12" r:id="rId2" display="http://FrontDoor.biz/PCBportal/HowTo2152.pdf"/>
  </hyperlinks>
  <pageMargins left="0.75" right="0.75" top="1" bottom="1" header="0.5" footer="0.5"/>
  <pageSetup orientation="portrait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K70"/>
  <sheetViews>
    <sheetView showGridLines="0" zoomScale="75" workbookViewId="0">
      <selection activeCell="B42" sqref="B42:C42"/>
    </sheetView>
  </sheetViews>
  <sheetFormatPr defaultRowHeight="15"/>
  <sheetData>
    <row r="2" spans="3:3" ht="23.25">
      <c r="C2" s="48"/>
    </row>
    <row r="41" spans="2:11" ht="15.75" thickBot="1"/>
    <row r="42" spans="2:11" ht="16.5" thickBot="1">
      <c r="B42" s="180">
        <v>1</v>
      </c>
      <c r="C42" s="181"/>
      <c r="D42" s="180">
        <v>2</v>
      </c>
      <c r="E42" s="181"/>
      <c r="F42" s="180">
        <v>5</v>
      </c>
      <c r="G42" s="181"/>
      <c r="H42" s="180">
        <v>10</v>
      </c>
      <c r="I42" s="181"/>
      <c r="J42" s="180">
        <v>20</v>
      </c>
      <c r="K42" s="181"/>
    </row>
    <row r="43" spans="2:11">
      <c r="B43" s="66">
        <v>5</v>
      </c>
      <c r="C43" s="67">
        <v>0.2</v>
      </c>
      <c r="D43" s="66">
        <v>5</v>
      </c>
      <c r="E43" s="67">
        <v>0.27</v>
      </c>
      <c r="F43" s="66">
        <v>5</v>
      </c>
      <c r="G43" s="67">
        <v>0.4</v>
      </c>
      <c r="H43" s="66">
        <v>5</v>
      </c>
      <c r="I43" s="67">
        <v>0.53</v>
      </c>
      <c r="J43" s="66">
        <v>5</v>
      </c>
      <c r="K43" s="67">
        <v>0.72</v>
      </c>
    </row>
    <row r="44" spans="2:11">
      <c r="B44" s="68">
        <v>8.4</v>
      </c>
      <c r="C44" s="69">
        <v>0.25</v>
      </c>
      <c r="D44" s="68">
        <v>10</v>
      </c>
      <c r="E44" s="69">
        <v>0.38500000000000001</v>
      </c>
      <c r="F44" s="68">
        <v>10</v>
      </c>
      <c r="G44" s="69">
        <v>0.57999999999999996</v>
      </c>
      <c r="H44" s="68">
        <v>10</v>
      </c>
      <c r="I44" s="69">
        <v>0.78</v>
      </c>
      <c r="J44" s="68">
        <v>10</v>
      </c>
      <c r="K44" s="69">
        <v>1.08</v>
      </c>
    </row>
    <row r="45" spans="2:11">
      <c r="B45" s="68">
        <v>20</v>
      </c>
      <c r="C45" s="69">
        <v>0.4</v>
      </c>
      <c r="D45" s="68">
        <v>15</v>
      </c>
      <c r="E45" s="69">
        <v>0.47</v>
      </c>
      <c r="F45" s="68">
        <v>15</v>
      </c>
      <c r="G45" s="69">
        <v>0.72</v>
      </c>
      <c r="H45" s="68">
        <v>15</v>
      </c>
      <c r="I45" s="69">
        <v>0.99</v>
      </c>
      <c r="J45" s="68">
        <v>15</v>
      </c>
      <c r="K45" s="69">
        <v>1.35</v>
      </c>
    </row>
    <row r="46" spans="2:11">
      <c r="B46" s="68">
        <v>32.4</v>
      </c>
      <c r="C46" s="69">
        <v>0.5</v>
      </c>
      <c r="D46" s="68">
        <v>20</v>
      </c>
      <c r="E46" s="69">
        <v>0.55000000000000004</v>
      </c>
      <c r="F46" s="68">
        <v>20</v>
      </c>
      <c r="G46" s="69">
        <v>0.83499999999999996</v>
      </c>
      <c r="H46" s="68">
        <v>20</v>
      </c>
      <c r="I46" s="69">
        <v>1.145</v>
      </c>
      <c r="J46" s="68">
        <v>20</v>
      </c>
      <c r="K46" s="69">
        <v>1.58</v>
      </c>
    </row>
    <row r="47" spans="2:11">
      <c r="B47" s="68">
        <v>70</v>
      </c>
      <c r="C47" s="69">
        <v>0.75</v>
      </c>
      <c r="D47" s="68">
        <v>30</v>
      </c>
      <c r="E47" s="69">
        <v>0.68</v>
      </c>
      <c r="F47" s="68">
        <v>30</v>
      </c>
      <c r="G47" s="69">
        <v>1.03</v>
      </c>
      <c r="H47" s="68">
        <v>30</v>
      </c>
      <c r="I47" s="69">
        <v>1.42</v>
      </c>
      <c r="J47" s="68">
        <v>31</v>
      </c>
      <c r="K47" s="69">
        <v>2</v>
      </c>
    </row>
    <row r="48" spans="2:11">
      <c r="B48" s="68">
        <v>102</v>
      </c>
      <c r="C48" s="69">
        <v>0.9</v>
      </c>
      <c r="D48" s="68">
        <v>45</v>
      </c>
      <c r="E48" s="69">
        <v>0.84</v>
      </c>
      <c r="F48" s="68">
        <v>45</v>
      </c>
      <c r="G48" s="69">
        <v>1.27</v>
      </c>
      <c r="H48" s="68">
        <v>45</v>
      </c>
      <c r="I48" s="69">
        <v>1.79</v>
      </c>
      <c r="J48" s="68">
        <v>45</v>
      </c>
      <c r="K48" s="69">
        <v>2.5</v>
      </c>
    </row>
    <row r="49" spans="2:11">
      <c r="B49" s="68">
        <v>125</v>
      </c>
      <c r="C49" s="69">
        <v>1</v>
      </c>
      <c r="D49" s="68">
        <v>100</v>
      </c>
      <c r="E49" s="69">
        <v>1.27</v>
      </c>
      <c r="F49" s="68">
        <v>100</v>
      </c>
      <c r="G49" s="69">
        <v>1.98</v>
      </c>
      <c r="H49" s="68">
        <v>100</v>
      </c>
      <c r="I49" s="69">
        <v>2.8</v>
      </c>
      <c r="J49" s="68">
        <v>100</v>
      </c>
      <c r="K49" s="69">
        <v>4</v>
      </c>
    </row>
    <row r="50" spans="2:11">
      <c r="B50" s="68">
        <v>285</v>
      </c>
      <c r="C50" s="69">
        <v>1.5</v>
      </c>
      <c r="D50" s="68">
        <v>200</v>
      </c>
      <c r="E50" s="69">
        <v>1.8</v>
      </c>
      <c r="F50" s="68">
        <v>200</v>
      </c>
      <c r="G50" s="69">
        <v>2.8</v>
      </c>
      <c r="H50" s="68">
        <v>200</v>
      </c>
      <c r="I50" s="69">
        <v>4.05</v>
      </c>
      <c r="J50" s="68">
        <v>200</v>
      </c>
      <c r="K50" s="69">
        <v>5.8</v>
      </c>
    </row>
    <row r="51" spans="2:11">
      <c r="B51" s="70">
        <v>300</v>
      </c>
      <c r="C51" s="71">
        <v>1.55</v>
      </c>
      <c r="D51" s="70">
        <v>300</v>
      </c>
      <c r="E51" s="71">
        <v>2.2000000000000002</v>
      </c>
      <c r="F51" s="70">
        <v>300</v>
      </c>
      <c r="G51" s="71">
        <v>3.6</v>
      </c>
      <c r="H51" s="70">
        <v>300</v>
      </c>
      <c r="I51" s="71">
        <v>5.0999999999999996</v>
      </c>
      <c r="J51" s="70">
        <v>300</v>
      </c>
      <c r="K51" s="71">
        <v>7.4</v>
      </c>
    </row>
    <row r="52" spans="2:11">
      <c r="B52" s="70">
        <v>400</v>
      </c>
      <c r="C52" s="71">
        <v>1.8</v>
      </c>
      <c r="D52" s="70">
        <v>400</v>
      </c>
      <c r="E52" s="71">
        <v>2.6</v>
      </c>
      <c r="F52" s="70">
        <v>400</v>
      </c>
      <c r="G52" s="71">
        <v>4.2</v>
      </c>
      <c r="H52" s="70">
        <v>400</v>
      </c>
      <c r="I52" s="71">
        <v>5.9</v>
      </c>
      <c r="J52" s="70">
        <v>400</v>
      </c>
      <c r="K52" s="71">
        <v>8.6</v>
      </c>
    </row>
    <row r="53" spans="2:11">
      <c r="B53" s="70">
        <v>500</v>
      </c>
      <c r="C53" s="71">
        <v>2</v>
      </c>
      <c r="D53" s="70">
        <v>500</v>
      </c>
      <c r="E53" s="71">
        <v>2.94</v>
      </c>
      <c r="F53" s="70">
        <v>500</v>
      </c>
      <c r="G53" s="71">
        <v>4.7</v>
      </c>
      <c r="H53" s="70">
        <v>500</v>
      </c>
      <c r="I53" s="71">
        <v>6.8</v>
      </c>
      <c r="J53" s="70">
        <v>523</v>
      </c>
      <c r="K53" s="71">
        <v>10</v>
      </c>
    </row>
    <row r="54" spans="2:11" ht="15.75" thickBot="1">
      <c r="B54" s="72">
        <v>700</v>
      </c>
      <c r="C54" s="73">
        <v>2.4</v>
      </c>
      <c r="D54" s="72">
        <v>700</v>
      </c>
      <c r="E54" s="73">
        <v>3.4</v>
      </c>
      <c r="F54" s="72">
        <v>700</v>
      </c>
      <c r="G54" s="73">
        <v>5.65</v>
      </c>
      <c r="H54" s="72">
        <v>700</v>
      </c>
      <c r="I54" s="73">
        <v>8.1999999999999993</v>
      </c>
      <c r="J54" s="72">
        <v>700</v>
      </c>
      <c r="K54" s="73">
        <v>11.75</v>
      </c>
    </row>
    <row r="55" spans="2:11" ht="16.5" thickBot="1">
      <c r="B55" s="180" t="s">
        <v>56</v>
      </c>
      <c r="C55" s="181"/>
      <c r="D55" s="180" t="s">
        <v>71</v>
      </c>
      <c r="E55" s="181"/>
      <c r="F55" s="180" t="s">
        <v>55</v>
      </c>
      <c r="G55" s="181"/>
      <c r="H55" s="180" t="s">
        <v>54</v>
      </c>
      <c r="I55" s="181"/>
      <c r="J55" s="180" t="s">
        <v>57</v>
      </c>
      <c r="K55" s="181"/>
    </row>
    <row r="56" spans="2:11" ht="15.75" thickBot="1">
      <c r="B56" s="52"/>
      <c r="C56" s="52"/>
      <c r="D56" s="52"/>
      <c r="E56" s="52"/>
      <c r="F56" s="52"/>
      <c r="G56" s="52"/>
      <c r="H56" s="52"/>
      <c r="I56" s="52"/>
      <c r="J56" s="52"/>
      <c r="K56" s="52"/>
    </row>
    <row r="57" spans="2:11" ht="16.5" thickBot="1">
      <c r="B57" s="180">
        <v>30</v>
      </c>
      <c r="C57" s="181"/>
      <c r="D57" s="180">
        <v>45</v>
      </c>
      <c r="E57" s="181"/>
      <c r="F57" s="180">
        <v>60</v>
      </c>
      <c r="G57" s="181"/>
      <c r="H57" s="180">
        <v>75</v>
      </c>
      <c r="I57" s="181"/>
      <c r="J57" s="180">
        <v>100</v>
      </c>
      <c r="K57" s="181"/>
    </row>
    <row r="58" spans="2:11">
      <c r="B58" s="66">
        <v>5</v>
      </c>
      <c r="C58" s="74">
        <v>0.86</v>
      </c>
      <c r="D58" s="66">
        <v>5</v>
      </c>
      <c r="E58" s="74">
        <v>1.02</v>
      </c>
      <c r="F58" s="66">
        <v>5</v>
      </c>
      <c r="G58" s="74">
        <v>1.1599999999999999</v>
      </c>
      <c r="H58" s="66">
        <v>5</v>
      </c>
      <c r="I58" s="74">
        <v>1.27</v>
      </c>
      <c r="J58" s="66">
        <v>5.5</v>
      </c>
      <c r="K58" s="74">
        <v>1.5</v>
      </c>
    </row>
    <row r="59" spans="2:11">
      <c r="B59" s="68">
        <v>10</v>
      </c>
      <c r="C59" s="71">
        <v>1.27</v>
      </c>
      <c r="D59" s="68">
        <v>10</v>
      </c>
      <c r="E59" s="71">
        <v>1.52</v>
      </c>
      <c r="F59" s="68">
        <v>10</v>
      </c>
      <c r="G59" s="71">
        <v>1.72</v>
      </c>
      <c r="H59" s="68">
        <v>10</v>
      </c>
      <c r="I59" s="71">
        <v>1.9</v>
      </c>
      <c r="J59" s="70">
        <v>8.6999999999999993</v>
      </c>
      <c r="K59" s="71">
        <v>2</v>
      </c>
    </row>
    <row r="60" spans="2:11">
      <c r="B60" s="68">
        <v>15</v>
      </c>
      <c r="C60" s="71">
        <v>1.62</v>
      </c>
      <c r="D60" s="68">
        <v>15</v>
      </c>
      <c r="E60" s="71">
        <v>1.94</v>
      </c>
      <c r="F60" s="68">
        <v>15</v>
      </c>
      <c r="G60" s="71">
        <v>2.2200000000000002</v>
      </c>
      <c r="H60" s="68">
        <v>15</v>
      </c>
      <c r="I60" s="71">
        <v>2.4500000000000002</v>
      </c>
      <c r="J60" s="70">
        <v>12.5</v>
      </c>
      <c r="K60" s="71">
        <v>2.5</v>
      </c>
    </row>
    <row r="61" spans="2:11">
      <c r="B61" s="68">
        <v>20</v>
      </c>
      <c r="C61" s="71">
        <v>1.9</v>
      </c>
      <c r="D61" s="68">
        <v>20</v>
      </c>
      <c r="E61" s="71">
        <v>2.2799999999999998</v>
      </c>
      <c r="F61" s="68">
        <v>20</v>
      </c>
      <c r="G61" s="71">
        <v>2.6</v>
      </c>
      <c r="H61" s="68">
        <v>20</v>
      </c>
      <c r="I61" s="71">
        <v>2.88</v>
      </c>
      <c r="J61" s="70">
        <v>22.4</v>
      </c>
      <c r="K61" s="71">
        <v>3.5</v>
      </c>
    </row>
    <row r="62" spans="2:11">
      <c r="B62" s="68">
        <v>30</v>
      </c>
      <c r="C62" s="71">
        <v>2.37</v>
      </c>
      <c r="D62" s="68">
        <v>30</v>
      </c>
      <c r="E62" s="71">
        <v>2.87</v>
      </c>
      <c r="F62" s="68">
        <v>30</v>
      </c>
      <c r="G62" s="71">
        <v>3.27</v>
      </c>
      <c r="H62" s="68">
        <v>30</v>
      </c>
      <c r="I62" s="71">
        <v>3.65</v>
      </c>
      <c r="J62" s="70">
        <v>30</v>
      </c>
      <c r="K62" s="71">
        <v>4.2</v>
      </c>
    </row>
    <row r="63" spans="2:11">
      <c r="B63" s="68">
        <v>45</v>
      </c>
      <c r="C63" s="75">
        <v>3.02</v>
      </c>
      <c r="D63" s="68">
        <v>45</v>
      </c>
      <c r="E63" s="75">
        <v>3.67</v>
      </c>
      <c r="F63" s="68">
        <v>45</v>
      </c>
      <c r="G63" s="75">
        <v>4.2</v>
      </c>
      <c r="H63" s="68">
        <v>45</v>
      </c>
      <c r="I63" s="75">
        <v>4.51</v>
      </c>
      <c r="J63" s="70">
        <v>40</v>
      </c>
      <c r="K63" s="75">
        <v>5</v>
      </c>
    </row>
    <row r="64" spans="2:11">
      <c r="B64" s="68">
        <v>100</v>
      </c>
      <c r="C64" s="75">
        <v>4.8</v>
      </c>
      <c r="D64" s="68">
        <v>100</v>
      </c>
      <c r="E64" s="75">
        <v>5.8</v>
      </c>
      <c r="F64" s="68">
        <v>100</v>
      </c>
      <c r="G64" s="75">
        <v>6.6</v>
      </c>
      <c r="H64" s="68">
        <v>100</v>
      </c>
      <c r="I64" s="75">
        <v>7.5</v>
      </c>
      <c r="J64" s="76">
        <v>100</v>
      </c>
      <c r="K64" s="77">
        <v>8.6</v>
      </c>
    </row>
    <row r="65" spans="2:11">
      <c r="B65" s="68">
        <v>200</v>
      </c>
      <c r="C65" s="75">
        <v>7.2</v>
      </c>
      <c r="D65" s="68">
        <v>200</v>
      </c>
      <c r="E65" s="75">
        <v>8.6999999999999993</v>
      </c>
      <c r="F65" s="68">
        <v>200</v>
      </c>
      <c r="G65" s="75">
        <v>10.15</v>
      </c>
      <c r="H65" s="68">
        <v>200</v>
      </c>
      <c r="I65" s="75">
        <v>11.3</v>
      </c>
      <c r="J65" s="70">
        <v>200</v>
      </c>
      <c r="K65" s="75">
        <v>13</v>
      </c>
    </row>
    <row r="66" spans="2:11">
      <c r="B66" s="70">
        <v>300</v>
      </c>
      <c r="C66" s="71">
        <v>9</v>
      </c>
      <c r="D66" s="70">
        <v>300</v>
      </c>
      <c r="E66" s="71">
        <v>11.1</v>
      </c>
      <c r="F66" s="70">
        <v>300</v>
      </c>
      <c r="G66" s="71">
        <v>12.8</v>
      </c>
      <c r="H66" s="70">
        <v>300</v>
      </c>
      <c r="I66" s="71">
        <v>14.35</v>
      </c>
      <c r="J66" s="70">
        <v>300</v>
      </c>
      <c r="K66" s="75">
        <v>16.600000000000001</v>
      </c>
    </row>
    <row r="67" spans="2:11">
      <c r="B67" s="70">
        <v>400</v>
      </c>
      <c r="C67" s="71">
        <v>10.5</v>
      </c>
      <c r="D67" s="70">
        <v>400</v>
      </c>
      <c r="E67" s="71">
        <v>13</v>
      </c>
      <c r="F67" s="70">
        <v>400</v>
      </c>
      <c r="G67" s="71">
        <v>15.2</v>
      </c>
      <c r="H67" s="70">
        <v>400</v>
      </c>
      <c r="I67" s="71">
        <v>17</v>
      </c>
      <c r="J67" s="70">
        <v>400</v>
      </c>
      <c r="K67" s="71">
        <v>19.7</v>
      </c>
    </row>
    <row r="68" spans="2:11">
      <c r="B68" s="70">
        <v>500</v>
      </c>
      <c r="C68" s="71">
        <v>12</v>
      </c>
      <c r="D68" s="70">
        <v>500</v>
      </c>
      <c r="E68" s="71">
        <v>14.9</v>
      </c>
      <c r="F68" s="70">
        <v>500</v>
      </c>
      <c r="G68" s="71">
        <v>17.350000000000001</v>
      </c>
      <c r="H68" s="70">
        <v>500</v>
      </c>
      <c r="I68" s="71">
        <v>19.399999999999999</v>
      </c>
      <c r="J68" s="70">
        <v>588</v>
      </c>
      <c r="K68" s="71">
        <v>25</v>
      </c>
    </row>
    <row r="69" spans="2:11" ht="15.75" thickBot="1">
      <c r="B69" s="72">
        <v>700</v>
      </c>
      <c r="C69" s="73">
        <v>14.6</v>
      </c>
      <c r="D69" s="72">
        <v>700</v>
      </c>
      <c r="E69" s="73">
        <v>18.100000000000001</v>
      </c>
      <c r="F69" s="72">
        <v>700</v>
      </c>
      <c r="G69" s="73">
        <v>21.1</v>
      </c>
      <c r="H69" s="72">
        <v>700</v>
      </c>
      <c r="I69" s="73">
        <v>23.7</v>
      </c>
      <c r="J69" s="72">
        <v>700</v>
      </c>
      <c r="K69" s="73">
        <v>27.7</v>
      </c>
    </row>
    <row r="70" spans="2:11" ht="16.5" thickBot="1">
      <c r="B70" s="180" t="s">
        <v>58</v>
      </c>
      <c r="C70" s="181"/>
      <c r="D70" s="180" t="s">
        <v>59</v>
      </c>
      <c r="E70" s="181"/>
      <c r="F70" s="180" t="s">
        <v>60</v>
      </c>
      <c r="G70" s="181"/>
      <c r="H70" s="180" t="s">
        <v>61</v>
      </c>
      <c r="I70" s="181"/>
      <c r="J70" s="180" t="s">
        <v>62</v>
      </c>
      <c r="K70" s="181"/>
    </row>
  </sheetData>
  <sheetProtection password="CC67" sheet="1" objects="1" scenarios="1"/>
  <mergeCells count="20">
    <mergeCell ref="J57:K57"/>
    <mergeCell ref="B70:C70"/>
    <mergeCell ref="D70:E70"/>
    <mergeCell ref="F70:G70"/>
    <mergeCell ref="H70:I70"/>
    <mergeCell ref="J70:K70"/>
    <mergeCell ref="B57:C57"/>
    <mergeCell ref="D57:E57"/>
    <mergeCell ref="F57:G57"/>
    <mergeCell ref="H57:I57"/>
    <mergeCell ref="J55:K55"/>
    <mergeCell ref="B42:C42"/>
    <mergeCell ref="D42:E42"/>
    <mergeCell ref="F42:G42"/>
    <mergeCell ref="H42:I42"/>
    <mergeCell ref="J42:K42"/>
    <mergeCell ref="B55:C55"/>
    <mergeCell ref="D55:E55"/>
    <mergeCell ref="F55:G55"/>
    <mergeCell ref="H55:I55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showGridLines="0" workbookViewId="0"/>
  </sheetViews>
  <sheetFormatPr defaultColWidth="7.109375" defaultRowHeight="12.75"/>
  <cols>
    <col min="1" max="1" width="8.33203125" style="12" customWidth="1"/>
    <col min="2" max="16384" width="7.109375" style="12"/>
  </cols>
  <sheetData>
    <row r="1" spans="1:2">
      <c r="A1" s="78" t="s">
        <v>31</v>
      </c>
      <c r="B1" s="79" t="s">
        <v>83</v>
      </c>
    </row>
    <row r="2" spans="1:2">
      <c r="A2" s="14">
        <v>5</v>
      </c>
      <c r="B2" s="15">
        <v>0.42</v>
      </c>
    </row>
    <row r="3" spans="1:2">
      <c r="A3" s="14">
        <v>20</v>
      </c>
      <c r="B3" s="15">
        <v>0.47</v>
      </c>
    </row>
    <row r="4" spans="1:2" ht="13.5" thickBot="1">
      <c r="A4" s="16">
        <v>40</v>
      </c>
      <c r="B4" s="17">
        <v>0.53</v>
      </c>
    </row>
    <row r="7" spans="1:2">
      <c r="A7" s="49" t="s">
        <v>38</v>
      </c>
      <c r="B7" s="49"/>
    </row>
    <row r="8" spans="1:2">
      <c r="A8" s="49" t="s">
        <v>39</v>
      </c>
      <c r="B8" s="49"/>
    </row>
    <row r="9" spans="1:2">
      <c r="A9" s="49"/>
      <c r="B9" s="49"/>
    </row>
    <row r="10" spans="1:2">
      <c r="A10" s="49" t="s">
        <v>40</v>
      </c>
      <c r="B10" s="49"/>
    </row>
    <row r="11" spans="1:2">
      <c r="A11" s="49" t="s">
        <v>95</v>
      </c>
      <c r="B11" s="49"/>
    </row>
    <row r="12" spans="1:2">
      <c r="A12" s="49" t="s">
        <v>39</v>
      </c>
      <c r="B12" s="49"/>
    </row>
    <row r="14" spans="1:2">
      <c r="A14" s="49" t="s">
        <v>40</v>
      </c>
    </row>
    <row r="15" spans="1:2">
      <c r="A15" s="49" t="s">
        <v>96</v>
      </c>
    </row>
    <row r="16" spans="1:2">
      <c r="A16" s="49" t="s">
        <v>99</v>
      </c>
    </row>
    <row r="23" spans="4:10">
      <c r="D23" s="182" t="s">
        <v>100</v>
      </c>
      <c r="E23" s="183"/>
      <c r="F23" s="183"/>
      <c r="G23" s="183"/>
      <c r="H23" s="183"/>
      <c r="I23" s="183"/>
      <c r="J23" s="183"/>
    </row>
    <row r="24" spans="4:10">
      <c r="D24" s="183"/>
      <c r="E24" s="183"/>
      <c r="F24" s="183"/>
      <c r="G24" s="183"/>
      <c r="H24" s="183"/>
      <c r="I24" s="183"/>
      <c r="J24" s="183"/>
    </row>
    <row r="25" spans="4:10">
      <c r="D25" s="183"/>
      <c r="E25" s="183"/>
      <c r="F25" s="183"/>
      <c r="G25" s="183"/>
      <c r="H25" s="183"/>
      <c r="I25" s="183"/>
      <c r="J25" s="183"/>
    </row>
    <row r="26" spans="4:10">
      <c r="D26" s="183"/>
      <c r="E26" s="183"/>
      <c r="F26" s="183"/>
      <c r="G26" s="183"/>
      <c r="H26" s="183"/>
      <c r="I26" s="183"/>
      <c r="J26" s="183"/>
    </row>
    <row r="27" spans="4:10">
      <c r="D27" s="183"/>
      <c r="E27" s="183"/>
      <c r="F27" s="183"/>
      <c r="G27" s="183"/>
      <c r="H27" s="183"/>
      <c r="I27" s="183"/>
      <c r="J27" s="183"/>
    </row>
    <row r="28" spans="4:10">
      <c r="D28" s="183"/>
      <c r="E28" s="183"/>
      <c r="F28" s="183"/>
      <c r="G28" s="183"/>
      <c r="H28" s="183"/>
      <c r="I28" s="183"/>
      <c r="J28" s="183"/>
    </row>
  </sheetData>
  <sheetProtection password="CC67" sheet="1" objects="1" scenarios="1"/>
  <mergeCells count="1">
    <mergeCell ref="D23:J28"/>
  </mergeCells>
  <phoneticPr fontId="4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showGridLines="0" workbookViewId="0"/>
  </sheetViews>
  <sheetFormatPr defaultColWidth="7.109375" defaultRowHeight="12.75"/>
  <cols>
    <col min="1" max="1" width="9.21875" style="12" bestFit="1" customWidth="1"/>
    <col min="2" max="2" width="7.5546875" style="12" bestFit="1" customWidth="1"/>
    <col min="3" max="3" width="3.77734375" style="12" customWidth="1"/>
    <col min="4" max="16384" width="7.109375" style="12"/>
  </cols>
  <sheetData>
    <row r="1" spans="1:2">
      <c r="A1" s="78" t="s">
        <v>29</v>
      </c>
      <c r="B1" s="79" t="s">
        <v>83</v>
      </c>
    </row>
    <row r="2" spans="1:2">
      <c r="A2" s="14">
        <v>0.124</v>
      </c>
      <c r="B2" s="15">
        <v>1.02</v>
      </c>
    </row>
    <row r="3" spans="1:2" ht="13.5" thickBot="1">
      <c r="A3" s="16">
        <v>0.13800000000000001</v>
      </c>
      <c r="B3" s="17">
        <v>1</v>
      </c>
    </row>
  </sheetData>
  <sheetProtection password="CC67" sheet="1" objects="1" scenarios="1"/>
  <phoneticPr fontId="4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7.109375" defaultRowHeight="12.75"/>
  <cols>
    <col min="1" max="1" width="8.33203125" style="12" customWidth="1"/>
    <col min="2" max="16384" width="7.109375" style="12"/>
  </cols>
  <sheetData>
    <row r="1" spans="1:2">
      <c r="A1" s="78" t="s">
        <v>30</v>
      </c>
      <c r="B1" s="79" t="s">
        <v>83</v>
      </c>
    </row>
    <row r="2" spans="1:2">
      <c r="A2" s="14">
        <v>38</v>
      </c>
      <c r="B2" s="15">
        <v>1.6</v>
      </c>
    </row>
    <row r="3" spans="1:2">
      <c r="A3" s="84">
        <v>59</v>
      </c>
      <c r="B3" s="83">
        <v>1.1499999999999999</v>
      </c>
    </row>
    <row r="4" spans="1:2" ht="13.5" thickBot="1">
      <c r="A4" s="85">
        <v>70</v>
      </c>
      <c r="B4" s="86">
        <v>1</v>
      </c>
    </row>
    <row r="23" spans="1:9">
      <c r="A23" s="184" t="s">
        <v>98</v>
      </c>
      <c r="B23" s="184"/>
      <c r="C23" s="184"/>
      <c r="D23" s="184"/>
      <c r="E23" s="184"/>
      <c r="F23" s="184"/>
      <c r="G23" s="184"/>
      <c r="H23" s="184"/>
      <c r="I23" s="184"/>
    </row>
    <row r="24" spans="1:9">
      <c r="A24" s="184"/>
      <c r="B24" s="184"/>
      <c r="C24" s="184"/>
      <c r="D24" s="184"/>
      <c r="E24" s="184"/>
      <c r="F24" s="184"/>
      <c r="G24" s="184"/>
      <c r="H24" s="184"/>
      <c r="I24" s="184"/>
    </row>
    <row r="25" spans="1:9">
      <c r="A25" s="184"/>
      <c r="B25" s="184"/>
      <c r="C25" s="184"/>
      <c r="D25" s="184"/>
      <c r="E25" s="184"/>
      <c r="F25" s="184"/>
      <c r="G25" s="184"/>
      <c r="H25" s="184"/>
      <c r="I25" s="184"/>
    </row>
    <row r="26" spans="1:9">
      <c r="A26" s="184"/>
      <c r="B26" s="184"/>
      <c r="C26" s="184"/>
      <c r="D26" s="184"/>
      <c r="E26" s="184"/>
      <c r="F26" s="184"/>
      <c r="G26" s="184"/>
      <c r="H26" s="184"/>
      <c r="I26" s="184"/>
    </row>
  </sheetData>
  <sheetProtection password="CC67" sheet="1" objects="1" scenarios="1"/>
  <mergeCells count="1">
    <mergeCell ref="A23:I26"/>
  </mergeCells>
  <phoneticPr fontId="4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X55"/>
  <sheetViews>
    <sheetView showGridLines="0" topLeftCell="A12" workbookViewId="0">
      <selection activeCell="K31" sqref="K31:M31"/>
    </sheetView>
  </sheetViews>
  <sheetFormatPr defaultRowHeight="15.75"/>
  <cols>
    <col min="1" max="1" width="2.77734375" style="1" customWidth="1"/>
    <col min="2" max="8" width="4.77734375" style="1" customWidth="1"/>
    <col min="9" max="9" width="6.77734375" style="1" customWidth="1"/>
    <col min="10" max="14" width="5.77734375" style="1" customWidth="1"/>
    <col min="15" max="15" width="1.77734375" style="1" customWidth="1"/>
    <col min="16" max="20" width="5.77734375" style="1" customWidth="1"/>
    <col min="21" max="21" width="1.77734375" style="1" customWidth="1"/>
    <col min="22" max="26" width="5.77734375" style="1" customWidth="1"/>
    <col min="27" max="27" width="1.77734375" style="1" customWidth="1"/>
    <col min="28" max="32" width="5.77734375" style="1" customWidth="1"/>
    <col min="33" max="33" width="1.77734375" style="1" customWidth="1"/>
    <col min="34" max="38" width="5.77734375" style="1" customWidth="1"/>
    <col min="39" max="39" width="2.77734375" style="1" customWidth="1"/>
    <col min="40" max="44" width="4.77734375" style="1" customWidth="1"/>
    <col min="45" max="45" width="2.77734375" style="1" customWidth="1"/>
    <col min="46" max="46" width="4.77734375" style="1" customWidth="1"/>
    <col min="47" max="49" width="6.5546875" style="1" bestFit="1" customWidth="1"/>
    <col min="50" max="50" width="4.77734375" style="1" customWidth="1"/>
    <col min="51" max="16384" width="8.88671875" style="1"/>
  </cols>
  <sheetData>
    <row r="1" spans="1:5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50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50" ht="16.5" thickBo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50" ht="16.5" thickBot="1">
      <c r="A4" s="19"/>
      <c r="B4" s="19"/>
      <c r="C4" s="191" t="s">
        <v>6</v>
      </c>
      <c r="D4" s="192"/>
      <c r="E4" s="192"/>
      <c r="F4" s="192"/>
      <c r="G4" s="192"/>
      <c r="H4" s="193"/>
      <c r="I4" s="19"/>
      <c r="J4" s="19"/>
      <c r="K4" s="191" t="s">
        <v>0</v>
      </c>
      <c r="L4" s="192"/>
      <c r="M4" s="192"/>
      <c r="N4" s="193"/>
      <c r="O4" s="23"/>
      <c r="P4" s="19"/>
      <c r="Q4" s="191" t="s">
        <v>7</v>
      </c>
      <c r="R4" s="192"/>
      <c r="S4" s="192"/>
      <c r="T4" s="193"/>
      <c r="U4" s="19"/>
      <c r="V4" s="19"/>
      <c r="W4" s="191" t="s">
        <v>9</v>
      </c>
      <c r="X4" s="192"/>
      <c r="Y4" s="192"/>
      <c r="Z4" s="193"/>
      <c r="AA4" s="19"/>
      <c r="AB4" s="19"/>
      <c r="AC4" s="191" t="s">
        <v>10</v>
      </c>
      <c r="AD4" s="192"/>
      <c r="AE4" s="192"/>
      <c r="AF4" s="193"/>
      <c r="AG4" s="19"/>
      <c r="AH4" s="19"/>
      <c r="AI4" s="191" t="s">
        <v>8</v>
      </c>
      <c r="AJ4" s="192"/>
      <c r="AK4" s="192"/>
      <c r="AL4" s="193"/>
      <c r="AN4" s="3"/>
      <c r="AO4" s="3"/>
      <c r="AP4" s="3"/>
      <c r="AQ4" s="3"/>
      <c r="AR4" s="3"/>
      <c r="AT4" s="3"/>
      <c r="AU4" s="3"/>
      <c r="AV4" s="3"/>
      <c r="AW4" s="3"/>
      <c r="AX4" s="3"/>
    </row>
    <row r="5" spans="1:50" ht="16.5" thickBot="1">
      <c r="A5" s="19"/>
      <c r="B5" s="19"/>
      <c r="C5" s="20" t="s">
        <v>1</v>
      </c>
      <c r="D5" s="21" t="s">
        <v>2</v>
      </c>
      <c r="E5" s="21" t="s">
        <v>14</v>
      </c>
      <c r="F5" s="21" t="s">
        <v>3</v>
      </c>
      <c r="G5" s="21" t="s">
        <v>5</v>
      </c>
      <c r="H5" s="22" t="s">
        <v>4</v>
      </c>
      <c r="I5" s="19"/>
      <c r="J5" s="19"/>
      <c r="K5" s="20">
        <v>0.5</v>
      </c>
      <c r="L5" s="21">
        <v>1</v>
      </c>
      <c r="M5" s="21">
        <v>2</v>
      </c>
      <c r="N5" s="22">
        <v>3</v>
      </c>
      <c r="O5" s="23"/>
      <c r="P5" s="19"/>
      <c r="Q5" s="24">
        <v>0.5</v>
      </c>
      <c r="R5" s="25">
        <v>1</v>
      </c>
      <c r="S5" s="25">
        <v>2</v>
      </c>
      <c r="T5" s="26">
        <v>3</v>
      </c>
      <c r="U5" s="19"/>
      <c r="V5" s="19"/>
      <c r="W5" s="20">
        <v>0.5</v>
      </c>
      <c r="X5" s="21">
        <v>1</v>
      </c>
      <c r="Y5" s="21">
        <v>2</v>
      </c>
      <c r="Z5" s="22">
        <v>3</v>
      </c>
      <c r="AA5" s="19"/>
      <c r="AB5" s="19"/>
      <c r="AC5" s="20">
        <v>0.5</v>
      </c>
      <c r="AD5" s="21">
        <v>1</v>
      </c>
      <c r="AE5" s="21">
        <v>2</v>
      </c>
      <c r="AF5" s="22">
        <v>3</v>
      </c>
      <c r="AG5" s="19"/>
      <c r="AH5" s="19"/>
      <c r="AI5" s="20">
        <v>0.5</v>
      </c>
      <c r="AJ5" s="21">
        <v>1</v>
      </c>
      <c r="AK5" s="21">
        <v>2</v>
      </c>
      <c r="AL5" s="22">
        <v>3</v>
      </c>
      <c r="AN5" s="3"/>
      <c r="AO5" s="3"/>
      <c r="AP5" s="3"/>
      <c r="AQ5" s="3"/>
      <c r="AR5" s="3"/>
      <c r="AT5" s="3"/>
      <c r="AU5" s="3"/>
      <c r="AV5" s="3"/>
      <c r="AW5" s="3"/>
      <c r="AX5" s="3"/>
    </row>
    <row r="6" spans="1:50">
      <c r="A6" s="19"/>
      <c r="B6" s="27">
        <v>100</v>
      </c>
      <c r="C6" s="28">
        <v>595</v>
      </c>
      <c r="D6" s="29">
        <v>300</v>
      </c>
      <c r="E6" s="29">
        <v>90</v>
      </c>
      <c r="F6" s="29">
        <v>27</v>
      </c>
      <c r="G6" s="29">
        <v>8</v>
      </c>
      <c r="H6" s="29"/>
      <c r="I6" s="19"/>
      <c r="J6" s="27" t="s">
        <v>1</v>
      </c>
      <c r="K6" s="28">
        <f>C6</f>
        <v>595</v>
      </c>
      <c r="L6" s="29">
        <f>C15</f>
        <v>590</v>
      </c>
      <c r="M6" s="29">
        <f>C24</f>
        <v>690</v>
      </c>
      <c r="N6" s="29">
        <f>C33</f>
        <v>745</v>
      </c>
      <c r="O6" s="19"/>
      <c r="P6" s="30" t="s">
        <v>1</v>
      </c>
      <c r="Q6" s="31">
        <f>C7</f>
        <v>765</v>
      </c>
      <c r="R6" s="31">
        <f>C16</f>
        <v>770</v>
      </c>
      <c r="S6" s="31"/>
      <c r="T6" s="31"/>
      <c r="U6" s="19"/>
      <c r="V6" s="27" t="s">
        <v>1</v>
      </c>
      <c r="W6" s="28"/>
      <c r="X6" s="29"/>
      <c r="Y6" s="29"/>
      <c r="Z6" s="29"/>
      <c r="AA6" s="19"/>
      <c r="AB6" s="27" t="s">
        <v>1</v>
      </c>
      <c r="AC6" s="28"/>
      <c r="AD6" s="29"/>
      <c r="AE6" s="29"/>
      <c r="AF6" s="29"/>
      <c r="AG6" s="19"/>
      <c r="AH6" s="27" t="s">
        <v>1</v>
      </c>
      <c r="AI6" s="28"/>
      <c r="AJ6" s="29"/>
      <c r="AK6" s="29"/>
      <c r="AL6" s="29"/>
      <c r="AN6" s="3"/>
      <c r="AO6" s="3"/>
      <c r="AP6" s="3"/>
      <c r="AQ6" s="3"/>
      <c r="AR6" s="3"/>
      <c r="AT6" s="3"/>
      <c r="AU6" s="3"/>
      <c r="AV6" s="3"/>
      <c r="AW6" s="3"/>
      <c r="AX6" s="3"/>
    </row>
    <row r="7" spans="1:50">
      <c r="A7" s="19"/>
      <c r="B7" s="32">
        <v>75</v>
      </c>
      <c r="C7" s="33">
        <v>765</v>
      </c>
      <c r="D7" s="31">
        <v>395</v>
      </c>
      <c r="E7" s="31">
        <v>125</v>
      </c>
      <c r="F7" s="31">
        <v>36</v>
      </c>
      <c r="G7" s="31">
        <v>10.8</v>
      </c>
      <c r="H7" s="31"/>
      <c r="I7" s="19"/>
      <c r="J7" s="32" t="s">
        <v>2</v>
      </c>
      <c r="K7" s="33">
        <f>D6</f>
        <v>300</v>
      </c>
      <c r="L7" s="31">
        <f>D15</f>
        <v>300</v>
      </c>
      <c r="M7" s="31">
        <f>D24</f>
        <v>345</v>
      </c>
      <c r="N7" s="31">
        <f>D33</f>
        <v>370</v>
      </c>
      <c r="O7" s="19"/>
      <c r="P7" s="34" t="s">
        <v>2</v>
      </c>
      <c r="Q7" s="31">
        <f>D7</f>
        <v>395</v>
      </c>
      <c r="R7" s="31">
        <f>D16</f>
        <v>390</v>
      </c>
      <c r="S7" s="31">
        <f>D25</f>
        <v>445</v>
      </c>
      <c r="T7" s="31">
        <f>D34</f>
        <v>480</v>
      </c>
      <c r="U7" s="19"/>
      <c r="V7" s="32" t="s">
        <v>2</v>
      </c>
      <c r="W7" s="33">
        <f>D8</f>
        <v>635</v>
      </c>
      <c r="X7" s="31">
        <f>D17</f>
        <v>630</v>
      </c>
      <c r="Y7" s="31">
        <f>D26</f>
        <v>710</v>
      </c>
      <c r="Z7" s="31">
        <f>D35</f>
        <v>760</v>
      </c>
      <c r="AA7" s="19"/>
      <c r="AB7" s="32" t="s">
        <v>2</v>
      </c>
      <c r="AC7" s="33"/>
      <c r="AD7" s="31"/>
      <c r="AE7" s="31"/>
      <c r="AF7" s="31"/>
      <c r="AG7" s="19"/>
      <c r="AH7" s="32" t="s">
        <v>2</v>
      </c>
      <c r="AI7" s="33"/>
      <c r="AJ7" s="31"/>
      <c r="AK7" s="31"/>
      <c r="AL7" s="31"/>
      <c r="AN7" s="3"/>
      <c r="AO7" s="3"/>
      <c r="AP7" s="3"/>
      <c r="AQ7" s="3"/>
      <c r="AR7" s="3"/>
      <c r="AT7" s="3"/>
      <c r="AU7" s="3"/>
      <c r="AV7" s="3"/>
      <c r="AW7" s="3"/>
      <c r="AX7" s="3"/>
    </row>
    <row r="8" spans="1:50">
      <c r="A8" s="19"/>
      <c r="B8" s="32">
        <v>45</v>
      </c>
      <c r="C8" s="33"/>
      <c r="D8" s="31">
        <v>635</v>
      </c>
      <c r="E8" s="31">
        <v>190</v>
      </c>
      <c r="F8" s="31">
        <v>57</v>
      </c>
      <c r="G8" s="31">
        <v>17</v>
      </c>
      <c r="H8" s="31"/>
      <c r="I8" s="19"/>
      <c r="J8" s="32" t="s">
        <v>14</v>
      </c>
      <c r="K8" s="33">
        <f>E6</f>
        <v>90</v>
      </c>
      <c r="L8" s="31">
        <f>E15</f>
        <v>92</v>
      </c>
      <c r="M8" s="31">
        <f>E24</f>
        <v>105</v>
      </c>
      <c r="N8" s="31">
        <f>E33</f>
        <v>112</v>
      </c>
      <c r="O8" s="19"/>
      <c r="P8" s="34" t="s">
        <v>14</v>
      </c>
      <c r="Q8" s="31">
        <f>E7</f>
        <v>125</v>
      </c>
      <c r="R8" s="31">
        <f>E16</f>
        <v>120</v>
      </c>
      <c r="S8" s="31">
        <f>E25</f>
        <v>135</v>
      </c>
      <c r="T8" s="31">
        <f>E34</f>
        <v>145</v>
      </c>
      <c r="U8" s="19"/>
      <c r="V8" s="32" t="s">
        <v>14</v>
      </c>
      <c r="W8" s="33">
        <f>E8</f>
        <v>190</v>
      </c>
      <c r="X8" s="31">
        <f>E17</f>
        <v>190</v>
      </c>
      <c r="Y8" s="31">
        <f>E26</f>
        <v>215</v>
      </c>
      <c r="Z8" s="31">
        <f>E35</f>
        <v>225</v>
      </c>
      <c r="AA8" s="19"/>
      <c r="AB8" s="32" t="s">
        <v>14</v>
      </c>
      <c r="AC8" s="33">
        <f>E9</f>
        <v>410</v>
      </c>
      <c r="AD8" s="31">
        <f>E18</f>
        <v>410</v>
      </c>
      <c r="AE8" s="31">
        <f>E27</f>
        <v>445</v>
      </c>
      <c r="AF8" s="31">
        <f>E36</f>
        <v>478</v>
      </c>
      <c r="AG8" s="19"/>
      <c r="AH8" s="32" t="s">
        <v>14</v>
      </c>
      <c r="AI8" s="33"/>
      <c r="AJ8" s="31"/>
      <c r="AK8" s="31"/>
      <c r="AL8" s="31"/>
      <c r="AN8" s="3"/>
      <c r="AO8" s="3"/>
      <c r="AP8" s="3"/>
      <c r="AQ8" s="3"/>
      <c r="AR8" s="3"/>
      <c r="AT8" s="3"/>
      <c r="AU8" s="3"/>
      <c r="AV8" s="3"/>
      <c r="AW8" s="3"/>
      <c r="AX8" s="3"/>
    </row>
    <row r="9" spans="1:50">
      <c r="A9" s="19"/>
      <c r="B9" s="32">
        <v>20</v>
      </c>
      <c r="C9" s="33"/>
      <c r="D9" s="31"/>
      <c r="E9" s="31">
        <v>410</v>
      </c>
      <c r="F9" s="31">
        <v>120</v>
      </c>
      <c r="G9" s="31">
        <v>35.5</v>
      </c>
      <c r="H9" s="31">
        <v>7</v>
      </c>
      <c r="I9" s="19"/>
      <c r="J9" s="32" t="s">
        <v>3</v>
      </c>
      <c r="K9" s="33">
        <f>F6</f>
        <v>27</v>
      </c>
      <c r="L9" s="31">
        <f>F15</f>
        <v>28</v>
      </c>
      <c r="M9" s="31">
        <f>F24</f>
        <v>32</v>
      </c>
      <c r="N9" s="31">
        <f>F33</f>
        <v>33.5</v>
      </c>
      <c r="O9" s="19"/>
      <c r="P9" s="34" t="s">
        <v>3</v>
      </c>
      <c r="Q9" s="31">
        <f>F7</f>
        <v>36</v>
      </c>
      <c r="R9" s="31">
        <f>F16</f>
        <v>36</v>
      </c>
      <c r="S9" s="31">
        <f>F25</f>
        <v>40.5</v>
      </c>
      <c r="T9" s="31">
        <f>F34</f>
        <v>42.4</v>
      </c>
      <c r="U9" s="19"/>
      <c r="V9" s="32" t="s">
        <v>3</v>
      </c>
      <c r="W9" s="33">
        <f>F8</f>
        <v>57</v>
      </c>
      <c r="X9" s="31">
        <f>56</f>
        <v>56</v>
      </c>
      <c r="Y9" s="31">
        <f>F26</f>
        <v>63</v>
      </c>
      <c r="Z9" s="31">
        <f>F35</f>
        <v>65</v>
      </c>
      <c r="AA9" s="19"/>
      <c r="AB9" s="32" t="s">
        <v>3</v>
      </c>
      <c r="AC9" s="33">
        <f>F9</f>
        <v>120</v>
      </c>
      <c r="AD9" s="31">
        <f>F18</f>
        <v>120</v>
      </c>
      <c r="AE9" s="31">
        <f>F27</f>
        <v>130</v>
      </c>
      <c r="AF9" s="31">
        <f>F36</f>
        <v>135</v>
      </c>
      <c r="AG9" s="19"/>
      <c r="AH9" s="32" t="s">
        <v>3</v>
      </c>
      <c r="AI9" s="33">
        <f>F10</f>
        <v>230</v>
      </c>
      <c r="AJ9" s="31">
        <f>F19</f>
        <v>225</v>
      </c>
      <c r="AK9" s="31">
        <f>F28</f>
        <v>240</v>
      </c>
      <c r="AL9" s="31">
        <f>F37</f>
        <v>260</v>
      </c>
      <c r="AN9" s="3"/>
      <c r="AO9" s="3"/>
      <c r="AP9" s="3"/>
      <c r="AQ9" s="3"/>
      <c r="AR9" s="3"/>
      <c r="AT9" s="3"/>
      <c r="AU9" s="3"/>
      <c r="AV9" s="3"/>
      <c r="AW9" s="3"/>
      <c r="AX9" s="3"/>
    </row>
    <row r="10" spans="1:50" ht="16.5" thickBot="1">
      <c r="A10" s="19"/>
      <c r="B10" s="35">
        <v>10</v>
      </c>
      <c r="C10" s="33"/>
      <c r="D10" s="31"/>
      <c r="E10" s="31"/>
      <c r="F10" s="31">
        <v>230</v>
      </c>
      <c r="G10" s="31">
        <v>65.2</v>
      </c>
      <c r="H10" s="31">
        <v>12.5</v>
      </c>
      <c r="I10" s="19"/>
      <c r="J10" s="32" t="s">
        <v>5</v>
      </c>
      <c r="K10" s="33">
        <f>G6</f>
        <v>8</v>
      </c>
      <c r="L10" s="31">
        <f>G15</f>
        <v>8.8000000000000007</v>
      </c>
      <c r="M10" s="31">
        <f>G24</f>
        <v>9.5</v>
      </c>
      <c r="N10" s="31">
        <f>G33</f>
        <v>9.8000000000000007</v>
      </c>
      <c r="O10" s="19"/>
      <c r="P10" s="34" t="s">
        <v>5</v>
      </c>
      <c r="Q10" s="31">
        <f>G7</f>
        <v>10.8</v>
      </c>
      <c r="R10" s="31">
        <f>G16</f>
        <v>11</v>
      </c>
      <c r="S10" s="31">
        <f>G25</f>
        <v>12.3</v>
      </c>
      <c r="T10" s="31">
        <f>G34</f>
        <v>12.5</v>
      </c>
      <c r="U10" s="19"/>
      <c r="V10" s="32" t="s">
        <v>5</v>
      </c>
      <c r="W10" s="33">
        <f>G8</f>
        <v>17</v>
      </c>
      <c r="X10" s="31">
        <f>G17</f>
        <v>16.5</v>
      </c>
      <c r="Y10" s="31">
        <f>G26</f>
        <v>18.5</v>
      </c>
      <c r="Z10" s="31">
        <f>G35</f>
        <v>18.8</v>
      </c>
      <c r="AA10" s="19"/>
      <c r="AB10" s="32" t="s">
        <v>5</v>
      </c>
      <c r="AC10" s="33">
        <f>G9</f>
        <v>35.5</v>
      </c>
      <c r="AD10" s="31">
        <f>G18</f>
        <v>34</v>
      </c>
      <c r="AE10" s="31">
        <f>G27</f>
        <v>37.5</v>
      </c>
      <c r="AF10" s="31">
        <f>G36</f>
        <v>38.6</v>
      </c>
      <c r="AG10" s="19"/>
      <c r="AH10" s="32" t="s">
        <v>5</v>
      </c>
      <c r="AI10" s="33">
        <f>G10</f>
        <v>65.2</v>
      </c>
      <c r="AJ10" s="31">
        <f>G19</f>
        <v>63.5</v>
      </c>
      <c r="AK10" s="31">
        <f>G28</f>
        <v>69</v>
      </c>
      <c r="AL10" s="31">
        <f>G37</f>
        <v>72</v>
      </c>
      <c r="AN10" s="3"/>
      <c r="AO10" s="3"/>
      <c r="AP10" s="3"/>
      <c r="AQ10" s="3"/>
      <c r="AR10" s="3"/>
      <c r="AT10" s="3"/>
      <c r="AU10" s="3"/>
      <c r="AV10" s="3"/>
      <c r="AW10" s="3"/>
      <c r="AX10" s="3"/>
    </row>
    <row r="11" spans="1:50" ht="16.5" thickBot="1">
      <c r="A11" s="19"/>
      <c r="B11" s="23"/>
      <c r="C11" s="19"/>
      <c r="D11" s="19"/>
      <c r="E11" s="19"/>
      <c r="F11" s="19"/>
      <c r="G11" s="19"/>
      <c r="H11" s="19"/>
      <c r="I11" s="19"/>
      <c r="J11" s="35" t="s">
        <v>4</v>
      </c>
      <c r="K11" s="33"/>
      <c r="L11" s="31"/>
      <c r="M11" s="31"/>
      <c r="N11" s="31"/>
      <c r="O11" s="19"/>
      <c r="P11" s="36" t="s">
        <v>4</v>
      </c>
      <c r="Q11" s="31"/>
      <c r="R11" s="31"/>
      <c r="S11" s="31"/>
      <c r="T11" s="31"/>
      <c r="U11" s="19"/>
      <c r="V11" s="35" t="s">
        <v>4</v>
      </c>
      <c r="W11" s="33"/>
      <c r="X11" s="31"/>
      <c r="Y11" s="31"/>
      <c r="Z11" s="31"/>
      <c r="AA11" s="19"/>
      <c r="AB11" s="35" t="s">
        <v>4</v>
      </c>
      <c r="AC11" s="33">
        <f>H9</f>
        <v>7</v>
      </c>
      <c r="AD11" s="31">
        <f>H18</f>
        <v>6.6</v>
      </c>
      <c r="AE11" s="31">
        <f>H27</f>
        <v>7.4</v>
      </c>
      <c r="AF11" s="31">
        <f>H36</f>
        <v>7.5</v>
      </c>
      <c r="AG11" s="19"/>
      <c r="AH11" s="35" t="s">
        <v>4</v>
      </c>
      <c r="AI11" s="33">
        <f>H10</f>
        <v>12.5</v>
      </c>
      <c r="AJ11" s="31">
        <f>H19</f>
        <v>11.8</v>
      </c>
      <c r="AK11" s="31">
        <f>H28</f>
        <v>13.2</v>
      </c>
      <c r="AL11" s="31">
        <f>H37</f>
        <v>13.3</v>
      </c>
      <c r="AN11" s="3"/>
      <c r="AO11" s="3"/>
      <c r="AP11" s="3"/>
      <c r="AQ11" s="3"/>
      <c r="AR11" s="3"/>
      <c r="AT11" s="3"/>
      <c r="AU11" s="3"/>
      <c r="AV11" s="3"/>
      <c r="AW11" s="3"/>
      <c r="AX11" s="3"/>
    </row>
    <row r="12" spans="1:50" ht="16.5" thickBot="1">
      <c r="A12" s="19"/>
      <c r="B12" s="23"/>
      <c r="C12" s="19"/>
      <c r="D12" s="19"/>
      <c r="E12" s="19"/>
      <c r="F12" s="19"/>
      <c r="G12" s="19"/>
      <c r="H12" s="19"/>
      <c r="I12" s="19"/>
      <c r="J12" s="23"/>
      <c r="K12" s="19"/>
      <c r="L12" s="19"/>
      <c r="M12" s="19"/>
      <c r="N12" s="19"/>
      <c r="O12" s="19"/>
      <c r="P12" s="23"/>
      <c r="Q12" s="19"/>
      <c r="R12" s="19"/>
      <c r="S12" s="19"/>
      <c r="T12" s="19"/>
      <c r="U12" s="19"/>
      <c r="V12" s="23"/>
      <c r="W12" s="19"/>
      <c r="X12" s="19"/>
      <c r="Y12" s="19"/>
      <c r="Z12" s="19"/>
      <c r="AA12" s="19"/>
      <c r="AB12" s="23"/>
      <c r="AC12" s="19"/>
      <c r="AD12" s="19"/>
      <c r="AE12" s="19"/>
      <c r="AF12" s="19"/>
      <c r="AG12" s="19"/>
      <c r="AH12" s="23"/>
      <c r="AI12" s="19"/>
      <c r="AJ12" s="19"/>
      <c r="AK12" s="19"/>
      <c r="AL12" s="19"/>
      <c r="AN12" s="2"/>
      <c r="AT12" s="2"/>
    </row>
    <row r="13" spans="1:50" ht="16.5" thickBot="1">
      <c r="A13" s="19"/>
      <c r="B13" s="19"/>
      <c r="C13" s="188" t="s">
        <v>12</v>
      </c>
      <c r="D13" s="189"/>
      <c r="E13" s="189"/>
      <c r="F13" s="189"/>
      <c r="G13" s="189"/>
      <c r="H13" s="190"/>
      <c r="I13" s="19"/>
      <c r="J13" s="19"/>
      <c r="K13" s="188" t="s">
        <v>15</v>
      </c>
      <c r="L13" s="189"/>
      <c r="M13" s="190"/>
      <c r="N13" s="19"/>
      <c r="O13" s="19"/>
      <c r="P13" s="19"/>
      <c r="Q13" s="188" t="s">
        <v>19</v>
      </c>
      <c r="R13" s="189"/>
      <c r="S13" s="190"/>
      <c r="T13" s="19"/>
      <c r="U13" s="19"/>
      <c r="V13" s="19"/>
      <c r="W13" s="188" t="s">
        <v>20</v>
      </c>
      <c r="X13" s="189"/>
      <c r="Y13" s="190"/>
      <c r="Z13" s="19"/>
      <c r="AA13" s="19"/>
      <c r="AB13" s="19"/>
      <c r="AC13" s="188" t="s">
        <v>21</v>
      </c>
      <c r="AD13" s="189"/>
      <c r="AE13" s="190"/>
      <c r="AF13" s="19"/>
      <c r="AG13" s="19"/>
      <c r="AH13" s="19"/>
      <c r="AI13" s="188" t="s">
        <v>22</v>
      </c>
      <c r="AJ13" s="189"/>
      <c r="AK13" s="190"/>
      <c r="AL13" s="19"/>
      <c r="AM13" s="2"/>
      <c r="AN13" s="2"/>
      <c r="AO13" s="194"/>
      <c r="AP13" s="194"/>
      <c r="AQ13" s="194"/>
      <c r="AR13" s="194"/>
      <c r="AS13" s="2"/>
      <c r="AT13" s="3"/>
      <c r="AU13" s="3"/>
      <c r="AV13" s="3"/>
      <c r="AW13" s="3"/>
      <c r="AX13" s="3"/>
    </row>
    <row r="14" spans="1:50" ht="16.5" thickBot="1">
      <c r="A14" s="19"/>
      <c r="B14" s="19"/>
      <c r="C14" s="20" t="s">
        <v>1</v>
      </c>
      <c r="D14" s="21" t="s">
        <v>2</v>
      </c>
      <c r="E14" s="21" t="s">
        <v>14</v>
      </c>
      <c r="F14" s="21" t="s">
        <v>3</v>
      </c>
      <c r="G14" s="21" t="s">
        <v>5</v>
      </c>
      <c r="H14" s="22" t="s">
        <v>4</v>
      </c>
      <c r="I14" s="19"/>
      <c r="J14" s="19"/>
      <c r="K14" s="37" t="s">
        <v>18</v>
      </c>
      <c r="L14" s="38" t="s">
        <v>17</v>
      </c>
      <c r="M14" s="39" t="s">
        <v>16</v>
      </c>
      <c r="N14" s="19"/>
      <c r="O14" s="19"/>
      <c r="P14" s="19"/>
      <c r="Q14" s="37" t="s">
        <v>18</v>
      </c>
      <c r="R14" s="38" t="s">
        <v>17</v>
      </c>
      <c r="S14" s="39" t="s">
        <v>16</v>
      </c>
      <c r="T14" s="19"/>
      <c r="U14" s="19"/>
      <c r="V14" s="19"/>
      <c r="W14" s="37" t="s">
        <v>18</v>
      </c>
      <c r="X14" s="38" t="s">
        <v>17</v>
      </c>
      <c r="Y14" s="39" t="s">
        <v>16</v>
      </c>
      <c r="Z14" s="19"/>
      <c r="AA14" s="19"/>
      <c r="AB14" s="19"/>
      <c r="AC14" s="37" t="s">
        <v>18</v>
      </c>
      <c r="AD14" s="38" t="s">
        <v>17</v>
      </c>
      <c r="AE14" s="39" t="s">
        <v>16</v>
      </c>
      <c r="AF14" s="19"/>
      <c r="AG14" s="19"/>
      <c r="AH14" s="19"/>
      <c r="AI14" s="37" t="s">
        <v>18</v>
      </c>
      <c r="AJ14" s="38" t="s">
        <v>17</v>
      </c>
      <c r="AK14" s="39" t="s">
        <v>16</v>
      </c>
      <c r="AL14" s="19"/>
      <c r="AM14" s="2"/>
      <c r="AN14" s="2"/>
      <c r="AO14" s="2"/>
      <c r="AP14" s="2"/>
      <c r="AQ14" s="2"/>
      <c r="AR14" s="2"/>
      <c r="AS14" s="2"/>
      <c r="AT14" s="3"/>
      <c r="AU14" s="3"/>
      <c r="AV14" s="3"/>
      <c r="AW14" s="3"/>
      <c r="AX14" s="3"/>
    </row>
    <row r="15" spans="1:50">
      <c r="A15" s="19"/>
      <c r="B15" s="27">
        <v>100</v>
      </c>
      <c r="C15" s="28">
        <v>590</v>
      </c>
      <c r="D15" s="29">
        <v>300</v>
      </c>
      <c r="E15" s="29">
        <v>92</v>
      </c>
      <c r="F15" s="29">
        <v>28</v>
      </c>
      <c r="G15" s="29">
        <v>8.8000000000000007</v>
      </c>
      <c r="H15" s="29"/>
      <c r="I15" s="19"/>
      <c r="J15" s="27" t="s">
        <v>1</v>
      </c>
      <c r="K15" s="40">
        <f>K6/$N$6*100</f>
        <v>79.865771812080538</v>
      </c>
      <c r="L15" s="41">
        <f>L6/$N$6*100</f>
        <v>79.194630872483216</v>
      </c>
      <c r="M15" s="41">
        <f>M6/$N$6*100</f>
        <v>92.617449664429529</v>
      </c>
      <c r="N15" s="19"/>
      <c r="O15" s="19"/>
      <c r="P15" s="27" t="s">
        <v>1</v>
      </c>
      <c r="Q15" s="40"/>
      <c r="R15" s="41"/>
      <c r="S15" s="41"/>
      <c r="T15" s="19"/>
      <c r="U15" s="19"/>
      <c r="V15" s="27" t="s">
        <v>1</v>
      </c>
      <c r="W15" s="40"/>
      <c r="X15" s="41"/>
      <c r="Y15" s="41"/>
      <c r="Z15" s="19"/>
      <c r="AA15" s="19"/>
      <c r="AB15" s="27" t="s">
        <v>1</v>
      </c>
      <c r="AC15" s="40"/>
      <c r="AD15" s="41"/>
      <c r="AE15" s="41"/>
      <c r="AF15" s="23"/>
      <c r="AG15" s="23"/>
      <c r="AH15" s="27" t="s">
        <v>1</v>
      </c>
      <c r="AI15" s="40"/>
      <c r="AJ15" s="41"/>
      <c r="AK15" s="41"/>
      <c r="AL15" s="19"/>
      <c r="AM15" s="2"/>
      <c r="AN15" s="3"/>
      <c r="AO15" s="2"/>
      <c r="AP15" s="2"/>
      <c r="AQ15" s="2"/>
      <c r="AR15" s="2"/>
      <c r="AS15" s="2"/>
      <c r="AT15" s="3"/>
      <c r="AU15" s="3"/>
      <c r="AV15" s="3"/>
      <c r="AW15" s="3"/>
      <c r="AX15" s="3"/>
    </row>
    <row r="16" spans="1:50">
      <c r="A16" s="19"/>
      <c r="B16" s="32">
        <v>75</v>
      </c>
      <c r="C16" s="33">
        <v>770</v>
      </c>
      <c r="D16" s="31">
        <v>390</v>
      </c>
      <c r="E16" s="31">
        <v>120</v>
      </c>
      <c r="F16" s="31">
        <v>36</v>
      </c>
      <c r="G16" s="31">
        <v>11</v>
      </c>
      <c r="H16" s="31"/>
      <c r="I16" s="19"/>
      <c r="J16" s="32" t="s">
        <v>2</v>
      </c>
      <c r="K16" s="42">
        <f>K7/$N$7*100</f>
        <v>81.081081081081081</v>
      </c>
      <c r="L16" s="43">
        <f>L7/$N$7*100</f>
        <v>81.081081081081081</v>
      </c>
      <c r="M16" s="43">
        <f>M7/$N$7*100</f>
        <v>93.243243243243242</v>
      </c>
      <c r="N16" s="19"/>
      <c r="O16" s="44"/>
      <c r="P16" s="32" t="s">
        <v>2</v>
      </c>
      <c r="Q16" s="42">
        <f>Q7/$T$7*100</f>
        <v>82.291666666666657</v>
      </c>
      <c r="R16" s="43">
        <f>R7/$T$7*100</f>
        <v>81.25</v>
      </c>
      <c r="S16" s="43">
        <f>S7/$T$7*100</f>
        <v>92.708333333333343</v>
      </c>
      <c r="T16" s="44"/>
      <c r="U16" s="44"/>
      <c r="V16" s="32" t="s">
        <v>2</v>
      </c>
      <c r="W16" s="42">
        <f>W7/$Z$7*100</f>
        <v>83.55263157894737</v>
      </c>
      <c r="X16" s="43">
        <f>X7/$Z$7*100</f>
        <v>82.89473684210526</v>
      </c>
      <c r="Y16" s="43">
        <f>Y7/$Z$7*100</f>
        <v>93.421052631578945</v>
      </c>
      <c r="Z16" s="44"/>
      <c r="AA16" s="44"/>
      <c r="AB16" s="32" t="s">
        <v>2</v>
      </c>
      <c r="AC16" s="42"/>
      <c r="AD16" s="43"/>
      <c r="AE16" s="43"/>
      <c r="AF16" s="23"/>
      <c r="AG16" s="23"/>
      <c r="AH16" s="32" t="s">
        <v>2</v>
      </c>
      <c r="AI16" s="42"/>
      <c r="AJ16" s="43"/>
      <c r="AK16" s="43"/>
      <c r="AL16" s="44"/>
      <c r="AM16" s="2"/>
      <c r="AN16" s="3"/>
      <c r="AO16" s="2"/>
      <c r="AP16" s="2"/>
      <c r="AQ16" s="2"/>
      <c r="AR16" s="2"/>
      <c r="AS16" s="2"/>
      <c r="AT16" s="3"/>
      <c r="AU16" s="3"/>
      <c r="AV16" s="3"/>
      <c r="AW16" s="3"/>
      <c r="AX16" s="3"/>
    </row>
    <row r="17" spans="1:50">
      <c r="A17" s="19"/>
      <c r="B17" s="32">
        <v>45</v>
      </c>
      <c r="C17" s="33"/>
      <c r="D17" s="31">
        <v>630</v>
      </c>
      <c r="E17" s="31">
        <v>190</v>
      </c>
      <c r="F17" s="31">
        <v>55.5</v>
      </c>
      <c r="G17" s="31">
        <v>16.5</v>
      </c>
      <c r="H17" s="31"/>
      <c r="I17" s="19"/>
      <c r="J17" s="32" t="s">
        <v>14</v>
      </c>
      <c r="K17" s="42">
        <f>K8/$N$8*100</f>
        <v>80.357142857142861</v>
      </c>
      <c r="L17" s="43">
        <f>L8/$N$8*100</f>
        <v>82.142857142857139</v>
      </c>
      <c r="M17" s="43">
        <f>M8/$N$8*100</f>
        <v>93.75</v>
      </c>
      <c r="N17" s="19"/>
      <c r="O17" s="44"/>
      <c r="P17" s="32" t="s">
        <v>14</v>
      </c>
      <c r="Q17" s="42">
        <f>Q8/$T$8*100</f>
        <v>86.206896551724128</v>
      </c>
      <c r="R17" s="43">
        <f>R8/$T$8*100</f>
        <v>82.758620689655174</v>
      </c>
      <c r="S17" s="43">
        <f>S8/$T$8*100</f>
        <v>93.103448275862064</v>
      </c>
      <c r="T17" s="44"/>
      <c r="U17" s="44"/>
      <c r="V17" s="32" t="s">
        <v>14</v>
      </c>
      <c r="W17" s="42">
        <f>W8/$Z$8*100</f>
        <v>84.444444444444443</v>
      </c>
      <c r="X17" s="43">
        <f>X8/$Z$8*100</f>
        <v>84.444444444444443</v>
      </c>
      <c r="Y17" s="43">
        <f>Y8/$Z$8*100</f>
        <v>95.555555555555557</v>
      </c>
      <c r="Z17" s="44"/>
      <c r="AA17" s="44"/>
      <c r="AB17" s="32" t="s">
        <v>14</v>
      </c>
      <c r="AC17" s="42">
        <f>AC8/$AF$8*100</f>
        <v>85.774058577405853</v>
      </c>
      <c r="AD17" s="43">
        <f>AD8/$AF$8*100</f>
        <v>85.774058577405853</v>
      </c>
      <c r="AE17" s="43">
        <f>AE8/$AF$8*100</f>
        <v>93.096234309623426</v>
      </c>
      <c r="AF17" s="23"/>
      <c r="AG17" s="23"/>
      <c r="AH17" s="32" t="s">
        <v>14</v>
      </c>
      <c r="AI17" s="42"/>
      <c r="AJ17" s="43"/>
      <c r="AK17" s="43"/>
      <c r="AL17" s="44"/>
      <c r="AM17" s="2"/>
      <c r="AN17" s="3"/>
      <c r="AO17" s="2"/>
      <c r="AP17" s="2"/>
      <c r="AQ17" s="2"/>
      <c r="AR17" s="2"/>
      <c r="AS17" s="2"/>
      <c r="AT17" s="3"/>
      <c r="AU17" s="3"/>
      <c r="AV17" s="3"/>
      <c r="AW17" s="3"/>
      <c r="AX17" s="3"/>
    </row>
    <row r="18" spans="1:50">
      <c r="A18" s="19"/>
      <c r="B18" s="32">
        <v>20</v>
      </c>
      <c r="C18" s="33"/>
      <c r="D18" s="31"/>
      <c r="E18" s="31">
        <v>410</v>
      </c>
      <c r="F18" s="31">
        <v>120</v>
      </c>
      <c r="G18" s="31">
        <v>34</v>
      </c>
      <c r="H18" s="31">
        <v>6.6</v>
      </c>
      <c r="I18" s="19"/>
      <c r="J18" s="32" t="s">
        <v>3</v>
      </c>
      <c r="K18" s="42">
        <f>K9/$N$9*100</f>
        <v>80.597014925373131</v>
      </c>
      <c r="L18" s="43">
        <f>L9/$N$9*100</f>
        <v>83.582089552238799</v>
      </c>
      <c r="M18" s="43">
        <f>M9/$N$9*100</f>
        <v>95.522388059701484</v>
      </c>
      <c r="N18" s="19"/>
      <c r="O18" s="44"/>
      <c r="P18" s="32" t="s">
        <v>3</v>
      </c>
      <c r="Q18" s="42">
        <f>Q9/$T$9*100</f>
        <v>84.905660377358487</v>
      </c>
      <c r="R18" s="43">
        <f>R9/$T$9*100</f>
        <v>84.905660377358487</v>
      </c>
      <c r="S18" s="43">
        <f>S9/$T$9*100</f>
        <v>95.518867924528308</v>
      </c>
      <c r="T18" s="44"/>
      <c r="U18" s="44"/>
      <c r="V18" s="32" t="s">
        <v>3</v>
      </c>
      <c r="W18" s="42">
        <f>W9/$Z$9*100</f>
        <v>87.692307692307693</v>
      </c>
      <c r="X18" s="43">
        <f>X9/$Z$9*100</f>
        <v>86.15384615384616</v>
      </c>
      <c r="Y18" s="43">
        <f>Y9/$Z$9*100</f>
        <v>96.92307692307692</v>
      </c>
      <c r="Z18" s="44"/>
      <c r="AA18" s="44"/>
      <c r="AB18" s="32" t="s">
        <v>3</v>
      </c>
      <c r="AC18" s="42">
        <f>AC9/$AF$9*100</f>
        <v>88.888888888888886</v>
      </c>
      <c r="AD18" s="43">
        <f>AD9/$AF$9*100</f>
        <v>88.888888888888886</v>
      </c>
      <c r="AE18" s="43">
        <f>AE9/$AF$9*100</f>
        <v>96.296296296296291</v>
      </c>
      <c r="AF18" s="44"/>
      <c r="AG18" s="44"/>
      <c r="AH18" s="32" t="s">
        <v>3</v>
      </c>
      <c r="AI18" s="42">
        <f>AI9/$AL$9*100</f>
        <v>88.461538461538453</v>
      </c>
      <c r="AJ18" s="43">
        <f>AJ9/$AL$9*100</f>
        <v>86.538461538461547</v>
      </c>
      <c r="AK18" s="43">
        <f>AK9/$AL$9*100</f>
        <v>92.307692307692307</v>
      </c>
      <c r="AL18" s="44"/>
      <c r="AM18" s="2"/>
      <c r="AN18" s="3"/>
      <c r="AO18" s="2"/>
      <c r="AP18" s="2"/>
      <c r="AQ18" s="2"/>
      <c r="AR18" s="2"/>
      <c r="AS18" s="2"/>
      <c r="AT18" s="3"/>
      <c r="AU18" s="3"/>
      <c r="AV18" s="3"/>
      <c r="AW18" s="3"/>
      <c r="AX18" s="3"/>
    </row>
    <row r="19" spans="1:50" ht="16.5" thickBot="1">
      <c r="A19" s="19"/>
      <c r="B19" s="35">
        <v>10</v>
      </c>
      <c r="C19" s="33"/>
      <c r="D19" s="31"/>
      <c r="E19" s="31"/>
      <c r="F19" s="31">
        <v>225</v>
      </c>
      <c r="G19" s="31">
        <v>63.5</v>
      </c>
      <c r="H19" s="31">
        <v>11.8</v>
      </c>
      <c r="I19" s="19"/>
      <c r="J19" s="32" t="s">
        <v>5</v>
      </c>
      <c r="K19" s="42">
        <f>K10/$N$10*100</f>
        <v>81.632653061224474</v>
      </c>
      <c r="L19" s="43">
        <f>L10/$N$10*100</f>
        <v>89.795918367346943</v>
      </c>
      <c r="M19" s="43">
        <f>M10/$N$10*100</f>
        <v>96.938775510204081</v>
      </c>
      <c r="N19" s="19"/>
      <c r="O19" s="44"/>
      <c r="P19" s="32" t="s">
        <v>5</v>
      </c>
      <c r="Q19" s="42">
        <f>Q10/$T$10*100</f>
        <v>86.4</v>
      </c>
      <c r="R19" s="43">
        <f>R10/$T$10*100</f>
        <v>88</v>
      </c>
      <c r="S19" s="43">
        <f>S10/$T$10*100</f>
        <v>98.4</v>
      </c>
      <c r="T19" s="44"/>
      <c r="U19" s="44"/>
      <c r="V19" s="32" t="s">
        <v>5</v>
      </c>
      <c r="W19" s="42">
        <f>W10/$Z$10*100</f>
        <v>90.425531914893611</v>
      </c>
      <c r="X19" s="43">
        <f>X10/$Z$10*100</f>
        <v>87.7659574468085</v>
      </c>
      <c r="Y19" s="43">
        <f>Y10/$Z$10*100</f>
        <v>98.40425531914893</v>
      </c>
      <c r="Z19" s="44"/>
      <c r="AA19" s="44"/>
      <c r="AB19" s="32" t="s">
        <v>5</v>
      </c>
      <c r="AC19" s="42">
        <f>AC10/$AF$10*100</f>
        <v>91.968911917098438</v>
      </c>
      <c r="AD19" s="43">
        <f>AD10/$AF$10*100</f>
        <v>88.082901554404145</v>
      </c>
      <c r="AE19" s="43">
        <f>AE10/$AF$10*100</f>
        <v>97.15025906735751</v>
      </c>
      <c r="AF19" s="44"/>
      <c r="AG19" s="44"/>
      <c r="AH19" s="32" t="s">
        <v>5</v>
      </c>
      <c r="AI19" s="42">
        <f>AI10/$AL$10*100</f>
        <v>90.555555555555557</v>
      </c>
      <c r="AJ19" s="43">
        <f>AJ10/$AL$10*100</f>
        <v>88.194444444444443</v>
      </c>
      <c r="AK19" s="43">
        <f>AK10/$AL$10*100</f>
        <v>95.833333333333343</v>
      </c>
      <c r="AL19" s="44"/>
      <c r="AM19" s="2"/>
      <c r="AN19" s="3"/>
      <c r="AO19" s="2"/>
      <c r="AP19" s="2"/>
      <c r="AQ19" s="2"/>
      <c r="AR19" s="2"/>
      <c r="AS19" s="2"/>
      <c r="AT19" s="3"/>
      <c r="AU19" s="3"/>
      <c r="AV19" s="3"/>
      <c r="AW19" s="3"/>
      <c r="AX19" s="3"/>
    </row>
    <row r="20" spans="1:50" ht="16.5" thickBot="1">
      <c r="A20" s="19"/>
      <c r="B20" s="19"/>
      <c r="C20" s="19"/>
      <c r="D20" s="19"/>
      <c r="E20" s="19"/>
      <c r="F20" s="19"/>
      <c r="G20" s="19"/>
      <c r="H20" s="19"/>
      <c r="I20" s="19"/>
      <c r="J20" s="35" t="s">
        <v>4</v>
      </c>
      <c r="K20" s="33"/>
      <c r="L20" s="31"/>
      <c r="M20" s="31"/>
      <c r="N20" s="19"/>
      <c r="O20" s="44"/>
      <c r="P20" s="35" t="s">
        <v>4</v>
      </c>
      <c r="Q20" s="33"/>
      <c r="R20" s="31"/>
      <c r="S20" s="31"/>
      <c r="T20" s="44"/>
      <c r="U20" s="44"/>
      <c r="V20" s="35" t="s">
        <v>4</v>
      </c>
      <c r="W20" s="33"/>
      <c r="X20" s="31"/>
      <c r="Y20" s="31"/>
      <c r="Z20" s="44"/>
      <c r="AA20" s="44"/>
      <c r="AB20" s="35" t="s">
        <v>4</v>
      </c>
      <c r="AC20" s="42">
        <f>AC11/$AF$11*100</f>
        <v>93.333333333333329</v>
      </c>
      <c r="AD20" s="43">
        <f>AD11/$AF$11*100</f>
        <v>88</v>
      </c>
      <c r="AE20" s="43">
        <f>AE11/$AF$11*100</f>
        <v>98.666666666666671</v>
      </c>
      <c r="AF20" s="44"/>
      <c r="AG20" s="44"/>
      <c r="AH20" s="35" t="s">
        <v>4</v>
      </c>
      <c r="AI20" s="42">
        <f>AI11/$AL$11*100</f>
        <v>93.984962406015043</v>
      </c>
      <c r="AJ20" s="43">
        <f>AJ11/$AL$11*100</f>
        <v>88.721804511278194</v>
      </c>
      <c r="AK20" s="43">
        <f>AK11/$AL$11*100</f>
        <v>99.248120300751879</v>
      </c>
      <c r="AL20" s="44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16.5" thickBot="1">
      <c r="A21" s="19"/>
      <c r="B21" s="19"/>
      <c r="C21" s="19"/>
      <c r="D21" s="19"/>
      <c r="E21" s="19"/>
      <c r="F21" s="19"/>
      <c r="G21" s="19"/>
      <c r="H21" s="19"/>
      <c r="I21" s="19"/>
      <c r="J21" s="23"/>
      <c r="K21" s="19"/>
      <c r="L21" s="19"/>
      <c r="M21" s="19"/>
      <c r="N21" s="19"/>
      <c r="O21" s="19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6.5" thickBot="1">
      <c r="A22" s="19"/>
      <c r="B22" s="19"/>
      <c r="C22" s="188" t="s">
        <v>11</v>
      </c>
      <c r="D22" s="189"/>
      <c r="E22" s="189"/>
      <c r="F22" s="189"/>
      <c r="G22" s="189"/>
      <c r="H22" s="190"/>
      <c r="I22" s="19"/>
      <c r="J22" s="19"/>
      <c r="K22" s="188" t="s">
        <v>23</v>
      </c>
      <c r="L22" s="189"/>
      <c r="M22" s="190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1:50" ht="16.5" thickBot="1">
      <c r="A23" s="19"/>
      <c r="B23" s="19"/>
      <c r="C23" s="20" t="s">
        <v>1</v>
      </c>
      <c r="D23" s="21" t="s">
        <v>2</v>
      </c>
      <c r="E23" s="21" t="s">
        <v>14</v>
      </c>
      <c r="F23" s="21" t="s">
        <v>3</v>
      </c>
      <c r="G23" s="21" t="s">
        <v>5</v>
      </c>
      <c r="H23" s="22" t="s">
        <v>4</v>
      </c>
      <c r="I23" s="19"/>
      <c r="J23" s="19"/>
      <c r="K23" s="37" t="s">
        <v>18</v>
      </c>
      <c r="L23" s="38" t="s">
        <v>17</v>
      </c>
      <c r="M23" s="39" t="s">
        <v>16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</row>
    <row r="24" spans="1:50">
      <c r="A24" s="19"/>
      <c r="B24" s="27">
        <v>100</v>
      </c>
      <c r="C24" s="28">
        <v>690</v>
      </c>
      <c r="D24" s="29">
        <v>345</v>
      </c>
      <c r="E24" s="29">
        <v>105</v>
      </c>
      <c r="F24" s="29">
        <v>32</v>
      </c>
      <c r="G24" s="29">
        <v>9.5</v>
      </c>
      <c r="H24" s="29"/>
      <c r="I24" s="19"/>
      <c r="J24" s="27">
        <v>30</v>
      </c>
      <c r="K24" s="40">
        <f>(K15+Q15+W15+AC15+AI15)</f>
        <v>79.865771812080538</v>
      </c>
      <c r="L24" s="41">
        <f>(L15+R15+X15+AD15+AJ15)</f>
        <v>79.194630872483216</v>
      </c>
      <c r="M24" s="41">
        <f>(M15+S15+Y15+AE15+AK15)</f>
        <v>92.617449664429529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</row>
    <row r="25" spans="1:50">
      <c r="A25" s="19"/>
      <c r="B25" s="32">
        <v>75</v>
      </c>
      <c r="C25" s="33"/>
      <c r="D25" s="31">
        <v>445</v>
      </c>
      <c r="E25" s="31">
        <v>135</v>
      </c>
      <c r="F25" s="31">
        <v>40.5</v>
      </c>
      <c r="G25" s="31">
        <v>12.3</v>
      </c>
      <c r="H25" s="31"/>
      <c r="I25" s="19"/>
      <c r="J25" s="32">
        <v>20</v>
      </c>
      <c r="K25" s="42">
        <f>(K16+Q16+W16+AC16+AI16)/3</f>
        <v>82.308459775565026</v>
      </c>
      <c r="L25" s="43">
        <f>(L16+R16+X16+AD16+AJ16)/3</f>
        <v>81.741939307728785</v>
      </c>
      <c r="M25" s="43">
        <f>(M16+S16+Y16+AE16+AK16)/3</f>
        <v>93.124209736051853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R25" s="3"/>
      <c r="AX25" s="3"/>
    </row>
    <row r="26" spans="1:50">
      <c r="A26" s="19"/>
      <c r="B26" s="32">
        <v>45</v>
      </c>
      <c r="C26" s="33"/>
      <c r="D26" s="31">
        <v>710</v>
      </c>
      <c r="E26" s="31">
        <v>215</v>
      </c>
      <c r="F26" s="31">
        <v>63</v>
      </c>
      <c r="G26" s="31">
        <v>18.5</v>
      </c>
      <c r="H26" s="31"/>
      <c r="I26" s="19"/>
      <c r="J26" s="32">
        <v>10</v>
      </c>
      <c r="K26" s="42">
        <f>(K17+Q17+W17+AC17+AI17)/4</f>
        <v>84.195635607679321</v>
      </c>
      <c r="L26" s="43">
        <f>(L17+R17+X17+AD17+AJ17)/4</f>
        <v>83.779995213590652</v>
      </c>
      <c r="M26" s="43">
        <f>(M17+S17+Y17+AE17+AK17)/4</f>
        <v>93.876309535260262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R26" s="3"/>
      <c r="AX26" s="3"/>
    </row>
    <row r="27" spans="1:50">
      <c r="A27" s="19"/>
      <c r="B27" s="32">
        <v>20</v>
      </c>
      <c r="C27" s="33"/>
      <c r="D27" s="31"/>
      <c r="E27" s="31">
        <v>445</v>
      </c>
      <c r="F27" s="31">
        <v>130</v>
      </c>
      <c r="G27" s="31">
        <v>37.5</v>
      </c>
      <c r="H27" s="31">
        <v>7.4</v>
      </c>
      <c r="I27" s="19"/>
      <c r="J27" s="32">
        <v>5</v>
      </c>
      <c r="K27" s="42">
        <f t="shared" ref="K27:M28" si="0">(K18+Q18+W18+AC18+AI18)/5</f>
        <v>86.109082069093319</v>
      </c>
      <c r="L27" s="43">
        <f t="shared" si="0"/>
        <v>86.01378930215877</v>
      </c>
      <c r="M27" s="43">
        <f t="shared" si="0"/>
        <v>95.31366430225907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R27" s="3"/>
      <c r="AX27" s="3"/>
    </row>
    <row r="28" spans="1:50" ht="16.5" thickBot="1">
      <c r="A28" s="19"/>
      <c r="B28" s="35">
        <v>10</v>
      </c>
      <c r="C28" s="33"/>
      <c r="D28" s="31"/>
      <c r="E28" s="31"/>
      <c r="F28" s="31">
        <v>240</v>
      </c>
      <c r="G28" s="31">
        <v>69</v>
      </c>
      <c r="H28" s="31">
        <v>13.2</v>
      </c>
      <c r="I28" s="19"/>
      <c r="J28" s="32">
        <v>2.5</v>
      </c>
      <c r="K28" s="42">
        <f t="shared" si="0"/>
        <v>88.196530489754423</v>
      </c>
      <c r="L28" s="43">
        <f t="shared" si="0"/>
        <v>88.367844362600806</v>
      </c>
      <c r="M28" s="43">
        <f t="shared" si="0"/>
        <v>97.345324646008777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R28" s="3"/>
      <c r="AX28" s="3"/>
    </row>
    <row r="29" spans="1:50" ht="16.5" thickBot="1">
      <c r="A29" s="19"/>
      <c r="B29" s="19"/>
      <c r="C29" s="19"/>
      <c r="D29" s="19"/>
      <c r="E29" s="19"/>
      <c r="F29" s="19"/>
      <c r="G29" s="19"/>
      <c r="H29" s="19"/>
      <c r="I29" s="19"/>
      <c r="J29" s="35">
        <v>1</v>
      </c>
      <c r="K29" s="42">
        <f>(K20+Q20+W20+AC20+AI20)/2</f>
        <v>93.659147869674186</v>
      </c>
      <c r="L29" s="43">
        <f>(L20+R20+X20+AD20+AJ20)/2</f>
        <v>88.360902255639104</v>
      </c>
      <c r="M29" s="43">
        <f>(M20+S20+Y20+AE20+AK20)/2</f>
        <v>98.957393483709268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R29" s="3"/>
      <c r="AX29" s="3"/>
    </row>
    <row r="30" spans="1:50" ht="16.5" thickBo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4"/>
      <c r="O30" s="44"/>
      <c r="P30" s="19"/>
      <c r="Q30" s="19"/>
      <c r="R30" s="19"/>
      <c r="S30" s="19"/>
      <c r="T30" s="44"/>
      <c r="U30" s="44"/>
      <c r="V30" s="44"/>
      <c r="W30" s="44"/>
      <c r="X30" s="44"/>
      <c r="Y30" s="44"/>
      <c r="Z30" s="44"/>
      <c r="AA30" s="44"/>
      <c r="AB30" s="23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R30" s="3"/>
      <c r="AT30" s="3"/>
      <c r="AU30" s="3"/>
      <c r="AV30" s="3"/>
      <c r="AW30" s="3"/>
      <c r="AX30" s="3"/>
    </row>
    <row r="31" spans="1:50" ht="16.5" thickBot="1">
      <c r="A31" s="19"/>
      <c r="B31" s="19"/>
      <c r="C31" s="188" t="s">
        <v>13</v>
      </c>
      <c r="D31" s="189"/>
      <c r="E31" s="189"/>
      <c r="F31" s="189"/>
      <c r="G31" s="189"/>
      <c r="H31" s="190"/>
      <c r="I31" s="19"/>
      <c r="J31" s="19"/>
      <c r="K31" s="185" t="s">
        <v>83</v>
      </c>
      <c r="L31" s="186"/>
      <c r="M31" s="187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44"/>
      <c r="AN31" s="3"/>
      <c r="AO31" s="3"/>
      <c r="AP31" s="3"/>
      <c r="AQ31" s="3"/>
      <c r="AR31" s="3"/>
      <c r="AT31" s="3"/>
      <c r="AU31" s="3"/>
      <c r="AV31" s="3"/>
      <c r="AW31" s="3"/>
      <c r="AX31" s="3"/>
    </row>
    <row r="32" spans="1:50" ht="16.5" thickBot="1">
      <c r="A32" s="19"/>
      <c r="B32" s="19"/>
      <c r="C32" s="20" t="s">
        <v>1</v>
      </c>
      <c r="D32" s="21" t="s">
        <v>2</v>
      </c>
      <c r="E32" s="21" t="s">
        <v>14</v>
      </c>
      <c r="F32" s="21" t="s">
        <v>3</v>
      </c>
      <c r="G32" s="21" t="s">
        <v>5</v>
      </c>
      <c r="H32" s="22" t="s">
        <v>4</v>
      </c>
      <c r="I32" s="19"/>
      <c r="J32" s="19"/>
      <c r="K32" s="37" t="s">
        <v>26</v>
      </c>
      <c r="L32" s="38" t="s">
        <v>25</v>
      </c>
      <c r="M32" s="39" t="s">
        <v>24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44"/>
      <c r="AN32" s="3"/>
      <c r="AO32" s="3"/>
      <c r="AP32" s="3"/>
      <c r="AQ32" s="3"/>
      <c r="AR32" s="3"/>
      <c r="AT32" s="3"/>
      <c r="AU32" s="3"/>
      <c r="AV32" s="3"/>
      <c r="AW32" s="3"/>
      <c r="AX32" s="3"/>
    </row>
    <row r="33" spans="1:50">
      <c r="A33" s="19"/>
      <c r="B33" s="27">
        <v>100</v>
      </c>
      <c r="C33" s="28">
        <v>745</v>
      </c>
      <c r="D33" s="29">
        <v>370</v>
      </c>
      <c r="E33" s="29">
        <v>112</v>
      </c>
      <c r="F33" s="29">
        <v>33.5</v>
      </c>
      <c r="G33" s="29">
        <v>9.8000000000000007</v>
      </c>
      <c r="H33" s="29"/>
      <c r="I33" s="19"/>
      <c r="J33" s="27">
        <f t="shared" ref="J33:J38" si="1">J24</f>
        <v>30</v>
      </c>
      <c r="K33" s="18">
        <f>K24/100</f>
        <v>0.79865771812080544</v>
      </c>
      <c r="L33" s="18">
        <f>L24/100</f>
        <v>0.79194630872483218</v>
      </c>
      <c r="M33" s="18">
        <f>M24/100</f>
        <v>0.9261744966442953</v>
      </c>
      <c r="N33" s="44"/>
      <c r="O33" s="44"/>
      <c r="P33" s="19"/>
      <c r="Q33" s="23"/>
      <c r="R33" s="19"/>
      <c r="S33" s="19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N33" s="3"/>
      <c r="AO33" s="3"/>
      <c r="AP33" s="3"/>
      <c r="AQ33" s="3"/>
      <c r="AR33" s="3"/>
      <c r="AT33" s="3"/>
      <c r="AU33" s="3"/>
      <c r="AV33" s="3"/>
      <c r="AW33" s="3"/>
      <c r="AX33" s="3"/>
    </row>
    <row r="34" spans="1:50">
      <c r="A34" s="19"/>
      <c r="B34" s="32">
        <v>75</v>
      </c>
      <c r="C34" s="33"/>
      <c r="D34" s="31">
        <v>480</v>
      </c>
      <c r="E34" s="31">
        <v>145</v>
      </c>
      <c r="F34" s="31">
        <v>42.4</v>
      </c>
      <c r="G34" s="31">
        <v>12.5</v>
      </c>
      <c r="H34" s="31"/>
      <c r="I34" s="19"/>
      <c r="J34" s="32">
        <f t="shared" si="1"/>
        <v>20</v>
      </c>
      <c r="K34" s="18">
        <f t="shared" ref="K34:M38" si="2">K25/100</f>
        <v>0.82308459775565024</v>
      </c>
      <c r="L34" s="18">
        <f t="shared" si="2"/>
        <v>0.81741939307728784</v>
      </c>
      <c r="M34" s="18">
        <f t="shared" si="2"/>
        <v>0.93124209736051855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44"/>
      <c r="AN34" s="3"/>
      <c r="AO34" s="3"/>
      <c r="AP34" s="3"/>
      <c r="AQ34" s="3"/>
      <c r="AR34" s="3"/>
      <c r="AT34" s="3"/>
      <c r="AU34" s="3"/>
      <c r="AV34" s="3"/>
      <c r="AW34" s="3"/>
      <c r="AX34" s="3"/>
    </row>
    <row r="35" spans="1:50">
      <c r="A35" s="19"/>
      <c r="B35" s="32">
        <v>45</v>
      </c>
      <c r="C35" s="33"/>
      <c r="D35" s="31">
        <v>760</v>
      </c>
      <c r="E35" s="31">
        <v>225</v>
      </c>
      <c r="F35" s="31">
        <v>65</v>
      </c>
      <c r="G35" s="31">
        <v>18.8</v>
      </c>
      <c r="H35" s="31"/>
      <c r="I35" s="19"/>
      <c r="J35" s="32">
        <f t="shared" si="1"/>
        <v>10</v>
      </c>
      <c r="K35" s="18">
        <f t="shared" si="2"/>
        <v>0.8419563560767932</v>
      </c>
      <c r="L35" s="18">
        <f t="shared" si="2"/>
        <v>0.83779995213590652</v>
      </c>
      <c r="M35" s="18">
        <f t="shared" si="2"/>
        <v>0.93876309535260261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44"/>
      <c r="AN35" s="3"/>
      <c r="AO35" s="3"/>
      <c r="AP35" s="3"/>
      <c r="AQ35" s="3"/>
      <c r="AR35" s="3"/>
      <c r="AT35" s="3"/>
      <c r="AU35" s="3"/>
      <c r="AV35" s="3"/>
      <c r="AW35" s="3"/>
      <c r="AX35" s="3"/>
    </row>
    <row r="36" spans="1:50">
      <c r="A36" s="19"/>
      <c r="B36" s="32">
        <v>20</v>
      </c>
      <c r="C36" s="33"/>
      <c r="D36" s="31"/>
      <c r="E36" s="31">
        <v>478</v>
      </c>
      <c r="F36" s="31">
        <v>135</v>
      </c>
      <c r="G36" s="31">
        <v>38.6</v>
      </c>
      <c r="H36" s="31">
        <v>7.5</v>
      </c>
      <c r="I36" s="19"/>
      <c r="J36" s="32">
        <f t="shared" si="1"/>
        <v>5</v>
      </c>
      <c r="K36" s="18">
        <f t="shared" si="2"/>
        <v>0.86109082069093323</v>
      </c>
      <c r="L36" s="18">
        <f t="shared" si="2"/>
        <v>0.86013789302158772</v>
      </c>
      <c r="M36" s="18">
        <f t="shared" si="2"/>
        <v>0.95313664302259071</v>
      </c>
      <c r="N36" s="44"/>
      <c r="O36" s="44"/>
      <c r="P36" s="19"/>
      <c r="Q36" s="19"/>
      <c r="R36" s="19"/>
      <c r="S36" s="19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N36" s="3"/>
      <c r="AO36" s="3"/>
      <c r="AP36" s="3"/>
      <c r="AQ36" s="3"/>
      <c r="AR36" s="3"/>
      <c r="AT36" s="3"/>
      <c r="AU36" s="3"/>
      <c r="AV36" s="3"/>
      <c r="AW36" s="3"/>
      <c r="AX36" s="3"/>
    </row>
    <row r="37" spans="1:50" ht="16.5" thickBot="1">
      <c r="A37" s="19"/>
      <c r="B37" s="35">
        <v>10</v>
      </c>
      <c r="C37" s="33"/>
      <c r="D37" s="31"/>
      <c r="E37" s="31"/>
      <c r="F37" s="31">
        <v>260</v>
      </c>
      <c r="G37" s="31">
        <v>72</v>
      </c>
      <c r="H37" s="31">
        <v>13.3</v>
      </c>
      <c r="I37" s="19"/>
      <c r="J37" s="32">
        <f t="shared" si="1"/>
        <v>2.5</v>
      </c>
      <c r="K37" s="18">
        <f t="shared" si="2"/>
        <v>0.88196530489754421</v>
      </c>
      <c r="L37" s="18">
        <f t="shared" si="2"/>
        <v>0.88367844362600811</v>
      </c>
      <c r="M37" s="18">
        <f t="shared" si="2"/>
        <v>0.9734532464600878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44"/>
      <c r="AN37" s="3"/>
      <c r="AO37" s="3"/>
      <c r="AP37" s="3"/>
      <c r="AQ37" s="3"/>
      <c r="AR37" s="3"/>
      <c r="AT37" s="3"/>
      <c r="AU37" s="3"/>
      <c r="AV37" s="3"/>
      <c r="AW37" s="3"/>
      <c r="AX37" s="3"/>
    </row>
    <row r="38" spans="1:50" ht="16.5" thickBot="1">
      <c r="A38" s="19"/>
      <c r="B38" s="19"/>
      <c r="C38" s="19"/>
      <c r="D38" s="19"/>
      <c r="E38" s="19"/>
      <c r="F38" s="19"/>
      <c r="G38" s="19"/>
      <c r="H38" s="19"/>
      <c r="I38" s="19"/>
      <c r="J38" s="45">
        <f t="shared" si="1"/>
        <v>1</v>
      </c>
      <c r="K38" s="18">
        <f t="shared" si="2"/>
        <v>0.93659147869674186</v>
      </c>
      <c r="L38" s="18">
        <f t="shared" si="2"/>
        <v>0.88360902255639107</v>
      </c>
      <c r="M38" s="18">
        <f t="shared" si="2"/>
        <v>0.98957393483709266</v>
      </c>
      <c r="N38" s="44"/>
      <c r="O38" s="44"/>
      <c r="P38" s="44"/>
      <c r="Q38" s="44"/>
      <c r="R38" s="19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N38" s="3"/>
      <c r="AO38" s="3"/>
      <c r="AP38" s="3"/>
      <c r="AQ38" s="3"/>
      <c r="AR38" s="3"/>
      <c r="AT38" s="3"/>
      <c r="AU38" s="3"/>
      <c r="AV38" s="3"/>
      <c r="AW38" s="3"/>
      <c r="AX38" s="3"/>
    </row>
    <row r="39" spans="1:50">
      <c r="J39" s="3"/>
      <c r="K39" s="3"/>
      <c r="L39" s="3"/>
      <c r="M39" s="3"/>
      <c r="N39" s="3"/>
      <c r="O39" s="3"/>
      <c r="P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E39" s="3"/>
      <c r="AF39" s="3"/>
      <c r="AG39" s="3"/>
      <c r="AH39" s="3"/>
      <c r="AI39" s="3"/>
      <c r="AJ39" s="3"/>
      <c r="AK39" s="3"/>
      <c r="AL39" s="3"/>
      <c r="AN39" s="3"/>
      <c r="AO39" s="3"/>
      <c r="AP39" s="3"/>
      <c r="AQ39" s="3"/>
      <c r="AR39" s="3"/>
      <c r="AT39" s="3"/>
      <c r="AU39" s="3"/>
      <c r="AV39" s="3"/>
      <c r="AW39" s="3"/>
      <c r="AX39" s="3"/>
    </row>
    <row r="41" spans="1:50"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N41" s="3"/>
      <c r="AO41" s="3"/>
      <c r="AP41" s="3"/>
      <c r="AQ41" s="3"/>
      <c r="AR41" s="3"/>
      <c r="AT41" s="3"/>
      <c r="AU41" s="3"/>
      <c r="AV41" s="3"/>
      <c r="AW41" s="3"/>
      <c r="AX41" s="3"/>
    </row>
    <row r="42" spans="1:50"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N42" s="3"/>
      <c r="AO42" s="3"/>
      <c r="AP42" s="3"/>
      <c r="AQ42" s="3"/>
      <c r="AR42" s="3"/>
      <c r="AT42" s="3"/>
      <c r="AU42" s="3"/>
      <c r="AV42" s="3"/>
      <c r="AW42" s="3"/>
      <c r="AX42" s="3"/>
    </row>
    <row r="43" spans="1:50"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N43" s="3"/>
      <c r="AO43" s="3"/>
      <c r="AP43" s="3"/>
      <c r="AQ43" s="3"/>
      <c r="AR43" s="3"/>
      <c r="AT43" s="3"/>
      <c r="AU43" s="3"/>
      <c r="AV43" s="3"/>
      <c r="AW43" s="3"/>
      <c r="AX43" s="3"/>
    </row>
    <row r="44" spans="1:50"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N44" s="3"/>
      <c r="AO44" s="3"/>
      <c r="AP44" s="3"/>
      <c r="AQ44" s="3"/>
      <c r="AR44" s="3"/>
      <c r="AT44" s="3"/>
      <c r="AU44" s="3"/>
      <c r="AV44" s="3"/>
      <c r="AW44" s="3"/>
      <c r="AX44" s="3"/>
    </row>
    <row r="45" spans="1:50">
      <c r="J45" s="3"/>
      <c r="K45" s="3"/>
      <c r="L45" s="3"/>
      <c r="M45" s="3"/>
      <c r="N45" s="3"/>
      <c r="O45" s="3"/>
      <c r="P45" s="3"/>
      <c r="Q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N45" s="3"/>
      <c r="AO45" s="3"/>
      <c r="AP45" s="3"/>
      <c r="AQ45" s="3"/>
      <c r="AR45" s="3"/>
      <c r="AT45" s="3"/>
      <c r="AU45" s="3"/>
      <c r="AV45" s="3"/>
      <c r="AW45" s="3"/>
      <c r="AX45" s="3"/>
    </row>
    <row r="46" spans="1:50">
      <c r="J46" s="3"/>
      <c r="K46" s="3"/>
      <c r="L46" s="3"/>
      <c r="M46" s="3"/>
      <c r="N46" s="3"/>
      <c r="O46" s="3"/>
      <c r="P46" s="3"/>
      <c r="Q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N46" s="3"/>
      <c r="AO46" s="3"/>
      <c r="AP46" s="3"/>
      <c r="AQ46" s="3"/>
      <c r="AR46" s="3"/>
      <c r="AT46" s="3"/>
      <c r="AU46" s="3"/>
      <c r="AV46" s="3"/>
      <c r="AW46" s="3"/>
      <c r="AX46" s="3"/>
    </row>
    <row r="47" spans="1:50">
      <c r="J47" s="3"/>
      <c r="K47" s="3"/>
      <c r="L47" s="3"/>
      <c r="M47" s="3"/>
      <c r="N47" s="3"/>
      <c r="O47" s="3"/>
      <c r="P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N47" s="3"/>
      <c r="AO47" s="3"/>
      <c r="AP47" s="3"/>
      <c r="AQ47" s="3"/>
      <c r="AR47" s="3"/>
      <c r="AT47" s="3"/>
      <c r="AU47" s="3"/>
      <c r="AV47" s="3"/>
      <c r="AW47" s="3"/>
      <c r="AX47" s="3"/>
    </row>
    <row r="52" spans="2:8">
      <c r="B52" s="3"/>
      <c r="C52" s="3"/>
      <c r="D52" s="3"/>
      <c r="E52" s="3"/>
      <c r="F52" s="3"/>
      <c r="G52" s="3"/>
      <c r="H52" s="3"/>
    </row>
    <row r="53" spans="2:8">
      <c r="B53" s="3"/>
      <c r="C53" s="3"/>
      <c r="D53" s="3"/>
      <c r="E53" s="3"/>
      <c r="F53" s="3"/>
      <c r="G53" s="3"/>
      <c r="H53" s="3"/>
    </row>
    <row r="54" spans="2:8">
      <c r="B54" s="3"/>
      <c r="C54" s="3"/>
      <c r="D54" s="3"/>
      <c r="E54" s="3"/>
      <c r="F54" s="3"/>
      <c r="G54" s="3"/>
      <c r="H54" s="3"/>
    </row>
    <row r="55" spans="2:8">
      <c r="B55" s="3"/>
      <c r="C55" s="3"/>
      <c r="D55" s="3"/>
      <c r="E55" s="3"/>
      <c r="F55" s="3"/>
      <c r="G55" s="3"/>
      <c r="H55" s="3"/>
    </row>
  </sheetData>
  <sheetProtection password="CC67" sheet="1" objects="1" scenarios="1"/>
  <mergeCells count="17">
    <mergeCell ref="K22:M22"/>
    <mergeCell ref="AO13:AR13"/>
    <mergeCell ref="AI13:AK13"/>
    <mergeCell ref="K13:M13"/>
    <mergeCell ref="Q13:S13"/>
    <mergeCell ref="W13:Y13"/>
    <mergeCell ref="AC13:AE13"/>
    <mergeCell ref="K31:M31"/>
    <mergeCell ref="C31:H31"/>
    <mergeCell ref="AC4:AF4"/>
    <mergeCell ref="AI4:AL4"/>
    <mergeCell ref="C13:H13"/>
    <mergeCell ref="C22:H22"/>
    <mergeCell ref="C4:H4"/>
    <mergeCell ref="K4:N4"/>
    <mergeCell ref="Q4:T4"/>
    <mergeCell ref="W4:Z4"/>
  </mergeCells>
  <phoneticPr fontId="0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N8:P55"/>
  <sheetViews>
    <sheetView showGridLines="0" workbookViewId="0"/>
  </sheetViews>
  <sheetFormatPr defaultRowHeight="15"/>
  <sheetData>
    <row r="8" spans="14:15">
      <c r="N8" s="80">
        <v>1.5499999999999999E-3</v>
      </c>
      <c r="O8" s="80" t="s">
        <v>72</v>
      </c>
    </row>
    <row r="9" spans="14:15">
      <c r="N9" s="80">
        <v>7.7499999999999997E-4</v>
      </c>
      <c r="O9" s="80" t="s">
        <v>73</v>
      </c>
    </row>
    <row r="10" spans="14:15">
      <c r="N10" s="80">
        <v>3.88E-4</v>
      </c>
      <c r="O10" s="80" t="s">
        <v>74</v>
      </c>
    </row>
    <row r="11" spans="14:15">
      <c r="N11" s="80">
        <v>2.5799999999999998E-4</v>
      </c>
      <c r="O11" s="80" t="s">
        <v>75</v>
      </c>
    </row>
    <row r="55" spans="16:16">
      <c r="P55" s="13"/>
    </row>
  </sheetData>
  <sheetProtection password="CC67" sheet="1" objects="1" scenarios="1"/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IPC-2152</vt:lpstr>
      <vt:lpstr>CV</vt:lpstr>
      <vt:lpstr>CVmod-Planes</vt:lpstr>
      <vt:lpstr>CVmod-Material</vt:lpstr>
      <vt:lpstr>CVmod-Thickness</vt:lpstr>
      <vt:lpstr>CVmod-Ounce</vt:lpstr>
      <vt:lpstr>CVtoWIDTH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Using IPC-2152 to determine Trace Width </dc:title>
  <dc:subject>Current Carrying Capability</dc:subject>
  <dc:creator>Jack Olson and Borko Bozickovic</dc:creator>
  <cp:lastModifiedBy>Thompson, Duane</cp:lastModifiedBy>
  <cp:lastPrinted>2009-10-15T18:16:58Z</cp:lastPrinted>
  <dcterms:created xsi:type="dcterms:W3CDTF">2009-10-14T12:33:49Z</dcterms:created>
  <dcterms:modified xsi:type="dcterms:W3CDTF">2013-10-29T14:11:21Z</dcterms:modified>
  <cp:category>PCB</cp:category>
</cp:coreProperties>
</file>