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Energy-PowerRequirements" sheetId="1" r:id="rId1"/>
    <sheet name="Motor-Drive-Controller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1" i="1" l="1"/>
  <c r="L11" i="1"/>
  <c r="B11" i="1" l="1"/>
  <c r="E17" i="2"/>
  <c r="B9" i="1"/>
  <c r="C8" i="1" l="1"/>
  <c r="C31" i="1" s="1"/>
  <c r="F39" i="2"/>
  <c r="C39" i="2"/>
  <c r="D39" i="2"/>
  <c r="F10" i="2" l="1"/>
  <c r="F27" i="2"/>
  <c r="F12" i="2"/>
  <c r="F11" i="2"/>
  <c r="F6" i="2"/>
  <c r="F23" i="2"/>
  <c r="F18" i="2"/>
  <c r="F19" i="2" s="1"/>
  <c r="F21" i="2"/>
  <c r="E12" i="2"/>
  <c r="D12" i="2"/>
  <c r="C12" i="2"/>
  <c r="E27" i="2"/>
  <c r="D27" i="2"/>
  <c r="C27" i="2"/>
  <c r="D10" i="2"/>
  <c r="C10" i="2"/>
  <c r="C11" i="2"/>
  <c r="D11" i="2"/>
  <c r="E11" i="2"/>
  <c r="E10" i="2"/>
  <c r="E22" i="2"/>
  <c r="D22" i="2"/>
  <c r="C22" i="2"/>
  <c r="E23" i="2"/>
  <c r="D23" i="2"/>
  <c r="C23" i="2"/>
  <c r="E21" i="2"/>
  <c r="E19" i="2"/>
  <c r="E39" i="2" s="1"/>
  <c r="D19" i="2"/>
  <c r="C19" i="2"/>
  <c r="D21" i="2"/>
  <c r="C21" i="2"/>
  <c r="J15" i="1" l="1"/>
  <c r="K15" i="1"/>
  <c r="L15" i="1"/>
  <c r="B21" i="1"/>
  <c r="B22" i="1" s="1"/>
  <c r="B23" i="1" s="1"/>
  <c r="B24" i="1" s="1"/>
  <c r="B25" i="1" s="1"/>
  <c r="A21" i="1"/>
  <c r="A22" i="1" s="1"/>
  <c r="F8" i="1"/>
  <c r="F9" i="1" s="1"/>
  <c r="E12" i="1"/>
  <c r="E11" i="1"/>
  <c r="E10" i="1"/>
  <c r="E9" i="1"/>
  <c r="E8" i="1"/>
  <c r="D9" i="1"/>
  <c r="D8" i="1"/>
  <c r="D31" i="1" s="1"/>
  <c r="C12" i="1"/>
  <c r="D12" i="1" s="1"/>
  <c r="D11" i="1"/>
  <c r="A23" i="1" l="1"/>
  <c r="C10" i="1"/>
  <c r="D10" i="1" s="1"/>
  <c r="G8" i="1"/>
  <c r="H8" i="1" s="1"/>
  <c r="F12" i="1"/>
  <c r="G12" i="1" s="1"/>
  <c r="H12" i="1" s="1"/>
  <c r="G9" i="1"/>
  <c r="H9" i="1" s="1"/>
  <c r="F10" i="1"/>
  <c r="F11" i="1"/>
  <c r="G11" i="1" s="1"/>
  <c r="H11" i="1" s="1"/>
  <c r="G10" i="1" l="1"/>
  <c r="I10" i="1" s="1"/>
  <c r="A24" i="1"/>
  <c r="H10" i="1"/>
  <c r="I11" i="1"/>
  <c r="I12" i="1"/>
  <c r="L12" i="1" l="1"/>
  <c r="J12" i="1"/>
  <c r="J11" i="1"/>
  <c r="K11" i="1" s="1"/>
  <c r="J10" i="1"/>
  <c r="K10" i="1" s="1"/>
  <c r="L10" i="1"/>
  <c r="A25" i="1"/>
  <c r="J20" i="1" l="1"/>
  <c r="K12" i="1"/>
  <c r="J25" i="1"/>
  <c r="J24" i="1"/>
  <c r="J23" i="1"/>
  <c r="J22" i="1"/>
  <c r="J21" i="1"/>
  <c r="K20" i="1" l="1"/>
  <c r="K25" i="1"/>
  <c r="K23" i="1"/>
  <c r="K24" i="1"/>
  <c r="K21" i="1"/>
  <c r="K22" i="1"/>
</calcChain>
</file>

<file path=xl/sharedStrings.xml><?xml version="1.0" encoding="utf-8"?>
<sst xmlns="http://schemas.openxmlformats.org/spreadsheetml/2006/main" count="65" uniqueCount="54">
  <si>
    <t>Plate Gear</t>
  </si>
  <si>
    <t>Spur Gear</t>
  </si>
  <si>
    <t xml:space="preserve">Motor Shaft </t>
  </si>
  <si>
    <t>GearBox Ratio</t>
  </si>
  <si>
    <t>Torque</t>
  </si>
  <si>
    <t>RPM</t>
  </si>
  <si>
    <t>Power (W)</t>
  </si>
  <si>
    <t>Working Torque</t>
  </si>
  <si>
    <t>Torque Factor</t>
  </si>
  <si>
    <t xml:space="preserve">Close Time = </t>
  </si>
  <si>
    <t>Energy (W-Hrs)</t>
  </si>
  <si>
    <t xml:space="preserve">Voltage = </t>
  </si>
  <si>
    <t>A-Hrs</t>
  </si>
  <si>
    <t>Mechanical</t>
  </si>
  <si>
    <t xml:space="preserve">Motor/Drive Eff = </t>
  </si>
  <si>
    <t>Electrical</t>
  </si>
  <si>
    <t>Amps</t>
  </si>
  <si>
    <t>Totals</t>
  </si>
  <si>
    <t># Hours</t>
  </si>
  <si>
    <t># Closures</t>
  </si>
  <si>
    <t>Controller Energy Per Hour</t>
  </si>
  <si>
    <t>Time Factor</t>
  </si>
  <si>
    <t>Motor Power/Energy/Current (Per Closure)</t>
  </si>
  <si>
    <t>Motor</t>
  </si>
  <si>
    <t>GearBox</t>
  </si>
  <si>
    <t>Option 1</t>
  </si>
  <si>
    <t>Cost</t>
  </si>
  <si>
    <t>Vendor/Model</t>
  </si>
  <si>
    <t>Cont Torque</t>
  </si>
  <si>
    <t>Cont Current</t>
  </si>
  <si>
    <t>Ratio</t>
  </si>
  <si>
    <t>Maxon EC60</t>
  </si>
  <si>
    <t>Maxon GP81A</t>
  </si>
  <si>
    <t>P/N</t>
  </si>
  <si>
    <t>Input Torque (N-m)</t>
  </si>
  <si>
    <t>Cont  OutputTorque (N-m)</t>
  </si>
  <si>
    <t>Option 2</t>
  </si>
  <si>
    <t>Peak Speed (RPM)</t>
  </si>
  <si>
    <t>Max OutPut Speed (RPM)</t>
  </si>
  <si>
    <t>Max Input Speed (RPM)</t>
  </si>
  <si>
    <t>Maxon EC45</t>
  </si>
  <si>
    <t>Maxon GP62A</t>
  </si>
  <si>
    <t>Diameter (inches)</t>
  </si>
  <si>
    <t>Length (inches)</t>
  </si>
  <si>
    <t>Diameter estimate including encoder/connector housing, flange, etc.</t>
  </si>
  <si>
    <t>Length Total</t>
  </si>
  <si>
    <t>Option 3</t>
  </si>
  <si>
    <t>Torque Constant (N-m/A)</t>
  </si>
  <si>
    <t>Controller Requirements</t>
  </si>
  <si>
    <t>Contininous Current (A)</t>
  </si>
  <si>
    <t xml:space="preserve">Applied Motion </t>
  </si>
  <si>
    <t>N-m/In-lb =</t>
  </si>
  <si>
    <t>80PE100</t>
  </si>
  <si>
    <t>Force on Stop @ 1m (lbs)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</si>
</sst>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\ &quot; Seconds&quot;"/>
    <numFmt numFmtId="165" formatCode="&quot;Close time = &quot;\ #\ &quot; Seconds&quot;"/>
    <numFmt numFmtId="166" formatCode="#\ &quot;Volts&quot;"/>
    <numFmt numFmtId="167" formatCode="0.0000"/>
    <numFmt numFmtId="168" formatCode="0.00\ &quot;N-m&quot;"/>
    <numFmt numFmtId="169" formatCode="0.00\ &quot;sec&quot;"/>
    <numFmt numFmtId="170" formatCode="0.00\ &quot;W-Hrs&quot;"/>
    <numFmt numFmtId="171" formatCode="0.00\ &quot;W&quot;"/>
    <numFmt numFmtId="172" formatCode="0.000\ &quot;A-Hrs&quot;"/>
    <numFmt numFmtId="173" formatCode="0.000\ &quot;Amps&quot;"/>
    <numFmt numFmtId="174" formatCode="0.000\ &quot;A&quot;"/>
    <numFmt numFmtId="175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7" fontId="0" fillId="0" borderId="0" xfId="0" applyNumberFormat="1"/>
    <xf numFmtId="168" fontId="0" fillId="0" borderId="0" xfId="0" applyNumberFormat="1"/>
    <xf numFmtId="0" fontId="2" fillId="0" borderId="0" xfId="0" applyFont="1"/>
    <xf numFmtId="169" fontId="0" fillId="0" borderId="0" xfId="0" applyNumberFormat="1"/>
    <xf numFmtId="0" fontId="1" fillId="0" borderId="0" xfId="0" applyFont="1"/>
    <xf numFmtId="166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0" fillId="2" borderId="0" xfId="0" applyFill="1"/>
    <xf numFmtId="2" fontId="0" fillId="2" borderId="0" xfId="0" applyNumberFormat="1" applyFill="1"/>
    <xf numFmtId="168" fontId="0" fillId="2" borderId="0" xfId="0" applyNumberFormat="1" applyFill="1"/>
    <xf numFmtId="169" fontId="0" fillId="2" borderId="0" xfId="0" applyNumberFormat="1" applyFill="1"/>
    <xf numFmtId="167" fontId="0" fillId="2" borderId="0" xfId="0" applyNumberFormat="1" applyFill="1"/>
    <xf numFmtId="171" fontId="0" fillId="2" borderId="0" xfId="0" applyNumberFormat="1" applyFill="1"/>
    <xf numFmtId="170" fontId="0" fillId="2" borderId="0" xfId="0" applyNumberFormat="1" applyFill="1"/>
    <xf numFmtId="172" fontId="0" fillId="2" borderId="0" xfId="0" applyNumberFormat="1" applyFill="1"/>
    <xf numFmtId="174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workbookViewId="0">
      <selection activeCell="B2" sqref="B2"/>
    </sheetView>
  </sheetViews>
  <sheetFormatPr defaultRowHeight="15" x14ac:dyDescent="0.25"/>
  <cols>
    <col min="1" max="1" width="16.28515625" customWidth="1"/>
    <col min="2" max="2" width="14.85546875" customWidth="1"/>
    <col min="3" max="3" width="18.85546875" customWidth="1"/>
    <col min="4" max="5" width="15.140625" customWidth="1"/>
    <col min="6" max="6" width="12.42578125" customWidth="1"/>
    <col min="7" max="7" width="14.5703125" customWidth="1"/>
    <col min="8" max="8" width="16.140625" customWidth="1"/>
    <col min="9" max="9" width="13.5703125" customWidth="1"/>
    <col min="10" max="10" width="16.7109375" customWidth="1"/>
    <col min="11" max="11" width="13.85546875" customWidth="1"/>
    <col min="12" max="12" width="11" customWidth="1"/>
  </cols>
  <sheetData>
    <row r="1" spans="1:12" x14ac:dyDescent="0.25">
      <c r="A1" s="4" t="s">
        <v>11</v>
      </c>
      <c r="B1" s="10">
        <v>36</v>
      </c>
    </row>
    <row r="2" spans="1:12" x14ac:dyDescent="0.25">
      <c r="A2" s="4" t="s">
        <v>9</v>
      </c>
      <c r="B2" s="11">
        <v>10</v>
      </c>
      <c r="C2" s="3"/>
      <c r="D2" s="3"/>
      <c r="E2" s="3"/>
      <c r="F2" s="3"/>
    </row>
    <row r="3" spans="1:12" x14ac:dyDescent="0.25">
      <c r="A3" t="s">
        <v>14</v>
      </c>
      <c r="B3" s="12">
        <v>0.5</v>
      </c>
    </row>
    <row r="5" spans="1:12" x14ac:dyDescent="0.25">
      <c r="A5" s="7" t="s">
        <v>22</v>
      </c>
    </row>
    <row r="6" spans="1:12" x14ac:dyDescent="0.25">
      <c r="C6" s="2" t="s">
        <v>7</v>
      </c>
      <c r="D6" s="2" t="s">
        <v>8</v>
      </c>
      <c r="E6" s="2" t="s">
        <v>21</v>
      </c>
      <c r="G6" s="29" t="s">
        <v>13</v>
      </c>
      <c r="H6" s="29"/>
      <c r="I6" s="29" t="s">
        <v>15</v>
      </c>
      <c r="J6" s="29"/>
      <c r="K6" s="29"/>
    </row>
    <row r="7" spans="1:12" x14ac:dyDescent="0.25">
      <c r="B7" s="2" t="s">
        <v>3</v>
      </c>
      <c r="C7" s="2" t="s">
        <v>4</v>
      </c>
      <c r="D7" s="13">
        <v>4</v>
      </c>
      <c r="E7" s="13">
        <v>2.5</v>
      </c>
      <c r="F7" s="2" t="s">
        <v>5</v>
      </c>
      <c r="G7" s="2" t="s">
        <v>6</v>
      </c>
      <c r="H7" s="2" t="s">
        <v>10</v>
      </c>
      <c r="I7" s="2" t="s">
        <v>6</v>
      </c>
      <c r="J7" s="2" t="s">
        <v>10</v>
      </c>
      <c r="K7" s="2" t="s">
        <v>12</v>
      </c>
      <c r="L7" s="2" t="s">
        <v>16</v>
      </c>
    </row>
    <row r="8" spans="1:12" x14ac:dyDescent="0.25">
      <c r="A8" t="s">
        <v>0</v>
      </c>
      <c r="B8">
        <v>1</v>
      </c>
      <c r="C8" s="6">
        <f>+C9*B9</f>
        <v>80</v>
      </c>
      <c r="D8" s="6">
        <f>+D$7*C8</f>
        <v>320</v>
      </c>
      <c r="E8" s="8">
        <f>+$B$2*$E$7</f>
        <v>25</v>
      </c>
      <c r="F8">
        <f>(60/B2)*60/360</f>
        <v>1</v>
      </c>
      <c r="G8" s="1">
        <f>$D8*2*PI()*F8/60</f>
        <v>33.510321638291124</v>
      </c>
      <c r="H8" s="5">
        <f>+G8*E8/3600</f>
        <v>0.23271056693257725</v>
      </c>
      <c r="I8" s="14"/>
      <c r="J8" s="5"/>
      <c r="K8" s="16"/>
      <c r="L8" s="5"/>
    </row>
    <row r="9" spans="1:12" x14ac:dyDescent="0.25">
      <c r="A9" t="s">
        <v>1</v>
      </c>
      <c r="B9">
        <f>20/3</f>
        <v>6.666666666666667</v>
      </c>
      <c r="C9" s="6">
        <v>12</v>
      </c>
      <c r="D9" s="6">
        <f>+D$7*C9</f>
        <v>48</v>
      </c>
      <c r="E9" s="8">
        <f>+$B$2*$E$7</f>
        <v>25</v>
      </c>
      <c r="F9">
        <f>+F8*B9</f>
        <v>6.666666666666667</v>
      </c>
      <c r="G9" s="1">
        <f>$D9*2*PI()*F9/60</f>
        <v>33.510321638291124</v>
      </c>
      <c r="H9" s="5">
        <f t="shared" ref="H9:H12" si="0">+G9*E9/3600</f>
        <v>0.23271056693257725</v>
      </c>
      <c r="I9" s="14"/>
      <c r="J9" s="5"/>
      <c r="K9" s="16"/>
      <c r="L9" s="5"/>
    </row>
    <row r="10" spans="1:12" x14ac:dyDescent="0.25">
      <c r="A10" t="s">
        <v>2</v>
      </c>
      <c r="B10">
        <v>100</v>
      </c>
      <c r="C10" s="6">
        <f>+C$9/B10</f>
        <v>0.12</v>
      </c>
      <c r="D10" s="6">
        <f>+D$7*C10</f>
        <v>0.48</v>
      </c>
      <c r="E10" s="8">
        <f>+$B$2*$E$7</f>
        <v>25</v>
      </c>
      <c r="F10">
        <f>+F$9*B10</f>
        <v>666.66666666666674</v>
      </c>
      <c r="G10" s="1">
        <f>$D10*2*PI()*F10/60</f>
        <v>33.510321638291124</v>
      </c>
      <c r="H10" s="5">
        <f t="shared" si="0"/>
        <v>0.23271056693257725</v>
      </c>
      <c r="I10" s="15">
        <f>+G10/$B$3</f>
        <v>67.020643276582248</v>
      </c>
      <c r="J10" s="14">
        <f>+I10*E8/3600</f>
        <v>0.46542113386515449</v>
      </c>
      <c r="K10" s="16">
        <f>+J10/$B$1</f>
        <v>1.2928364829587626E-2</v>
      </c>
      <c r="L10" s="18">
        <f t="shared" ref="L10:L12" si="1">+I10/$B$1</f>
        <v>1.861684535460618</v>
      </c>
    </row>
    <row r="11" spans="1:12" x14ac:dyDescent="0.25">
      <c r="B11" s="20">
        <f>41553/176</f>
        <v>236.09659090909091</v>
      </c>
      <c r="C11" s="22">
        <f>+C$9/B11</f>
        <v>5.0826655115154142E-2</v>
      </c>
      <c r="D11" s="22">
        <f>+D$7*C11</f>
        <v>0.20330662046061657</v>
      </c>
      <c r="E11" s="23">
        <f>+$B$2*$E$7</f>
        <v>25</v>
      </c>
      <c r="F11" s="20">
        <f>+F$9*B11</f>
        <v>1573.9772727272727</v>
      </c>
      <c r="G11" s="21">
        <f>$D11*2*PI()*F11/60</f>
        <v>33.510321638291131</v>
      </c>
      <c r="H11" s="24">
        <f t="shared" si="0"/>
        <v>0.2327105669325773</v>
      </c>
      <c r="I11" s="25">
        <f>+G11/$B$3</f>
        <v>67.020643276582263</v>
      </c>
      <c r="J11" s="26">
        <f t="shared" ref="J11:J12" si="2">+I11*E9/3600</f>
        <v>0.4654211338651546</v>
      </c>
      <c r="K11" s="27">
        <f>+J11/$B$1</f>
        <v>1.2928364829587627E-2</v>
      </c>
      <c r="L11" s="28">
        <f>+I11/$B$1</f>
        <v>1.8616845354606184</v>
      </c>
    </row>
    <row r="12" spans="1:12" x14ac:dyDescent="0.25">
      <c r="B12">
        <v>300</v>
      </c>
      <c r="C12" s="6">
        <f>+C$9/B12</f>
        <v>0.04</v>
      </c>
      <c r="D12" s="6">
        <f>+D$7*C12</f>
        <v>0.16</v>
      </c>
      <c r="E12" s="8">
        <f>+$B$2*$E$7</f>
        <v>25</v>
      </c>
      <c r="F12">
        <f>+F$9*B12</f>
        <v>2000</v>
      </c>
      <c r="G12" s="1">
        <f>$D12*2*PI()*F12/60</f>
        <v>33.510321638291131</v>
      </c>
      <c r="H12" s="5">
        <f t="shared" si="0"/>
        <v>0.2327105669325773</v>
      </c>
      <c r="I12" s="15">
        <f>+G12/$B$3</f>
        <v>67.020643276582263</v>
      </c>
      <c r="J12" s="14">
        <f t="shared" si="2"/>
        <v>0.4654211338651546</v>
      </c>
      <c r="K12" s="16">
        <f>+J12/$B$1</f>
        <v>1.2928364829587627E-2</v>
      </c>
      <c r="L12" s="18">
        <f t="shared" si="1"/>
        <v>1.8616845354606184</v>
      </c>
    </row>
    <row r="13" spans="1:12" x14ac:dyDescent="0.25">
      <c r="I13" s="15"/>
      <c r="J13" s="14"/>
      <c r="K13" s="16"/>
      <c r="L13" s="18"/>
    </row>
    <row r="14" spans="1:12" x14ac:dyDescent="0.25">
      <c r="I14" s="15"/>
      <c r="J14" s="14"/>
      <c r="K14" s="16"/>
      <c r="L14" s="18"/>
    </row>
    <row r="15" spans="1:12" x14ac:dyDescent="0.25">
      <c r="A15" s="7" t="s">
        <v>20</v>
      </c>
      <c r="I15" s="15">
        <v>2</v>
      </c>
      <c r="J15" s="14">
        <f>+I15*1</f>
        <v>2</v>
      </c>
      <c r="K15" s="16">
        <f>+J15/B1</f>
        <v>5.5555555555555552E-2</v>
      </c>
      <c r="L15" s="18">
        <f>+I15/B1</f>
        <v>5.5555555555555552E-2</v>
      </c>
    </row>
    <row r="16" spans="1:12" x14ac:dyDescent="0.25">
      <c r="J16" s="14"/>
      <c r="K16" s="16"/>
      <c r="L16" s="17"/>
    </row>
    <row r="17" spans="1:12" x14ac:dyDescent="0.25">
      <c r="J17" s="14"/>
      <c r="K17" s="16"/>
      <c r="L17" s="17"/>
    </row>
    <row r="18" spans="1:12" x14ac:dyDescent="0.25">
      <c r="A18" s="7" t="s">
        <v>17</v>
      </c>
      <c r="J18" s="14"/>
      <c r="K18" s="16"/>
      <c r="L18" s="17"/>
    </row>
    <row r="19" spans="1:12" x14ac:dyDescent="0.25">
      <c r="A19" s="2" t="s">
        <v>19</v>
      </c>
      <c r="B19" s="2" t="s">
        <v>18</v>
      </c>
      <c r="J19" s="14"/>
      <c r="K19" s="16"/>
      <c r="L19" s="17"/>
    </row>
    <row r="20" spans="1:12" x14ac:dyDescent="0.25">
      <c r="A20">
        <v>1</v>
      </c>
      <c r="B20">
        <v>1</v>
      </c>
      <c r="E20" s="9"/>
      <c r="J20" s="14">
        <f t="shared" ref="J20:K25" si="3">+$A20*J$12+$B20*J$15</f>
        <v>2.4654211338651546</v>
      </c>
      <c r="K20" s="16">
        <f t="shared" si="3"/>
        <v>6.8483920385143185E-2</v>
      </c>
      <c r="L20" s="17"/>
    </row>
    <row r="21" spans="1:12" x14ac:dyDescent="0.25">
      <c r="A21">
        <f t="shared" ref="A21:B25" si="4">+A20*2</f>
        <v>2</v>
      </c>
      <c r="B21">
        <f t="shared" si="4"/>
        <v>2</v>
      </c>
      <c r="J21" s="14">
        <f t="shared" si="3"/>
        <v>4.9308422677303092</v>
      </c>
      <c r="K21" s="16">
        <f t="shared" si="3"/>
        <v>0.13696784077028637</v>
      </c>
      <c r="L21" s="17"/>
    </row>
    <row r="22" spans="1:12" x14ac:dyDescent="0.25">
      <c r="A22">
        <f t="shared" si="4"/>
        <v>4</v>
      </c>
      <c r="B22">
        <f t="shared" si="4"/>
        <v>4</v>
      </c>
      <c r="J22" s="14">
        <f t="shared" si="3"/>
        <v>9.8616845354606184</v>
      </c>
      <c r="K22" s="16">
        <f t="shared" si="3"/>
        <v>0.27393568154057274</v>
      </c>
      <c r="L22" s="17"/>
    </row>
    <row r="23" spans="1:12" x14ac:dyDescent="0.25">
      <c r="A23">
        <f t="shared" si="4"/>
        <v>8</v>
      </c>
      <c r="B23">
        <f t="shared" si="4"/>
        <v>8</v>
      </c>
      <c r="J23" s="14">
        <f t="shared" si="3"/>
        <v>19.723369070921237</v>
      </c>
      <c r="K23" s="16">
        <f t="shared" si="3"/>
        <v>0.54787136308114548</v>
      </c>
      <c r="L23" s="17"/>
    </row>
    <row r="24" spans="1:12" x14ac:dyDescent="0.25">
      <c r="A24">
        <f t="shared" si="4"/>
        <v>16</v>
      </c>
      <c r="B24">
        <f t="shared" si="4"/>
        <v>16</v>
      </c>
      <c r="J24" s="14">
        <f t="shared" si="3"/>
        <v>39.446738141842474</v>
      </c>
      <c r="K24" s="16">
        <f t="shared" si="3"/>
        <v>1.095742726162291</v>
      </c>
      <c r="L24" s="17"/>
    </row>
    <row r="25" spans="1:12" x14ac:dyDescent="0.25">
      <c r="A25">
        <f t="shared" si="4"/>
        <v>32</v>
      </c>
      <c r="B25">
        <f t="shared" si="4"/>
        <v>32</v>
      </c>
      <c r="J25" s="14">
        <f t="shared" si="3"/>
        <v>78.893476283684947</v>
      </c>
      <c r="K25" s="16">
        <f t="shared" si="3"/>
        <v>2.1914854523245819</v>
      </c>
      <c r="L25" s="17"/>
    </row>
    <row r="26" spans="1:12" x14ac:dyDescent="0.25">
      <c r="J26" s="5"/>
      <c r="K26" s="5"/>
    </row>
    <row r="27" spans="1:12" x14ac:dyDescent="0.25">
      <c r="J27" s="5"/>
      <c r="K27" s="5"/>
    </row>
    <row r="28" spans="1:12" x14ac:dyDescent="0.25">
      <c r="J28" s="5"/>
      <c r="K28" s="5"/>
    </row>
    <row r="29" spans="1:12" x14ac:dyDescent="0.25">
      <c r="J29" s="5"/>
      <c r="K29" s="5"/>
    </row>
    <row r="30" spans="1:12" x14ac:dyDescent="0.25">
      <c r="J30" s="5"/>
      <c r="K30" s="5"/>
    </row>
    <row r="31" spans="1:12" x14ac:dyDescent="0.25">
      <c r="A31" t="s">
        <v>53</v>
      </c>
      <c r="C31" s="1">
        <f>+(C8/1)/4.45</f>
        <v>17.977528089887638</v>
      </c>
      <c r="D31" s="1">
        <f>+(D8/1)/4.45</f>
        <v>71.910112359550553</v>
      </c>
      <c r="J31" s="5"/>
      <c r="K31" s="5"/>
    </row>
    <row r="32" spans="1:12" x14ac:dyDescent="0.25">
      <c r="J32" s="5"/>
      <c r="K32" s="5"/>
    </row>
    <row r="33" spans="10:11" x14ac:dyDescent="0.25">
      <c r="J33" s="5"/>
      <c r="K33" s="5"/>
    </row>
    <row r="34" spans="10:11" x14ac:dyDescent="0.25">
      <c r="J34" s="5"/>
      <c r="K34" s="5"/>
    </row>
  </sheetData>
  <mergeCells count="2">
    <mergeCell ref="G6:H6"/>
    <mergeCell ref="I6:K6"/>
  </mergeCells>
  <pageMargins left="0.7" right="0.7" top="0.7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J20" sqref="J20"/>
    </sheetView>
  </sheetViews>
  <sheetFormatPr defaultRowHeight="15" x14ac:dyDescent="0.25"/>
  <cols>
    <col min="1" max="1" width="2.42578125" customWidth="1"/>
    <col min="2" max="2" width="25.85546875" customWidth="1"/>
    <col min="3" max="4" width="18.42578125" customWidth="1"/>
    <col min="5" max="5" width="19.85546875" customWidth="1"/>
    <col min="6" max="6" width="23.28515625" customWidth="1"/>
    <col min="9" max="9" width="11.28515625" customWidth="1"/>
  </cols>
  <sheetData>
    <row r="1" spans="1:12" x14ac:dyDescent="0.25">
      <c r="I1" t="s">
        <v>51</v>
      </c>
      <c r="J1">
        <v>0.11298482999999999</v>
      </c>
    </row>
    <row r="2" spans="1:12" x14ac:dyDescent="0.25">
      <c r="C2" t="s">
        <v>25</v>
      </c>
      <c r="D2" t="s">
        <v>36</v>
      </c>
      <c r="E2" t="s">
        <v>36</v>
      </c>
      <c r="F2" t="s">
        <v>46</v>
      </c>
    </row>
    <row r="3" spans="1:12" x14ac:dyDescent="0.25">
      <c r="A3" t="s">
        <v>23</v>
      </c>
    </row>
    <row r="4" spans="1:12" x14ac:dyDescent="0.25">
      <c r="B4" t="s">
        <v>27</v>
      </c>
      <c r="C4" t="s">
        <v>31</v>
      </c>
      <c r="D4" t="s">
        <v>31</v>
      </c>
      <c r="E4" s="20" t="s">
        <v>40</v>
      </c>
      <c r="F4" t="s">
        <v>50</v>
      </c>
    </row>
    <row r="5" spans="1:12" x14ac:dyDescent="0.25">
      <c r="B5" t="s">
        <v>33</v>
      </c>
      <c r="C5">
        <v>167131</v>
      </c>
      <c r="D5">
        <v>167131</v>
      </c>
      <c r="E5" s="20">
        <v>136209</v>
      </c>
    </row>
    <row r="6" spans="1:12" x14ac:dyDescent="0.25">
      <c r="B6" t="s">
        <v>28</v>
      </c>
      <c r="C6">
        <v>0.84299999999999997</v>
      </c>
      <c r="D6">
        <v>0.84299999999999997</v>
      </c>
      <c r="E6" s="20">
        <v>0.34699999999999998</v>
      </c>
      <c r="F6">
        <f>5.66*$J$1</f>
        <v>0.63949413779999997</v>
      </c>
    </row>
    <row r="7" spans="1:12" x14ac:dyDescent="0.25">
      <c r="B7" t="s">
        <v>29</v>
      </c>
      <c r="C7">
        <v>5.9</v>
      </c>
      <c r="D7">
        <v>5.9</v>
      </c>
      <c r="E7" s="20">
        <v>4.8600000000000003</v>
      </c>
      <c r="F7">
        <v>5.2</v>
      </c>
    </row>
    <row r="8" spans="1:12" x14ac:dyDescent="0.25">
      <c r="B8" t="s">
        <v>37</v>
      </c>
      <c r="C8">
        <v>3100</v>
      </c>
      <c r="D8">
        <v>3100</v>
      </c>
      <c r="E8" s="20">
        <v>6160</v>
      </c>
      <c r="F8">
        <v>3000</v>
      </c>
    </row>
    <row r="9" spans="1:12" x14ac:dyDescent="0.25">
      <c r="B9" t="s">
        <v>6</v>
      </c>
      <c r="C9">
        <v>400</v>
      </c>
      <c r="D9">
        <v>400</v>
      </c>
      <c r="E9" s="20">
        <v>250</v>
      </c>
      <c r="F9">
        <v>200</v>
      </c>
    </row>
    <row r="10" spans="1:12" x14ac:dyDescent="0.25">
      <c r="B10" t="s">
        <v>43</v>
      </c>
      <c r="C10" s="1">
        <f>144/25.4</f>
        <v>5.6692913385826778</v>
      </c>
      <c r="D10" s="1">
        <f>144/25.4</f>
        <v>5.6692913385826778</v>
      </c>
      <c r="E10" s="21">
        <f>144/25.4</f>
        <v>5.6692913385826778</v>
      </c>
      <c r="F10" s="1">
        <f>105/25.4</f>
        <v>4.1338582677165361</v>
      </c>
    </row>
    <row r="11" spans="1:12" x14ac:dyDescent="0.25">
      <c r="B11" t="s">
        <v>42</v>
      </c>
      <c r="C11" s="1">
        <f>110/25.4</f>
        <v>4.3307086614173231</v>
      </c>
      <c r="D11" s="1">
        <f>110/25.4</f>
        <v>4.3307086614173231</v>
      </c>
      <c r="E11" s="21">
        <f>88/25.4</f>
        <v>3.4645669291338583</v>
      </c>
      <c r="F11" s="1">
        <f>85/25.4</f>
        <v>3.3464566929133861</v>
      </c>
      <c r="L11" t="s">
        <v>44</v>
      </c>
    </row>
    <row r="12" spans="1:12" x14ac:dyDescent="0.25">
      <c r="B12" t="s">
        <v>47</v>
      </c>
      <c r="C12" s="1">
        <f>+C6/C7</f>
        <v>0.14288135593220339</v>
      </c>
      <c r="D12" s="1">
        <f>+D6/D7</f>
        <v>0.14288135593220339</v>
      </c>
      <c r="E12" s="21">
        <f>+E6/E7</f>
        <v>7.1399176954732496E-2</v>
      </c>
      <c r="F12" s="1">
        <f>+F6/F7</f>
        <v>0.12297964188461538</v>
      </c>
    </row>
    <row r="13" spans="1:12" x14ac:dyDescent="0.25">
      <c r="C13" s="1"/>
      <c r="D13" s="1"/>
      <c r="E13" s="21"/>
    </row>
    <row r="14" spans="1:12" x14ac:dyDescent="0.25">
      <c r="A14" t="s">
        <v>24</v>
      </c>
      <c r="E14" s="20"/>
    </row>
    <row r="15" spans="1:12" x14ac:dyDescent="0.25">
      <c r="B15" t="s">
        <v>27</v>
      </c>
      <c r="C15" t="s">
        <v>32</v>
      </c>
      <c r="D15" t="s">
        <v>32</v>
      </c>
      <c r="E15" s="20" t="s">
        <v>41</v>
      </c>
      <c r="F15" t="s">
        <v>50</v>
      </c>
    </row>
    <row r="16" spans="1:12" x14ac:dyDescent="0.25">
      <c r="B16" t="s">
        <v>33</v>
      </c>
      <c r="C16">
        <v>110412</v>
      </c>
      <c r="D16">
        <v>110413</v>
      </c>
      <c r="E16" s="20">
        <v>110508</v>
      </c>
      <c r="F16" t="s">
        <v>52</v>
      </c>
    </row>
    <row r="17" spans="2:6" x14ac:dyDescent="0.25">
      <c r="B17" t="s">
        <v>30</v>
      </c>
      <c r="C17">
        <v>308</v>
      </c>
      <c r="D17">
        <v>93</v>
      </c>
      <c r="E17" s="20">
        <f>41553/176</f>
        <v>236.09659090909091</v>
      </c>
      <c r="F17">
        <v>100</v>
      </c>
    </row>
    <row r="18" spans="2:6" x14ac:dyDescent="0.25">
      <c r="B18" t="s">
        <v>35</v>
      </c>
      <c r="C18">
        <v>120</v>
      </c>
      <c r="D18">
        <v>120</v>
      </c>
      <c r="E18" s="20">
        <v>50</v>
      </c>
      <c r="F18" s="19">
        <f>1062*$J$1</f>
        <v>119.98988946</v>
      </c>
    </row>
    <row r="19" spans="2:6" x14ac:dyDescent="0.25">
      <c r="B19" t="s">
        <v>34</v>
      </c>
      <c r="C19" s="1">
        <f>+C18/C17/0.7</f>
        <v>0.5565862708719852</v>
      </c>
      <c r="D19" s="1">
        <f>+D18/D17/0.7</f>
        <v>1.8433179723502304</v>
      </c>
      <c r="E19" s="21">
        <f>+E18/E17/0.7</f>
        <v>0.30253961378067945</v>
      </c>
      <c r="F19" s="1">
        <f>+F18/F17/0.7</f>
        <v>1.714141278</v>
      </c>
    </row>
    <row r="20" spans="2:6" x14ac:dyDescent="0.25">
      <c r="B20" t="s">
        <v>39</v>
      </c>
      <c r="C20" s="1">
        <v>3000</v>
      </c>
      <c r="D20" s="1">
        <v>3000</v>
      </c>
      <c r="E20" s="20">
        <v>3000</v>
      </c>
      <c r="F20">
        <v>4500</v>
      </c>
    </row>
    <row r="21" spans="2:6" x14ac:dyDescent="0.25">
      <c r="B21" t="s">
        <v>38</v>
      </c>
      <c r="C21" s="1">
        <f>+C20/C17</f>
        <v>9.7402597402597397</v>
      </c>
      <c r="D21" s="1">
        <f>+D20/D17</f>
        <v>32.258064516129032</v>
      </c>
      <c r="E21" s="21">
        <f>+E20/E17</f>
        <v>12.706663778788535</v>
      </c>
      <c r="F21" s="1">
        <f>+F20/F17</f>
        <v>45</v>
      </c>
    </row>
    <row r="22" spans="2:6" x14ac:dyDescent="0.25">
      <c r="B22" t="s">
        <v>43</v>
      </c>
      <c r="C22" s="1">
        <f>135/25.4</f>
        <v>5.3149606299212602</v>
      </c>
      <c r="D22" s="1">
        <f>135/25.4</f>
        <v>5.3149606299212602</v>
      </c>
      <c r="E22" s="21">
        <f>104.2/25.4</f>
        <v>4.1023622047244102</v>
      </c>
      <c r="F22">
        <v>5.04</v>
      </c>
    </row>
    <row r="23" spans="2:6" x14ac:dyDescent="0.25">
      <c r="B23" t="s">
        <v>42</v>
      </c>
      <c r="C23" s="1">
        <f>81/25.4</f>
        <v>3.188976377952756</v>
      </c>
      <c r="D23" s="1">
        <f>81/25.4</f>
        <v>3.188976377952756</v>
      </c>
      <c r="E23" s="21">
        <f>62/25.4</f>
        <v>2.4409448818897639</v>
      </c>
      <c r="F23" s="1">
        <f>110/25.4</f>
        <v>4.3307086614173231</v>
      </c>
    </row>
    <row r="24" spans="2:6" x14ac:dyDescent="0.25">
      <c r="B24" t="s">
        <v>26</v>
      </c>
      <c r="C24" s="1"/>
      <c r="D24" s="1"/>
      <c r="E24" s="21"/>
      <c r="F24" s="1"/>
    </row>
    <row r="25" spans="2:6" x14ac:dyDescent="0.25">
      <c r="E25" s="20"/>
    </row>
    <row r="26" spans="2:6" x14ac:dyDescent="0.25">
      <c r="E26" s="20"/>
    </row>
    <row r="27" spans="2:6" x14ac:dyDescent="0.25">
      <c r="B27" t="s">
        <v>45</v>
      </c>
      <c r="C27" s="1">
        <f>+C23+C11</f>
        <v>7.5196850393700796</v>
      </c>
      <c r="D27" s="1">
        <f>+D23+D11</f>
        <v>7.5196850393700796</v>
      </c>
      <c r="E27" s="21">
        <f>+E23+E11</f>
        <v>5.9055118110236222</v>
      </c>
      <c r="F27" s="1">
        <f>+F23+F11</f>
        <v>7.6771653543307092</v>
      </c>
    </row>
    <row r="28" spans="2:6" x14ac:dyDescent="0.25">
      <c r="E28" s="20"/>
    </row>
    <row r="29" spans="2:6" x14ac:dyDescent="0.25">
      <c r="E29" s="20"/>
    </row>
    <row r="30" spans="2:6" x14ac:dyDescent="0.25">
      <c r="E30" s="20"/>
    </row>
    <row r="31" spans="2:6" x14ac:dyDescent="0.25">
      <c r="E31" s="20"/>
    </row>
    <row r="32" spans="2:6" x14ac:dyDescent="0.25">
      <c r="E32" s="20"/>
    </row>
    <row r="33" spans="1:6" x14ac:dyDescent="0.25">
      <c r="E33" s="20"/>
    </row>
    <row r="34" spans="1:6" x14ac:dyDescent="0.25">
      <c r="E34" s="20"/>
    </row>
    <row r="35" spans="1:6" x14ac:dyDescent="0.25">
      <c r="E35" s="20"/>
    </row>
    <row r="36" spans="1:6" x14ac:dyDescent="0.25">
      <c r="E36" s="20"/>
    </row>
    <row r="37" spans="1:6" x14ac:dyDescent="0.25">
      <c r="E37" s="20"/>
    </row>
    <row r="38" spans="1:6" x14ac:dyDescent="0.25">
      <c r="A38" t="s">
        <v>48</v>
      </c>
      <c r="E38" s="20"/>
    </row>
    <row r="39" spans="1:6" x14ac:dyDescent="0.25">
      <c r="B39" t="s">
        <v>49</v>
      </c>
      <c r="C39" s="1">
        <f>+(MIN(C19,C6)/C12)</f>
        <v>3.8954436514172155</v>
      </c>
      <c r="D39" s="1">
        <f>+(MIN(D19,D6)/D12)</f>
        <v>5.9</v>
      </c>
      <c r="E39" s="21">
        <f>+(MIN(E19,E6)/E12)</f>
        <v>4.2372983371011594</v>
      </c>
      <c r="F39" s="1">
        <f>+(MIN(F19,F6)/F12)</f>
        <v>5.2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Energy-PowerRequirements</vt:lpstr>
      <vt:lpstr>Motor-Drive-Controllers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2018-05-17T18:46:59Z</dcterms:modified>
</cp:coreProperties>
</file>