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0" yWindow="120" windowWidth="21570" windowHeight="9225" tabRatio="859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D10" i="1" l="1"/>
  <c r="D12" i="1"/>
  <c r="D11" i="1"/>
  <c r="D9" i="1"/>
  <c r="A13" i="1" l="1"/>
  <c r="A12" i="1"/>
  <c r="A11" i="1"/>
  <c r="D7" i="5" l="1"/>
  <c r="A10" i="1" l="1"/>
  <c r="A9" i="1"/>
  <c r="D17" i="1" l="1"/>
  <c r="D16" i="1"/>
  <c r="D15" i="1"/>
  <c r="D14" i="1"/>
  <c r="D13" i="1"/>
  <c r="D8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E26" i="6"/>
  <c r="E25" i="6"/>
  <c r="E24" i="6"/>
  <c r="E23" i="6"/>
  <c r="E22" i="6"/>
  <c r="E21" i="6"/>
  <c r="E20" i="6"/>
  <c r="E8" i="6"/>
  <c r="E7" i="6"/>
  <c r="E6" i="6"/>
  <c r="E14" i="1" l="1"/>
  <c r="D14" i="5" s="1"/>
  <c r="G14" i="1"/>
  <c r="E15" i="1"/>
  <c r="D15" i="5" s="1"/>
  <c r="G15" i="1"/>
  <c r="E16" i="1"/>
  <c r="D16" i="5" s="1"/>
  <c r="G16" i="1"/>
  <c r="E17" i="1"/>
  <c r="F17" i="1" s="1"/>
  <c r="G17" i="1"/>
  <c r="G13" i="1"/>
  <c r="E13" i="1"/>
  <c r="D13" i="5" s="1"/>
  <c r="E12" i="1"/>
  <c r="D12" i="5" s="1"/>
  <c r="G12" i="1"/>
  <c r="E11" i="1"/>
  <c r="D11" i="5" s="1"/>
  <c r="G11" i="1"/>
  <c r="G10" i="1"/>
  <c r="E10" i="1"/>
  <c r="D10" i="5" s="1"/>
  <c r="G9" i="1"/>
  <c r="E9" i="1"/>
  <c r="D9" i="5" s="1"/>
  <c r="F19" i="4"/>
  <c r="E19" i="4"/>
  <c r="E20" i="4"/>
  <c r="E29" i="4"/>
  <c r="E30" i="4"/>
  <c r="E31" i="4"/>
  <c r="F32" i="4"/>
  <c r="F13" i="10" s="1"/>
  <c r="E32" i="4"/>
  <c r="E13" i="10" s="1"/>
  <c r="E33" i="4"/>
  <c r="E34" i="4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8" i="5" s="1"/>
  <c r="D21" i="4"/>
  <c r="D15" i="10" s="1"/>
  <c r="D11" i="4"/>
  <c r="D12" i="10" s="1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26" i="4"/>
  <c r="C11" i="10" s="1"/>
  <c r="C21" i="4"/>
  <c r="C15" i="10" s="1"/>
  <c r="C16" i="4"/>
  <c r="C14" i="10" s="1"/>
  <c r="C11" i="4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 s="1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E16" i="10"/>
  <c r="F24" i="6"/>
  <c r="G24" i="6" s="1"/>
  <c r="C27" i="6"/>
  <c r="B22" i="10" s="1"/>
  <c r="D27" i="6"/>
  <c r="A8" i="5"/>
  <c r="A9" i="5"/>
  <c r="A10" i="5"/>
  <c r="G7" i="1"/>
  <c r="A14" i="1"/>
  <c r="A15" i="1"/>
  <c r="A16" i="1"/>
  <c r="A17" i="1"/>
  <c r="A7" i="5"/>
  <c r="C16" i="6"/>
  <c r="B20" i="10" s="1"/>
  <c r="D16" i="6"/>
  <c r="C20" i="10" s="1"/>
  <c r="C17" i="10"/>
  <c r="B17" i="10"/>
  <c r="D16" i="10"/>
  <c r="C16" i="10"/>
  <c r="B16" i="10"/>
  <c r="B13" i="10"/>
  <c r="D13" i="10"/>
  <c r="C13" i="10"/>
  <c r="C12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F13" i="1" l="1"/>
  <c r="C22" i="10"/>
  <c r="F14" i="1"/>
  <c r="F16" i="1"/>
  <c r="F12" i="1"/>
  <c r="F10" i="1"/>
  <c r="F9" i="1"/>
  <c r="C9" i="10"/>
  <c r="B9" i="10"/>
  <c r="B38" i="4"/>
  <c r="B18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F11" i="1"/>
  <c r="D18" i="1"/>
  <c r="E18" i="1"/>
  <c r="G8" i="1"/>
  <c r="E27" i="6"/>
  <c r="D21" i="10" s="1"/>
  <c r="C21" i="10"/>
  <c r="F16" i="6"/>
  <c r="E20" i="10" s="1"/>
  <c r="G6" i="6"/>
  <c r="G16" i="6" s="1"/>
  <c r="F20" i="10" s="1"/>
  <c r="B21" i="10"/>
  <c r="F21" i="6"/>
  <c r="G21" i="6" s="1"/>
  <c r="G27" i="6" s="1"/>
  <c r="F21" i="10" s="1"/>
  <c r="E16" i="6"/>
  <c r="D20" i="10" s="1"/>
  <c r="F8" i="1"/>
  <c r="B25" i="10" l="1"/>
  <c r="B2" i="6" s="1"/>
  <c r="B23" i="10"/>
  <c r="C25" i="10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F27" i="6"/>
  <c r="F22" i="10"/>
  <c r="D7" i="10"/>
  <c r="F18" i="1"/>
  <c r="B2" i="4" l="1"/>
  <c r="B2" i="5"/>
  <c r="B2" i="1"/>
  <c r="C2" i="4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<sst xmlns="http://schemas.openxmlformats.org/spreadsheetml/2006/main" count="208" uniqueCount="126">
  <si>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</si>
  <si>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</si>
  <si>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</si>
  <si>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</si>
  <si>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</si>
  <si>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</si>
  <si>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</si>
  <si>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</si>
  <si>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</si>
  <si>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</si>
  <si>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</si>
  <si>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</si>
  <si>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</si>
  <si>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</si>
  <si>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</si>
  <si>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</si>
  <si>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</si>
  <si>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</si>
  <si>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</si>
  <si>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</si>
  <si>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</si>
  <si>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</si>
  <si>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</si>
  <si>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</si>
  <si>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</si>
  <si>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</si>
  <si>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</si>
  <si>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</si>
  <si>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</si>
  <si>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</si>
  <si>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</si>
  <si>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</si>
  <si>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</si>
  <si>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</si>
  <si>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</si>
  <si>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</si>
  <si>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</si>
  <si>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</si>
  <si>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</si>
  <si>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</si>
  <si>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</si>
  <si>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</si>
  <si>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</si>
  <si>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</si>
  <si>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</si>
  <si>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</si>
  <si>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</si>
  <si>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</si>
  <si>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</si>
  <si>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</si>
  <si>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</si>
  <si>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</si>
  <si>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</si>
  <si>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</si>
  <si>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</si>
  <si>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</si>
  <si>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</si>
  <si>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</si>
  <si>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</si>
  <si>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</si>
  <si>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</si>
  <si>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</si>
  <si>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</si>
  <si>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</si>
  <si>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</si>
  <si>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</si>
  <si>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</si>
  <si>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</si>
  <si>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</si>
  <si>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</si>
  <si>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</si>
  <si>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</si>
  <si>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</si>
  <si>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</si>
  <si>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</si>
  <si>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</si>
  <si>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</si>
  <si>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</si>
  <si>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</si>
  <si>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</si>
  <si>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</si>
  <si>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</si>
  <si>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</si>
  <si>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</si>
  <si>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</si>
  <si>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</si>
  <si>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</si>
  <si>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</si>
  <si>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</si>
  <si>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</si>
  <si>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</si>
  <si>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</si>
  <si>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</si>
  <si>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</si>
  <si>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</si>
  <si>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</si>
  <si>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</si>
  <si>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</si>
  <si>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</si>
  <si>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</si>
  <si>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</si>
  <si>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</si>
  <si>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</si>
  <si>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</si>
  <si>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</si>
  <si>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</si>
  <si>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</si>
  <si>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</si>
  <si>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</si>
  <si>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</si>
  <si>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</si>
  <si>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</si>
  <si>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</si>
  <si>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</si>
  <si>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</si>
  <si>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</si>
  <si>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</si>
  <si>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</si>
  <si>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</si>
  <si>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</si>
  <si>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</si>
  <si>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>7/1/19-06/30/20</t>
  </si>
  <si>
    <t>Brett Hobson 207</t>
  </si>
  <si>
    <t>Brian Kieft 530</t>
  </si>
  <si>
    <t>Ben Ranaan 235</t>
  </si>
  <si>
    <t>Carlos Rueda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</si>
</sst>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7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10" fontId="1" fillId="2" borderId="0" xfId="4" applyNumberFormat="1" applyProtection="1">
      <protection locked="0"/>
    </xf>
    <xf numFmtId="0" fontId="3" fillId="0" borderId="5" xfId="2" applyBorder="1" applyProtection="1"/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16" fontId="0" fillId="0" borderId="0" xfId="0" applyNumberFormat="1"/>
    <xf numFmtId="14" fontId="0" fillId="0" borderId="0" xfId="0" applyNumberFormat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5" topLeftCell="A6" activePane="bottomLeft" state="frozen"/>
      <selection pane="bottomLeft" activeCell="C37" sqref="C37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100" t="s">
        <v>64</v>
      </c>
      <c r="B1" s="100"/>
      <c r="C1" s="100"/>
      <c r="D1" s="100"/>
      <c r="E1" s="100"/>
      <c r="F1" s="100"/>
    </row>
    <row r="2" spans="1:6">
      <c r="A2" s="4" t="s">
        <v>85</v>
      </c>
      <c r="B2" s="77">
        <v>708158</v>
      </c>
      <c r="C2" s="4" t="s">
        <v>55</v>
      </c>
      <c r="D2" s="78">
        <v>199087</v>
      </c>
    </row>
    <row r="3" spans="1:6">
      <c r="A3" s="4" t="s">
        <v>54</v>
      </c>
      <c r="B3" s="77" t="s">
        <v>121</v>
      </c>
      <c r="C3" s="4" t="s">
        <v>56</v>
      </c>
      <c r="D3" s="78">
        <v>199087</v>
      </c>
    </row>
    <row r="4" spans="1:6">
      <c r="B4" s="9"/>
      <c r="C4" s="14"/>
      <c r="D4" s="14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6">
      <c r="A6" s="98" t="s">
        <v>73</v>
      </c>
      <c r="B6" s="98"/>
      <c r="C6" s="98"/>
      <c r="D6" s="98"/>
      <c r="E6" s="98"/>
      <c r="F6" s="98"/>
    </row>
    <row r="7" spans="1:6">
      <c r="A7" t="s">
        <v>36</v>
      </c>
      <c r="B7" s="24">
        <f>Labor!B18</f>
        <v>82436</v>
      </c>
      <c r="C7" s="24">
        <f>Labor!C18</f>
        <v>24688.39</v>
      </c>
      <c r="D7" s="24">
        <f>Labor!E18</f>
        <v>56447.28</v>
      </c>
      <c r="E7" s="24">
        <f>Labor!F18</f>
        <v>81135.67</v>
      </c>
      <c r="F7" s="24">
        <f>Labor!G18</f>
        <v>1300.3300000000017</v>
      </c>
    </row>
    <row r="8" spans="1:6">
      <c r="A8" t="s">
        <v>71</v>
      </c>
      <c r="B8" s="24">
        <f>'Fringe &amp; OH'!B6</f>
        <v>47112</v>
      </c>
      <c r="C8" s="24">
        <f>'Fringe &amp; OH'!C6</f>
        <v>14109.41</v>
      </c>
      <c r="D8" s="24">
        <f>'Fringe &amp; OH'!D6</f>
        <v>21595.87629</v>
      </c>
      <c r="E8" s="24">
        <f>'Fringe &amp; OH'!E6</f>
        <v>35705.286290000004</v>
      </c>
      <c r="F8" s="24">
        <f>'Fringe &amp; OH'!F6</f>
        <v>11406.713709999996</v>
      </c>
    </row>
    <row r="9" spans="1:6" ht="15.75" thickBot="1">
      <c r="A9" s="5" t="s">
        <v>72</v>
      </c>
      <c r="B9" s="25">
        <f>SUM(B7:B8)</f>
        <v>129548</v>
      </c>
      <c r="C9" s="25">
        <f>SUM(C7:C8)</f>
        <v>38797.800000000003</v>
      </c>
      <c r="D9" s="25">
        <f>SUM(D7:D8)</f>
        <v>78043.156289999999</v>
      </c>
      <c r="E9" s="25">
        <f>SUM(E7:E8)</f>
        <v>116840.95629</v>
      </c>
      <c r="F9" s="25">
        <f>SUM(F7:F8)</f>
        <v>12707.043709999998</v>
      </c>
    </row>
    <row r="10" spans="1:6" ht="15.75" thickTop="1">
      <c r="A10" s="99" t="s">
        <v>9</v>
      </c>
      <c r="B10" s="99"/>
      <c r="C10" s="99"/>
      <c r="D10" s="99"/>
      <c r="E10" s="99"/>
      <c r="F10" s="99"/>
    </row>
    <row r="11" spans="1:6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6">
      <c r="A12" t="s">
        <v>65</v>
      </c>
      <c r="B12" s="24">
        <f>Expenses!B11</f>
        <v>1000</v>
      </c>
      <c r="C12" s="24">
        <f>Expenses!C11</f>
        <v>0</v>
      </c>
      <c r="D12" s="24">
        <f>Expenses!D11</f>
        <v>0</v>
      </c>
      <c r="E12" s="24">
        <f>Expenses!E11</f>
        <v>0</v>
      </c>
      <c r="F12" s="24">
        <f>Expenses!F11</f>
        <v>1000</v>
      </c>
    </row>
    <row r="13" spans="1:6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6">
      <c r="A14" t="s">
        <v>67</v>
      </c>
      <c r="B14" s="24">
        <f>Expenses!B16</f>
        <v>0</v>
      </c>
      <c r="C14" s="24">
        <f>Expenses!C16</f>
        <v>0</v>
      </c>
      <c r="D14" s="24">
        <f>Expenses!D16</f>
        <v>0</v>
      </c>
      <c r="E14" s="24">
        <f>Expenses!E16</f>
        <v>0</v>
      </c>
      <c r="F14" s="24">
        <f>Expenses!F16</f>
        <v>0</v>
      </c>
    </row>
    <row r="15" spans="1:6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6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1000</v>
      </c>
      <c r="C18" s="25">
        <f>Expenses!C38</f>
        <v>0</v>
      </c>
      <c r="D18" s="25">
        <f>Expenses!D38</f>
        <v>0</v>
      </c>
      <c r="E18" s="25">
        <f>Expenses!E38</f>
        <v>0</v>
      </c>
      <c r="F18" s="25">
        <f>Expenses!F38</f>
        <v>1000</v>
      </c>
    </row>
    <row r="19" spans="1:6" ht="15.75" thickTop="1">
      <c r="A19" s="99" t="s">
        <v>74</v>
      </c>
      <c r="B19" s="99"/>
      <c r="C19" s="99"/>
      <c r="D19" s="99"/>
      <c r="E19" s="99"/>
      <c r="F19" s="99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130548</v>
      </c>
      <c r="C23" s="46">
        <f t="shared" ref="C23:E23" si="0">SUM(C18,C22,C9)</f>
        <v>38797.800000000003</v>
      </c>
      <c r="D23" s="46">
        <f t="shared" si="0"/>
        <v>78043.156289999999</v>
      </c>
      <c r="E23" s="46">
        <f t="shared" si="0"/>
        <v>116840.95629</v>
      </c>
      <c r="F23" s="46">
        <f>B23-E23</f>
        <v>13707.043709999998</v>
      </c>
    </row>
    <row r="24" spans="1:6">
      <c r="A24" s="15" t="s">
        <v>57</v>
      </c>
      <c r="B24" s="46">
        <f>'Fringe &amp; OH'!B21</f>
        <v>68539</v>
      </c>
      <c r="C24" s="46">
        <f>'Fringe &amp; OH'!C21</f>
        <v>20368.849999999999</v>
      </c>
      <c r="D24" s="46">
        <f>'Fringe &amp; OH'!D21</f>
        <v>40972.657052250004</v>
      </c>
      <c r="E24" s="46">
        <f>'Fringe &amp; OH'!E21</f>
        <v>61341.507052250003</v>
      </c>
      <c r="F24" s="46">
        <f>B24-E24</f>
        <v>7197.4929477499973</v>
      </c>
    </row>
    <row r="25" spans="1:6" ht="15.75" thickBot="1">
      <c r="A25" s="16" t="s">
        <v>70</v>
      </c>
      <c r="B25" s="26">
        <f>SUM(B24,B22,B18,B9)</f>
        <v>199087</v>
      </c>
      <c r="C25" s="26">
        <f>SUM(C24,C22,C18,C9)</f>
        <v>59166.65</v>
      </c>
      <c r="D25" s="26">
        <f>SUM(D24,D22,D18,D9)</f>
        <v>119015.81334225001</v>
      </c>
      <c r="E25" s="26">
        <f>SUM(E24,E22,E18,E9)</f>
        <v>178182.46334225</v>
      </c>
      <c r="F25" s="26">
        <f>B25-E25</f>
        <v>20904.536657749995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101" t="s">
        <v>94</v>
      </c>
      <c r="B3" s="86" t="s">
        <v>99</v>
      </c>
    </row>
    <row r="4" spans="1:2">
      <c r="A4" s="102"/>
      <c r="B4" s="86" t="s">
        <v>101</v>
      </c>
    </row>
    <row r="5" spans="1:2">
      <c r="A5" s="103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8" sqref="E18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6">
      <c r="A2" s="20" t="s">
        <v>122</v>
      </c>
      <c r="B2" s="11">
        <v>83.83</v>
      </c>
      <c r="C2" s="91">
        <v>0.57150000000000001</v>
      </c>
      <c r="E2" t="s">
        <v>105</v>
      </c>
      <c r="F2" s="51"/>
    </row>
    <row r="3" spans="1:6">
      <c r="A3" s="20" t="s">
        <v>123</v>
      </c>
      <c r="B3" s="11">
        <v>83.16</v>
      </c>
      <c r="C3" s="91">
        <v>0.57150000000000001</v>
      </c>
      <c r="E3" t="s">
        <v>104</v>
      </c>
      <c r="F3" s="51"/>
    </row>
    <row r="4" spans="1:6">
      <c r="A4" s="20" t="s">
        <v>124</v>
      </c>
      <c r="B4" s="11">
        <v>47.22</v>
      </c>
      <c r="C4" s="91">
        <v>0.57150000000000001</v>
      </c>
      <c r="E4" t="s">
        <v>107</v>
      </c>
      <c r="F4" s="51"/>
    </row>
    <row r="5" spans="1:6">
      <c r="A5" s="20" t="s">
        <v>125</v>
      </c>
      <c r="B5" s="11">
        <v>76.239999999999995</v>
      </c>
      <c r="C5" s="91">
        <v>0.57150000000000001</v>
      </c>
      <c r="E5" t="s">
        <v>106</v>
      </c>
      <c r="F5" s="51"/>
    </row>
    <row r="6" spans="1:6">
      <c r="A6" s="20"/>
      <c r="B6" s="11"/>
      <c r="C6" s="91"/>
    </row>
    <row r="7" spans="1:6">
      <c r="A7" s="20"/>
      <c r="B7" s="11">
        <v>0</v>
      </c>
      <c r="C7" s="12">
        <v>0</v>
      </c>
    </row>
    <row r="8" spans="1:6">
      <c r="A8" s="20"/>
      <c r="B8" s="11">
        <v>0</v>
      </c>
      <c r="C8" s="12">
        <v>0</v>
      </c>
    </row>
    <row r="9" spans="1:6">
      <c r="A9" s="20"/>
      <c r="B9" s="11">
        <v>0</v>
      </c>
      <c r="C9" s="12">
        <v>0</v>
      </c>
    </row>
    <row r="10" spans="1:6">
      <c r="A10" s="20"/>
      <c r="B10" s="11">
        <v>0</v>
      </c>
      <c r="C10" s="12">
        <v>0</v>
      </c>
    </row>
    <row r="11" spans="1:6">
      <c r="A11" s="10"/>
      <c r="B11" s="11">
        <v>0</v>
      </c>
      <c r="C11" s="1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G25"/>
  <sheetViews>
    <sheetView workbookViewId="0">
      <pane xSplit="7" topLeftCell="H1" activePane="topRight" state="frozen"/>
      <selection pane="topRight" activeCell="Y12" sqref="Y12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4" width="11" style="64" hidden="1" customWidth="1" outlineLevel="1"/>
    <col min="15" max="15" width="11" hidden="1" customWidth="1" outlineLevel="1"/>
    <col min="16" max="17" width="12" hidden="1" customWidth="1"/>
    <col min="18" max="18" width="12.42578125" hidden="1" customWidth="1"/>
    <col min="19" max="19" width="12" hidden="1" customWidth="1"/>
    <col min="20" max="21" width="8.7109375" style="64"/>
    <col min="22" max="22" width="11" style="64" customWidth="1" outlineLevel="1"/>
    <col min="23" max="23" width="8.7109375" style="64"/>
    <col min="24" max="24" width="9" style="64" bestFit="1" customWidth="1"/>
    <col min="25" max="25" width="8.7109375" style="64"/>
    <col min="26" max="26" width="9.28515625" style="64" bestFit="1" customWidth="1"/>
    <col min="27" max="27" width="8.7109375" style="64"/>
    <col min="29" max="29" width="9.7109375" bestFit="1" customWidth="1"/>
  </cols>
  <sheetData>
    <row r="1" spans="1:33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33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119015.81334225001</v>
      </c>
      <c r="E2" s="74">
        <f>Summary!E25</f>
        <v>178182.46334225</v>
      </c>
      <c r="F2" s="60">
        <f>Summary!F25</f>
        <v>20904.536657749995</v>
      </c>
      <c r="G2" s="72"/>
    </row>
    <row r="5" spans="1:33" ht="20.25" thickBot="1">
      <c r="A5" s="104" t="s">
        <v>36</v>
      </c>
      <c r="B5" s="104"/>
      <c r="C5" s="104"/>
      <c r="D5" s="104"/>
      <c r="E5" s="104"/>
      <c r="F5" s="104"/>
      <c r="G5" s="84"/>
      <c r="AB5" s="96"/>
      <c r="AC5" s="97"/>
      <c r="AD5" s="96"/>
      <c r="AE5" s="96"/>
      <c r="AF5" s="96"/>
      <c r="AG5" s="96"/>
    </row>
    <row r="6" spans="1:33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43405</v>
      </c>
      <c r="O6" s="88">
        <v>43435</v>
      </c>
      <c r="P6" s="88">
        <v>43466</v>
      </c>
      <c r="Q6" s="88">
        <v>43497</v>
      </c>
      <c r="R6" s="88">
        <v>43525</v>
      </c>
      <c r="S6" s="88">
        <v>43556</v>
      </c>
      <c r="T6" s="88">
        <v>43770</v>
      </c>
      <c r="U6" s="88">
        <v>43800</v>
      </c>
      <c r="V6" s="88">
        <v>43831</v>
      </c>
      <c r="W6" s="88">
        <v>43862</v>
      </c>
      <c r="X6" s="88">
        <v>43891</v>
      </c>
      <c r="Y6" s="88">
        <v>43922</v>
      </c>
      <c r="Z6" s="88">
        <v>43952</v>
      </c>
      <c r="AA6" s="88">
        <v>43983</v>
      </c>
    </row>
    <row r="7" spans="1:33">
      <c r="A7" s="29" t="s">
        <v>93</v>
      </c>
      <c r="B7" s="52">
        <v>82436</v>
      </c>
      <c r="C7" s="52">
        <v>24688.39</v>
      </c>
      <c r="D7" s="89"/>
      <c r="E7" s="89"/>
      <c r="F7" s="89"/>
      <c r="G7" s="90">
        <f>B7-C7</f>
        <v>57747.61</v>
      </c>
      <c r="H7" s="47"/>
      <c r="I7" s="47"/>
      <c r="J7" s="47"/>
      <c r="K7" s="47"/>
      <c r="L7" s="47"/>
      <c r="M7" s="47"/>
      <c r="N7" s="47"/>
      <c r="O7" s="47"/>
      <c r="V7" s="47"/>
    </row>
    <row r="8" spans="1:33">
      <c r="A8" s="8"/>
      <c r="B8" s="40"/>
      <c r="C8" s="54"/>
      <c r="D8" s="58">
        <f t="shared" ref="D8:D17" si="0">SUM(H8:AA8)</f>
        <v>0</v>
      </c>
      <c r="E8" s="40">
        <f>D8*'Personnel Info'!B2</f>
        <v>0</v>
      </c>
      <c r="F8" s="40">
        <f>C8+E8</f>
        <v>0</v>
      </c>
      <c r="G8" s="59">
        <f>Labor!B8-(('Personnel Info'!B2*Labor!D8)+C8)</f>
        <v>0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V8" s="9"/>
    </row>
    <row r="9" spans="1:33">
      <c r="A9" s="66" t="str">
        <f>'Personnel Info'!A2</f>
        <v>Brett Hobson 207</v>
      </c>
      <c r="B9" s="67"/>
      <c r="C9" s="68"/>
      <c r="D9" s="58">
        <f>SUM(H9:AA9)</f>
        <v>174</v>
      </c>
      <c r="E9" s="67">
        <f>D9*'Personnel Info'!B2</f>
        <v>14586.42</v>
      </c>
      <c r="F9" s="85">
        <f t="shared" ref="F9:F17" si="1">C9+E9</f>
        <v>14586.42</v>
      </c>
      <c r="G9" s="69">
        <f>Labor!B9-(('Personnel Info'!B2*Labor!D9)+C9)</f>
        <v>-14586.42</v>
      </c>
      <c r="H9" s="9"/>
      <c r="I9" s="9"/>
      <c r="J9" s="9"/>
      <c r="K9" s="9"/>
      <c r="L9" s="9"/>
      <c r="M9" s="9"/>
      <c r="N9" s="9"/>
      <c r="O9" s="9"/>
      <c r="T9" s="64">
        <v>20</v>
      </c>
      <c r="U9" s="64">
        <v>18</v>
      </c>
      <c r="V9" s="9">
        <v>73</v>
      </c>
      <c r="W9">
        <v>54</v>
      </c>
      <c r="X9" s="64">
        <v>9</v>
      </c>
      <c r="AC9">
        <v>175</v>
      </c>
    </row>
    <row r="10" spans="1:33">
      <c r="A10" s="8" t="str">
        <f>'Personnel Info'!A3</f>
        <v>Brian Kieft 530</v>
      </c>
      <c r="B10" s="40"/>
      <c r="C10" s="54"/>
      <c r="D10" s="58">
        <f>SUM(H10:AA10)</f>
        <v>279</v>
      </c>
      <c r="E10" s="40">
        <f>D10*'Personnel Info'!B3</f>
        <v>23201.64</v>
      </c>
      <c r="F10" s="85">
        <f t="shared" si="1"/>
        <v>23201.64</v>
      </c>
      <c r="G10" s="59">
        <f>Labor!B10-(('Personnel Info'!B3*Labor!D10)+C10)</f>
        <v>-23201.64</v>
      </c>
      <c r="H10" s="9"/>
      <c r="I10" s="9"/>
      <c r="J10" s="9"/>
      <c r="K10" s="9"/>
      <c r="L10" s="9"/>
      <c r="M10" s="9"/>
      <c r="N10" s="9"/>
      <c r="O10" s="9"/>
      <c r="T10" s="64">
        <v>50.5</v>
      </c>
      <c r="V10" s="9">
        <v>121.5</v>
      </c>
      <c r="W10">
        <v>75.5</v>
      </c>
      <c r="X10" s="64">
        <v>31.5</v>
      </c>
      <c r="AC10">
        <v>350</v>
      </c>
    </row>
    <row r="11" spans="1:33">
      <c r="A11" s="65" t="str">
        <f>'Personnel Info'!A4</f>
        <v>Ben Ranaan 235</v>
      </c>
      <c r="B11" s="40"/>
      <c r="C11" s="54"/>
      <c r="D11" s="58">
        <f>SUM(H11:AA11)</f>
        <v>245</v>
      </c>
      <c r="E11" s="40">
        <f>D11*'Personnel Info'!B4</f>
        <v>11568.9</v>
      </c>
      <c r="F11" s="85">
        <f t="shared" si="1"/>
        <v>11568.9</v>
      </c>
      <c r="G11" s="59">
        <f>Labor!B11-(('Personnel Info'!B4*Labor!D11)+C11)</f>
        <v>-11568.9</v>
      </c>
      <c r="H11" s="9"/>
      <c r="I11" s="9"/>
      <c r="J11" s="9"/>
      <c r="K11" s="9"/>
      <c r="L11" s="9"/>
      <c r="M11" s="9"/>
      <c r="N11" s="9"/>
      <c r="O11" s="9"/>
      <c r="T11" s="64">
        <v>25</v>
      </c>
      <c r="U11" s="64">
        <v>15</v>
      </c>
      <c r="V11" s="9">
        <v>85</v>
      </c>
      <c r="W11">
        <v>75</v>
      </c>
      <c r="X11" s="64">
        <v>45</v>
      </c>
      <c r="AC11">
        <v>175</v>
      </c>
    </row>
    <row r="12" spans="1:33">
      <c r="A12" s="65" t="str">
        <f>'Personnel Info'!A5</f>
        <v>Carlos Rueda 130</v>
      </c>
      <c r="B12" s="40"/>
      <c r="C12" s="54"/>
      <c r="D12" s="58">
        <f>SUM(H12:AA12)</f>
        <v>93</v>
      </c>
      <c r="E12" s="40">
        <f>D12*'Personnel Info'!B5</f>
        <v>7090.32</v>
      </c>
      <c r="F12" s="85">
        <f t="shared" si="1"/>
        <v>7090.32</v>
      </c>
      <c r="G12" s="59">
        <f>Labor!B12-(('Personnel Info'!B5*Labor!D12)+C12)</f>
        <v>-7090.32</v>
      </c>
      <c r="H12" s="9"/>
      <c r="I12" s="9"/>
      <c r="J12" s="9"/>
      <c r="K12" s="9"/>
      <c r="L12" s="9"/>
      <c r="M12" s="9"/>
      <c r="N12" s="9"/>
      <c r="O12" s="9"/>
      <c r="T12" s="64">
        <v>24</v>
      </c>
      <c r="U12" s="64">
        <v>22</v>
      </c>
      <c r="V12" s="9">
        <v>29</v>
      </c>
      <c r="W12">
        <v>2</v>
      </c>
      <c r="X12" s="64">
        <v>16</v>
      </c>
      <c r="AC12">
        <v>130</v>
      </c>
    </row>
    <row r="13" spans="1:33" outlineLevel="1">
      <c r="A13" s="65">
        <f>'Personnel Info'!A6</f>
        <v>0</v>
      </c>
      <c r="B13" s="40"/>
      <c r="C13" s="54"/>
      <c r="D13" s="58">
        <f t="shared" si="0"/>
        <v>0</v>
      </c>
      <c r="E13" s="40">
        <f>D13*'Personnel Info'!B6</f>
        <v>0</v>
      </c>
      <c r="F13" s="85">
        <f t="shared" si="1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  <c r="V13" s="9"/>
      <c r="AD13" s="96"/>
    </row>
    <row r="14" spans="1:33" outlineLevel="1">
      <c r="A14" s="8">
        <f>'Personnel Info'!A8</f>
        <v>0</v>
      </c>
      <c r="B14" s="40"/>
      <c r="C14" s="54"/>
      <c r="D14" s="58">
        <f t="shared" si="0"/>
        <v>0</v>
      </c>
      <c r="E14" s="40">
        <f>D14*'Personnel Info'!B7</f>
        <v>0</v>
      </c>
      <c r="F14" s="85">
        <f t="shared" si="1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  <c r="V14" s="9"/>
    </row>
    <row r="15" spans="1:33" outlineLevel="1">
      <c r="A15" s="8">
        <f>'Personnel Info'!A9</f>
        <v>0</v>
      </c>
      <c r="B15" s="40"/>
      <c r="C15" s="54"/>
      <c r="D15" s="58">
        <f t="shared" si="0"/>
        <v>0</v>
      </c>
      <c r="E15" s="40">
        <f>D15*'Personnel Info'!B8</f>
        <v>0</v>
      </c>
      <c r="F15" s="85">
        <f t="shared" si="1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  <c r="V15" s="9"/>
    </row>
    <row r="16" spans="1:33" outlineLevel="1">
      <c r="A16" s="8">
        <f>'Personnel Info'!A10</f>
        <v>0</v>
      </c>
      <c r="B16" s="40"/>
      <c r="C16" s="54"/>
      <c r="D16" s="58">
        <f t="shared" si="0"/>
        <v>0</v>
      </c>
      <c r="E16" s="40">
        <f>D16*'Personnel Info'!B9</f>
        <v>0</v>
      </c>
      <c r="F16" s="85">
        <f t="shared" si="1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  <c r="V16" s="9"/>
    </row>
    <row r="17" spans="1:25" outlineLevel="1">
      <c r="A17" s="8">
        <f>'Personnel Info'!A11</f>
        <v>0</v>
      </c>
      <c r="B17" s="40"/>
      <c r="C17" s="54"/>
      <c r="D17" s="58">
        <f t="shared" si="0"/>
        <v>0</v>
      </c>
      <c r="E17" s="40">
        <f>D17*'Personnel Info'!B10</f>
        <v>0</v>
      </c>
      <c r="F17" s="85">
        <f t="shared" si="1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  <c r="V17" s="9"/>
    </row>
    <row r="18" spans="1:25" ht="15.75" thickBot="1">
      <c r="A18" s="30" t="s">
        <v>59</v>
      </c>
      <c r="B18" s="44">
        <f>SUM(B7:B17)</f>
        <v>82436</v>
      </c>
      <c r="C18" s="44">
        <f>SUM(C7:C17)</f>
        <v>24688.39</v>
      </c>
      <c r="D18" s="81">
        <f>SUM(D8:D17)</f>
        <v>791</v>
      </c>
      <c r="E18" s="44">
        <f>SUM(E8:E17)</f>
        <v>56447.28</v>
      </c>
      <c r="F18" s="44">
        <f>SUM(C18,E18)</f>
        <v>81135.67</v>
      </c>
      <c r="G18" s="44">
        <f>B18-F18</f>
        <v>1300.3300000000017</v>
      </c>
    </row>
    <row r="19" spans="1:25" ht="15.75" thickTop="1"/>
    <row r="22" spans="1:25">
      <c r="Y22" s="64">
        <v>2</v>
      </c>
    </row>
    <row r="23" spans="1:25">
      <c r="Y23" s="64">
        <v>8</v>
      </c>
    </row>
    <row r="24" spans="1:25">
      <c r="Y24" s="64">
        <v>10</v>
      </c>
    </row>
    <row r="25" spans="1:25">
      <c r="Y25" s="64">
        <v>5</v>
      </c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55"/>
  <sheetViews>
    <sheetView workbookViewId="0">
      <pane ySplit="5" topLeftCell="A6" activePane="bottomLeft" state="frozen"/>
      <selection pane="bottomLeft" activeCell="Q7" sqref="Q7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9" width="8.7109375" style="64" hidden="1" customWidth="1" outlineLevel="1"/>
    <col min="10" max="10" width="8.7109375" hidden="1" customWidth="1" outlineLevel="1"/>
    <col min="11" max="14" width="8.7109375" style="64" hidden="1" customWidth="1" outlineLevel="1"/>
    <col min="15" max="15" width="8.7109375" style="64" collapsed="1"/>
    <col min="16" max="16" width="8.7109375" style="64"/>
    <col min="17" max="17" width="11" style="64" customWidth="1" outlineLevel="1"/>
    <col min="18" max="18" width="8.7109375" style="64"/>
    <col min="19" max="19" width="9" style="64" bestFit="1" customWidth="1"/>
    <col min="20" max="20" width="8.7109375" style="64"/>
    <col min="21" max="21" width="9.28515625" style="64" bestFit="1" customWidth="1"/>
    <col min="22" max="22" width="8.7109375" style="64"/>
  </cols>
  <sheetData>
    <row r="1" spans="1:22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119015.81334225001</v>
      </c>
      <c r="E2" s="74">
        <f>Summary!E25</f>
        <v>178182.46334225</v>
      </c>
      <c r="F2" s="60">
        <f>Summary!F25</f>
        <v>20904.536657749995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88">
        <v>43770</v>
      </c>
      <c r="P5" s="88">
        <v>43800</v>
      </c>
      <c r="Q5" s="88">
        <v>43831</v>
      </c>
      <c r="R5" s="88">
        <v>43862</v>
      </c>
      <c r="S5" s="88">
        <v>43891</v>
      </c>
      <c r="T5" s="88">
        <v>43922</v>
      </c>
      <c r="U5" s="88">
        <v>43952</v>
      </c>
      <c r="V5" s="88">
        <v>43983</v>
      </c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2">
      <c r="A7" s="8" t="s">
        <v>14</v>
      </c>
      <c r="B7" s="9">
        <v>1000</v>
      </c>
      <c r="C7" s="53"/>
      <c r="D7" s="38">
        <f>SUM(G7:V7)</f>
        <v>0</v>
      </c>
      <c r="E7" s="38">
        <f>C7+D7</f>
        <v>0</v>
      </c>
      <c r="F7" s="37">
        <f>B7-(C7+D7)</f>
        <v>1000</v>
      </c>
      <c r="G7" s="21"/>
      <c r="H7" s="9"/>
      <c r="I7" s="9"/>
      <c r="J7" s="9"/>
      <c r="K7" s="9"/>
      <c r="L7" s="9"/>
      <c r="M7" s="9"/>
      <c r="N7" s="9"/>
      <c r="Q7" s="47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Q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Q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Q10" s="9"/>
    </row>
    <row r="11" spans="1:22" ht="15.75" thickBot="1">
      <c r="A11" s="30" t="s">
        <v>61</v>
      </c>
      <c r="B11" s="30">
        <f>SUM(B7:B10)</f>
        <v>1000</v>
      </c>
      <c r="C11" s="39">
        <f>SUM(C7:C10)</f>
        <v>0</v>
      </c>
      <c r="D11" s="39">
        <f>SUM(D7:D10)</f>
        <v>0</v>
      </c>
      <c r="E11" s="39">
        <f>SUM(E7:E10)</f>
        <v>0</v>
      </c>
      <c r="F11" s="39">
        <f>SUM(F7:F10)</f>
        <v>1000</v>
      </c>
      <c r="G11" s="21"/>
      <c r="H11" s="9"/>
      <c r="I11" s="9"/>
      <c r="J11" s="9"/>
      <c r="K11" s="9"/>
      <c r="L11" s="9"/>
      <c r="M11" s="9"/>
      <c r="N11" s="9"/>
      <c r="Q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Q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Q13" s="9"/>
    </row>
    <row r="14" spans="1:22">
      <c r="A14" s="8" t="s">
        <v>25</v>
      </c>
      <c r="B14" s="54"/>
      <c r="C14" s="54"/>
      <c r="D14" s="38">
        <f>SUM(G14:V14)</f>
        <v>0</v>
      </c>
      <c r="E14" s="41">
        <f>C14+D14</f>
        <v>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Q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Q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0</v>
      </c>
      <c r="D16" s="42">
        <f>SUM(D14:D15)</f>
        <v>0</v>
      </c>
      <c r="E16" s="42">
        <f>SUM(E14:E15)</f>
        <v>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Q16" s="9"/>
    </row>
    <row r="17" spans="1:17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Q17" s="9"/>
    </row>
    <row r="18" spans="1:17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</row>
    <row r="19" spans="1:17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</row>
    <row r="20" spans="1:17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</row>
    <row r="21" spans="1:17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</row>
    <row r="22" spans="1:17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</row>
    <row r="23" spans="1:17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</row>
    <row r="24" spans="1:17">
      <c r="A24" s="8" t="s">
        <v>26</v>
      </c>
      <c r="B24" s="54"/>
      <c r="C24" s="54"/>
      <c r="D24" s="38">
        <f>SUM(G24:V24)</f>
        <v>0</v>
      </c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</row>
    <row r="25" spans="1:17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</row>
    <row r="26" spans="1:17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</row>
    <row r="27" spans="1:17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</row>
    <row r="28" spans="1:17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</row>
    <row r="29" spans="1:17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</row>
    <row r="30" spans="1:17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</row>
    <row r="31" spans="1:17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</row>
    <row r="32" spans="1:17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</row>
    <row r="36" spans="1:14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</row>
    <row r="38" spans="1:14" ht="15.75" thickBot="1">
      <c r="A38" s="30" t="s">
        <v>82</v>
      </c>
      <c r="B38" s="44">
        <f>SUM(B36,B26,B21,B16,B11)</f>
        <v>1000</v>
      </c>
      <c r="C38" s="44">
        <f t="shared" ref="C38" si="11">SUM(C36,C26,C21,C16,C11)</f>
        <v>0</v>
      </c>
      <c r="D38" s="44">
        <f>SUM(D36,D26,D21,D16,D11)</f>
        <v>0</v>
      </c>
      <c r="E38" s="44">
        <f>SUM(E36,E26,E21,E16,E11)</f>
        <v>0</v>
      </c>
      <c r="F38" s="44">
        <f>SUM(F36,F26,F21,F16,F11)</f>
        <v>1000</v>
      </c>
      <c r="G38" s="22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W38"/>
  <sheetViews>
    <sheetView topLeftCell="D1" workbookViewId="0">
      <selection activeCell="J20" sqref="J20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8" width="10.42578125" style="64" bestFit="1" customWidth="1" outlineLevel="1"/>
    <col min="9" max="10" width="8.7109375" style="64"/>
    <col min="11" max="11" width="11" style="64" customWidth="1" outlineLevel="1"/>
    <col min="12" max="12" width="8.7109375" style="64"/>
    <col min="13" max="13" width="9" style="64" bestFit="1" customWidth="1"/>
    <col min="14" max="14" width="8.7109375" style="64"/>
    <col min="15" max="15" width="9.28515625" style="64" bestFit="1" customWidth="1"/>
    <col min="16" max="16" width="8.7109375" style="64"/>
    <col min="17" max="23" width="8.7109375" style="64" customWidth="1" outlineLevel="1"/>
  </cols>
  <sheetData>
    <row r="1" spans="1:23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119015.81334225001</v>
      </c>
      <c r="E2" s="74">
        <f>Summary!E25</f>
        <v>178182.46334225</v>
      </c>
      <c r="F2" s="62">
        <f>Summary!F25</f>
        <v>20904.536657749995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88">
        <v>43770</v>
      </c>
      <c r="J5" s="88">
        <v>43800</v>
      </c>
      <c r="K5" s="88">
        <v>43831</v>
      </c>
      <c r="L5" s="88">
        <v>43862</v>
      </c>
      <c r="M5" s="88">
        <v>43891</v>
      </c>
      <c r="N5" s="88">
        <v>43922</v>
      </c>
      <c r="O5" s="88">
        <v>43952</v>
      </c>
      <c r="P5" s="88">
        <v>43983</v>
      </c>
      <c r="Q5" s="75"/>
      <c r="R5" s="75"/>
      <c r="S5" s="75"/>
      <c r="T5" s="75"/>
      <c r="U5" s="75"/>
      <c r="V5" s="75"/>
      <c r="W5" s="75"/>
    </row>
    <row r="6" spans="1:23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9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93"/>
      <c r="I7" s="94"/>
      <c r="J7" s="94"/>
      <c r="K7" s="95"/>
      <c r="L7" s="94"/>
      <c r="M7" s="94"/>
      <c r="N7" s="94"/>
      <c r="O7" s="94"/>
      <c r="P7" s="94"/>
      <c r="Q7" s="93"/>
      <c r="R7" s="93"/>
      <c r="S7" s="93"/>
      <c r="T7" s="93"/>
      <c r="U7" s="93"/>
      <c r="V7" s="93"/>
      <c r="W7" s="93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93"/>
      <c r="I8" s="94"/>
      <c r="J8" s="94"/>
      <c r="K8" s="93"/>
      <c r="L8" s="94"/>
      <c r="M8" s="94"/>
      <c r="N8" s="94"/>
      <c r="O8" s="94"/>
      <c r="P8" s="94"/>
      <c r="Q8" s="93"/>
      <c r="R8" s="93"/>
      <c r="S8" s="93"/>
      <c r="T8" s="93"/>
      <c r="U8" s="93"/>
      <c r="V8" s="93"/>
      <c r="W8" s="93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K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K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K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K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K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K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K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K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K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Q28" s="9"/>
      <c r="R28" s="9"/>
      <c r="S28" s="9"/>
      <c r="T28" s="9"/>
      <c r="U28" s="9"/>
      <c r="V28" s="9"/>
      <c r="W28" s="9"/>
    </row>
    <row r="29" spans="1:23">
      <c r="H29" s="82"/>
      <c r="Q29" s="9"/>
      <c r="R29" s="9"/>
      <c r="S29" s="9"/>
      <c r="T29" s="9"/>
      <c r="U29" s="9"/>
      <c r="V29" s="9"/>
      <c r="W29" s="9"/>
    </row>
    <row r="30" spans="1:23">
      <c r="H30" s="82"/>
      <c r="Q30" s="9"/>
      <c r="R30" s="9"/>
      <c r="S30" s="9"/>
      <c r="T30" s="9"/>
      <c r="U30" s="9"/>
      <c r="V30" s="9"/>
      <c r="W30" s="9"/>
    </row>
    <row r="31" spans="1:23">
      <c r="H31" s="82"/>
      <c r="Q31" s="9"/>
      <c r="R31" s="9"/>
      <c r="S31" s="9"/>
      <c r="T31" s="9"/>
      <c r="U31" s="9"/>
      <c r="V31" s="9"/>
      <c r="W31" s="9"/>
    </row>
    <row r="32" spans="1:23">
      <c r="H32" s="82"/>
      <c r="Q32" s="9"/>
      <c r="R32" s="9"/>
      <c r="S32" s="9"/>
      <c r="T32" s="9"/>
      <c r="U32" s="9"/>
      <c r="V32" s="9"/>
      <c r="W32" s="9"/>
    </row>
    <row r="33" spans="8:23">
      <c r="H33" s="82"/>
      <c r="Q33" s="9"/>
      <c r="R33" s="9"/>
      <c r="S33" s="9"/>
      <c r="T33" s="9"/>
      <c r="U33" s="9"/>
      <c r="V33" s="9"/>
      <c r="W33" s="9"/>
    </row>
    <row r="34" spans="8:23">
      <c r="H34" s="82"/>
      <c r="Q34" s="9"/>
      <c r="R34" s="9"/>
      <c r="S34" s="9"/>
      <c r="T34" s="9"/>
      <c r="U34" s="9"/>
      <c r="V34" s="9"/>
      <c r="W34" s="9"/>
    </row>
    <row r="35" spans="8:23">
      <c r="H35" s="82"/>
      <c r="Q35" s="9"/>
      <c r="R35" s="9"/>
      <c r="S35" s="9"/>
      <c r="T35" s="9"/>
      <c r="U35" s="9"/>
      <c r="V35" s="9"/>
      <c r="W35" s="9"/>
    </row>
    <row r="36" spans="8:23">
      <c r="H36" s="82"/>
      <c r="Q36" s="9"/>
      <c r="R36" s="9"/>
      <c r="S36" s="9"/>
      <c r="T36" s="9"/>
      <c r="U36" s="9"/>
      <c r="V36" s="9"/>
      <c r="W36" s="9"/>
    </row>
    <row r="37" spans="8:23">
      <c r="H37" s="82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workbookViewId="0">
      <selection activeCell="B22" sqref="B22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4" customFormat="1">
      <c r="A1" s="105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106"/>
      <c r="B2" s="74">
        <f>Summary!B25</f>
        <v>199087</v>
      </c>
      <c r="C2" s="74">
        <f>Summary!C25</f>
        <v>59166.65</v>
      </c>
      <c r="D2" s="74">
        <f>Summary!D25</f>
        <v>119015.81334225001</v>
      </c>
      <c r="E2" s="74">
        <f>Summary!E25</f>
        <v>178182.46334225</v>
      </c>
      <c r="F2" s="62">
        <f>Summary!F25</f>
        <v>20904.536657749995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47112</v>
      </c>
      <c r="C6" s="55">
        <v>14109.41</v>
      </c>
      <c r="D6" s="56">
        <f>D17</f>
        <v>21595.87629</v>
      </c>
      <c r="E6" s="56">
        <f>C6+D6</f>
        <v>35705.286290000004</v>
      </c>
      <c r="F6" s="56">
        <f>B6-(E6)</f>
        <v>11406.713709999996</v>
      </c>
    </row>
    <row r="7" spans="1:7">
      <c r="A7" t="str">
        <f>'Personnel Info'!A2</f>
        <v>Brett Hobson 207</v>
      </c>
      <c r="B7" s="23"/>
      <c r="C7" s="23"/>
      <c r="D7" s="7">
        <f>Labor!E7*'Personnel Info'!C2</f>
        <v>0</v>
      </c>
      <c r="E7" s="7"/>
      <c r="F7" s="8"/>
    </row>
    <row r="8" spans="1:7">
      <c r="A8" t="str">
        <f>'Personnel Info'!A3</f>
        <v>Brian Kieft 530</v>
      </c>
      <c r="B8" s="23"/>
      <c r="C8" s="23"/>
      <c r="D8" s="7">
        <f>Labor!E8*'Personnel Info'!C3</f>
        <v>0</v>
      </c>
      <c r="E8" s="7"/>
      <c r="F8" s="8"/>
    </row>
    <row r="9" spans="1:7">
      <c r="A9" t="str">
        <f>'Personnel Info'!A4</f>
        <v>Ben Ranaan 235</v>
      </c>
      <c r="B9" s="23"/>
      <c r="C9" s="23"/>
      <c r="D9" s="7">
        <f>Labor!E9*'Personnel Info'!C4</f>
        <v>8336.1390300000003</v>
      </c>
      <c r="E9" s="7"/>
      <c r="F9" s="8"/>
    </row>
    <row r="10" spans="1:7">
      <c r="A10" t="str">
        <f>'Personnel Info'!A5</f>
        <v>Carlos Rueda 130</v>
      </c>
      <c r="B10" s="23"/>
      <c r="C10" s="23"/>
      <c r="D10" s="7">
        <f>Labor!E10*'Personnel Info'!C5</f>
        <v>13259.73726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47112</v>
      </c>
      <c r="C17" s="23">
        <f>SUM(C6:C16)</f>
        <v>14109.41</v>
      </c>
      <c r="D17" s="7">
        <f>SUM(D7:D16)</f>
        <v>21595.87629</v>
      </c>
      <c r="E17" s="7"/>
      <c r="F17" s="7">
        <f>SUM(F6:F16)</f>
        <v>11406.713709999996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68539</v>
      </c>
      <c r="C21" s="57">
        <v>20368.849999999999</v>
      </c>
      <c r="D21" s="1">
        <f>(SUM(Labor!E18,Expenses!D38,'Capital Equipment &amp; DMO Assets'!E26,'Fringe &amp; OH'!D17)-Expenses!D19)*A21</f>
        <v>40972.657052250004</v>
      </c>
      <c r="E21" s="1">
        <f>C21+D21</f>
        <v>61341.507052250003</v>
      </c>
      <c r="F21" s="1">
        <f>B21-E21</f>
        <v>7197.4929477499973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116840.95629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2020-04-02T19:17:20Z</dcterms:modified>
</cp:coreProperties>
</file>