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430"/>
  <workbookPr showInkAnnotation="0" autoCompressPictures="0"/>
  <bookViews>
    <workbookView xWindow="0" yWindow="0" windowWidth="25600" windowHeight="14300" tabRatio="500" activeTab="2"/>
  </bookViews>
  <sheets>
    <sheet name="Summary" sheetId="1" r:id="rId1"/>
    <sheet name="Salaries" sheetId="4" r:id="rId2"/>
    <sheet name="Materials" sheetId="5" r:id="rId3"/>
  </sheet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calcChain.xml><?xml version="1.0" encoding="utf-8"?>
<calcChain xmlns="http://schemas.openxmlformats.org/spreadsheetml/2006/main">
  <c r="L7" i="5" l="1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E22" i="1"/>
  <c r="E21" i="1"/>
  <c r="B10" i="4"/>
  <c r="B9" i="4"/>
  <c r="B8" i="4"/>
  <c r="B7" i="4"/>
  <c r="B6" i="4"/>
  <c r="B5" i="4"/>
  <c r="B4" i="4"/>
  <c r="B3" i="4"/>
  <c r="B2" i="4"/>
  <c r="D3" i="1"/>
  <c r="D4" i="1"/>
  <c r="D5" i="1"/>
  <c r="D6" i="1"/>
  <c r="D7" i="1"/>
  <c r="D8" i="1"/>
  <c r="D9" i="1"/>
  <c r="D10" i="1"/>
  <c r="D11" i="1"/>
  <c r="D12" i="1"/>
  <c r="D14" i="1"/>
  <c r="C3" i="1"/>
  <c r="C4" i="1"/>
  <c r="C5" i="1"/>
  <c r="C6" i="1"/>
  <c r="C7" i="1"/>
  <c r="C8" i="1"/>
  <c r="C9" i="1"/>
  <c r="C10" i="1"/>
  <c r="C11" i="1"/>
  <c r="C12" i="1"/>
  <c r="C14" i="1"/>
  <c r="B3" i="1"/>
  <c r="B4" i="1"/>
  <c r="B5" i="1"/>
  <c r="B6" i="1"/>
  <c r="B7" i="1"/>
  <c r="B8" i="1"/>
  <c r="B9" i="1"/>
  <c r="B10" i="1"/>
  <c r="B11" i="1"/>
  <c r="B12" i="1"/>
  <c r="B14" i="1"/>
  <c r="E10" i="1"/>
  <c r="B11" i="4"/>
  <c r="D17" i="1"/>
  <c r="C17" i="1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1" i="5"/>
  <c r="B17" i="1"/>
  <c r="L2" i="5"/>
  <c r="L3" i="5"/>
  <c r="L4" i="5"/>
  <c r="L5" i="5"/>
  <c r="D18" i="1"/>
  <c r="H2" i="5"/>
  <c r="H3" i="5"/>
  <c r="H4" i="5"/>
  <c r="H5" i="5"/>
  <c r="C18" i="1"/>
  <c r="D2" i="5"/>
  <c r="D3" i="5"/>
  <c r="D4" i="5"/>
  <c r="D5" i="5"/>
  <c r="B18" i="1"/>
  <c r="D31" i="1"/>
  <c r="E9" i="1"/>
  <c r="E5" i="1"/>
  <c r="D24" i="1"/>
  <c r="D26" i="1"/>
  <c r="D27" i="1"/>
  <c r="C24" i="1"/>
  <c r="C26" i="1"/>
  <c r="C27" i="1"/>
  <c r="B24" i="1"/>
  <c r="B26" i="1"/>
  <c r="B27" i="1"/>
  <c r="E4" i="1"/>
  <c r="D29" i="1"/>
  <c r="C29" i="1"/>
  <c r="B29" i="1"/>
  <c r="D33" i="1"/>
  <c r="E31" i="1"/>
  <c r="C33" i="1"/>
  <c r="B33" i="1"/>
  <c r="E33" i="1"/>
  <c r="E11" i="1"/>
  <c r="E3" i="1"/>
  <c r="E7" i="1"/>
  <c r="E6" i="1"/>
  <c r="E8" i="1"/>
  <c r="E12" i="1"/>
  <c r="E18" i="1"/>
  <c r="E17" i="1"/>
  <c r="E14" i="1"/>
  <c r="E24" i="1"/>
  <c r="E26" i="1"/>
  <c r="E27" i="1"/>
  <c r="E29" i="1"/>
</calcChain>
</file>

<file path=xl/sharedStrings.xml><?xml version="1.0" encoding="utf-8"?>
<sst xmlns="http://schemas.openxmlformats.org/spreadsheetml/2006/main" count="131" uniqueCount="59">
  <si>
    <t>camera housing</t>
  </si>
  <si>
    <t>tx2</t>
  </si>
  <si>
    <t>bulkhead connectors</t>
  </si>
  <si>
    <t>wiring</t>
  </si>
  <si>
    <t>camera glass port</t>
  </si>
  <si>
    <t>housing endcaps</t>
  </si>
  <si>
    <t>months</t>
  </si>
  <si>
    <t>month</t>
  </si>
  <si>
    <t>external drives</t>
  </si>
  <si>
    <t>on-board data storage</t>
  </si>
  <si>
    <t>cabling</t>
  </si>
  <si>
    <t>misc. items</t>
  </si>
  <si>
    <t>misc. electronics</t>
  </si>
  <si>
    <t>LED lights</t>
  </si>
  <si>
    <t>publication fees</t>
  </si>
  <si>
    <t>camera + sdk (equip)</t>
  </si>
  <si>
    <t>lens (equip)</t>
  </si>
  <si>
    <t>Equipment</t>
  </si>
  <si>
    <t xml:space="preserve">Subtotal </t>
  </si>
  <si>
    <t>MTDC</t>
  </si>
  <si>
    <t>IDC 12.5% (for Moore)</t>
  </si>
  <si>
    <t>MBARI TOTAL</t>
  </si>
  <si>
    <t>Intern</t>
  </si>
  <si>
    <t>Research Engineer</t>
  </si>
  <si>
    <t>camera (equip)</t>
  </si>
  <si>
    <t>DPSL led lights</t>
  </si>
  <si>
    <t>TOTAL</t>
  </si>
  <si>
    <t>sales tax</t>
  </si>
  <si>
    <t>YEAR 1</t>
  </si>
  <si>
    <t>YEAR 2</t>
  </si>
  <si>
    <t>YEAR 3</t>
  </si>
  <si>
    <t>TOTAL (materials)</t>
  </si>
  <si>
    <t>TOTAL (equipment)</t>
  </si>
  <si>
    <t>PERSONNEL</t>
  </si>
  <si>
    <t>Kakani Katija</t>
  </si>
  <si>
    <t>Henry Ruhl</t>
  </si>
  <si>
    <t>Alana Sherman</t>
  </si>
  <si>
    <t>Tom Marion (EE Tech)</t>
  </si>
  <si>
    <t>Frank Flores (ME Tech)</t>
  </si>
  <si>
    <t>Rich Henthorn (SE)</t>
  </si>
  <si>
    <t>Jon Erickson (ME)</t>
  </si>
  <si>
    <t>Denis Klimov (EE)</t>
  </si>
  <si>
    <t>Salary</t>
  </si>
  <si>
    <t>per month</t>
  </si>
  <si>
    <t>Kakani Katija (PI)</t>
  </si>
  <si>
    <t>Henry Ruhl (Co-PI)</t>
  </si>
  <si>
    <t>Personnel Salary</t>
  </si>
  <si>
    <t>Personnel Salary TOTAL</t>
  </si>
  <si>
    <t>Salary Fringe 58.5%</t>
  </si>
  <si>
    <t>Materials (incl. travel + publications)</t>
  </si>
  <si>
    <t>Materials + Equipment</t>
  </si>
  <si>
    <t>MBARI TOTAL w/ Postdoc</t>
  </si>
  <si>
    <t>Postdoc with Fringe 46% &amp; IDC 12.5% (for Moore)</t>
  </si>
  <si>
    <t>BUDGET ITEMS</t>
  </si>
  <si>
    <t>Alana Sherman (Co-PI)</t>
  </si>
  <si>
    <t>Ship time</t>
  </si>
  <si>
    <t>Paragon + LRAUV</t>
  </si>
  <si>
    <t>Rachel Carson + Ventana</t>
  </si>
  <si>
    <t>travel to Ocean Sciences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</si>
</sst>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* #,##0_);_(* \(#,##0\);_(* &quot;-&quot;??_);_(@_)"/>
    <numFmt numFmtId="167" formatCode="_(&quot;$&quot;* #,##0_);_(&quot;$&quot;* \(#,##0\);_(&quot;$&quot;* &quot;-&quot;??_);_(@_)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166" fontId="0" fillId="0" borderId="0" xfId="7" applyNumberFormat="1" applyFont="1" applyBorder="1"/>
    <xf numFmtId="0" fontId="0" fillId="0" borderId="5" xfId="0" applyBorder="1"/>
    <xf numFmtId="166" fontId="0" fillId="0" borderId="5" xfId="0" applyNumberFormat="1" applyBorder="1"/>
    <xf numFmtId="166" fontId="0" fillId="0" borderId="2" xfId="7" applyNumberFormat="1" applyFont="1" applyBorder="1"/>
    <xf numFmtId="0" fontId="0" fillId="0" borderId="0" xfId="0" applyBorder="1"/>
    <xf numFmtId="166" fontId="0" fillId="0" borderId="0" xfId="0" applyNumberFormat="1"/>
    <xf numFmtId="0" fontId="0" fillId="0" borderId="0" xfId="0" applyFill="1"/>
    <xf numFmtId="0" fontId="0" fillId="0" borderId="8" xfId="0" applyBorder="1"/>
    <xf numFmtId="0" fontId="2" fillId="0" borderId="4" xfId="0" applyFont="1" applyBorder="1"/>
    <xf numFmtId="167" fontId="0" fillId="0" borderId="0" xfId="12" applyNumberFormat="1" applyFont="1"/>
    <xf numFmtId="167" fontId="2" fillId="0" borderId="8" xfId="12" applyNumberFormat="1" applyFont="1" applyBorder="1"/>
    <xf numFmtId="167" fontId="2" fillId="0" borderId="5" xfId="12" applyNumberFormat="1" applyFont="1" applyBorder="1" applyAlignment="1"/>
    <xf numFmtId="167" fontId="0" fillId="0" borderId="0" xfId="12" applyNumberFormat="1" applyFont="1" applyAlignment="1"/>
    <xf numFmtId="0" fontId="0" fillId="0" borderId="1" xfId="0" applyNumberFormat="1" applyBorder="1"/>
    <xf numFmtId="0" fontId="0" fillId="0" borderId="2" xfId="0" applyNumberFormat="1" applyBorder="1"/>
    <xf numFmtId="0" fontId="0" fillId="0" borderId="4" xfId="0" applyNumberFormat="1" applyBorder="1"/>
    <xf numFmtId="0" fontId="0" fillId="0" borderId="0" xfId="0" applyNumberFormat="1" applyBorder="1"/>
    <xf numFmtId="0" fontId="2" fillId="0" borderId="0" xfId="12" applyNumberFormat="1" applyFont="1" applyBorder="1" applyAlignment="1"/>
    <xf numFmtId="0" fontId="2" fillId="0" borderId="6" xfId="12" applyNumberFormat="1" applyFont="1" applyBorder="1"/>
    <xf numFmtId="0" fontId="2" fillId="0" borderId="7" xfId="12" applyNumberFormat="1" applyFont="1" applyBorder="1"/>
    <xf numFmtId="0" fontId="0" fillId="0" borderId="0" xfId="0" applyNumberFormat="1"/>
    <xf numFmtId="0" fontId="0" fillId="0" borderId="0" xfId="0" applyNumberFormat="1" applyFill="1" applyBorder="1"/>
    <xf numFmtId="2" fontId="0" fillId="0" borderId="0" xfId="0" applyNumberFormat="1"/>
    <xf numFmtId="0" fontId="0" fillId="0" borderId="6" xfId="0" applyFill="1" applyBorder="1"/>
    <xf numFmtId="0" fontId="0" fillId="0" borderId="7" xfId="0" applyFill="1" applyBorder="1"/>
    <xf numFmtId="0" fontId="2" fillId="0" borderId="12" xfId="0" applyFont="1" applyBorder="1"/>
    <xf numFmtId="0" fontId="0" fillId="0" borderId="17" xfId="0" applyBorder="1"/>
    <xf numFmtId="0" fontId="0" fillId="0" borderId="18" xfId="0" applyFill="1" applyBorder="1"/>
    <xf numFmtId="2" fontId="0" fillId="0" borderId="4" xfId="0" applyNumberFormat="1" applyBorder="1"/>
    <xf numFmtId="2" fontId="0" fillId="0" borderId="6" xfId="0" applyNumberFormat="1" applyFill="1" applyBorder="1"/>
    <xf numFmtId="2" fontId="0" fillId="0" borderId="4" xfId="0" applyNumberFormat="1" applyBorder="1" applyAlignment="1">
      <alignment horizontal="right"/>
    </xf>
    <xf numFmtId="0" fontId="0" fillId="0" borderId="8" xfId="0" applyFill="1" applyBorder="1"/>
    <xf numFmtId="166" fontId="2" fillId="0" borderId="0" xfId="7" applyNumberFormat="1" applyFont="1" applyBorder="1"/>
    <xf numFmtId="166" fontId="2" fillId="0" borderId="5" xfId="0" applyNumberFormat="1" applyFont="1" applyBorder="1"/>
    <xf numFmtId="0" fontId="2" fillId="2" borderId="9" xfId="0" applyFont="1" applyFill="1" applyBorder="1"/>
    <xf numFmtId="166" fontId="2" fillId="2" borderId="10" xfId="7" applyNumberFormat="1" applyFont="1" applyFill="1" applyBorder="1"/>
    <xf numFmtId="166" fontId="2" fillId="2" borderId="11" xfId="0" applyNumberFormat="1" applyFont="1" applyFill="1" applyBorder="1"/>
    <xf numFmtId="0" fontId="2" fillId="2" borderId="6" xfId="0" applyFont="1" applyFill="1" applyBorder="1"/>
    <xf numFmtId="166" fontId="2" fillId="2" borderId="7" xfId="0" applyNumberFormat="1" applyFont="1" applyFill="1" applyBorder="1"/>
    <xf numFmtId="166" fontId="2" fillId="2" borderId="8" xfId="0" applyNumberFormat="1" applyFont="1" applyFill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</cellXfs>
  <cellStyles count="25">
    <cellStyle name="Comma" xfId="7" builtinId="3"/>
    <cellStyle name="Currency" xfId="12" builtinId="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9" builtinId="9" hidden="1"/>
    <cellStyle name="Followed Hyperlink" xfId="11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Hyperlink" xfId="1" builtinId="8" hidden="1"/>
    <cellStyle name="Hyperlink" xfId="3" builtinId="8" hidden="1"/>
    <cellStyle name="Hyperlink" xfId="5" builtinId="8" hidden="1"/>
    <cellStyle name="Hyperlink" xfId="8" builtinId="8" hidden="1"/>
    <cellStyle name="Hyperlink" xfId="10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zoomScale="150" zoomScaleNormal="150" zoomScalePageLayoutView="150" workbookViewId="0">
      <selection activeCell="B17" sqref="B17"/>
    </sheetView>
  </sheetViews>
  <sheetFormatPr baseColWidth="10" defaultColWidth="11.1640625" defaultRowHeight="15" x14ac:dyDescent="0"/>
  <cols>
    <col min="1" max="1" width="41.5" bestFit="1" customWidth="1"/>
    <col min="2" max="2" width="16" customWidth="1"/>
    <col min="5" max="5" width="11.83203125" customWidth="1"/>
    <col min="6" max="6" width="19.33203125" bestFit="1" customWidth="1"/>
    <col min="10" max="10" width="3.5" customWidth="1"/>
    <col min="11" max="11" width="16" bestFit="1" customWidth="1"/>
  </cols>
  <sheetData>
    <row r="1" spans="1:5" ht="17" thickBot="1">
      <c r="A1" s="47" t="s">
        <v>53</v>
      </c>
      <c r="B1" s="45" t="s">
        <v>28</v>
      </c>
      <c r="C1" s="45" t="s">
        <v>29</v>
      </c>
      <c r="D1" s="45" t="s">
        <v>30</v>
      </c>
      <c r="E1" s="46" t="s">
        <v>26</v>
      </c>
    </row>
    <row r="2" spans="1:5">
      <c r="A2" s="13" t="s">
        <v>46</v>
      </c>
      <c r="B2" s="5"/>
      <c r="C2" s="5"/>
      <c r="D2" s="5"/>
      <c r="E2" s="6"/>
    </row>
    <row r="3" spans="1:5">
      <c r="A3" s="4" t="s">
        <v>44</v>
      </c>
      <c r="B3" s="5">
        <f>Salaries!B2*Salaries!D2</f>
        <v>0</v>
      </c>
      <c r="C3" s="5">
        <f>Salaries!B2*Salaries!F2*1.03</f>
        <v>0</v>
      </c>
      <c r="D3" s="5">
        <f>Salaries!B2*Salaries!H2*1.03*1.03</f>
        <v>0</v>
      </c>
      <c r="E3" s="7">
        <f t="shared" ref="E3:E14" si="0">SUM(B3:D3)</f>
        <v>0</v>
      </c>
    </row>
    <row r="4" spans="1:5">
      <c r="A4" s="4" t="s">
        <v>45</v>
      </c>
      <c r="B4" s="5">
        <f>Salaries!B3*Salaries!D3</f>
        <v>9581.8666666666668</v>
      </c>
      <c r="C4" s="5">
        <f>Salaries!B3*Salaries!F3*1.03</f>
        <v>9869.3226666666669</v>
      </c>
      <c r="D4" s="5">
        <f>Salaries!B3*Salaries!H3*1.03*1.03</f>
        <v>10165.402346666668</v>
      </c>
      <c r="E4" s="7">
        <f t="shared" si="0"/>
        <v>29616.591680000005</v>
      </c>
    </row>
    <row r="5" spans="1:5">
      <c r="A5" s="4" t="s">
        <v>54</v>
      </c>
      <c r="B5" s="5">
        <f>Salaries!B4*Salaries!D4</f>
        <v>14634.533333333335</v>
      </c>
      <c r="C5" s="5">
        <f>Salaries!B4*Salaries!F4*1.03</f>
        <v>15073.569333333335</v>
      </c>
      <c r="D5" s="5">
        <f>Salaries!B4*Salaries!H4*1.03*1.03</f>
        <v>15525.776413333335</v>
      </c>
      <c r="E5" s="7">
        <f t="shared" si="0"/>
        <v>45233.879080000006</v>
      </c>
    </row>
    <row r="6" spans="1:5">
      <c r="A6" s="4" t="s">
        <v>41</v>
      </c>
      <c r="B6" s="5">
        <f>Salaries!B5*Salaries!D5</f>
        <v>10786.533333333333</v>
      </c>
      <c r="C6" s="5">
        <f>Salaries!B5*Salaries!F5*1.03</f>
        <v>11110.129333333332</v>
      </c>
      <c r="D6" s="5">
        <f>Salaries!B5*Salaries!H5*1.03*1.03</f>
        <v>0</v>
      </c>
      <c r="E6" s="7">
        <f t="shared" si="0"/>
        <v>21896.662666666663</v>
      </c>
    </row>
    <row r="7" spans="1:5">
      <c r="A7" s="4" t="s">
        <v>40</v>
      </c>
      <c r="B7" s="5">
        <f>Salaries!B6*Salaries!D6</f>
        <v>12759.066666666666</v>
      </c>
      <c r="C7" s="5">
        <f>Salaries!B6*Salaries!F6*1.03</f>
        <v>13141.838666666667</v>
      </c>
      <c r="D7" s="5">
        <f>Salaries!B6*Salaries!H6*1.03*1.03</f>
        <v>3384.0234566666668</v>
      </c>
      <c r="E7" s="7">
        <f t="shared" si="0"/>
        <v>29284.928789999998</v>
      </c>
    </row>
    <row r="8" spans="1:5">
      <c r="A8" s="4" t="s">
        <v>39</v>
      </c>
      <c r="B8" s="5">
        <f>Salaries!B7*Salaries!D7</f>
        <v>14097.199999999999</v>
      </c>
      <c r="C8" s="5">
        <f>Salaries!B7*Salaries!F7*1.03</f>
        <v>29040.232</v>
      </c>
      <c r="D8" s="5">
        <f>Salaries!B7*Salaries!H7*1.03*1.03</f>
        <v>14955.71948</v>
      </c>
      <c r="E8" s="7">
        <f t="shared" si="0"/>
        <v>58093.15148</v>
      </c>
    </row>
    <row r="9" spans="1:5">
      <c r="A9" s="4" t="s">
        <v>23</v>
      </c>
      <c r="B9" s="5">
        <f>Salaries!B8*Salaries!D8</f>
        <v>115000</v>
      </c>
      <c r="C9" s="5">
        <f>Salaries!B8*Salaries!F8*1.03</f>
        <v>118450</v>
      </c>
      <c r="D9" s="5">
        <f>Salaries!B8*Salaries!H8*1.03*1.03</f>
        <v>122003.5</v>
      </c>
      <c r="E9" s="7">
        <f t="shared" si="0"/>
        <v>355453.5</v>
      </c>
    </row>
    <row r="10" spans="1:5">
      <c r="A10" s="4" t="s">
        <v>37</v>
      </c>
      <c r="B10" s="5">
        <f>Salaries!B9*Salaries!D9</f>
        <v>4204.2</v>
      </c>
      <c r="C10" s="5">
        <f>Salaries!B9*Salaries!F9*1.03</f>
        <v>4330.326</v>
      </c>
      <c r="D10" s="5">
        <f>Salaries!B9*Salaries!H9*1.03*1.03</f>
        <v>4460.23578</v>
      </c>
      <c r="E10" s="7">
        <f t="shared" si="0"/>
        <v>12994.761780000001</v>
      </c>
    </row>
    <row r="11" spans="1:5">
      <c r="A11" s="4" t="s">
        <v>38</v>
      </c>
      <c r="B11" s="5">
        <f>Salaries!B10*Salaries!D10</f>
        <v>2891.6258333333335</v>
      </c>
      <c r="C11" s="5">
        <f>Salaries!B10*Salaries!F10*1.03</f>
        <v>2978.3746083333335</v>
      </c>
      <c r="D11" s="5">
        <f>Salaries!B10*Salaries!H10*1.03*1.03</f>
        <v>3067.7258465833338</v>
      </c>
      <c r="E11" s="7">
        <f t="shared" si="0"/>
        <v>8937.7262882499999</v>
      </c>
    </row>
    <row r="12" spans="1:5">
      <c r="A12" s="4" t="s">
        <v>47</v>
      </c>
      <c r="B12" s="5">
        <f>SUM(B3:B11)</f>
        <v>183955.02583333335</v>
      </c>
      <c r="C12" s="5">
        <f>SUM(C3:C11)</f>
        <v>203993.79260833334</v>
      </c>
      <c r="D12" s="5">
        <f>SUM(D3:D11)</f>
        <v>173562.38332325002</v>
      </c>
      <c r="E12" s="7">
        <f t="shared" si="0"/>
        <v>561511.20176491665</v>
      </c>
    </row>
    <row r="13" spans="1:5">
      <c r="A13" s="4"/>
      <c r="B13" s="5"/>
      <c r="C13" s="5"/>
      <c r="D13" s="5"/>
      <c r="E13" s="7"/>
    </row>
    <row r="14" spans="1:5">
      <c r="A14" s="4" t="s">
        <v>48</v>
      </c>
      <c r="B14" s="5">
        <f>B12*0.585</f>
        <v>107613.6901125</v>
      </c>
      <c r="C14" s="5">
        <f>C12*0.585</f>
        <v>119336.368675875</v>
      </c>
      <c r="D14" s="5">
        <f>D12*0.585</f>
        <v>101533.99424410125</v>
      </c>
      <c r="E14" s="7">
        <f t="shared" si="0"/>
        <v>328484.05303247622</v>
      </c>
    </row>
    <row r="15" spans="1:5">
      <c r="A15" s="4"/>
      <c r="B15" s="5"/>
      <c r="C15" s="5"/>
      <c r="D15" s="5"/>
      <c r="E15" s="7"/>
    </row>
    <row r="16" spans="1:5">
      <c r="A16" s="13" t="s">
        <v>50</v>
      </c>
      <c r="B16" s="5"/>
      <c r="C16" s="5"/>
      <c r="D16" s="5"/>
      <c r="E16" s="6"/>
    </row>
    <row r="17" spans="1:6">
      <c r="A17" s="4" t="s">
        <v>49</v>
      </c>
      <c r="B17" s="5">
        <f>Materials!D21</f>
        <v>32340</v>
      </c>
      <c r="C17" s="5">
        <f>Materials!H21</f>
        <v>31990</v>
      </c>
      <c r="D17" s="5">
        <f>Materials!L21</f>
        <v>10650</v>
      </c>
      <c r="E17" s="7">
        <f>SUM(B17:D17)</f>
        <v>74980</v>
      </c>
    </row>
    <row r="18" spans="1:6">
      <c r="A18" s="4" t="s">
        <v>17</v>
      </c>
      <c r="B18" s="5">
        <f>Materials!D5</f>
        <v>110000</v>
      </c>
      <c r="C18" s="5">
        <f>Materials!H5</f>
        <v>66000</v>
      </c>
      <c r="D18" s="5">
        <f>Materials!L5</f>
        <v>0</v>
      </c>
      <c r="E18" s="7">
        <f>SUM(B18:D18)</f>
        <v>176000</v>
      </c>
    </row>
    <row r="19" spans="1:6">
      <c r="A19" s="4"/>
      <c r="B19" s="5"/>
      <c r="C19" s="5"/>
      <c r="D19" s="5"/>
      <c r="E19" s="7"/>
    </row>
    <row r="20" spans="1:6">
      <c r="A20" s="13" t="s">
        <v>55</v>
      </c>
      <c r="B20" s="5"/>
      <c r="C20" s="5"/>
      <c r="D20" s="5"/>
      <c r="E20" s="7"/>
    </row>
    <row r="21" spans="1:6">
      <c r="A21" s="4" t="s">
        <v>57</v>
      </c>
      <c r="B21" s="5"/>
      <c r="C21" s="5"/>
      <c r="D21" s="5"/>
      <c r="E21" s="7">
        <f>SUM(B21:D21)</f>
        <v>0</v>
      </c>
    </row>
    <row r="22" spans="1:6">
      <c r="A22" s="4" t="s">
        <v>56</v>
      </c>
      <c r="B22" s="5"/>
      <c r="C22" s="5"/>
      <c r="D22" s="5">
        <v>20000</v>
      </c>
      <c r="E22" s="7">
        <f>SUM(B22:D22)</f>
        <v>20000</v>
      </c>
    </row>
    <row r="23" spans="1:6">
      <c r="A23" s="4"/>
      <c r="B23" s="5"/>
      <c r="C23" s="5"/>
      <c r="D23" s="5"/>
      <c r="E23" s="6"/>
    </row>
    <row r="24" spans="1:6">
      <c r="A24" s="13" t="s">
        <v>18</v>
      </c>
      <c r="B24" s="37">
        <f>SUM(B12:B23)</f>
        <v>433908.71594583336</v>
      </c>
      <c r="C24" s="37">
        <f>SUM(C12:C23)</f>
        <v>421320.16128420836</v>
      </c>
      <c r="D24" s="37">
        <f>SUM(D12:D23)</f>
        <v>305746.37756735127</v>
      </c>
      <c r="E24" s="38">
        <f>SUM(B24:D24)</f>
        <v>1160975.254797393</v>
      </c>
    </row>
    <row r="25" spans="1:6">
      <c r="A25" s="4"/>
      <c r="B25" s="5"/>
      <c r="C25" s="5"/>
      <c r="D25" s="5"/>
      <c r="E25" s="6"/>
    </row>
    <row r="26" spans="1:6">
      <c r="A26" s="4" t="s">
        <v>19</v>
      </c>
      <c r="B26" s="5">
        <f>B24-B18</f>
        <v>323908.71594583336</v>
      </c>
      <c r="C26" s="5">
        <f>C24-C18</f>
        <v>355320.16128420836</v>
      </c>
      <c r="D26" s="5">
        <f>D24-D18</f>
        <v>305746.37756735127</v>
      </c>
      <c r="E26" s="7">
        <f>SUM(B26:D26)</f>
        <v>984975.25479739299</v>
      </c>
    </row>
    <row r="27" spans="1:6" ht="17" thickBot="1">
      <c r="A27" s="4" t="s">
        <v>20</v>
      </c>
      <c r="B27" s="5">
        <f>B26*0.125</f>
        <v>40488.58949322917</v>
      </c>
      <c r="C27" s="5">
        <f>C26*0.125</f>
        <v>44415.020160526044</v>
      </c>
      <c r="D27" s="5">
        <f>D26*0.125</f>
        <v>38218.297195918909</v>
      </c>
      <c r="E27" s="7">
        <f>SUM(B27:D27)</f>
        <v>123121.90684967412</v>
      </c>
    </row>
    <row r="28" spans="1:6" ht="17" thickBot="1">
      <c r="A28" s="4"/>
      <c r="B28" s="5"/>
      <c r="C28" s="5"/>
      <c r="D28" s="5"/>
      <c r="E28" s="6"/>
    </row>
    <row r="29" spans="1:6" ht="17" thickBot="1">
      <c r="A29" s="39" t="s">
        <v>21</v>
      </c>
      <c r="B29" s="40">
        <f>B27+B24</f>
        <v>474397.30543906253</v>
      </c>
      <c r="C29" s="40">
        <f>C27+C24</f>
        <v>465735.18144473439</v>
      </c>
      <c r="D29" s="40">
        <f>D27+D24</f>
        <v>343964.67476327019</v>
      </c>
      <c r="E29" s="41">
        <f>SUM(B29:D29)</f>
        <v>1284097.1616470672</v>
      </c>
    </row>
    <row r="30" spans="1:6">
      <c r="A30" s="1"/>
      <c r="B30" s="8"/>
      <c r="C30" s="2"/>
      <c r="D30" s="2"/>
      <c r="E30" s="3"/>
    </row>
    <row r="31" spans="1:6">
      <c r="A31" s="4" t="s">
        <v>52</v>
      </c>
      <c r="B31" s="5">
        <v>0</v>
      </c>
      <c r="C31" s="5">
        <v>0</v>
      </c>
      <c r="D31" s="5">
        <f>C31*1.03</f>
        <v>0</v>
      </c>
      <c r="E31" s="7">
        <f>SUM(B31:D31)</f>
        <v>0</v>
      </c>
      <c r="F31" s="10"/>
    </row>
    <row r="32" spans="1:6">
      <c r="A32" s="4"/>
      <c r="B32" s="9"/>
      <c r="C32" s="9"/>
      <c r="D32" s="9"/>
      <c r="E32" s="6"/>
    </row>
    <row r="33" spans="1:5" s="11" customFormat="1" ht="17" thickBot="1">
      <c r="A33" s="42" t="s">
        <v>51</v>
      </c>
      <c r="B33" s="43">
        <f>SUM(B29:B32)</f>
        <v>474397.30543906253</v>
      </c>
      <c r="C33" s="43">
        <f>SUM(C29:C32)</f>
        <v>465735.18144473439</v>
      </c>
      <c r="D33" s="43">
        <f>SUM(D29:D32)</f>
        <v>343964.67476327019</v>
      </c>
      <c r="E33" s="44">
        <f>SUM(B33:D33)</f>
        <v>1284097.1616470672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zoomScale="150" zoomScaleNormal="150" zoomScalePageLayoutView="150" workbookViewId="0">
      <selection activeCell="C16" sqref="C16"/>
    </sheetView>
  </sheetViews>
  <sheetFormatPr baseColWidth="10" defaultRowHeight="15" x14ac:dyDescent="0"/>
  <cols>
    <col min="1" max="1" width="27.6640625" bestFit="1" customWidth="1"/>
    <col min="2" max="2" width="13" style="27" customWidth="1"/>
    <col min="3" max="3" width="12.83203125" customWidth="1"/>
  </cols>
  <sheetData>
    <row r="1" spans="1:9" ht="17" thickBot="1">
      <c r="A1" s="30" t="s">
        <v>33</v>
      </c>
      <c r="B1" s="48" t="s">
        <v>42</v>
      </c>
      <c r="C1" s="49"/>
      <c r="D1" s="48" t="s">
        <v>28</v>
      </c>
      <c r="E1" s="49"/>
      <c r="F1" s="48" t="s">
        <v>29</v>
      </c>
      <c r="G1" s="49"/>
      <c r="H1" s="50" t="s">
        <v>30</v>
      </c>
      <c r="I1" s="49"/>
    </row>
    <row r="2" spans="1:9">
      <c r="A2" s="31" t="s">
        <v>34</v>
      </c>
      <c r="B2" s="33">
        <f>(66.54*2080)/12</f>
        <v>11533.6</v>
      </c>
      <c r="C2" s="6" t="s">
        <v>43</v>
      </c>
      <c r="D2" s="35">
        <v>0</v>
      </c>
      <c r="E2" s="6" t="s">
        <v>7</v>
      </c>
      <c r="F2" s="4">
        <v>0</v>
      </c>
      <c r="G2" s="6" t="s">
        <v>7</v>
      </c>
      <c r="H2" s="9">
        <v>0</v>
      </c>
      <c r="I2" s="6" t="s">
        <v>7</v>
      </c>
    </row>
    <row r="3" spans="1:9">
      <c r="A3" s="31" t="s">
        <v>35</v>
      </c>
      <c r="B3" s="33">
        <f>(55.28*2080)/12</f>
        <v>9581.8666666666668</v>
      </c>
      <c r="C3" s="6" t="s">
        <v>43</v>
      </c>
      <c r="D3" s="35">
        <v>1</v>
      </c>
      <c r="E3" s="6" t="s">
        <v>7</v>
      </c>
      <c r="F3" s="4">
        <v>1</v>
      </c>
      <c r="G3" s="6" t="s">
        <v>7</v>
      </c>
      <c r="H3" s="9">
        <v>1</v>
      </c>
      <c r="I3" s="6" t="s">
        <v>7</v>
      </c>
    </row>
    <row r="4" spans="1:9">
      <c r="A4" s="31" t="s">
        <v>36</v>
      </c>
      <c r="B4" s="33">
        <f>(84.43*2080)/12</f>
        <v>14634.533333333335</v>
      </c>
      <c r="C4" s="6" t="s">
        <v>43</v>
      </c>
      <c r="D4" s="35">
        <v>1</v>
      </c>
      <c r="E4" s="6" t="s">
        <v>6</v>
      </c>
      <c r="F4" s="4">
        <v>1</v>
      </c>
      <c r="G4" s="6" t="s">
        <v>6</v>
      </c>
      <c r="H4" s="9">
        <v>1</v>
      </c>
      <c r="I4" s="6" t="s">
        <v>7</v>
      </c>
    </row>
    <row r="5" spans="1:9">
      <c r="A5" s="31" t="s">
        <v>41</v>
      </c>
      <c r="B5" s="33">
        <f>(62.23*2080)/12</f>
        <v>10786.533333333333</v>
      </c>
      <c r="C5" s="6" t="s">
        <v>43</v>
      </c>
      <c r="D5" s="35">
        <v>1</v>
      </c>
      <c r="E5" s="6" t="s">
        <v>6</v>
      </c>
      <c r="F5" s="4">
        <v>1</v>
      </c>
      <c r="G5" s="6" t="s">
        <v>6</v>
      </c>
      <c r="H5" s="9">
        <v>0</v>
      </c>
      <c r="I5" s="6" t="s">
        <v>7</v>
      </c>
    </row>
    <row r="6" spans="1:9">
      <c r="A6" s="31" t="s">
        <v>40</v>
      </c>
      <c r="B6" s="33">
        <f>(73.61*2080)/12</f>
        <v>12759.066666666666</v>
      </c>
      <c r="C6" s="6" t="s">
        <v>43</v>
      </c>
      <c r="D6" s="35">
        <v>1</v>
      </c>
      <c r="E6" s="6" t="s">
        <v>7</v>
      </c>
      <c r="F6" s="4">
        <v>1</v>
      </c>
      <c r="G6" s="6" t="s">
        <v>7</v>
      </c>
      <c r="H6" s="9">
        <v>0.25</v>
      </c>
      <c r="I6" s="6" t="s">
        <v>6</v>
      </c>
    </row>
    <row r="7" spans="1:9">
      <c r="A7" s="31" t="s">
        <v>39</v>
      </c>
      <c r="B7" s="33">
        <f>(81.33*2080)/12</f>
        <v>14097.199999999999</v>
      </c>
      <c r="C7" s="6" t="s">
        <v>43</v>
      </c>
      <c r="D7" s="4">
        <v>1</v>
      </c>
      <c r="E7" s="6" t="s">
        <v>6</v>
      </c>
      <c r="F7" s="4">
        <v>2</v>
      </c>
      <c r="G7" s="6" t="s">
        <v>6</v>
      </c>
      <c r="H7" s="9">
        <v>1</v>
      </c>
      <c r="I7" s="6" t="s">
        <v>6</v>
      </c>
    </row>
    <row r="8" spans="1:9">
      <c r="A8" s="31" t="s">
        <v>23</v>
      </c>
      <c r="B8" s="33">
        <f>115000/12</f>
        <v>9583.3333333333339</v>
      </c>
      <c r="C8" s="6" t="s">
        <v>43</v>
      </c>
      <c r="D8" s="35">
        <v>12</v>
      </c>
      <c r="E8" s="6" t="s">
        <v>6</v>
      </c>
      <c r="F8" s="4">
        <v>12</v>
      </c>
      <c r="G8" s="6" t="s">
        <v>6</v>
      </c>
      <c r="H8" s="9">
        <v>12</v>
      </c>
      <c r="I8" s="6" t="s">
        <v>6</v>
      </c>
    </row>
    <row r="9" spans="1:9">
      <c r="A9" s="31" t="s">
        <v>37</v>
      </c>
      <c r="B9" s="33">
        <f>48.51*2080/12</f>
        <v>8408.4</v>
      </c>
      <c r="C9" s="6" t="s">
        <v>43</v>
      </c>
      <c r="D9" s="4">
        <v>0.5</v>
      </c>
      <c r="E9" s="6" t="s">
        <v>6</v>
      </c>
      <c r="F9" s="4">
        <v>0.5</v>
      </c>
      <c r="G9" s="6" t="s">
        <v>6</v>
      </c>
      <c r="H9" s="9">
        <v>0.5</v>
      </c>
      <c r="I9" s="6" t="s">
        <v>6</v>
      </c>
    </row>
    <row r="10" spans="1:9">
      <c r="A10" s="31" t="s">
        <v>38</v>
      </c>
      <c r="B10" s="33">
        <f>34.39*2018/12</f>
        <v>5783.251666666667</v>
      </c>
      <c r="C10" s="6" t="s">
        <v>43</v>
      </c>
      <c r="D10" s="4">
        <v>0.5</v>
      </c>
      <c r="E10" s="6" t="s">
        <v>6</v>
      </c>
      <c r="F10" s="4">
        <v>0.5</v>
      </c>
      <c r="G10" s="6" t="s">
        <v>6</v>
      </c>
      <c r="H10" s="9">
        <v>0.5</v>
      </c>
      <c r="I10" s="6" t="s">
        <v>6</v>
      </c>
    </row>
    <row r="11" spans="1:9" ht="17" thickBot="1">
      <c r="A11" s="32" t="s">
        <v>22</v>
      </c>
      <c r="B11" s="34">
        <f>15*2080/12</f>
        <v>2600</v>
      </c>
      <c r="C11" s="12" t="s">
        <v>43</v>
      </c>
      <c r="D11" s="28">
        <v>3</v>
      </c>
      <c r="E11" s="36" t="s">
        <v>6</v>
      </c>
      <c r="F11" s="28">
        <v>3</v>
      </c>
      <c r="G11" s="12" t="s">
        <v>6</v>
      </c>
      <c r="H11" s="29">
        <v>3</v>
      </c>
      <c r="I11" s="12" t="s">
        <v>6</v>
      </c>
    </row>
  </sheetData>
  <mergeCells count="4">
    <mergeCell ref="D1:E1"/>
    <mergeCell ref="H1:I1"/>
    <mergeCell ref="F1:G1"/>
    <mergeCell ref="B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="150" zoomScaleNormal="150" zoomScalePageLayoutView="150" workbookViewId="0">
      <selection activeCell="J9" sqref="J9"/>
    </sheetView>
  </sheetViews>
  <sheetFormatPr baseColWidth="10" defaultRowHeight="15" x14ac:dyDescent="0"/>
  <cols>
    <col min="1" max="1" width="19.33203125" style="25" bestFit="1" customWidth="1"/>
    <col min="2" max="3" width="10.83203125" style="25"/>
    <col min="4" max="4" width="12.5" bestFit="1" customWidth="1"/>
    <col min="5" max="5" width="21.1640625" style="25" bestFit="1" customWidth="1"/>
    <col min="6" max="7" width="10.83203125" style="25"/>
    <col min="8" max="8" width="11.5" bestFit="1" customWidth="1"/>
    <col min="9" max="9" width="21.1640625" style="25" bestFit="1" customWidth="1"/>
    <col min="10" max="11" width="10.83203125" style="25"/>
    <col min="12" max="12" width="11" bestFit="1" customWidth="1"/>
  </cols>
  <sheetData>
    <row r="1" spans="1:12" ht="17" thickBot="1">
      <c r="A1" s="51" t="s">
        <v>28</v>
      </c>
      <c r="B1" s="52"/>
      <c r="C1" s="52"/>
      <c r="D1" s="53"/>
      <c r="E1" s="51" t="s">
        <v>29</v>
      </c>
      <c r="F1" s="52"/>
      <c r="G1" s="52"/>
      <c r="H1" s="53"/>
      <c r="I1" s="54" t="s">
        <v>30</v>
      </c>
      <c r="J1" s="52"/>
      <c r="K1" s="52"/>
      <c r="L1" s="53"/>
    </row>
    <row r="2" spans="1:12">
      <c r="A2" s="18" t="s">
        <v>15</v>
      </c>
      <c r="B2" s="19">
        <v>1</v>
      </c>
      <c r="C2" s="19">
        <v>90000</v>
      </c>
      <c r="D2" s="3">
        <f>C2*B2</f>
        <v>90000</v>
      </c>
      <c r="E2" s="18" t="s">
        <v>24</v>
      </c>
      <c r="F2" s="19">
        <v>1</v>
      </c>
      <c r="G2" s="19">
        <v>50000</v>
      </c>
      <c r="H2" s="3">
        <f>F2*G2</f>
        <v>50000</v>
      </c>
      <c r="I2" s="19"/>
      <c r="J2" s="19"/>
      <c r="K2" s="19"/>
      <c r="L2" s="3">
        <f>K2*J2</f>
        <v>0</v>
      </c>
    </row>
    <row r="3" spans="1:12">
      <c r="A3" s="20" t="s">
        <v>16</v>
      </c>
      <c r="B3" s="21">
        <v>1</v>
      </c>
      <c r="C3" s="21">
        <v>10000</v>
      </c>
      <c r="D3" s="6">
        <f>C3*B3</f>
        <v>10000</v>
      </c>
      <c r="E3" s="20" t="s">
        <v>16</v>
      </c>
      <c r="F3" s="21">
        <v>1</v>
      </c>
      <c r="G3" s="21">
        <v>10000</v>
      </c>
      <c r="H3" s="6">
        <f>F3*G3</f>
        <v>10000</v>
      </c>
      <c r="I3" s="21"/>
      <c r="J3" s="21"/>
      <c r="K3" s="21"/>
      <c r="L3" s="6">
        <f>K3*J3</f>
        <v>0</v>
      </c>
    </row>
    <row r="4" spans="1:12">
      <c r="A4" s="20" t="s">
        <v>27</v>
      </c>
      <c r="B4" s="21"/>
      <c r="C4" s="21"/>
      <c r="D4" s="9">
        <f>SUM(D2:D3)*0.1</f>
        <v>10000</v>
      </c>
      <c r="E4" s="20" t="s">
        <v>27</v>
      </c>
      <c r="F4" s="21"/>
      <c r="G4" s="21"/>
      <c r="H4" s="9">
        <f>SUM(H2:H3)*0.1</f>
        <v>6000</v>
      </c>
      <c r="I4" s="20" t="s">
        <v>27</v>
      </c>
      <c r="J4" s="21"/>
      <c r="K4" s="21"/>
      <c r="L4" s="6">
        <f>K4*J4</f>
        <v>0</v>
      </c>
    </row>
    <row r="5" spans="1:12" s="17" customFormat="1">
      <c r="A5" s="22" t="s">
        <v>32</v>
      </c>
      <c r="B5" s="22"/>
      <c r="C5" s="22"/>
      <c r="D5" s="16">
        <f>SUM(D2:D4)</f>
        <v>110000</v>
      </c>
      <c r="E5" s="22" t="s">
        <v>32</v>
      </c>
      <c r="F5" s="22"/>
      <c r="G5" s="22"/>
      <c r="H5" s="16">
        <f>SUM(H2:H4)</f>
        <v>66000</v>
      </c>
      <c r="I5" s="22" t="s">
        <v>32</v>
      </c>
      <c r="J5" s="22"/>
      <c r="K5" s="22"/>
      <c r="L5" s="16">
        <f>SUM(L2:L4)</f>
        <v>0</v>
      </c>
    </row>
    <row r="6" spans="1:12">
      <c r="A6" s="20"/>
      <c r="B6" s="21"/>
      <c r="C6" s="21"/>
      <c r="D6" s="6"/>
      <c r="E6" s="20"/>
      <c r="F6" s="21"/>
      <c r="G6" s="21"/>
      <c r="H6" s="6"/>
      <c r="I6" s="21"/>
      <c r="J6" s="21"/>
      <c r="K6" s="21"/>
      <c r="L6" s="6"/>
    </row>
    <row r="7" spans="1:12">
      <c r="A7" s="20" t="s">
        <v>12</v>
      </c>
      <c r="B7" s="21">
        <v>1</v>
      </c>
      <c r="C7" s="21">
        <v>5000</v>
      </c>
      <c r="D7" s="6">
        <f t="shared" ref="D7:D18" si="0">C7*B7</f>
        <v>5000</v>
      </c>
      <c r="E7" s="20" t="s">
        <v>12</v>
      </c>
      <c r="F7" s="21">
        <v>1</v>
      </c>
      <c r="G7" s="21">
        <v>5000</v>
      </c>
      <c r="H7" s="6">
        <f t="shared" ref="H7:H20" si="1">F7*G7</f>
        <v>5000</v>
      </c>
      <c r="I7" s="21" t="s">
        <v>11</v>
      </c>
      <c r="J7" s="21">
        <v>1</v>
      </c>
      <c r="K7" s="26">
        <v>500</v>
      </c>
      <c r="L7" s="6">
        <f t="shared" ref="L7:L18" si="2">K7*J7</f>
        <v>500</v>
      </c>
    </row>
    <row r="8" spans="1:12">
      <c r="A8" s="20" t="s">
        <v>0</v>
      </c>
      <c r="B8" s="21">
        <v>1</v>
      </c>
      <c r="C8" s="21">
        <v>2000</v>
      </c>
      <c r="D8" s="6">
        <f t="shared" si="0"/>
        <v>2000</v>
      </c>
      <c r="E8" s="20" t="s">
        <v>0</v>
      </c>
      <c r="F8" s="21">
        <v>1</v>
      </c>
      <c r="G8" s="21">
        <v>2000</v>
      </c>
      <c r="H8" s="6">
        <f t="shared" si="1"/>
        <v>2000</v>
      </c>
      <c r="I8" s="26" t="s">
        <v>14</v>
      </c>
      <c r="J8" s="26">
        <v>2</v>
      </c>
      <c r="K8" s="26">
        <v>3000</v>
      </c>
      <c r="L8" s="6">
        <f t="shared" si="2"/>
        <v>6000</v>
      </c>
    </row>
    <row r="9" spans="1:12">
      <c r="A9" s="20" t="s">
        <v>1</v>
      </c>
      <c r="B9" s="21">
        <v>1</v>
      </c>
      <c r="C9" s="21">
        <v>700</v>
      </c>
      <c r="D9" s="6">
        <f t="shared" si="0"/>
        <v>700</v>
      </c>
      <c r="E9" s="20" t="s">
        <v>1</v>
      </c>
      <c r="F9" s="21">
        <v>1</v>
      </c>
      <c r="G9" s="21">
        <v>700</v>
      </c>
      <c r="H9" s="6">
        <f t="shared" si="1"/>
        <v>700</v>
      </c>
      <c r="J9" s="21"/>
      <c r="K9" s="26"/>
      <c r="L9" s="6">
        <f t="shared" si="2"/>
        <v>0</v>
      </c>
    </row>
    <row r="10" spans="1:12">
      <c r="A10" s="20" t="s">
        <v>9</v>
      </c>
      <c r="B10" s="21">
        <v>1</v>
      </c>
      <c r="C10" s="21">
        <v>500</v>
      </c>
      <c r="D10" s="6">
        <f t="shared" si="0"/>
        <v>500</v>
      </c>
      <c r="E10" s="20" t="s">
        <v>9</v>
      </c>
      <c r="F10" s="21">
        <v>1</v>
      </c>
      <c r="G10" s="21">
        <v>500</v>
      </c>
      <c r="H10" s="6">
        <f t="shared" si="1"/>
        <v>500</v>
      </c>
      <c r="I10" s="21"/>
      <c r="J10" s="21"/>
      <c r="K10" s="21"/>
      <c r="L10" s="6">
        <f t="shared" si="2"/>
        <v>0</v>
      </c>
    </row>
    <row r="11" spans="1:12">
      <c r="A11" s="20" t="s">
        <v>2</v>
      </c>
      <c r="B11" s="21">
        <v>1</v>
      </c>
      <c r="C11" s="21">
        <v>5000</v>
      </c>
      <c r="D11" s="6">
        <f t="shared" si="0"/>
        <v>5000</v>
      </c>
      <c r="E11" s="20" t="s">
        <v>2</v>
      </c>
      <c r="F11" s="21">
        <v>1</v>
      </c>
      <c r="G11" s="21">
        <v>2000</v>
      </c>
      <c r="H11" s="6">
        <f t="shared" si="1"/>
        <v>2000</v>
      </c>
      <c r="I11" s="21"/>
      <c r="J11" s="21"/>
      <c r="K11" s="21"/>
      <c r="L11" s="6">
        <f t="shared" si="2"/>
        <v>0</v>
      </c>
    </row>
    <row r="12" spans="1:12">
      <c r="A12" s="20" t="s">
        <v>3</v>
      </c>
      <c r="B12" s="21">
        <v>1</v>
      </c>
      <c r="C12" s="21">
        <v>200</v>
      </c>
      <c r="D12" s="6">
        <f t="shared" si="0"/>
        <v>200</v>
      </c>
      <c r="E12" s="20" t="s">
        <v>3</v>
      </c>
      <c r="F12" s="21">
        <v>1</v>
      </c>
      <c r="G12" s="21">
        <v>200</v>
      </c>
      <c r="H12" s="6">
        <f t="shared" si="1"/>
        <v>200</v>
      </c>
      <c r="I12" s="21"/>
      <c r="J12" s="21"/>
      <c r="K12" s="21"/>
      <c r="L12" s="6">
        <f t="shared" si="2"/>
        <v>0</v>
      </c>
    </row>
    <row r="13" spans="1:12">
      <c r="A13" s="20" t="s">
        <v>4</v>
      </c>
      <c r="B13" s="21">
        <v>1</v>
      </c>
      <c r="C13" s="21">
        <v>500</v>
      </c>
      <c r="D13" s="6">
        <f t="shared" si="0"/>
        <v>500</v>
      </c>
      <c r="E13" s="20" t="s">
        <v>4</v>
      </c>
      <c r="F13" s="21">
        <v>1</v>
      </c>
      <c r="G13" s="21">
        <v>500</v>
      </c>
      <c r="H13" s="6">
        <f t="shared" si="1"/>
        <v>500</v>
      </c>
      <c r="I13" s="21"/>
      <c r="J13" s="21"/>
      <c r="K13" s="21"/>
      <c r="L13" s="6">
        <f t="shared" si="2"/>
        <v>0</v>
      </c>
    </row>
    <row r="14" spans="1:12">
      <c r="A14" s="20" t="s">
        <v>5</v>
      </c>
      <c r="B14" s="21">
        <v>1</v>
      </c>
      <c r="C14" s="21">
        <v>2000</v>
      </c>
      <c r="D14" s="6">
        <f t="shared" si="0"/>
        <v>2000</v>
      </c>
      <c r="E14" s="20" t="s">
        <v>5</v>
      </c>
      <c r="F14" s="21">
        <v>1</v>
      </c>
      <c r="G14" s="21">
        <v>500</v>
      </c>
      <c r="H14" s="6">
        <f t="shared" si="1"/>
        <v>500</v>
      </c>
      <c r="I14" s="21"/>
      <c r="J14" s="21"/>
      <c r="K14" s="21"/>
      <c r="L14" s="6">
        <f t="shared" si="2"/>
        <v>0</v>
      </c>
    </row>
    <row r="15" spans="1:12">
      <c r="A15" s="20" t="s">
        <v>25</v>
      </c>
      <c r="B15" s="21">
        <v>2</v>
      </c>
      <c r="C15" s="21">
        <v>2500</v>
      </c>
      <c r="D15" s="6">
        <f t="shared" si="0"/>
        <v>5000</v>
      </c>
      <c r="E15" s="20" t="s">
        <v>13</v>
      </c>
      <c r="F15" s="21">
        <v>2</v>
      </c>
      <c r="G15" s="21">
        <v>2500</v>
      </c>
      <c r="H15" s="6">
        <f t="shared" si="1"/>
        <v>5000</v>
      </c>
      <c r="I15" s="21"/>
      <c r="J15" s="21"/>
      <c r="K15" s="21"/>
      <c r="L15" s="6">
        <f t="shared" si="2"/>
        <v>0</v>
      </c>
    </row>
    <row r="16" spans="1:12">
      <c r="A16" s="20" t="s">
        <v>8</v>
      </c>
      <c r="B16" s="21">
        <v>1</v>
      </c>
      <c r="C16" s="21">
        <v>1000</v>
      </c>
      <c r="D16" s="6">
        <f t="shared" si="0"/>
        <v>1000</v>
      </c>
      <c r="E16" s="20" t="s">
        <v>10</v>
      </c>
      <c r="F16" s="21">
        <v>3</v>
      </c>
      <c r="G16" s="21">
        <v>500</v>
      </c>
      <c r="H16" s="6">
        <f t="shared" si="1"/>
        <v>1500</v>
      </c>
      <c r="I16" s="21"/>
      <c r="J16" s="21"/>
      <c r="K16" s="21"/>
      <c r="L16" s="6">
        <f t="shared" si="2"/>
        <v>0</v>
      </c>
    </row>
    <row r="17" spans="1:12">
      <c r="A17" s="20" t="s">
        <v>10</v>
      </c>
      <c r="B17" s="21">
        <v>3</v>
      </c>
      <c r="C17" s="21">
        <v>1500</v>
      </c>
      <c r="D17" s="6">
        <f t="shared" si="0"/>
        <v>4500</v>
      </c>
      <c r="E17" s="20" t="s">
        <v>11</v>
      </c>
      <c r="F17" s="21">
        <v>1</v>
      </c>
      <c r="G17" s="21">
        <v>5000</v>
      </c>
      <c r="H17" s="6">
        <f t="shared" si="1"/>
        <v>5000</v>
      </c>
      <c r="I17" s="21"/>
      <c r="J17" s="21"/>
      <c r="K17" s="21"/>
      <c r="L17" s="6">
        <f t="shared" si="2"/>
        <v>0</v>
      </c>
    </row>
    <row r="18" spans="1:12">
      <c r="A18" s="20" t="s">
        <v>11</v>
      </c>
      <c r="B18" s="21">
        <v>1</v>
      </c>
      <c r="C18" s="21">
        <v>3000</v>
      </c>
      <c r="D18" s="6">
        <f t="shared" si="0"/>
        <v>3000</v>
      </c>
      <c r="E18" s="20" t="s">
        <v>14</v>
      </c>
      <c r="F18" s="21">
        <v>1</v>
      </c>
      <c r="G18" s="21">
        <v>3000</v>
      </c>
      <c r="H18" s="6">
        <f t="shared" si="1"/>
        <v>3000</v>
      </c>
      <c r="I18" s="21"/>
      <c r="J18" s="21"/>
      <c r="K18" s="21"/>
      <c r="L18" s="6">
        <f t="shared" si="2"/>
        <v>0</v>
      </c>
    </row>
    <row r="19" spans="1:12">
      <c r="A19" s="20" t="s">
        <v>27</v>
      </c>
      <c r="B19" s="21"/>
      <c r="C19" s="21"/>
      <c r="D19" s="6">
        <f>SUM(D7:D18)*0.1</f>
        <v>2940</v>
      </c>
      <c r="E19" s="20" t="s">
        <v>27</v>
      </c>
      <c r="F19" s="21"/>
      <c r="G19" s="21"/>
      <c r="H19" s="6">
        <f>SUM(H7:H18)*0.1</f>
        <v>2590</v>
      </c>
      <c r="I19" s="20" t="s">
        <v>27</v>
      </c>
      <c r="J19" s="21"/>
      <c r="K19" s="21"/>
      <c r="L19" s="6">
        <f>SUM(L7:L18)*0.1</f>
        <v>650</v>
      </c>
    </row>
    <row r="20" spans="1:12">
      <c r="A20" s="20"/>
      <c r="B20" s="21"/>
      <c r="C20" s="21"/>
      <c r="D20" s="6"/>
      <c r="E20" s="20" t="s">
        <v>58</v>
      </c>
      <c r="F20" s="26">
        <v>1</v>
      </c>
      <c r="G20" s="26">
        <v>3500</v>
      </c>
      <c r="H20" s="6">
        <f t="shared" si="1"/>
        <v>3500</v>
      </c>
      <c r="I20" s="26" t="s">
        <v>58</v>
      </c>
      <c r="J20" s="26">
        <v>1</v>
      </c>
      <c r="K20" s="26">
        <v>3500</v>
      </c>
      <c r="L20" s="6">
        <f t="shared" ref="L20" si="3">J20*K20</f>
        <v>3500</v>
      </c>
    </row>
    <row r="21" spans="1:12" s="14" customFormat="1" ht="16" thickBot="1">
      <c r="A21" s="23" t="s">
        <v>31</v>
      </c>
      <c r="B21" s="24"/>
      <c r="C21" s="24"/>
      <c r="D21" s="15">
        <f>SUM(D7:D19)</f>
        <v>32340</v>
      </c>
      <c r="E21" s="23" t="s">
        <v>31</v>
      </c>
      <c r="F21" s="24"/>
      <c r="G21" s="24"/>
      <c r="H21" s="15">
        <f>SUM(H7:H20)</f>
        <v>31990</v>
      </c>
      <c r="I21" s="23" t="s">
        <v>31</v>
      </c>
      <c r="J21" s="24"/>
      <c r="K21" s="24"/>
      <c r="L21" s="15">
        <f>SUM(L7:L20)</f>
        <v>10650</v>
      </c>
    </row>
  </sheetData>
  <mergeCells count="3">
    <mergeCell ref="A1:D1"/>
    <mergeCell ref="E1:H1"/>
    <mergeCell ref="I1:L1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Salaries</vt:lpstr>
      <vt:lpstr>Materials</vt:lpstr>
    </vt:vector>
  </TitlesOfParts>
  <Company>Monterey Bay Aquarium Research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Kakani Katija</dc:creator>
  <cp:lastModifiedBy>Kakani Katija</cp:lastModifiedBy>
  <dcterms:created xsi:type="dcterms:W3CDTF">2017-10-09T05:48:57Z</dcterms:created>
  <dcterms:modified xsi:type="dcterms:W3CDTF">2018-05-01T04:33:34Z</dcterms:modified>
</cp:coreProperties>
</file>