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7320"/>
  </bookViews>
  <sheets>
    <sheet name="Sheet2" sheetId="2" r:id="rId1"/>
    <sheet name="Sheet3" sheetId="3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Sheet2!$B$6</definedName>
    <definedName name="DMCurrent">#REF!</definedName>
    <definedName name="ProfPerDay">#REF!</definedName>
    <definedName name="SleepTime">#REF!</definedName>
    <definedName name="SPEED">Sheet2!$B$8</definedName>
    <definedName name="TimePerMove">Sheet2!$B$12</definedName>
    <definedName name="TimePerProf">#REF!</definedName>
    <definedName name="TIMEWAITING">Sheet2!$B$7</definedName>
    <definedName name="TT8Current">#REF!</definedName>
    <definedName name="TT8PowerOn">#REF!</definedName>
    <definedName name="TT8TimeOn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N22" i="2"/>
  <c r="F22"/>
  <c r="H22"/>
  <c r="I22"/>
  <c r="O22"/>
  <c r="F27"/>
  <c r="H27"/>
  <c r="N27"/>
  <c r="I27"/>
  <c r="O27"/>
  <c r="B7"/>
  <c r="L26"/>
  <c r="N26"/>
  <c r="F26"/>
  <c r="H26"/>
  <c r="I26"/>
  <c r="O26"/>
  <c r="L31"/>
  <c r="L30"/>
  <c r="L29"/>
  <c r="L25"/>
  <c r="L24"/>
  <c r="L19"/>
  <c r="L18"/>
  <c r="I21"/>
  <c r="N21"/>
  <c r="F21"/>
  <c r="H21"/>
  <c r="O21"/>
  <c r="N18"/>
  <c r="C18"/>
  <c r="F18"/>
  <c r="H18"/>
  <c r="I18"/>
  <c r="O18"/>
  <c r="N19"/>
  <c r="F19"/>
  <c r="H19"/>
  <c r="I19"/>
  <c r="O19"/>
  <c r="N24"/>
  <c r="F24"/>
  <c r="G24"/>
  <c r="H24"/>
  <c r="I24"/>
  <c r="O24"/>
  <c r="N25"/>
  <c r="F25"/>
  <c r="G25"/>
  <c r="H25"/>
  <c r="I25"/>
  <c r="O25"/>
  <c r="N29"/>
  <c r="F29"/>
  <c r="H29"/>
  <c r="I29"/>
  <c r="O29"/>
  <c r="N30"/>
  <c r="F30"/>
  <c r="G30"/>
  <c r="H30"/>
  <c r="I30"/>
  <c r="O30"/>
  <c r="N31"/>
  <c r="F31"/>
  <c r="G31"/>
  <c r="H31"/>
  <c r="I31"/>
  <c r="O31"/>
  <c r="N20"/>
  <c r="F20"/>
  <c r="G20"/>
  <c r="H20"/>
  <c r="I20"/>
  <c r="O20"/>
  <c r="N23"/>
  <c r="F23"/>
  <c r="H23"/>
  <c r="I23"/>
  <c r="O23"/>
  <c r="N28"/>
  <c r="F28"/>
  <c r="G28"/>
  <c r="H28"/>
  <c r="I28"/>
  <c r="O28"/>
  <c r="O33"/>
  <c r="O35"/>
  <c r="O36"/>
  <c r="O37"/>
  <c r="B12"/>
  <c r="B13"/>
  <c r="L23" i="3"/>
  <c r="N23"/>
  <c r="D23"/>
  <c r="F23"/>
  <c r="G23"/>
  <c r="H23"/>
  <c r="I23"/>
  <c r="O23"/>
  <c r="L15"/>
  <c r="N15"/>
  <c r="C15"/>
  <c r="F15"/>
  <c r="H15"/>
  <c r="I15"/>
  <c r="O15"/>
  <c r="N16"/>
  <c r="F16"/>
  <c r="G16"/>
  <c r="H16"/>
  <c r="I16"/>
  <c r="O16"/>
  <c r="N17"/>
  <c r="F17"/>
  <c r="H17"/>
  <c r="I17"/>
  <c r="O17"/>
  <c r="N18"/>
  <c r="F18"/>
  <c r="H18"/>
  <c r="I18"/>
  <c r="O18"/>
  <c r="L19"/>
  <c r="N19"/>
  <c r="F19"/>
  <c r="G19"/>
  <c r="H19"/>
  <c r="I19"/>
  <c r="O19"/>
  <c r="L20"/>
  <c r="N20"/>
  <c r="D20"/>
  <c r="F20"/>
  <c r="G20"/>
  <c r="H20"/>
  <c r="I20"/>
  <c r="O20"/>
  <c r="N21"/>
  <c r="D21"/>
  <c r="F21"/>
  <c r="G21"/>
  <c r="H21"/>
  <c r="I21"/>
  <c r="O21"/>
  <c r="L22"/>
  <c r="N22"/>
  <c r="F22"/>
  <c r="H22"/>
  <c r="I22"/>
  <c r="O22"/>
  <c r="O25"/>
  <c r="P23"/>
  <c r="P22"/>
  <c r="P21"/>
  <c r="P20"/>
  <c r="P19"/>
  <c r="P18"/>
  <c r="P17"/>
  <c r="P16"/>
  <c r="P15"/>
  <c r="B5"/>
  <c r="O27"/>
</calcChain>
</file>

<file path=xl/sharedStrings.xml><?xml version="1.0" encoding="utf-8"?>
<sst xmlns="http://schemas.openxmlformats.org/spreadsheetml/2006/main" count="155" uniqueCount="78">
  <si>
    <t>PC-104 Stack</t>
    <phoneticPr fontId="4" type="noConversion"/>
  </si>
  <si>
    <t>Pwr (W)</t>
  </si>
  <si>
    <t>% Tot</t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</si>
  <si>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</si>
  <si>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</si>
  <si>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</si>
  <si>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sec</t>
  </si>
  <si>
    <t>meters</t>
  </si>
  <si>
    <t>volts</t>
  </si>
  <si>
    <t>W-h</t>
  </si>
  <si>
    <t>Battery Voltage</t>
  </si>
  <si>
    <t>Battery Capacity</t>
  </si>
  <si>
    <t>Proto Rover Power Budget</t>
  </si>
  <si>
    <t>minutes</t>
  </si>
  <si>
    <t>Time per move</t>
  </si>
  <si>
    <t>Propulsion Motors</t>
  </si>
  <si>
    <t>PC-104 Stack</t>
  </si>
  <si>
    <t>Speed of Rover</t>
  </si>
  <si>
    <t>meters/second</t>
  </si>
  <si>
    <t>Load</t>
  </si>
  <si>
    <t>Quan</t>
  </si>
  <si>
    <t>Voltage (V)</t>
  </si>
  <si>
    <t>Conv Loss (W)</t>
  </si>
  <si>
    <t>Time On</t>
  </si>
  <si>
    <t>Units</t>
  </si>
  <si>
    <t>Time Off</t>
  </si>
  <si>
    <t>Duty Cycle</t>
  </si>
  <si>
    <t>Distance each cycle</t>
  </si>
  <si>
    <t>Time between cycles</t>
  </si>
  <si>
    <t>Total Pwr (W)</t>
  </si>
  <si>
    <t>Num of Units</t>
  </si>
  <si>
    <t>Cur On (mA)</t>
  </si>
  <si>
    <t>Cur Off (mA)</t>
  </si>
  <si>
    <t>Pwr On (W)</t>
  </si>
  <si>
    <t>Pwr Off (W)</t>
  </si>
  <si>
    <t>Stir Motors</t>
  </si>
  <si>
    <t>Relay Board</t>
  </si>
  <si>
    <t>Video Server</t>
  </si>
  <si>
    <t>Chamber Camera</t>
  </si>
  <si>
    <t>Optode</t>
  </si>
  <si>
    <t>Valve Solenoids</t>
  </si>
  <si>
    <t>Avg Pwr (mW)</t>
  </si>
  <si>
    <t>Cleaning Pump</t>
  </si>
  <si>
    <t>Avg Pwr</t>
  </si>
  <si>
    <t>mW</t>
  </si>
  <si>
    <t>Run Time</t>
  </si>
  <si>
    <t>hrs</t>
  </si>
  <si>
    <t>Notes:</t>
  </si>
  <si>
    <t>Power below is for total number of units, not each unit</t>
  </si>
  <si>
    <t>Duration assumes 2880 W-h battery (240 Alkaline D cells)</t>
  </si>
  <si>
    <t>Power is with no relays activated</t>
    <phoneticPr fontId="4" type="noConversion"/>
  </si>
  <si>
    <t>Valve Pump</t>
    <phoneticPr fontId="4" type="noConversion"/>
  </si>
  <si>
    <t>Transit Camera and Strobe</t>
    <phoneticPr fontId="4" type="noConversion"/>
  </si>
  <si>
    <t>min</t>
    <phoneticPr fontId="4" type="noConversion"/>
  </si>
  <si>
    <t>min</t>
    <phoneticPr fontId="4" type="noConversion"/>
  </si>
  <si>
    <t>min and</t>
    <phoneticPr fontId="4" type="noConversion"/>
  </si>
  <si>
    <t>min</t>
    <phoneticPr fontId="4" type="noConversion"/>
  </si>
  <si>
    <t>min</t>
    <phoneticPr fontId="4" type="noConversion"/>
  </si>
  <si>
    <t>Rack Motors</t>
    <phoneticPr fontId="4" type="noConversion"/>
  </si>
  <si>
    <t>min</t>
    <phoneticPr fontId="4" type="noConversion"/>
  </si>
  <si>
    <t>hours or</t>
    <phoneticPr fontId="4" type="noConversion"/>
  </si>
  <si>
    <t>days or</t>
    <phoneticPr fontId="4" type="noConversion"/>
  </si>
  <si>
    <t>months</t>
    <phoneticPr fontId="4" type="noConversion"/>
  </si>
  <si>
    <t>Includes stir motor controller</t>
    <phoneticPr fontId="4" type="noConversion"/>
  </si>
  <si>
    <t>Current Meter</t>
    <phoneticPr fontId="4" type="noConversion"/>
  </si>
  <si>
    <t>Plus 1 relay</t>
    <phoneticPr fontId="4" type="noConversion"/>
  </si>
  <si>
    <t>Plus 1 relay</t>
    <phoneticPr fontId="4" type="noConversion"/>
  </si>
  <si>
    <t>Plus ACM and 2 relays</t>
    <phoneticPr fontId="4" type="noConversion"/>
  </si>
  <si>
    <t>Plus 1 relay</t>
    <phoneticPr fontId="4" type="noConversion"/>
  </si>
  <si>
    <t>Plus 1 relay and Enet</t>
    <phoneticPr fontId="4" type="noConversion"/>
  </si>
  <si>
    <t>Plus 1 relay and 2 motor controllers</t>
    <phoneticPr fontId="4" type="noConversion"/>
  </si>
  <si>
    <t>Plus 1 relay and 1 motor controller</t>
    <phoneticPr fontId="4" type="noConversion"/>
  </si>
  <si>
    <t>Fluor Camera and Light</t>
    <phoneticPr fontId="4" type="noConversion"/>
  </si>
  <si>
    <t>min</t>
    <phoneticPr fontId="4" type="noConversion"/>
  </si>
  <si>
    <t>P. McGill  16-Nov-11</t>
    <phoneticPr fontId="4" type="noConversion"/>
  </si>
  <si>
    <t>Time for transits, chambers, and zipping; W/out Enet</t>
    <phoneticPr fontId="4" type="noConversion"/>
  </si>
  <si>
    <t>2 Li spheres</t>
    <phoneticPr fontId="4" type="noConversion"/>
  </si>
  <si>
    <t>Time for sampling optodes; W/out Enet</t>
    <phoneticPr fontId="4" type="noConversion"/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</si>
</sst>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5">
    <font>
      <sz val="9"/>
      <name val="Geneva"/>
    </font>
    <font>
      <b/>
      <sz val="9"/>
      <name val="Geneva"/>
    </font>
    <font>
      <sz val="9"/>
      <name val="Geneva"/>
    </font>
    <font>
      <sz val="9"/>
      <color indexed="12"/>
      <name val="Geneva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1" xfId="0" applyBorder="1"/>
    <xf numFmtId="1" fontId="0" fillId="0" borderId="0" xfId="0" applyNumberFormat="1"/>
    <xf numFmtId="0" fontId="0" fillId="0" borderId="0" xfId="0" applyBorder="1"/>
    <xf numFmtId="0" fontId="3" fillId="0" borderId="1" xfId="0" applyFont="1" applyBorder="1"/>
    <xf numFmtId="0" fontId="3" fillId="0" borderId="0" xfId="0" applyFont="1"/>
    <xf numFmtId="164" fontId="0" fillId="0" borderId="0" xfId="0" applyNumberFormat="1"/>
    <xf numFmtId="0" fontId="3" fillId="0" borderId="0" xfId="0" applyFont="1" applyBorder="1"/>
    <xf numFmtId="165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164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2" fontId="2" fillId="0" borderId="0" xfId="0" applyNumberFormat="1" applyFont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0" fontId="0" fillId="0" borderId="0" xfId="0" applyNumberFormat="1" applyAlignment="1">
      <alignment horizontal="right"/>
    </xf>
    <xf numFmtId="10" fontId="1" fillId="0" borderId="0" xfId="0" applyNumberFormat="1" applyFont="1" applyAlignment="1">
      <alignment horizontal="right"/>
    </xf>
    <xf numFmtId="1" fontId="1" fillId="0" borderId="0" xfId="0" applyNumberFormat="1" applyFont="1"/>
    <xf numFmtId="164" fontId="0" fillId="0" borderId="3" xfId="0" applyNumberFormat="1" applyBorder="1"/>
    <xf numFmtId="0" fontId="0" fillId="0" borderId="2" xfId="0" applyFill="1" applyBorder="1"/>
    <xf numFmtId="165" fontId="0" fillId="0" borderId="2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Sheet2!$A$18:$A$31</c:f>
              <c:strCache>
                <c:ptCount val="14"/>
                <c:pt idx="0">
                  <c:v>Propulsion Motors</c:v>
                </c:pt>
                <c:pt idx="1">
                  <c:v>Rack Motors</c:v>
                </c:pt>
                <c:pt idx="2">
                  <c:v>Stir Motors</c:v>
                </c:pt>
                <c:pt idx="3">
                  <c:v>PC-104 Stack</c:v>
                </c:pt>
                <c:pt idx="4">
                  <c:v>PC-104 Stack</c:v>
                </c:pt>
                <c:pt idx="5">
                  <c:v>Relay Board</c:v>
                </c:pt>
                <c:pt idx="6">
                  <c:v>Video Server</c:v>
                </c:pt>
                <c:pt idx="7">
                  <c:v>Chamber Camera</c:v>
                </c:pt>
                <c:pt idx="8">
                  <c:v>Transit Camera and Strobe</c:v>
                </c:pt>
                <c:pt idx="9">
                  <c:v>Fluor Camera and Light</c:v>
                </c:pt>
                <c:pt idx="10">
                  <c:v>Optode</c:v>
                </c:pt>
                <c:pt idx="11">
                  <c:v>Valve Pump</c:v>
                </c:pt>
                <c:pt idx="12">
                  <c:v>Cleaning Pump</c:v>
                </c:pt>
                <c:pt idx="13">
                  <c:v>Current Meter</c:v>
                </c:pt>
              </c:strCache>
            </c:strRef>
          </c:cat>
          <c:val>
            <c:numRef>
              <c:f>Sheet2!$O$18:$O$31</c:f>
              <c:numCache>
                <c:formatCode>0</c:formatCode>
                <c:ptCount val="14"/>
                <c:pt idx="0">
                  <c:v>91.58878504672896</c:v>
                </c:pt>
                <c:pt idx="1">
                  <c:v>83.73899533920248</c:v>
                </c:pt>
                <c:pt idx="2">
                  <c:v>212.5</c:v>
                </c:pt>
                <c:pt idx="3">
                  <c:v>1610.0</c:v>
                </c:pt>
                <c:pt idx="4">
                  <c:v>62.0618556701031</c:v>
                </c:pt>
                <c:pt idx="5">
                  <c:v>130.6666666666667</c:v>
                </c:pt>
                <c:pt idx="6">
                  <c:v>2.682401943769524</c:v>
                </c:pt>
                <c:pt idx="7">
                  <c:v>3.257202360291565</c:v>
                </c:pt>
                <c:pt idx="8">
                  <c:v>50.9532062391681</c:v>
                </c:pt>
                <c:pt idx="9">
                  <c:v>29.15654286706005</c:v>
                </c:pt>
                <c:pt idx="10">
                  <c:v>596.16</c:v>
                </c:pt>
                <c:pt idx="11">
                  <c:v>13.12110726643599</c:v>
                </c:pt>
                <c:pt idx="12">
                  <c:v>13.37024221453287</c:v>
                </c:pt>
                <c:pt idx="13">
                  <c:v>31.89836065573771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38</xdr:row>
      <xdr:rowOff>0</xdr:rowOff>
    </xdr:from>
    <xdr:to>
      <xdr:col>8</xdr:col>
      <xdr:colOff>622300</xdr:colOff>
      <xdr:row>66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P37"/>
  <sheetViews>
    <sheetView tabSelected="1" topLeftCell="A12" workbookViewId="0">
      <selection activeCell="E23" sqref="E23"/>
    </sheetView>
  </sheetViews>
  <sheetFormatPr baseColWidth="10" defaultRowHeight="13"/>
  <cols>
    <col min="1" max="1" width="20.6640625" customWidth="1"/>
    <col min="4" max="4" width="10.33203125" bestFit="1" customWidth="1"/>
    <col min="6" max="6" width="9.6640625" style="13" bestFit="1" customWidth="1"/>
    <col min="7" max="7" width="11.5" style="13" bestFit="1" customWidth="1"/>
    <col min="8" max="8" width="11.83203125" style="13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10" bestFit="1" customWidth="1"/>
    <col min="15" max="15" width="12.33203125" style="3" bestFit="1" customWidth="1"/>
    <col min="16" max="16" width="40.33203125" customWidth="1"/>
  </cols>
  <sheetData>
    <row r="1" spans="1:4">
      <c r="A1" t="s">
        <v>12</v>
      </c>
    </row>
    <row r="2" spans="1:4">
      <c r="A2" t="s">
        <v>74</v>
      </c>
    </row>
    <row r="4" spans="1:4">
      <c r="A4" t="s">
        <v>4</v>
      </c>
    </row>
    <row r="6" spans="1:4">
      <c r="A6" s="5" t="s">
        <v>27</v>
      </c>
      <c r="B6" s="6">
        <v>10</v>
      </c>
      <c r="C6" t="s">
        <v>7</v>
      </c>
    </row>
    <row r="7" spans="1:4">
      <c r="A7" s="5" t="s">
        <v>28</v>
      </c>
      <c r="B7" s="6">
        <f>48*60</f>
        <v>2880</v>
      </c>
      <c r="C7" t="s">
        <v>13</v>
      </c>
    </row>
    <row r="8" spans="1:4">
      <c r="A8" s="5" t="s">
        <v>17</v>
      </c>
      <c r="B8" s="8">
        <v>0.02</v>
      </c>
      <c r="C8" s="4" t="s">
        <v>18</v>
      </c>
    </row>
    <row r="9" spans="1:4">
      <c r="A9" s="5" t="s">
        <v>10</v>
      </c>
      <c r="B9" s="6">
        <v>28</v>
      </c>
      <c r="C9" t="s">
        <v>8</v>
      </c>
    </row>
    <row r="10" spans="1:4">
      <c r="A10" s="5" t="s">
        <v>11</v>
      </c>
      <c r="B10" s="6">
        <v>19600</v>
      </c>
      <c r="C10" t="s">
        <v>9</v>
      </c>
      <c r="D10" t="s">
        <v>76</v>
      </c>
    </row>
    <row r="12" spans="1:4">
      <c r="A12" s="2" t="s">
        <v>14</v>
      </c>
      <c r="B12" s="3">
        <f>FLOOR((DISTANCE/SPEED)/60,1)</f>
        <v>8</v>
      </c>
      <c r="C12" t="s">
        <v>55</v>
      </c>
    </row>
    <row r="13" spans="1:4">
      <c r="A13" s="2"/>
      <c r="B13" s="3">
        <f>MOD((DISTANCE/SPEED+(TimePerMove*60)),60)</f>
        <v>20</v>
      </c>
      <c r="C13" t="s">
        <v>6</v>
      </c>
    </row>
    <row r="17" spans="1:16">
      <c r="A17" s="1" t="s">
        <v>19</v>
      </c>
      <c r="B17" s="1" t="s">
        <v>30</v>
      </c>
      <c r="C17" s="1" t="s">
        <v>21</v>
      </c>
      <c r="D17" s="1" t="s">
        <v>31</v>
      </c>
      <c r="E17" s="1" t="s">
        <v>32</v>
      </c>
      <c r="F17" s="14" t="s">
        <v>33</v>
      </c>
      <c r="G17" s="14" t="s">
        <v>22</v>
      </c>
      <c r="H17" s="14" t="s">
        <v>29</v>
      </c>
      <c r="I17" s="1" t="s">
        <v>34</v>
      </c>
      <c r="J17" s="1" t="s">
        <v>23</v>
      </c>
      <c r="K17" s="1" t="s">
        <v>24</v>
      </c>
      <c r="L17" s="1" t="s">
        <v>25</v>
      </c>
      <c r="M17" s="1" t="s">
        <v>24</v>
      </c>
      <c r="N17" s="11" t="s">
        <v>26</v>
      </c>
      <c r="O17" s="15" t="s">
        <v>41</v>
      </c>
      <c r="P17" s="1" t="s">
        <v>3</v>
      </c>
    </row>
    <row r="18" spans="1:16">
      <c r="A18" t="s">
        <v>15</v>
      </c>
      <c r="B18" s="6">
        <v>2</v>
      </c>
      <c r="C18" s="6">
        <f>B9</f>
        <v>28</v>
      </c>
      <c r="D18" s="6">
        <v>525</v>
      </c>
      <c r="E18" s="6">
        <v>0</v>
      </c>
      <c r="F18" s="13">
        <f t="shared" ref="F18:F31" si="0">C18*D18/1000</f>
        <v>14.7</v>
      </c>
      <c r="G18" s="13">
        <v>0</v>
      </c>
      <c r="H18" s="13">
        <f>B18*(F18+G18)</f>
        <v>29.4</v>
      </c>
      <c r="I18">
        <f>E18*C18/1000</f>
        <v>0</v>
      </c>
      <c r="J18" s="6">
        <v>9</v>
      </c>
      <c r="K18" s="6" t="s">
        <v>5</v>
      </c>
      <c r="L18" s="6">
        <f>B7</f>
        <v>2880</v>
      </c>
      <c r="M18" s="6" t="s">
        <v>5</v>
      </c>
      <c r="N18" s="10">
        <f t="shared" ref="N18:N31" si="1">J18/(J18+L18)</f>
        <v>3.1152647975077881E-3</v>
      </c>
      <c r="O18" s="3">
        <f>(N18*H18+(1-N18)*I18)*1000</f>
        <v>91.588785046728958</v>
      </c>
      <c r="P18" t="s">
        <v>70</v>
      </c>
    </row>
    <row r="19" spans="1:16">
      <c r="A19" t="s">
        <v>58</v>
      </c>
      <c r="B19" s="6">
        <v>1</v>
      </c>
      <c r="C19" s="6">
        <v>28</v>
      </c>
      <c r="D19" s="6">
        <v>525</v>
      </c>
      <c r="E19" s="6">
        <v>0</v>
      </c>
      <c r="F19" s="13">
        <f t="shared" si="0"/>
        <v>14.7</v>
      </c>
      <c r="G19" s="13">
        <v>0</v>
      </c>
      <c r="H19" s="13">
        <f>B19*(F19+G19)</f>
        <v>14.7</v>
      </c>
      <c r="I19">
        <f>E19*C19/1000</f>
        <v>0</v>
      </c>
      <c r="J19" s="6">
        <v>16.5</v>
      </c>
      <c r="K19" s="6" t="s">
        <v>54</v>
      </c>
      <c r="L19" s="6">
        <f>B7</f>
        <v>2880</v>
      </c>
      <c r="M19" s="6" t="s">
        <v>59</v>
      </c>
      <c r="N19" s="10">
        <f t="shared" si="1"/>
        <v>5.6965302951838426E-3</v>
      </c>
      <c r="O19" s="3">
        <f>(N19*H19+(1-N19)*I19)*1000</f>
        <v>83.738995339202489</v>
      </c>
      <c r="P19" t="s">
        <v>71</v>
      </c>
    </row>
    <row r="20" spans="1:16">
      <c r="A20" t="s">
        <v>35</v>
      </c>
      <c r="B20" s="6">
        <v>2</v>
      </c>
      <c r="C20" s="6">
        <v>5</v>
      </c>
      <c r="D20" s="6">
        <v>35</v>
      </c>
      <c r="E20" s="6">
        <v>1</v>
      </c>
      <c r="F20" s="13">
        <f t="shared" si="0"/>
        <v>0.17499999999999999</v>
      </c>
      <c r="G20" s="13">
        <f>20%*F20</f>
        <v>3.4999999999999996E-2</v>
      </c>
      <c r="H20" s="13">
        <f t="shared" ref="H20:H31" si="2">B20*(F20+G20)</f>
        <v>0.42</v>
      </c>
      <c r="I20">
        <f>E20*C20/1000</f>
        <v>5.0000000000000001E-3</v>
      </c>
      <c r="J20" s="6">
        <v>10</v>
      </c>
      <c r="K20" s="6" t="s">
        <v>6</v>
      </c>
      <c r="L20" s="6">
        <v>10</v>
      </c>
      <c r="M20" s="6" t="s">
        <v>6</v>
      </c>
      <c r="N20" s="10">
        <f t="shared" si="1"/>
        <v>0.5</v>
      </c>
      <c r="O20" s="3">
        <f t="shared" ref="O20:O31" si="3">(N20*H20+(1-N20)*I20)*1000</f>
        <v>212.5</v>
      </c>
      <c r="P20" t="s">
        <v>63</v>
      </c>
    </row>
    <row r="21" spans="1:16">
      <c r="A21" t="s">
        <v>0</v>
      </c>
      <c r="B21" s="6">
        <v>1</v>
      </c>
      <c r="C21" s="6">
        <v>28</v>
      </c>
      <c r="D21" s="6">
        <v>215</v>
      </c>
      <c r="E21" s="6">
        <v>40</v>
      </c>
      <c r="F21" s="13">
        <f t="shared" si="0"/>
        <v>6.02</v>
      </c>
      <c r="G21" s="13">
        <v>0</v>
      </c>
      <c r="H21" s="13">
        <f t="shared" si="2"/>
        <v>6.02</v>
      </c>
      <c r="I21">
        <f>E21*C21/1000</f>
        <v>1.1200000000000001</v>
      </c>
      <c r="J21" s="6">
        <v>1.5</v>
      </c>
      <c r="K21" s="6" t="s">
        <v>56</v>
      </c>
      <c r="L21" s="6">
        <v>13.5</v>
      </c>
      <c r="M21" s="6" t="s">
        <v>56</v>
      </c>
      <c r="N21" s="10">
        <f t="shared" si="1"/>
        <v>0.1</v>
      </c>
      <c r="O21" s="3">
        <f t="shared" si="3"/>
        <v>1610.0000000000002</v>
      </c>
      <c r="P21" t="s">
        <v>77</v>
      </c>
    </row>
    <row r="22" spans="1:16">
      <c r="A22" t="s">
        <v>0</v>
      </c>
      <c r="B22" s="6">
        <v>1</v>
      </c>
      <c r="C22" s="6">
        <v>28</v>
      </c>
      <c r="D22" s="6">
        <v>215</v>
      </c>
      <c r="E22" s="6">
        <v>0</v>
      </c>
      <c r="F22" s="13">
        <f t="shared" ref="F22" si="4">C22*D22/1000</f>
        <v>6.02</v>
      </c>
      <c r="G22" s="13">
        <v>0</v>
      </c>
      <c r="H22" s="13">
        <f t="shared" ref="H22" si="5">B22*(F22+G22)</f>
        <v>6.02</v>
      </c>
      <c r="I22">
        <f>E22*C22/1000</f>
        <v>0</v>
      </c>
      <c r="J22" s="6">
        <v>30</v>
      </c>
      <c r="K22" s="6" t="s">
        <v>56</v>
      </c>
      <c r="L22" s="6">
        <v>2880</v>
      </c>
      <c r="M22" s="6" t="s">
        <v>56</v>
      </c>
      <c r="N22" s="10">
        <f t="shared" ref="N22" si="6">J22/(J22+L22)</f>
        <v>1.0309278350515464E-2</v>
      </c>
      <c r="O22" s="3">
        <f t="shared" ref="O22" si="7">(N22*H22+(1-N22)*I22)*1000</f>
        <v>62.061855670103093</v>
      </c>
      <c r="P22" t="s">
        <v>75</v>
      </c>
    </row>
    <row r="23" spans="1:16">
      <c r="A23" t="s">
        <v>36</v>
      </c>
      <c r="B23" s="6">
        <v>2</v>
      </c>
      <c r="C23" s="6">
        <v>28</v>
      </c>
      <c r="D23" s="6">
        <v>35</v>
      </c>
      <c r="E23" s="6">
        <v>0</v>
      </c>
      <c r="F23" s="13">
        <f t="shared" si="0"/>
        <v>0.98</v>
      </c>
      <c r="G23" s="13">
        <v>0</v>
      </c>
      <c r="H23" s="13">
        <f t="shared" si="2"/>
        <v>1.96</v>
      </c>
      <c r="I23">
        <f t="shared" ref="I23:I31" si="8">E23*C23/1000</f>
        <v>0</v>
      </c>
      <c r="J23" s="6">
        <v>1</v>
      </c>
      <c r="K23" s="6" t="s">
        <v>56</v>
      </c>
      <c r="L23" s="6">
        <v>14</v>
      </c>
      <c r="M23" s="6" t="s">
        <v>56</v>
      </c>
      <c r="N23" s="10">
        <f t="shared" si="1"/>
        <v>6.6666666666666666E-2</v>
      </c>
      <c r="O23" s="3">
        <f t="shared" si="3"/>
        <v>130.66666666666666</v>
      </c>
      <c r="P23" t="s">
        <v>50</v>
      </c>
    </row>
    <row r="24" spans="1:16">
      <c r="A24" t="s">
        <v>37</v>
      </c>
      <c r="B24" s="6">
        <v>1</v>
      </c>
      <c r="C24" s="6">
        <v>12</v>
      </c>
      <c r="D24" s="6">
        <v>560</v>
      </c>
      <c r="E24" s="6">
        <v>0</v>
      </c>
      <c r="F24" s="13">
        <f t="shared" si="0"/>
        <v>6.72</v>
      </c>
      <c r="G24" s="13">
        <f>15%*F24</f>
        <v>1.008</v>
      </c>
      <c r="H24" s="13">
        <f t="shared" si="2"/>
        <v>7.7279999999999998</v>
      </c>
      <c r="I24">
        <f t="shared" si="8"/>
        <v>0</v>
      </c>
      <c r="J24" s="6">
        <v>1</v>
      </c>
      <c r="K24" s="6" t="s">
        <v>5</v>
      </c>
      <c r="L24" s="6">
        <f>B7</f>
        <v>2880</v>
      </c>
      <c r="M24" s="6" t="s">
        <v>5</v>
      </c>
      <c r="N24" s="10">
        <f t="shared" si="1"/>
        <v>3.4710170079833391E-4</v>
      </c>
      <c r="O24" s="3">
        <f t="shared" si="3"/>
        <v>2.6824019437695243</v>
      </c>
      <c r="P24" t="s">
        <v>68</v>
      </c>
    </row>
    <row r="25" spans="1:16">
      <c r="A25" t="s">
        <v>38</v>
      </c>
      <c r="B25" s="6">
        <v>2</v>
      </c>
      <c r="C25" s="6">
        <v>12</v>
      </c>
      <c r="D25" s="6">
        <v>340</v>
      </c>
      <c r="E25" s="6">
        <v>0</v>
      </c>
      <c r="F25" s="13">
        <f t="shared" si="0"/>
        <v>4.08</v>
      </c>
      <c r="G25" s="13">
        <f>15%*F25</f>
        <v>0.61199999999999999</v>
      </c>
      <c r="H25" s="13">
        <f t="shared" si="2"/>
        <v>9.3840000000000003</v>
      </c>
      <c r="I25">
        <f t="shared" si="8"/>
        <v>0</v>
      </c>
      <c r="J25" s="6">
        <v>1</v>
      </c>
      <c r="K25" s="6" t="s">
        <v>5</v>
      </c>
      <c r="L25" s="6">
        <f>B7</f>
        <v>2880</v>
      </c>
      <c r="M25" s="6" t="s">
        <v>5</v>
      </c>
      <c r="N25" s="10">
        <f t="shared" si="1"/>
        <v>3.4710170079833391E-4</v>
      </c>
      <c r="O25" s="3">
        <f t="shared" si="3"/>
        <v>3.2572023602915654</v>
      </c>
      <c r="P25" t="s">
        <v>68</v>
      </c>
    </row>
    <row r="26" spans="1:16">
      <c r="A26" t="s">
        <v>52</v>
      </c>
      <c r="B26" s="6">
        <v>1</v>
      </c>
      <c r="C26" s="6">
        <v>28</v>
      </c>
      <c r="D26" s="6">
        <v>1050</v>
      </c>
      <c r="E26" s="6">
        <v>0</v>
      </c>
      <c r="F26" s="13">
        <f t="shared" si="0"/>
        <v>29.4</v>
      </c>
      <c r="G26" s="13">
        <v>0</v>
      </c>
      <c r="H26" s="13">
        <f t="shared" si="2"/>
        <v>29.4</v>
      </c>
      <c r="I26">
        <f t="shared" si="8"/>
        <v>0</v>
      </c>
      <c r="J26" s="6">
        <v>5</v>
      </c>
      <c r="K26" s="6" t="s">
        <v>53</v>
      </c>
      <c r="L26" s="6">
        <f>B7</f>
        <v>2880</v>
      </c>
      <c r="M26" s="6" t="s">
        <v>54</v>
      </c>
      <c r="N26" s="10">
        <f t="shared" si="1"/>
        <v>1.7331022530329288E-3</v>
      </c>
      <c r="O26" s="3">
        <f t="shared" si="3"/>
        <v>50.953206239168104</v>
      </c>
      <c r="P26" t="s">
        <v>69</v>
      </c>
    </row>
    <row r="27" spans="1:16">
      <c r="A27" t="s">
        <v>72</v>
      </c>
      <c r="B27" s="6">
        <v>1</v>
      </c>
      <c r="C27" s="6">
        <v>28</v>
      </c>
      <c r="D27" s="6">
        <v>3000</v>
      </c>
      <c r="E27" s="6">
        <v>0</v>
      </c>
      <c r="F27" s="13">
        <f t="shared" si="0"/>
        <v>84</v>
      </c>
      <c r="G27" s="13">
        <v>0</v>
      </c>
      <c r="H27" s="13">
        <f t="shared" si="2"/>
        <v>84</v>
      </c>
      <c r="I27">
        <f t="shared" si="8"/>
        <v>0</v>
      </c>
      <c r="J27" s="6">
        <v>1</v>
      </c>
      <c r="K27" s="6" t="s">
        <v>73</v>
      </c>
      <c r="L27" s="6">
        <v>2880</v>
      </c>
      <c r="M27" s="6" t="s">
        <v>73</v>
      </c>
      <c r="N27" s="10">
        <f t="shared" si="1"/>
        <v>3.4710170079833391E-4</v>
      </c>
      <c r="O27" s="3">
        <f t="shared" si="3"/>
        <v>29.15654286706005</v>
      </c>
      <c r="P27" t="s">
        <v>69</v>
      </c>
    </row>
    <row r="28" spans="1:16">
      <c r="A28" t="s">
        <v>39</v>
      </c>
      <c r="B28" s="6">
        <v>4</v>
      </c>
      <c r="C28" s="6">
        <v>12</v>
      </c>
      <c r="D28" s="6">
        <v>162</v>
      </c>
      <c r="E28" s="6">
        <v>0</v>
      </c>
      <c r="F28" s="13">
        <f t="shared" si="0"/>
        <v>1.944</v>
      </c>
      <c r="G28" s="13">
        <f>15%*F28</f>
        <v>0.29159999999999997</v>
      </c>
      <c r="H28" s="13">
        <f t="shared" si="2"/>
        <v>8.9423999999999992</v>
      </c>
      <c r="I28">
        <f t="shared" si="8"/>
        <v>0</v>
      </c>
      <c r="J28" s="6">
        <v>1</v>
      </c>
      <c r="K28" s="6" t="s">
        <v>5</v>
      </c>
      <c r="L28" s="6">
        <v>14</v>
      </c>
      <c r="M28" s="6" t="s">
        <v>57</v>
      </c>
      <c r="N28" s="10">
        <f t="shared" si="1"/>
        <v>6.6666666666666666E-2</v>
      </c>
      <c r="O28" s="3">
        <f t="shared" si="3"/>
        <v>596.16</v>
      </c>
      <c r="P28" t="s">
        <v>66</v>
      </c>
    </row>
    <row r="29" spans="1:16">
      <c r="A29" t="s">
        <v>51</v>
      </c>
      <c r="B29" s="6">
        <v>1</v>
      </c>
      <c r="C29" s="6">
        <v>12</v>
      </c>
      <c r="D29" s="6">
        <v>316</v>
      </c>
      <c r="E29" s="6">
        <v>0</v>
      </c>
      <c r="F29" s="13">
        <f t="shared" si="0"/>
        <v>3.7919999999999998</v>
      </c>
      <c r="G29" s="16">
        <v>0</v>
      </c>
      <c r="H29" s="13">
        <f t="shared" si="2"/>
        <v>3.7919999999999998</v>
      </c>
      <c r="I29">
        <f t="shared" si="8"/>
        <v>0</v>
      </c>
      <c r="J29" s="6">
        <v>10</v>
      </c>
      <c r="K29" s="6" t="s">
        <v>5</v>
      </c>
      <c r="L29" s="6">
        <f>B7</f>
        <v>2880</v>
      </c>
      <c r="M29" s="6" t="s">
        <v>5</v>
      </c>
      <c r="N29" s="10">
        <f t="shared" si="1"/>
        <v>3.4602076124567475E-3</v>
      </c>
      <c r="O29" s="3">
        <f t="shared" si="3"/>
        <v>13.121107266435986</v>
      </c>
      <c r="P29" t="s">
        <v>67</v>
      </c>
    </row>
    <row r="30" spans="1:16">
      <c r="A30" t="s">
        <v>42</v>
      </c>
      <c r="B30" s="6">
        <v>1</v>
      </c>
      <c r="C30" s="6">
        <v>12</v>
      </c>
      <c r="D30" s="6">
        <v>280</v>
      </c>
      <c r="E30" s="6">
        <v>0</v>
      </c>
      <c r="F30" s="13">
        <f t="shared" si="0"/>
        <v>3.36</v>
      </c>
      <c r="G30" s="13">
        <f>15%*F30</f>
        <v>0.504</v>
      </c>
      <c r="H30" s="13">
        <f t="shared" si="2"/>
        <v>3.8639999999999999</v>
      </c>
      <c r="I30">
        <f t="shared" si="8"/>
        <v>0</v>
      </c>
      <c r="J30" s="6">
        <v>10</v>
      </c>
      <c r="K30" s="6" t="s">
        <v>5</v>
      </c>
      <c r="L30" s="6">
        <f>B7</f>
        <v>2880</v>
      </c>
      <c r="M30" s="6" t="s">
        <v>5</v>
      </c>
      <c r="N30" s="10">
        <f t="shared" si="1"/>
        <v>3.4602076124567475E-3</v>
      </c>
      <c r="O30" s="3">
        <f t="shared" si="3"/>
        <v>13.370242214532871</v>
      </c>
      <c r="P30" t="s">
        <v>68</v>
      </c>
    </row>
    <row r="31" spans="1:16">
      <c r="A31" t="s">
        <v>64</v>
      </c>
      <c r="B31" s="6">
        <v>1</v>
      </c>
      <c r="C31" s="6">
        <v>12</v>
      </c>
      <c r="D31" s="6">
        <v>141</v>
      </c>
      <c r="E31" s="6">
        <v>0</v>
      </c>
      <c r="F31" s="13">
        <f t="shared" si="0"/>
        <v>1.6919999999999999</v>
      </c>
      <c r="G31" s="13">
        <f>15%*F31</f>
        <v>0.25379999999999997</v>
      </c>
      <c r="H31" s="13">
        <f t="shared" si="2"/>
        <v>1.9458</v>
      </c>
      <c r="I31">
        <f t="shared" si="8"/>
        <v>0</v>
      </c>
      <c r="J31" s="6">
        <v>48</v>
      </c>
      <c r="K31" s="6" t="s">
        <v>54</v>
      </c>
      <c r="L31" s="6">
        <f>B7</f>
        <v>2880</v>
      </c>
      <c r="M31" s="6" t="s">
        <v>54</v>
      </c>
      <c r="N31" s="10">
        <f t="shared" si="1"/>
        <v>1.6393442622950821E-2</v>
      </c>
      <c r="O31" s="3">
        <f t="shared" si="3"/>
        <v>31.898360655737708</v>
      </c>
      <c r="P31" t="s">
        <v>65</v>
      </c>
    </row>
    <row r="32" spans="1:16">
      <c r="A32" s="17"/>
      <c r="B32" s="17"/>
      <c r="C32" s="17"/>
      <c r="D32" s="17"/>
      <c r="E32" s="17"/>
      <c r="F32" s="18"/>
      <c r="G32" s="18"/>
      <c r="H32" s="18"/>
      <c r="I32" s="17"/>
      <c r="J32" s="17"/>
      <c r="K32" s="17"/>
      <c r="L32" s="17"/>
      <c r="M32" s="17"/>
      <c r="N32" s="19"/>
      <c r="O32" s="20"/>
    </row>
    <row r="33" spans="14:16">
      <c r="N33" s="10" t="s">
        <v>43</v>
      </c>
      <c r="O33" s="3">
        <f>SUM(O18:O31)</f>
        <v>2931.155366269697</v>
      </c>
      <c r="P33" t="s">
        <v>44</v>
      </c>
    </row>
    <row r="35" spans="14:16">
      <c r="N35" s="10" t="s">
        <v>45</v>
      </c>
      <c r="O35" s="3">
        <f>B10/(O33/1000)</f>
        <v>6686.7830431464736</v>
      </c>
      <c r="P35" t="s">
        <v>60</v>
      </c>
    </row>
    <row r="36" spans="14:16">
      <c r="O36" s="3">
        <f>O35/24</f>
        <v>278.61596013110307</v>
      </c>
      <c r="P36" t="s">
        <v>61</v>
      </c>
    </row>
    <row r="37" spans="14:16">
      <c r="O37" s="27">
        <f>O36/30</f>
        <v>9.2871986710367693</v>
      </c>
      <c r="P37" t="s">
        <v>62</v>
      </c>
    </row>
  </sheetData>
  <phoneticPr fontId="4" type="noConversion"/>
  <pageMargins left="0.75" right="0.75" top="1" bottom="1" header="0.5" footer="0.5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P27"/>
  <sheetViews>
    <sheetView workbookViewId="0">
      <selection activeCell="H28" sqref="H28"/>
    </sheetView>
  </sheetViews>
  <sheetFormatPr baseColWidth="10" defaultRowHeight="13"/>
  <cols>
    <col min="1" max="1" width="14.83203125" customWidth="1"/>
    <col min="2" max="2" width="6.5" customWidth="1"/>
    <col min="3" max="3" width="10.83203125" hidden="1" customWidth="1"/>
    <col min="4" max="4" width="10.6640625" hidden="1" customWidth="1"/>
    <col min="5" max="7" width="10.83203125" hidden="1" customWidth="1"/>
    <col min="8" max="8" width="7.5" style="7" bestFit="1" customWidth="1"/>
    <col min="9" max="9" width="10.83203125" hidden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bestFit="1" customWidth="1"/>
    <col min="15" max="15" width="12.33203125" bestFit="1" customWidth="1"/>
    <col min="16" max="16" width="6.5" customWidth="1"/>
  </cols>
  <sheetData>
    <row r="1" spans="1:16">
      <c r="A1" s="5" t="s">
        <v>27</v>
      </c>
      <c r="B1" s="6">
        <v>5</v>
      </c>
      <c r="C1" t="s">
        <v>7</v>
      </c>
      <c r="F1" s="13"/>
      <c r="G1" s="13"/>
      <c r="N1" s="10"/>
      <c r="O1" s="3"/>
    </row>
    <row r="2" spans="1:16">
      <c r="A2" s="5" t="s">
        <v>28</v>
      </c>
      <c r="B2" s="6">
        <v>6</v>
      </c>
      <c r="C2" t="s">
        <v>13</v>
      </c>
      <c r="F2" s="13"/>
      <c r="G2" s="13"/>
      <c r="N2" s="10"/>
      <c r="O2" s="3"/>
    </row>
    <row r="3" spans="1:16">
      <c r="A3" s="5" t="s">
        <v>17</v>
      </c>
      <c r="B3" s="8">
        <v>0.1</v>
      </c>
      <c r="C3" s="4" t="s">
        <v>18</v>
      </c>
      <c r="F3" s="13"/>
      <c r="G3" s="13"/>
      <c r="N3" s="10"/>
      <c r="O3" s="3"/>
    </row>
    <row r="4" spans="1:16">
      <c r="A4" s="5" t="s">
        <v>10</v>
      </c>
      <c r="B4" s="6">
        <v>28</v>
      </c>
      <c r="C4" t="s">
        <v>8</v>
      </c>
      <c r="F4" s="13"/>
      <c r="G4" s="13"/>
      <c r="N4" s="10"/>
      <c r="O4" s="3"/>
    </row>
    <row r="5" spans="1:16">
      <c r="A5" s="5" t="s">
        <v>11</v>
      </c>
      <c r="B5" s="6">
        <f>60*12*1*4</f>
        <v>2880</v>
      </c>
      <c r="C5" t="s">
        <v>9</v>
      </c>
      <c r="F5" s="13"/>
      <c r="G5" s="13"/>
      <c r="N5" s="10"/>
      <c r="O5" s="3"/>
    </row>
    <row r="6" spans="1:16">
      <c r="F6" s="13"/>
      <c r="G6" s="13"/>
      <c r="N6" s="10"/>
      <c r="O6" s="3"/>
    </row>
    <row r="7" spans="1:16">
      <c r="A7" s="2"/>
      <c r="B7" s="3"/>
      <c r="F7" s="13"/>
      <c r="G7" s="13"/>
      <c r="N7" s="10"/>
      <c r="O7" s="3"/>
    </row>
    <row r="8" spans="1:16">
      <c r="A8" s="2"/>
      <c r="B8" s="3"/>
      <c r="F8" s="13"/>
      <c r="G8" s="13"/>
      <c r="N8" s="10"/>
      <c r="O8" s="3"/>
    </row>
    <row r="9" spans="1:16">
      <c r="A9" s="2"/>
      <c r="B9" s="3"/>
      <c r="F9" s="13"/>
      <c r="G9" s="13"/>
      <c r="N9" s="10"/>
      <c r="O9" s="3"/>
    </row>
    <row r="10" spans="1:16">
      <c r="F10" s="13"/>
      <c r="G10" s="13"/>
      <c r="N10" s="10"/>
      <c r="O10" s="3"/>
    </row>
    <row r="11" spans="1:16">
      <c r="A11" t="s">
        <v>47</v>
      </c>
      <c r="B11" t="s">
        <v>48</v>
      </c>
      <c r="F11" s="13"/>
      <c r="G11" s="13"/>
      <c r="N11" s="10"/>
      <c r="O11" s="3"/>
    </row>
    <row r="12" spans="1:16">
      <c r="B12" t="s">
        <v>49</v>
      </c>
      <c r="F12" s="13"/>
      <c r="G12" s="13"/>
      <c r="N12" s="10"/>
      <c r="O12" s="3"/>
    </row>
    <row r="13" spans="1:16">
      <c r="F13" s="13"/>
      <c r="G13" s="13"/>
      <c r="N13" s="10"/>
      <c r="O13" s="3"/>
    </row>
    <row r="14" spans="1:16">
      <c r="A14" s="1" t="s">
        <v>19</v>
      </c>
      <c r="B14" s="1" t="s">
        <v>20</v>
      </c>
      <c r="C14" s="1" t="s">
        <v>21</v>
      </c>
      <c r="D14" s="1" t="s">
        <v>31</v>
      </c>
      <c r="E14" s="1" t="s">
        <v>32</v>
      </c>
      <c r="F14" s="14" t="s">
        <v>33</v>
      </c>
      <c r="G14" s="14" t="s">
        <v>22</v>
      </c>
      <c r="H14" s="12" t="s">
        <v>1</v>
      </c>
      <c r="I14" s="1" t="s">
        <v>34</v>
      </c>
      <c r="J14" s="1" t="s">
        <v>23</v>
      </c>
      <c r="K14" s="1" t="s">
        <v>24</v>
      </c>
      <c r="L14" s="1" t="s">
        <v>25</v>
      </c>
      <c r="M14" s="1" t="s">
        <v>24</v>
      </c>
      <c r="N14" s="11" t="s">
        <v>26</v>
      </c>
      <c r="O14" s="15" t="s">
        <v>41</v>
      </c>
      <c r="P14" s="25" t="s">
        <v>2</v>
      </c>
    </row>
    <row r="15" spans="1:16">
      <c r="A15" t="s">
        <v>15</v>
      </c>
      <c r="B15" s="6">
        <v>2</v>
      </c>
      <c r="C15" s="6">
        <f>B4</f>
        <v>28</v>
      </c>
      <c r="D15" s="6">
        <v>4000</v>
      </c>
      <c r="E15" s="6">
        <v>0</v>
      </c>
      <c r="F15" s="13">
        <f t="shared" ref="F15:F23" si="0">C15*D15/1000</f>
        <v>112</v>
      </c>
      <c r="G15" s="13">
        <v>0</v>
      </c>
      <c r="H15" s="7">
        <f t="shared" ref="H15:H23" si="1">F15+G15</f>
        <v>112</v>
      </c>
      <c r="I15">
        <f>E15*C15</f>
        <v>0</v>
      </c>
      <c r="J15" s="6">
        <v>5</v>
      </c>
      <c r="K15" s="6" t="s">
        <v>5</v>
      </c>
      <c r="L15" s="6">
        <f>36*60</f>
        <v>2160</v>
      </c>
      <c r="M15" s="6" t="s">
        <v>5</v>
      </c>
      <c r="N15" s="10">
        <f t="shared" ref="N15:N23" si="2">J15/(J15+L15)</f>
        <v>2.3094688221709007E-3</v>
      </c>
      <c r="O15" s="3">
        <f>(N15*H15+(1-N15)*I15)*1000</f>
        <v>258.66050808314088</v>
      </c>
      <c r="P15" s="9">
        <f>O15/$O$25</f>
        <v>3.0376260131146426E-2</v>
      </c>
    </row>
    <row r="16" spans="1:16">
      <c r="A16" t="s">
        <v>35</v>
      </c>
      <c r="B16" s="6">
        <v>2</v>
      </c>
      <c r="C16" s="6">
        <v>5</v>
      </c>
      <c r="D16" s="6">
        <v>28</v>
      </c>
      <c r="E16" s="6">
        <v>0</v>
      </c>
      <c r="F16" s="13">
        <f t="shared" si="0"/>
        <v>0.14000000000000001</v>
      </c>
      <c r="G16" s="13">
        <f>20%*F16</f>
        <v>2.8000000000000004E-2</v>
      </c>
      <c r="H16" s="7">
        <f t="shared" si="1"/>
        <v>0.16800000000000001</v>
      </c>
      <c r="I16">
        <f>E16*C16</f>
        <v>0</v>
      </c>
      <c r="J16" s="6">
        <v>36</v>
      </c>
      <c r="K16" s="6" t="s">
        <v>46</v>
      </c>
      <c r="L16" s="6">
        <v>0</v>
      </c>
      <c r="M16" s="6" t="s">
        <v>6</v>
      </c>
      <c r="N16" s="10">
        <f t="shared" si="2"/>
        <v>1</v>
      </c>
      <c r="O16" s="3">
        <f t="shared" ref="O16:O23" si="3">(N16*H16+(1-N16)*I16)*1000</f>
        <v>168</v>
      </c>
      <c r="P16" s="9">
        <f t="shared" ref="P16:P23" si="4">O16/$O$25</f>
        <v>1.9729380955179603E-2</v>
      </c>
    </row>
    <row r="17" spans="1:16">
      <c r="A17" t="s">
        <v>16</v>
      </c>
      <c r="B17" s="6">
        <v>1</v>
      </c>
      <c r="C17" s="6">
        <v>28</v>
      </c>
      <c r="D17" s="6">
        <v>250</v>
      </c>
      <c r="E17" s="6">
        <v>0</v>
      </c>
      <c r="F17" s="13">
        <f t="shared" si="0"/>
        <v>7</v>
      </c>
      <c r="G17" s="13">
        <v>0</v>
      </c>
      <c r="H17" s="7">
        <f t="shared" si="1"/>
        <v>7</v>
      </c>
      <c r="I17">
        <f t="shared" ref="I17:I23" si="5">E17*C17</f>
        <v>0</v>
      </c>
      <c r="J17" s="6">
        <v>36</v>
      </c>
      <c r="K17" s="6" t="s">
        <v>46</v>
      </c>
      <c r="L17" s="6">
        <v>0</v>
      </c>
      <c r="M17" s="6" t="s">
        <v>46</v>
      </c>
      <c r="N17" s="10">
        <f t="shared" si="2"/>
        <v>1</v>
      </c>
      <c r="O17" s="3">
        <f t="shared" si="3"/>
        <v>7000</v>
      </c>
      <c r="P17" s="9">
        <f t="shared" si="4"/>
        <v>0.82205753979915008</v>
      </c>
    </row>
    <row r="18" spans="1:16">
      <c r="A18" t="s">
        <v>36</v>
      </c>
      <c r="B18" s="6">
        <v>1</v>
      </c>
      <c r="C18" s="6">
        <v>28</v>
      </c>
      <c r="D18" s="6">
        <v>35</v>
      </c>
      <c r="E18" s="6">
        <v>0</v>
      </c>
      <c r="F18" s="13">
        <f t="shared" si="0"/>
        <v>0.98</v>
      </c>
      <c r="G18" s="13">
        <v>0</v>
      </c>
      <c r="H18" s="7">
        <f t="shared" si="1"/>
        <v>0.98</v>
      </c>
      <c r="I18">
        <f t="shared" si="5"/>
        <v>0</v>
      </c>
      <c r="J18" s="6">
        <v>36</v>
      </c>
      <c r="K18" s="6" t="s">
        <v>46</v>
      </c>
      <c r="L18" s="6">
        <v>0</v>
      </c>
      <c r="M18" s="6" t="s">
        <v>46</v>
      </c>
      <c r="N18" s="10">
        <f t="shared" si="2"/>
        <v>1</v>
      </c>
      <c r="O18" s="3">
        <f t="shared" si="3"/>
        <v>980</v>
      </c>
      <c r="P18" s="9">
        <f t="shared" si="4"/>
        <v>0.11508805557188101</v>
      </c>
    </row>
    <row r="19" spans="1:16">
      <c r="A19" t="s">
        <v>37</v>
      </c>
      <c r="B19" s="6">
        <v>1</v>
      </c>
      <c r="C19" s="6">
        <v>12</v>
      </c>
      <c r="D19" s="6">
        <v>700</v>
      </c>
      <c r="E19" s="6">
        <v>0</v>
      </c>
      <c r="F19" s="13">
        <f t="shared" si="0"/>
        <v>8.4</v>
      </c>
      <c r="G19" s="13">
        <f>15%*F19</f>
        <v>1.26</v>
      </c>
      <c r="H19" s="7">
        <f t="shared" si="1"/>
        <v>9.66</v>
      </c>
      <c r="I19">
        <f t="shared" si="5"/>
        <v>0</v>
      </c>
      <c r="J19" s="6">
        <v>1</v>
      </c>
      <c r="K19" s="6" t="s">
        <v>5</v>
      </c>
      <c r="L19" s="6">
        <f>36*60</f>
        <v>2160</v>
      </c>
      <c r="M19" s="6" t="s">
        <v>5</v>
      </c>
      <c r="N19" s="10">
        <f t="shared" si="2"/>
        <v>4.6274872744099955E-4</v>
      </c>
      <c r="O19" s="3">
        <f t="shared" si="3"/>
        <v>4.4701527070800555</v>
      </c>
      <c r="P19" s="9">
        <f t="shared" si="4"/>
        <v>5.2496039098696306E-4</v>
      </c>
    </row>
    <row r="20" spans="1:16">
      <c r="A20" t="s">
        <v>38</v>
      </c>
      <c r="B20" s="6">
        <v>1</v>
      </c>
      <c r="C20" s="6">
        <v>12</v>
      </c>
      <c r="D20" s="6">
        <f>175+12</f>
        <v>187</v>
      </c>
      <c r="E20" s="6">
        <v>0</v>
      </c>
      <c r="F20" s="13">
        <f t="shared" si="0"/>
        <v>2.2440000000000002</v>
      </c>
      <c r="G20" s="13">
        <f>15%*F20</f>
        <v>0.33660000000000001</v>
      </c>
      <c r="H20" s="7">
        <f t="shared" si="1"/>
        <v>2.5806000000000004</v>
      </c>
      <c r="I20">
        <f t="shared" si="5"/>
        <v>0</v>
      </c>
      <c r="J20" s="6">
        <v>1</v>
      </c>
      <c r="K20" s="6" t="s">
        <v>5</v>
      </c>
      <c r="L20" s="6">
        <f>36*60</f>
        <v>2160</v>
      </c>
      <c r="M20" s="6" t="s">
        <v>5</v>
      </c>
      <c r="N20" s="10">
        <f t="shared" si="2"/>
        <v>4.6274872744099955E-4</v>
      </c>
      <c r="O20" s="3">
        <f t="shared" si="3"/>
        <v>1.1941693660342436</v>
      </c>
      <c r="P20" s="9">
        <f t="shared" si="4"/>
        <v>1.4023941873508871E-4</v>
      </c>
    </row>
    <row r="21" spans="1:16">
      <c r="A21" t="s">
        <v>39</v>
      </c>
      <c r="B21" s="6">
        <v>1</v>
      </c>
      <c r="C21" s="6">
        <v>12</v>
      </c>
      <c r="D21" s="6">
        <f>80+12</f>
        <v>92</v>
      </c>
      <c r="E21" s="6">
        <v>0</v>
      </c>
      <c r="F21" s="13">
        <f t="shared" si="0"/>
        <v>1.1040000000000001</v>
      </c>
      <c r="G21" s="13">
        <f>15%*F21</f>
        <v>0.1656</v>
      </c>
      <c r="H21" s="7">
        <f t="shared" si="1"/>
        <v>1.2696000000000001</v>
      </c>
      <c r="I21">
        <f t="shared" si="5"/>
        <v>0</v>
      </c>
      <c r="J21" s="6">
        <v>15</v>
      </c>
      <c r="K21" s="6" t="s">
        <v>6</v>
      </c>
      <c r="L21" s="6">
        <v>900</v>
      </c>
      <c r="M21" s="6" t="s">
        <v>6</v>
      </c>
      <c r="N21" s="10">
        <f t="shared" si="2"/>
        <v>1.6393442622950821E-2</v>
      </c>
      <c r="O21" s="3">
        <f t="shared" si="3"/>
        <v>20.813114754098365</v>
      </c>
      <c r="P21" s="9">
        <f t="shared" si="4"/>
        <v>2.444225415758785E-3</v>
      </c>
    </row>
    <row r="22" spans="1:16">
      <c r="A22" t="s">
        <v>40</v>
      </c>
      <c r="B22" s="6">
        <v>3</v>
      </c>
      <c r="C22" s="6">
        <v>28</v>
      </c>
      <c r="D22" s="6">
        <v>1200</v>
      </c>
      <c r="E22" s="6">
        <v>0</v>
      </c>
      <c r="F22" s="13">
        <f t="shared" si="0"/>
        <v>33.6</v>
      </c>
      <c r="G22" s="16">
        <v>0</v>
      </c>
      <c r="H22" s="7">
        <f t="shared" si="1"/>
        <v>33.6</v>
      </c>
      <c r="I22">
        <f t="shared" si="5"/>
        <v>0</v>
      </c>
      <c r="J22" s="6">
        <v>5</v>
      </c>
      <c r="K22" s="6" t="s">
        <v>5</v>
      </c>
      <c r="L22" s="6">
        <f>36*60</f>
        <v>2160</v>
      </c>
      <c r="M22" s="6" t="s">
        <v>5</v>
      </c>
      <c r="N22" s="10">
        <f t="shared" si="2"/>
        <v>2.3094688221709007E-3</v>
      </c>
      <c r="O22" s="3">
        <f t="shared" si="3"/>
        <v>77.59815242494227</v>
      </c>
      <c r="P22" s="9">
        <f t="shared" si="4"/>
        <v>9.1128780393439288E-3</v>
      </c>
    </row>
    <row r="23" spans="1:16">
      <c r="A23" t="s">
        <v>42</v>
      </c>
      <c r="B23" s="6">
        <v>1</v>
      </c>
      <c r="C23" s="6">
        <v>12</v>
      </c>
      <c r="D23" s="6">
        <f>690+12</f>
        <v>702</v>
      </c>
      <c r="E23" s="6">
        <v>0</v>
      </c>
      <c r="F23" s="13">
        <f t="shared" si="0"/>
        <v>8.4239999999999995</v>
      </c>
      <c r="G23" s="13">
        <f>15%*F23</f>
        <v>1.2635999999999998</v>
      </c>
      <c r="H23" s="7">
        <f t="shared" si="1"/>
        <v>9.6875999999999998</v>
      </c>
      <c r="I23">
        <f t="shared" si="5"/>
        <v>0</v>
      </c>
      <c r="J23" s="6">
        <v>1</v>
      </c>
      <c r="K23" s="6" t="s">
        <v>5</v>
      </c>
      <c r="L23" s="6">
        <f>36*60</f>
        <v>2160</v>
      </c>
      <c r="M23" s="6" t="s">
        <v>5</v>
      </c>
      <c r="N23" s="10">
        <f t="shared" si="2"/>
        <v>4.6274872744099955E-4</v>
      </c>
      <c r="O23" s="3">
        <f t="shared" si="3"/>
        <v>4.4829245719574269</v>
      </c>
      <c r="P23" s="26">
        <f t="shared" si="4"/>
        <v>5.2646027781835434E-4</v>
      </c>
    </row>
    <row r="24" spans="1:16">
      <c r="A24" s="17"/>
      <c r="B24" s="17"/>
      <c r="C24" s="17"/>
      <c r="D24" s="17"/>
      <c r="E24" s="17"/>
      <c r="F24" s="18"/>
      <c r="G24" s="18"/>
      <c r="H24" s="24"/>
      <c r="I24" s="17"/>
      <c r="J24" s="17"/>
      <c r="K24" s="17"/>
      <c r="L24" s="17"/>
      <c r="M24" s="17"/>
      <c r="N24" s="19"/>
      <c r="O24" s="20"/>
    </row>
    <row r="25" spans="1:16">
      <c r="F25" s="13"/>
      <c r="G25" s="13"/>
      <c r="N25" s="22" t="s">
        <v>43</v>
      </c>
      <c r="O25" s="23">
        <f>SUM(O15:O24)</f>
        <v>8515.2190219072509</v>
      </c>
      <c r="P25" t="s">
        <v>44</v>
      </c>
    </row>
    <row r="26" spans="1:16">
      <c r="F26" s="13"/>
      <c r="G26" s="13"/>
      <c r="N26" s="21"/>
      <c r="O26" s="3"/>
    </row>
    <row r="27" spans="1:16">
      <c r="F27" s="13"/>
      <c r="G27" s="13"/>
      <c r="N27" s="22" t="s">
        <v>45</v>
      </c>
      <c r="O27" s="23">
        <f>B5/(O25/1000)</f>
        <v>338.2179592316503</v>
      </c>
      <c r="P27" t="s">
        <v>46</v>
      </c>
    </row>
  </sheetData>
  <sheetCalcPr fullCalcOnLoad="1"/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2012-07-25T17:50:14Z</dcterms:modified>
</cp:coreProperties>
</file>