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65" yWindow="-45" windowWidth="20670" windowHeight="12975" tabRatio="769" activeTab="8"/>
  </bookViews>
  <sheets>
    <sheet name="Vol to #" sheetId="1" r:id="rId1"/>
    <sheet name="Min Threshold Test" sheetId="2" r:id="rId2"/>
    <sheet name="# on filter" sheetId="3" r:id="rId3"/>
    <sheet name="Total Vol to #" sheetId="4" r:id="rId4"/>
    <sheet name="SHA to Known #" sheetId="5" r:id="rId5"/>
    <sheet name="Overall HOLO-SHA Comp" sheetId="6" r:id="rId6"/>
    <sheet name="Minor axis &gt; 100 um" sheetId="7" r:id="rId7"/>
    <sheet name="Area and Volume Calcs" sheetId="8" r:id="rId8"/>
    <sheet name="Residence Time" sheetId="9" r:id="rId9"/>
  </sheets>
  <calcPr calcId="145621"/>
</workbook>
</file>

<file path=xl/calcChain.xml><?xml version="1.0" encoding="utf-8"?>
<calcChain xmlns="http://schemas.openxmlformats.org/spreadsheetml/2006/main">
  <c r="G7" i="9" l="1"/>
  <c r="G10" i="9"/>
  <c r="G13" i="9"/>
  <c r="G16" i="9"/>
  <c r="G19" i="9"/>
  <c r="G22" i="9"/>
  <c r="G4" i="9"/>
  <c r="F7" i="9"/>
  <c r="F10" i="9"/>
  <c r="F13" i="9"/>
  <c r="F16" i="9"/>
  <c r="F19" i="9"/>
  <c r="F22" i="9"/>
  <c r="F4" i="9"/>
  <c r="D6" i="9"/>
  <c r="D9" i="9"/>
  <c r="D12" i="9"/>
  <c r="D15" i="9"/>
  <c r="D18" i="9"/>
  <c r="D21" i="9"/>
  <c r="D3" i="9"/>
  <c r="C21" i="9"/>
  <c r="C18" i="9"/>
  <c r="C15" i="9"/>
  <c r="C12" i="9"/>
  <c r="C9" i="9"/>
  <c r="C6" i="9"/>
  <c r="C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3" i="9"/>
  <c r="H3" i="8"/>
  <c r="H4" i="8"/>
  <c r="H5" i="8"/>
  <c r="H6" i="8"/>
  <c r="H7" i="8"/>
  <c r="H8" i="8"/>
  <c r="H9" i="8"/>
  <c r="H10" i="8"/>
  <c r="H11" i="8"/>
  <c r="H12" i="8"/>
  <c r="H13" i="8"/>
  <c r="H14" i="8"/>
  <c r="I14" i="8" s="1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I30" i="8" s="1"/>
  <c r="H31" i="8"/>
  <c r="H32" i="8"/>
  <c r="H33" i="8"/>
  <c r="H34" i="8"/>
  <c r="I34" i="8" s="1"/>
  <c r="H35" i="8"/>
  <c r="H36" i="8"/>
  <c r="H37" i="8"/>
  <c r="H38" i="8"/>
  <c r="I38" i="8" s="1"/>
  <c r="H39" i="8"/>
  <c r="H40" i="8"/>
  <c r="H41" i="8"/>
  <c r="H42" i="8"/>
  <c r="H43" i="8"/>
  <c r="H44" i="8"/>
  <c r="H45" i="8"/>
  <c r="H46" i="8"/>
  <c r="I46" i="8" s="1"/>
  <c r="H47" i="8"/>
  <c r="H48" i="8"/>
  <c r="H2" i="8"/>
  <c r="I2" i="8" s="1"/>
  <c r="I6" i="8"/>
  <c r="I26" i="8"/>
  <c r="I42" i="8"/>
  <c r="I18" i="8"/>
  <c r="G48" i="8"/>
  <c r="J48" i="8" s="1"/>
  <c r="G47" i="8"/>
  <c r="G46" i="8"/>
  <c r="G45" i="8"/>
  <c r="G44" i="8"/>
  <c r="J44" i="8" s="1"/>
  <c r="G43" i="8"/>
  <c r="G42" i="8"/>
  <c r="G41" i="8"/>
  <c r="G40" i="8"/>
  <c r="J40" i="8" s="1"/>
  <c r="G39" i="8"/>
  <c r="G38" i="8"/>
  <c r="G37" i="8"/>
  <c r="G36" i="8"/>
  <c r="J36" i="8" s="1"/>
  <c r="G35" i="8"/>
  <c r="G34" i="8"/>
  <c r="G33" i="8"/>
  <c r="G32" i="8"/>
  <c r="J32" i="8" s="1"/>
  <c r="G31" i="8"/>
  <c r="G30" i="8"/>
  <c r="G29" i="8"/>
  <c r="G28" i="8"/>
  <c r="J28" i="8" s="1"/>
  <c r="G27" i="8"/>
  <c r="G26" i="8"/>
  <c r="G25" i="8"/>
  <c r="G24" i="8"/>
  <c r="J24" i="8" s="1"/>
  <c r="G23" i="8"/>
  <c r="G22" i="8"/>
  <c r="G21" i="8"/>
  <c r="G20" i="8"/>
  <c r="J20" i="8" s="1"/>
  <c r="G19" i="8"/>
  <c r="G18" i="8"/>
  <c r="G17" i="8"/>
  <c r="G16" i="8"/>
  <c r="J16" i="8" s="1"/>
  <c r="G15" i="8"/>
  <c r="G14" i="8"/>
  <c r="G13" i="8"/>
  <c r="G12" i="8"/>
  <c r="J12" i="8" s="1"/>
  <c r="G11" i="8"/>
  <c r="G10" i="8"/>
  <c r="G9" i="8"/>
  <c r="G8" i="8"/>
  <c r="J8" i="8" s="1"/>
  <c r="G7" i="8"/>
  <c r="G6" i="8"/>
  <c r="G5" i="8"/>
  <c r="G4" i="8"/>
  <c r="J4" i="8" s="1"/>
  <c r="G3" i="8"/>
  <c r="J3" i="8"/>
  <c r="J7" i="8"/>
  <c r="J11" i="8"/>
  <c r="J15" i="8"/>
  <c r="J19" i="8"/>
  <c r="J23" i="8"/>
  <c r="J27" i="8"/>
  <c r="J31" i="8"/>
  <c r="J35" i="8"/>
  <c r="J39" i="8"/>
  <c r="J43" i="8"/>
  <c r="J47" i="8"/>
  <c r="G2" i="8"/>
  <c r="L5" i="6"/>
  <c r="K5" i="6"/>
  <c r="L6" i="6"/>
  <c r="K6" i="6"/>
  <c r="L7" i="6"/>
  <c r="K7" i="6"/>
  <c r="L8" i="6"/>
  <c r="K8" i="6"/>
  <c r="L9" i="6"/>
  <c r="K9" i="6"/>
  <c r="L10" i="6"/>
  <c r="K10" i="6"/>
  <c r="L11" i="6"/>
  <c r="J2" i="7"/>
  <c r="J3" i="7"/>
  <c r="J4" i="7"/>
  <c r="J5" i="7"/>
  <c r="J6" i="7"/>
  <c r="N6" i="7" s="1"/>
  <c r="J5" i="8"/>
  <c r="J6" i="8"/>
  <c r="J9" i="8"/>
  <c r="J10" i="8"/>
  <c r="J13" i="8"/>
  <c r="J14" i="8"/>
  <c r="J17" i="8"/>
  <c r="J18" i="8"/>
  <c r="J21" i="8"/>
  <c r="J22" i="8"/>
  <c r="J25" i="8"/>
  <c r="J26" i="8"/>
  <c r="J29" i="8"/>
  <c r="J30" i="8"/>
  <c r="J33" i="8"/>
  <c r="J34" i="8"/>
  <c r="J37" i="8"/>
  <c r="J38" i="8"/>
  <c r="J41" i="8"/>
  <c r="J42" i="8"/>
  <c r="J45" i="8"/>
  <c r="J46" i="8"/>
  <c r="I3" i="8"/>
  <c r="I5" i="8"/>
  <c r="I7" i="8"/>
  <c r="I9" i="8"/>
  <c r="I10" i="8"/>
  <c r="I11" i="8"/>
  <c r="I13" i="8"/>
  <c r="I15" i="8"/>
  <c r="I17" i="8"/>
  <c r="I19" i="8"/>
  <c r="I21" i="8"/>
  <c r="I22" i="8"/>
  <c r="I23" i="8"/>
  <c r="I25" i="8"/>
  <c r="I27" i="8"/>
  <c r="I29" i="8"/>
  <c r="I31" i="8"/>
  <c r="I33" i="8"/>
  <c r="I35" i="8"/>
  <c r="I37" i="8"/>
  <c r="I39" i="8"/>
  <c r="I41" i="8"/>
  <c r="I43" i="8"/>
  <c r="I45" i="8"/>
  <c r="I47" i="8"/>
  <c r="N3" i="7"/>
  <c r="N4" i="7"/>
  <c r="N5" i="7"/>
  <c r="N2" i="7"/>
  <c r="J22" i="7"/>
  <c r="N22" i="7" s="1"/>
  <c r="J21" i="7"/>
  <c r="N21" i="7" s="1"/>
  <c r="J20" i="7"/>
  <c r="J19" i="7"/>
  <c r="N19" i="7" s="1"/>
  <c r="J18" i="7"/>
  <c r="N18" i="7" s="1"/>
  <c r="J17" i="7"/>
  <c r="J16" i="7"/>
  <c r="N16" i="7" s="1"/>
  <c r="J15" i="7"/>
  <c r="N15" i="7" s="1"/>
  <c r="J14" i="7"/>
  <c r="N14" i="7" s="1"/>
  <c r="J13" i="7"/>
  <c r="N13" i="7" s="1"/>
  <c r="J12" i="7"/>
  <c r="N12" i="7" s="1"/>
  <c r="J11" i="7"/>
  <c r="J10" i="7"/>
  <c r="N10" i="7" s="1"/>
  <c r="J9" i="7"/>
  <c r="N9" i="7" s="1"/>
  <c r="J8" i="7"/>
  <c r="J7" i="7"/>
  <c r="N7" i="7" s="1"/>
  <c r="H4" i="6"/>
  <c r="H3" i="6"/>
  <c r="J4" i="6"/>
  <c r="J3" i="6"/>
  <c r="L6" i="5"/>
  <c r="L5" i="5"/>
  <c r="F10" i="5"/>
  <c r="G10" i="5"/>
  <c r="K10" i="5"/>
  <c r="L10" i="5"/>
  <c r="L25" i="5"/>
  <c r="K25" i="5"/>
  <c r="L22" i="5"/>
  <c r="K22" i="5"/>
  <c r="L19" i="5"/>
  <c r="K19" i="5"/>
  <c r="L16" i="5"/>
  <c r="K16" i="5"/>
  <c r="L13" i="5"/>
  <c r="K13" i="5"/>
  <c r="L7" i="5"/>
  <c r="K7" i="5"/>
  <c r="F16" i="5"/>
  <c r="F19" i="5"/>
  <c r="F22" i="5"/>
  <c r="F25" i="5"/>
  <c r="G6" i="5"/>
  <c r="G5" i="5"/>
  <c r="G25" i="5"/>
  <c r="G22" i="5"/>
  <c r="G19" i="5"/>
  <c r="G16" i="5"/>
  <c r="E10" i="5"/>
  <c r="E11" i="5"/>
  <c r="J27" i="5"/>
  <c r="E27" i="5"/>
  <c r="J26" i="5"/>
  <c r="E26" i="5"/>
  <c r="J25" i="5"/>
  <c r="E25" i="5"/>
  <c r="J24" i="5"/>
  <c r="E24" i="5"/>
  <c r="J23" i="5"/>
  <c r="E23" i="5"/>
  <c r="J22" i="5"/>
  <c r="E22" i="5"/>
  <c r="J20" i="5"/>
  <c r="E20" i="5"/>
  <c r="J21" i="5"/>
  <c r="E21" i="5"/>
  <c r="E19" i="5"/>
  <c r="J19" i="5"/>
  <c r="J18" i="5"/>
  <c r="E18" i="5"/>
  <c r="J17" i="5"/>
  <c r="E17" i="5"/>
  <c r="J16" i="5"/>
  <c r="E16" i="5"/>
  <c r="J15" i="5"/>
  <c r="E15" i="5"/>
  <c r="J14" i="5"/>
  <c r="E13" i="5"/>
  <c r="D14" i="5"/>
  <c r="E14" i="5" s="1"/>
  <c r="C14" i="5"/>
  <c r="F13" i="5" s="1"/>
  <c r="J13" i="5"/>
  <c r="J12" i="5"/>
  <c r="E12" i="5"/>
  <c r="J11" i="5"/>
  <c r="J10" i="5"/>
  <c r="J9" i="5"/>
  <c r="E9" i="5"/>
  <c r="J8" i="5"/>
  <c r="D8" i="5"/>
  <c r="E8" i="5" s="1"/>
  <c r="C8" i="5"/>
  <c r="F7" i="5" s="1"/>
  <c r="J7" i="5"/>
  <c r="E7" i="5"/>
  <c r="J6" i="5"/>
  <c r="E6" i="5"/>
  <c r="J5" i="5"/>
  <c r="E5" i="5"/>
  <c r="I4" i="5"/>
  <c r="J4" i="5" s="1"/>
  <c r="H4" i="5"/>
  <c r="K2" i="5" s="1"/>
  <c r="J3" i="5"/>
  <c r="J2" i="5"/>
  <c r="G13" i="5" l="1"/>
  <c r="L2" i="5"/>
  <c r="M11" i="7"/>
  <c r="I48" i="8"/>
  <c r="I44" i="8"/>
  <c r="I40" i="8"/>
  <c r="I36" i="8"/>
  <c r="I32" i="8"/>
  <c r="I28" i="8"/>
  <c r="I24" i="8"/>
  <c r="I20" i="8"/>
  <c r="I16" i="8"/>
  <c r="I12" i="8"/>
  <c r="I8" i="8"/>
  <c r="I4" i="8"/>
  <c r="J2" i="8"/>
  <c r="L8" i="7"/>
  <c r="L20" i="7"/>
  <c r="M17" i="7"/>
  <c r="L11" i="7"/>
  <c r="L17" i="7"/>
  <c r="N11" i="7"/>
  <c r="M8" i="7"/>
  <c r="M14" i="7"/>
  <c r="M20" i="7"/>
  <c r="N20" i="7"/>
  <c r="N8" i="7"/>
  <c r="L14" i="7"/>
  <c r="N17" i="7"/>
  <c r="G7" i="5"/>
  <c r="H29" i="4"/>
  <c r="H5" i="4"/>
  <c r="H8" i="4"/>
  <c r="H11" i="4"/>
  <c r="H14" i="4"/>
  <c r="H17" i="4"/>
  <c r="H20" i="4"/>
  <c r="H23" i="4"/>
  <c r="H26" i="4"/>
  <c r="H2" i="4"/>
  <c r="G29" i="4"/>
  <c r="G5" i="4"/>
  <c r="G8" i="4"/>
  <c r="G11" i="4"/>
  <c r="G14" i="4"/>
  <c r="G17" i="4"/>
  <c r="G20" i="4"/>
  <c r="G23" i="4"/>
  <c r="G26" i="4"/>
  <c r="G2" i="4"/>
  <c r="O24" i="7" l="1"/>
  <c r="N24" i="7"/>
  <c r="E26" i="4"/>
  <c r="D26" i="4"/>
  <c r="E29" i="4"/>
  <c r="E11" i="4"/>
  <c r="E14" i="4"/>
  <c r="E17" i="4"/>
  <c r="E20" i="4"/>
  <c r="E23" i="4"/>
  <c r="D29" i="4"/>
  <c r="D11" i="4"/>
  <c r="D14" i="4"/>
  <c r="D17" i="4"/>
  <c r="D20" i="4"/>
  <c r="D23" i="4"/>
  <c r="E5" i="4"/>
  <c r="E8" i="4"/>
  <c r="D5" i="4"/>
  <c r="D8" i="4"/>
  <c r="E2" i="4"/>
  <c r="D2" i="4"/>
  <c r="B2" i="2" l="1"/>
  <c r="B3" i="2"/>
  <c r="B4" i="2"/>
  <c r="B5" i="2"/>
  <c r="B6" i="2"/>
  <c r="B7" i="2"/>
  <c r="B8" i="2"/>
  <c r="B1" i="2"/>
</calcChain>
</file>

<file path=xl/sharedStrings.xml><?xml version="1.0" encoding="utf-8"?>
<sst xmlns="http://schemas.openxmlformats.org/spreadsheetml/2006/main" count="188" uniqueCount="96">
  <si>
    <t>Min Threshold</t>
  </si>
  <si>
    <t>Total Vol</t>
  </si>
  <si>
    <t>MQ</t>
  </si>
  <si>
    <t>FSW</t>
  </si>
  <si>
    <t>SE Vol</t>
  </si>
  <si>
    <t>Avg Total Vol</t>
  </si>
  <si>
    <t>Avg Total Vol &gt;40 um</t>
  </si>
  <si>
    <t>Sample</t>
  </si>
  <si>
    <t># on filter</t>
  </si>
  <si>
    <t>Dist</t>
  </si>
  <si>
    <t>1A</t>
  </si>
  <si>
    <t>1B</t>
  </si>
  <si>
    <t>1C</t>
  </si>
  <si>
    <t>5A</t>
  </si>
  <si>
    <t>5B</t>
  </si>
  <si>
    <t>5C</t>
  </si>
  <si>
    <t>10A</t>
  </si>
  <si>
    <t>10B</t>
  </si>
  <si>
    <t>15A</t>
  </si>
  <si>
    <t>20A</t>
  </si>
  <si>
    <t>20B</t>
  </si>
  <si>
    <t>20C</t>
  </si>
  <si>
    <t>30A</t>
  </si>
  <si>
    <t>30B</t>
  </si>
  <si>
    <t>30C</t>
  </si>
  <si>
    <t>50A</t>
  </si>
  <si>
    <t>50B</t>
  </si>
  <si>
    <t>50C</t>
  </si>
  <si>
    <t>1D</t>
  </si>
  <si>
    <t>5D</t>
  </si>
  <si>
    <t>5E</t>
  </si>
  <si>
    <t>10D</t>
  </si>
  <si>
    <t>10E</t>
  </si>
  <si>
    <t>15D</t>
  </si>
  <si>
    <t>15E</t>
  </si>
  <si>
    <t>20D</t>
  </si>
  <si>
    <t>20E</t>
  </si>
  <si>
    <t>FSW4</t>
  </si>
  <si>
    <t>MQ1</t>
  </si>
  <si>
    <t>MQ2</t>
  </si>
  <si>
    <t>MQ3</t>
  </si>
  <si>
    <t>MQ4</t>
  </si>
  <si>
    <t>MQ5</t>
  </si>
  <si>
    <t>Vol</t>
  </si>
  <si>
    <t>A</t>
  </si>
  <si>
    <t>B</t>
  </si>
  <si>
    <t>C</t>
  </si>
  <si>
    <t>Area</t>
  </si>
  <si>
    <t>Avg Vol</t>
  </si>
  <si>
    <t>FSW-3</t>
  </si>
  <si>
    <t>FSW-4</t>
  </si>
  <si>
    <t>FSW-5</t>
  </si>
  <si>
    <t>MQ-1</t>
  </si>
  <si>
    <t>MQ-2</t>
  </si>
  <si>
    <t>Avg Area</t>
  </si>
  <si>
    <t>SE Area</t>
  </si>
  <si>
    <t>Paus</t>
  </si>
  <si>
    <t>SE</t>
  </si>
  <si>
    <t>STD</t>
  </si>
  <si>
    <t>Paus1</t>
  </si>
  <si>
    <t>Paus2</t>
  </si>
  <si>
    <t>Paus3</t>
  </si>
  <si>
    <t>FSW5</t>
  </si>
  <si>
    <t>Cocopods</t>
  </si>
  <si>
    <t>Pod1951</t>
  </si>
  <si>
    <t>auD1</t>
  </si>
  <si>
    <t>Prongs not contacting, may be null run</t>
  </si>
  <si>
    <t>10C</t>
  </si>
  <si>
    <t>15B</t>
  </si>
  <si>
    <t>15C</t>
  </si>
  <si>
    <t>Avg</t>
  </si>
  <si>
    <t xml:space="preserve">auD1 </t>
  </si>
  <si>
    <t>Volume</t>
  </si>
  <si>
    <t>Tcal #</t>
  </si>
  <si>
    <t>Image #</t>
  </si>
  <si>
    <t>Major (um)</t>
  </si>
  <si>
    <t>Minor (um)</t>
  </si>
  <si>
    <t>Area (um2)</t>
  </si>
  <si>
    <t>Volume (um3)</t>
  </si>
  <si>
    <t># Tcal</t>
  </si>
  <si>
    <t>Counts</t>
  </si>
  <si>
    <t>#Tcal</t>
  </si>
  <si>
    <t>Avg Count</t>
  </si>
  <si>
    <t>SE Count</t>
  </si>
  <si>
    <t>%</t>
  </si>
  <si>
    <t>Avg %</t>
  </si>
  <si>
    <t>SE %</t>
  </si>
  <si>
    <t>Volume (LW2)</t>
  </si>
  <si>
    <t>Area (LW)</t>
  </si>
  <si>
    <t>CalcVol:HoloVol</t>
  </si>
  <si>
    <t>CalcArea:HoloArea</t>
  </si>
  <si>
    <t>Avg # on filter</t>
  </si>
  <si>
    <t>SE on filter</t>
  </si>
  <si>
    <t>In</t>
  </si>
  <si>
    <t>Out</t>
  </si>
  <si>
    <t>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</si>
</sst>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2" fontId="0" fillId="0" borderId="0" xfId="0" applyNumberFormat="1" applyFont="1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'Vol to #'!$C$5:$C$11</c:f>
                <c:numCache>
                  <c:formatCode>General</c:formatCode>
                  <c:ptCount val="7"/>
                  <c:pt idx="0">
                    <c:v>93.782700580330911</c:v>
                  </c:pt>
                  <c:pt idx="1">
                    <c:v>15.345670338567812</c:v>
                  </c:pt>
                  <c:pt idx="2">
                    <c:v>0.48847872010968918</c:v>
                  </c:pt>
                  <c:pt idx="3">
                    <c:v>7.9428415154779444</c:v>
                  </c:pt>
                  <c:pt idx="4">
                    <c:v>13.524467677509525</c:v>
                  </c:pt>
                  <c:pt idx="5">
                    <c:v>6.385794790870678</c:v>
                  </c:pt>
                  <c:pt idx="6">
                    <c:v>1.7012446750671832</c:v>
                  </c:pt>
                </c:numCache>
              </c:numRef>
            </c:plus>
            <c:minus>
              <c:numRef>
                <c:f>'Vol to #'!$C$5:$C$11</c:f>
                <c:numCache>
                  <c:formatCode>General</c:formatCode>
                  <c:ptCount val="7"/>
                  <c:pt idx="0">
                    <c:v>93.782700580330911</c:v>
                  </c:pt>
                  <c:pt idx="1">
                    <c:v>15.345670338567812</c:v>
                  </c:pt>
                  <c:pt idx="2">
                    <c:v>0.48847872010968918</c:v>
                  </c:pt>
                  <c:pt idx="3">
                    <c:v>7.9428415154779444</c:v>
                  </c:pt>
                  <c:pt idx="4">
                    <c:v>13.524467677509525</c:v>
                  </c:pt>
                  <c:pt idx="5">
                    <c:v>6.385794790870678</c:v>
                  </c:pt>
                  <c:pt idx="6">
                    <c:v>1.7012446750671832</c:v>
                  </c:pt>
                </c:numCache>
              </c:numRef>
            </c:minus>
          </c:errBars>
          <c:xVal>
            <c:numRef>
              <c:f>'Vol to #'!$A$5:$A$11</c:f>
              <c:numCache>
                <c:formatCode>0.00</c:formatCode>
                <c:ptCount val="7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50</c:v>
                </c:pt>
              </c:numCache>
            </c:numRef>
          </c:xVal>
          <c:yVal>
            <c:numRef>
              <c:f>'Vol to #'!$D$5:$D$11</c:f>
              <c:numCache>
                <c:formatCode>General</c:formatCode>
                <c:ptCount val="7"/>
                <c:pt idx="0">
                  <c:v>97.368200000000002</c:v>
                </c:pt>
                <c:pt idx="1">
                  <c:v>18.080400000000001</c:v>
                </c:pt>
                <c:pt idx="2">
                  <c:v>1.0116000000000001</c:v>
                </c:pt>
                <c:pt idx="3">
                  <c:v>9.7333999999999996</c:v>
                </c:pt>
                <c:pt idx="4">
                  <c:v>16.276800000000001</c:v>
                </c:pt>
                <c:pt idx="5">
                  <c:v>12.087333333333333</c:v>
                </c:pt>
                <c:pt idx="6">
                  <c:v>1.5939999999999999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04160"/>
        <c:axId val="73006080"/>
      </c:scatterChart>
      <c:valAx>
        <c:axId val="7300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# Copepods</a:t>
                </a:r>
              </a:p>
            </c:rich>
          </c:tx>
          <c:layout>
            <c:manualLayout>
              <c:xMode val="edge"/>
              <c:yMode val="edge"/>
              <c:x val="0.46601859142607188"/>
              <c:y val="0.87868037328667292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06080"/>
        <c:crosses val="autoZero"/>
        <c:crossBetween val="midCat"/>
      </c:valAx>
      <c:valAx>
        <c:axId val="7300608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Avg. Vol &gt; 40 um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04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85329577705229"/>
          <c:y val="3.7157027058364697E-2"/>
          <c:w val="0.5246157949768474"/>
          <c:h val="0.78317126774815804"/>
        </c:manualLayout>
      </c:layout>
      <c:scatterChart>
        <c:scatterStyle val="lineMarker"/>
        <c:varyColors val="0"/>
        <c:ser>
          <c:idx val="0"/>
          <c:order val="0"/>
          <c:tx>
            <c:v>Area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1.5544886157522994E-2"/>
                  <c:y val="0.34117783469837354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'Overall HOLO-SHA Comp'!$D$2:$D$11</c:f>
                <c:numCache>
                  <c:formatCode>General</c:formatCode>
                  <c:ptCount val="10"/>
                  <c:pt idx="0">
                    <c:v>4914.9094804052838</c:v>
                  </c:pt>
                  <c:pt idx="1">
                    <c:v>15972.060000000003</c:v>
                  </c:pt>
                  <c:pt idx="3">
                    <c:v>7334.0685311345278</c:v>
                  </c:pt>
                  <c:pt idx="4">
                    <c:v>19122.391610417835</c:v>
                  </c:pt>
                  <c:pt idx="5">
                    <c:v>75925.593930988296</c:v>
                  </c:pt>
                  <c:pt idx="6">
                    <c:v>37586.468142213896</c:v>
                  </c:pt>
                  <c:pt idx="7">
                    <c:v>71699.347934610836</c:v>
                  </c:pt>
                  <c:pt idx="8">
                    <c:v>102719.15555481652</c:v>
                  </c:pt>
                  <c:pt idx="9">
                    <c:v>83110.272615501279</c:v>
                  </c:pt>
                </c:numCache>
              </c:numRef>
            </c:plus>
            <c:minus>
              <c:numRef>
                <c:f>'Overall HOLO-SHA Comp'!$D$2:$D$11</c:f>
                <c:numCache>
                  <c:formatCode>General</c:formatCode>
                  <c:ptCount val="10"/>
                  <c:pt idx="0">
                    <c:v>4914.9094804052838</c:v>
                  </c:pt>
                  <c:pt idx="1">
                    <c:v>15972.060000000003</c:v>
                  </c:pt>
                  <c:pt idx="3">
                    <c:v>7334.0685311345278</c:v>
                  </c:pt>
                  <c:pt idx="4">
                    <c:v>19122.391610417835</c:v>
                  </c:pt>
                  <c:pt idx="5">
                    <c:v>75925.593930988296</c:v>
                  </c:pt>
                  <c:pt idx="6">
                    <c:v>37586.468142213896</c:v>
                  </c:pt>
                  <c:pt idx="7">
                    <c:v>71699.347934610836</c:v>
                  </c:pt>
                  <c:pt idx="8">
                    <c:v>102719.15555481652</c:v>
                  </c:pt>
                  <c:pt idx="9">
                    <c:v>83110.272615501279</c:v>
                  </c:pt>
                </c:numCache>
              </c:numRef>
            </c:minus>
          </c:errBars>
          <c:xVal>
            <c:numRef>
              <c:f>'Overall HOLO-SHA Comp'!$B$2:$B$11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10</c:v>
                </c:pt>
                <c:pt idx="6">
                  <c:v>15</c:v>
                </c:pt>
                <c:pt idx="7">
                  <c:v>20</c:v>
                </c:pt>
                <c:pt idx="8">
                  <c:v>30</c:v>
                </c:pt>
                <c:pt idx="9">
                  <c:v>50</c:v>
                </c:pt>
              </c:numCache>
            </c:numRef>
          </c:xVal>
          <c:yVal>
            <c:numRef>
              <c:f>'Overall HOLO-SHA Comp'!$C$2:$C$11</c:f>
              <c:numCache>
                <c:formatCode>General</c:formatCode>
                <c:ptCount val="10"/>
                <c:pt idx="0">
                  <c:v>31782.613333333331</c:v>
                </c:pt>
                <c:pt idx="1">
                  <c:v>20076.400000000001</c:v>
                </c:pt>
                <c:pt idx="2">
                  <c:v>23638.480000000003</c:v>
                </c:pt>
                <c:pt idx="3">
                  <c:v>37816.486666666671</c:v>
                </c:pt>
                <c:pt idx="4">
                  <c:v>41837.006666666683</c:v>
                </c:pt>
                <c:pt idx="5">
                  <c:v>374176.24000000005</c:v>
                </c:pt>
                <c:pt idx="6">
                  <c:v>236359.8866666668</c:v>
                </c:pt>
                <c:pt idx="7">
                  <c:v>426081.63999999972</c:v>
                </c:pt>
                <c:pt idx="8">
                  <c:v>598346.15333333355</c:v>
                </c:pt>
                <c:pt idx="9">
                  <c:v>608313.14000000013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46144"/>
        <c:axId val="75460608"/>
      </c:scatterChart>
      <c:scatterChart>
        <c:scatterStyle val="lineMarker"/>
        <c:varyColors val="0"/>
        <c:ser>
          <c:idx val="1"/>
          <c:order val="1"/>
          <c:tx>
            <c:v>Pod1951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0.17435268762136441"/>
                  <c:y val="0.17891039222506827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'Overall HOLO-SHA Comp'!$H$2:$H$11</c:f>
                <c:numCache>
                  <c:formatCode>General</c:formatCode>
                  <c:ptCount val="10"/>
                  <c:pt idx="1">
                    <c:v>6.4663230149238096E-2</c:v>
                  </c:pt>
                  <c:pt idx="2">
                    <c:v>3.4641016151377546E-2</c:v>
                  </c:pt>
                  <c:pt idx="3">
                    <c:v>8.2076561287487658E-3</c:v>
                  </c:pt>
                  <c:pt idx="4">
                    <c:v>8.8527041275742614E-3</c:v>
                  </c:pt>
                  <c:pt idx="5">
                    <c:v>3.6138613853961238E-3</c:v>
                  </c:pt>
                  <c:pt idx="6">
                    <c:v>9.814954576223639E-3</c:v>
                  </c:pt>
                  <c:pt idx="7">
                    <c:v>1.0007404665953514E-2</c:v>
                  </c:pt>
                  <c:pt idx="8">
                    <c:v>2.116950987028628E-2</c:v>
                  </c:pt>
                  <c:pt idx="9">
                    <c:v>4.6188021535170064E-3</c:v>
                  </c:pt>
                </c:numCache>
              </c:numRef>
            </c:plus>
            <c:minus>
              <c:numRef>
                <c:f>'Overall HOLO-SHA Comp'!$H$2:$H$11</c:f>
                <c:numCache>
                  <c:formatCode>General</c:formatCode>
                  <c:ptCount val="10"/>
                  <c:pt idx="1">
                    <c:v>6.4663230149238096E-2</c:v>
                  </c:pt>
                  <c:pt idx="2">
                    <c:v>3.4641016151377546E-2</c:v>
                  </c:pt>
                  <c:pt idx="3">
                    <c:v>8.2076561287487658E-3</c:v>
                  </c:pt>
                  <c:pt idx="4">
                    <c:v>8.8527041275742614E-3</c:v>
                  </c:pt>
                  <c:pt idx="5">
                    <c:v>3.6138613853961238E-3</c:v>
                  </c:pt>
                  <c:pt idx="6">
                    <c:v>9.814954576223639E-3</c:v>
                  </c:pt>
                  <c:pt idx="7">
                    <c:v>1.0007404665953514E-2</c:v>
                  </c:pt>
                  <c:pt idx="8">
                    <c:v>2.116950987028628E-2</c:v>
                  </c:pt>
                  <c:pt idx="9">
                    <c:v>4.6188021535170064E-3</c:v>
                  </c:pt>
                </c:numCache>
              </c:numRef>
            </c:minus>
          </c:errBars>
          <c:xVal>
            <c:numRef>
              <c:f>'Overall HOLO-SHA Comp'!$B$2:$B$11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10</c:v>
                </c:pt>
                <c:pt idx="6">
                  <c:v>15</c:v>
                </c:pt>
                <c:pt idx="7">
                  <c:v>20</c:v>
                </c:pt>
                <c:pt idx="8">
                  <c:v>30</c:v>
                </c:pt>
                <c:pt idx="9">
                  <c:v>50</c:v>
                </c:pt>
              </c:numCache>
            </c:numRef>
          </c:xVal>
          <c:yVal>
            <c:numRef>
              <c:f>'Overall HOLO-SHA Comp'!$G$2:$G$11</c:f>
              <c:numCache>
                <c:formatCode>General</c:formatCode>
                <c:ptCount val="10"/>
                <c:pt idx="1">
                  <c:v>0.112</c:v>
                </c:pt>
                <c:pt idx="2">
                  <c:v>0.06</c:v>
                </c:pt>
                <c:pt idx="3">
                  <c:v>7.6499999999999999E-2</c:v>
                </c:pt>
                <c:pt idx="4">
                  <c:v>9.2333333333333337E-2</c:v>
                </c:pt>
                <c:pt idx="5">
                  <c:v>0.14849999999999999</c:v>
                </c:pt>
                <c:pt idx="6">
                  <c:v>0.22233333333333336</c:v>
                </c:pt>
                <c:pt idx="7">
                  <c:v>0.223</c:v>
                </c:pt>
                <c:pt idx="8">
                  <c:v>0.3193333333333333</c:v>
                </c:pt>
                <c:pt idx="9">
                  <c:v>0.29266666666666669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2896"/>
        <c:axId val="75462528"/>
      </c:scatterChart>
      <c:valAx>
        <c:axId val="75446144"/>
        <c:scaling>
          <c:orientation val="minMax"/>
          <c:max val="5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Known</a:t>
                </a:r>
                <a:r>
                  <a:rPr lang="en-CA" baseline="0"/>
                  <a:t> # of copepods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0.42222697706265011"/>
              <c:y val="0.931953607150457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460608"/>
        <c:crosses val="autoZero"/>
        <c:crossBetween val="midCat"/>
      </c:valAx>
      <c:valAx>
        <c:axId val="75460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Area (um2)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446144"/>
        <c:crosses val="autoZero"/>
        <c:crossBetween val="midCat"/>
      </c:valAx>
      <c:valAx>
        <c:axId val="7546252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Pod1951</a:t>
                </a:r>
                <a:r>
                  <a:rPr lang="en-CA" baseline="0"/>
                  <a:t> Signal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0.83424236604570767"/>
              <c:y val="0.3362476151324458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472896"/>
        <c:crosses val="max"/>
        <c:crossBetween val="midCat"/>
      </c:valAx>
      <c:valAx>
        <c:axId val="7547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4625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885133260781433"/>
          <c:y val="0.63040745659804598"/>
          <c:w val="0.23518852826323536"/>
          <c:h val="0.186143260706869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68053178135341"/>
          <c:y val="6.2726099915476688E-2"/>
          <c:w val="0.68890876412187618"/>
          <c:h val="0.75376618176965149"/>
        </c:manualLayout>
      </c:layout>
      <c:scatterChart>
        <c:scatterStyle val="lineMarker"/>
        <c:varyColors val="0"/>
        <c:ser>
          <c:idx val="0"/>
          <c:order val="0"/>
          <c:tx>
            <c:v>Area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3.7753328009865271E-2"/>
                  <c:y val="0.32651175955946687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'Overall HOLO-SHA Comp'!$D$2:$D$11</c:f>
                <c:numCache>
                  <c:formatCode>General</c:formatCode>
                  <c:ptCount val="10"/>
                  <c:pt idx="0">
                    <c:v>4914.9094804052838</c:v>
                  </c:pt>
                  <c:pt idx="1">
                    <c:v>15972.060000000003</c:v>
                  </c:pt>
                  <c:pt idx="3">
                    <c:v>7334.0685311345278</c:v>
                  </c:pt>
                  <c:pt idx="4">
                    <c:v>19122.391610417835</c:v>
                  </c:pt>
                  <c:pt idx="5">
                    <c:v>75925.593930988296</c:v>
                  </c:pt>
                  <c:pt idx="6">
                    <c:v>37586.468142213896</c:v>
                  </c:pt>
                  <c:pt idx="7">
                    <c:v>71699.347934610836</c:v>
                  </c:pt>
                  <c:pt idx="8">
                    <c:v>102719.15555481652</c:v>
                  </c:pt>
                  <c:pt idx="9">
                    <c:v>83110.272615501279</c:v>
                  </c:pt>
                </c:numCache>
              </c:numRef>
            </c:plus>
            <c:minus>
              <c:numRef>
                <c:f>'Overall HOLO-SHA Comp'!$D$2:$D$11</c:f>
                <c:numCache>
                  <c:formatCode>General</c:formatCode>
                  <c:ptCount val="10"/>
                  <c:pt idx="0">
                    <c:v>4914.9094804052838</c:v>
                  </c:pt>
                  <c:pt idx="1">
                    <c:v>15972.060000000003</c:v>
                  </c:pt>
                  <c:pt idx="3">
                    <c:v>7334.0685311345278</c:v>
                  </c:pt>
                  <c:pt idx="4">
                    <c:v>19122.391610417835</c:v>
                  </c:pt>
                  <c:pt idx="5">
                    <c:v>75925.593930988296</c:v>
                  </c:pt>
                  <c:pt idx="6">
                    <c:v>37586.468142213896</c:v>
                  </c:pt>
                  <c:pt idx="7">
                    <c:v>71699.347934610836</c:v>
                  </c:pt>
                  <c:pt idx="8">
                    <c:v>102719.15555481652</c:v>
                  </c:pt>
                  <c:pt idx="9">
                    <c:v>83110.272615501279</c:v>
                  </c:pt>
                </c:numCache>
              </c:numRef>
            </c:minus>
          </c:errBars>
          <c:xVal>
            <c:numRef>
              <c:f>'Overall HOLO-SHA Comp'!$K$2:$K$11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1.6666666666666667</c:v>
                </c:pt>
                <c:pt idx="4">
                  <c:v>4.666666666666667</c:v>
                </c:pt>
                <c:pt idx="5">
                  <c:v>7.666666666666667</c:v>
                </c:pt>
                <c:pt idx="6">
                  <c:v>14.333333333333334</c:v>
                </c:pt>
                <c:pt idx="7">
                  <c:v>17.333333333333332</c:v>
                </c:pt>
                <c:pt idx="8">
                  <c:v>25</c:v>
                </c:pt>
                <c:pt idx="9">
                  <c:v>40</c:v>
                </c:pt>
              </c:numCache>
            </c:numRef>
          </c:xVal>
          <c:yVal>
            <c:numRef>
              <c:f>'Overall HOLO-SHA Comp'!$C$2:$C$11</c:f>
              <c:numCache>
                <c:formatCode>General</c:formatCode>
                <c:ptCount val="10"/>
                <c:pt idx="0">
                  <c:v>31782.613333333331</c:v>
                </c:pt>
                <c:pt idx="1">
                  <c:v>20076.400000000001</c:v>
                </c:pt>
                <c:pt idx="2">
                  <c:v>23638.480000000003</c:v>
                </c:pt>
                <c:pt idx="3">
                  <c:v>37816.486666666671</c:v>
                </c:pt>
                <c:pt idx="4">
                  <c:v>41837.006666666683</c:v>
                </c:pt>
                <c:pt idx="5">
                  <c:v>374176.24000000005</c:v>
                </c:pt>
                <c:pt idx="6">
                  <c:v>236359.8866666668</c:v>
                </c:pt>
                <c:pt idx="7">
                  <c:v>426081.63999999972</c:v>
                </c:pt>
                <c:pt idx="8">
                  <c:v>598346.15333333355</c:v>
                </c:pt>
                <c:pt idx="9">
                  <c:v>608313.14000000013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30240"/>
        <c:axId val="75532160"/>
      </c:scatterChart>
      <c:scatterChart>
        <c:scatterStyle val="lineMarker"/>
        <c:varyColors val="0"/>
        <c:ser>
          <c:idx val="1"/>
          <c:order val="1"/>
          <c:tx>
            <c:v>Pod1951 Signal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0.13388101038076275"/>
                  <c:y val="0.35472473109978903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'Overall HOLO-SHA Comp'!$H$2:$H$11</c:f>
                <c:numCache>
                  <c:formatCode>General</c:formatCode>
                  <c:ptCount val="10"/>
                  <c:pt idx="1">
                    <c:v>6.4663230149238096E-2</c:v>
                  </c:pt>
                  <c:pt idx="2">
                    <c:v>3.4641016151377546E-2</c:v>
                  </c:pt>
                  <c:pt idx="3">
                    <c:v>8.2076561287487658E-3</c:v>
                  </c:pt>
                  <c:pt idx="4">
                    <c:v>8.8527041275742614E-3</c:v>
                  </c:pt>
                  <c:pt idx="5">
                    <c:v>3.6138613853961238E-3</c:v>
                  </c:pt>
                  <c:pt idx="6">
                    <c:v>9.814954576223639E-3</c:v>
                  </c:pt>
                  <c:pt idx="7">
                    <c:v>1.0007404665953514E-2</c:v>
                  </c:pt>
                  <c:pt idx="8">
                    <c:v>2.116950987028628E-2</c:v>
                  </c:pt>
                  <c:pt idx="9">
                    <c:v>4.6188021535170064E-3</c:v>
                  </c:pt>
                </c:numCache>
              </c:numRef>
            </c:plus>
            <c:minus>
              <c:numRef>
                <c:f>'Overall HOLO-SHA Comp'!$H$2:$H$11</c:f>
                <c:numCache>
                  <c:formatCode>General</c:formatCode>
                  <c:ptCount val="10"/>
                  <c:pt idx="1">
                    <c:v>6.4663230149238096E-2</c:v>
                  </c:pt>
                  <c:pt idx="2">
                    <c:v>3.4641016151377546E-2</c:v>
                  </c:pt>
                  <c:pt idx="3">
                    <c:v>8.2076561287487658E-3</c:v>
                  </c:pt>
                  <c:pt idx="4">
                    <c:v>8.8527041275742614E-3</c:v>
                  </c:pt>
                  <c:pt idx="5">
                    <c:v>3.6138613853961238E-3</c:v>
                  </c:pt>
                  <c:pt idx="6">
                    <c:v>9.814954576223639E-3</c:v>
                  </c:pt>
                  <c:pt idx="7">
                    <c:v>1.0007404665953514E-2</c:v>
                  </c:pt>
                  <c:pt idx="8">
                    <c:v>2.116950987028628E-2</c:v>
                  </c:pt>
                  <c:pt idx="9">
                    <c:v>4.6188021535170064E-3</c:v>
                  </c:pt>
                </c:numCache>
              </c:numRef>
            </c:minus>
          </c:errBars>
          <c:xVal>
            <c:numRef>
              <c:f>'Overall HOLO-SHA Comp'!$K$2:$K$11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1.6666666666666667</c:v>
                </c:pt>
                <c:pt idx="4">
                  <c:v>4.666666666666667</c:v>
                </c:pt>
                <c:pt idx="5">
                  <c:v>7.666666666666667</c:v>
                </c:pt>
                <c:pt idx="6">
                  <c:v>14.333333333333334</c:v>
                </c:pt>
                <c:pt idx="7">
                  <c:v>17.333333333333332</c:v>
                </c:pt>
                <c:pt idx="8">
                  <c:v>25</c:v>
                </c:pt>
                <c:pt idx="9">
                  <c:v>40</c:v>
                </c:pt>
              </c:numCache>
            </c:numRef>
          </c:xVal>
          <c:yVal>
            <c:numRef>
              <c:f>'Overall HOLO-SHA Comp'!$G$2:$G$11</c:f>
              <c:numCache>
                <c:formatCode>General</c:formatCode>
                <c:ptCount val="10"/>
                <c:pt idx="1">
                  <c:v>0.112</c:v>
                </c:pt>
                <c:pt idx="2">
                  <c:v>0.06</c:v>
                </c:pt>
                <c:pt idx="3">
                  <c:v>7.6499999999999999E-2</c:v>
                </c:pt>
                <c:pt idx="4">
                  <c:v>9.2333333333333337E-2</c:v>
                </c:pt>
                <c:pt idx="5">
                  <c:v>0.14849999999999999</c:v>
                </c:pt>
                <c:pt idx="6">
                  <c:v>0.22233333333333336</c:v>
                </c:pt>
                <c:pt idx="7">
                  <c:v>0.223</c:v>
                </c:pt>
                <c:pt idx="8">
                  <c:v>0.3193333333333333</c:v>
                </c:pt>
                <c:pt idx="9">
                  <c:v>0.29266666666666669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40352"/>
        <c:axId val="75538432"/>
      </c:scatterChart>
      <c:valAx>
        <c:axId val="7553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copepods on filter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532160"/>
        <c:crosses val="autoZero"/>
        <c:crossBetween val="midCat"/>
      </c:valAx>
      <c:valAx>
        <c:axId val="75532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Area (um2)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530240"/>
        <c:crosses val="autoZero"/>
        <c:crossBetween val="midCat"/>
      </c:valAx>
      <c:valAx>
        <c:axId val="755384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Pod1951 SHA Signal (450nm)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540352"/>
        <c:crosses val="max"/>
        <c:crossBetween val="midCat"/>
      </c:valAx>
      <c:valAx>
        <c:axId val="7554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5384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741127467762186"/>
          <c:y val="0.4260852351083233"/>
          <c:w val="0.26849601919143934"/>
          <c:h val="0.2954724409448820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'Minor axis &gt; 100 um'!$K$2:$K$22</c:f>
              <c:numCache>
                <c:formatCode>General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</c:numCache>
            </c:numRef>
          </c:xVal>
          <c:yVal>
            <c:numRef>
              <c:f>'Minor axis &gt; 100 um'!$J$2:$J$22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6</c:v>
                </c:pt>
                <c:pt idx="16">
                  <c:v>6</c:v>
                </c:pt>
                <c:pt idx="17">
                  <c:v>9</c:v>
                </c:pt>
                <c:pt idx="18">
                  <c:v>5</c:v>
                </c:pt>
                <c:pt idx="19">
                  <c:v>3</c:v>
                </c:pt>
                <c:pt idx="20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59296"/>
        <c:axId val="75561216"/>
      </c:scatterChart>
      <c:valAx>
        <c:axId val="7555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Known #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561216"/>
        <c:crosses val="autoZero"/>
        <c:crossBetween val="midCat"/>
      </c:valAx>
      <c:valAx>
        <c:axId val="75561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Detected</a:t>
                </a:r>
                <a:r>
                  <a:rPr lang="en-US" baseline="0"/>
                  <a:t>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559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'Minor axis &gt; 100 um'!$M$2:$M$22</c:f>
                <c:numCache>
                  <c:formatCode>General</c:formatCode>
                  <c:ptCount val="21"/>
                  <c:pt idx="0">
                    <c:v>0</c:v>
                  </c:pt>
                  <c:pt idx="3">
                    <c:v>0</c:v>
                  </c:pt>
                  <c:pt idx="6">
                    <c:v>1.2018504251546631</c:v>
                  </c:pt>
                  <c:pt idx="9">
                    <c:v>0.88191710368819698</c:v>
                  </c:pt>
                  <c:pt idx="12">
                    <c:v>0.3333333333333332</c:v>
                  </c:pt>
                  <c:pt idx="15">
                    <c:v>1</c:v>
                  </c:pt>
                  <c:pt idx="18">
                    <c:v>0.88191710368819676</c:v>
                  </c:pt>
                </c:numCache>
              </c:numRef>
            </c:plus>
            <c:minus>
              <c:numRef>
                <c:f>'Minor axis &gt; 100 um'!$M$2:$M$22</c:f>
                <c:numCache>
                  <c:formatCode>General</c:formatCode>
                  <c:ptCount val="21"/>
                  <c:pt idx="0">
                    <c:v>0</c:v>
                  </c:pt>
                  <c:pt idx="3">
                    <c:v>0</c:v>
                  </c:pt>
                  <c:pt idx="6">
                    <c:v>1.2018504251546631</c:v>
                  </c:pt>
                  <c:pt idx="9">
                    <c:v>0.88191710368819698</c:v>
                  </c:pt>
                  <c:pt idx="12">
                    <c:v>0.3333333333333332</c:v>
                  </c:pt>
                  <c:pt idx="15">
                    <c:v>1</c:v>
                  </c:pt>
                  <c:pt idx="18">
                    <c:v>0.88191710368819676</c:v>
                  </c:pt>
                </c:numCache>
              </c:numRef>
            </c:minus>
          </c:errBars>
          <c:xVal>
            <c:numRef>
              <c:f>'Minor axis &gt; 100 um'!$K$2:$K$22</c:f>
              <c:numCache>
                <c:formatCode>General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</c:numCache>
            </c:numRef>
          </c:xVal>
          <c:yVal>
            <c:numRef>
              <c:f>'Minor axis &gt; 100 um'!$L$2:$L$22</c:f>
              <c:numCache>
                <c:formatCode>General</c:formatCode>
                <c:ptCount val="21"/>
                <c:pt idx="0">
                  <c:v>0</c:v>
                </c:pt>
                <c:pt idx="3">
                  <c:v>0</c:v>
                </c:pt>
                <c:pt idx="6">
                  <c:v>1.6666666666666667</c:v>
                </c:pt>
                <c:pt idx="9">
                  <c:v>1.3333333333333333</c:v>
                </c:pt>
                <c:pt idx="12">
                  <c:v>1.6666666666666667</c:v>
                </c:pt>
                <c:pt idx="15">
                  <c:v>7</c:v>
                </c:pt>
                <c:pt idx="18">
                  <c:v>3.3333333333333335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21024"/>
        <c:axId val="104322944"/>
      </c:scatterChart>
      <c:valAx>
        <c:axId val="10432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Known #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322944"/>
        <c:crosses val="autoZero"/>
        <c:crossBetween val="midCat"/>
      </c:valAx>
      <c:valAx>
        <c:axId val="104322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Avg detected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321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'Area and Volume Calcs'!$G$1</c:f>
              <c:strCache>
                <c:ptCount val="1"/>
                <c:pt idx="0">
                  <c:v>Area (LW)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'Area and Volume Calcs'!$D$2:$D$152</c:f>
              <c:numCache>
                <c:formatCode>0</c:formatCode>
                <c:ptCount val="151"/>
                <c:pt idx="0">
                  <c:v>249320</c:v>
                </c:pt>
                <c:pt idx="1">
                  <c:v>243630</c:v>
                </c:pt>
                <c:pt idx="2">
                  <c:v>188410</c:v>
                </c:pt>
                <c:pt idx="3">
                  <c:v>181130</c:v>
                </c:pt>
                <c:pt idx="4">
                  <c:v>145470</c:v>
                </c:pt>
                <c:pt idx="5">
                  <c:v>121640</c:v>
                </c:pt>
                <c:pt idx="6">
                  <c:v>111590</c:v>
                </c:pt>
                <c:pt idx="7">
                  <c:v>108980</c:v>
                </c:pt>
                <c:pt idx="8">
                  <c:v>58448</c:v>
                </c:pt>
                <c:pt idx="9">
                  <c:v>47355</c:v>
                </c:pt>
                <c:pt idx="10">
                  <c:v>40230</c:v>
                </c:pt>
                <c:pt idx="11">
                  <c:v>37829</c:v>
                </c:pt>
                <c:pt idx="12">
                  <c:v>34093</c:v>
                </c:pt>
                <c:pt idx="13">
                  <c:v>33996</c:v>
                </c:pt>
                <c:pt idx="14">
                  <c:v>27607</c:v>
                </c:pt>
                <c:pt idx="15">
                  <c:v>24936</c:v>
                </c:pt>
                <c:pt idx="16">
                  <c:v>24607</c:v>
                </c:pt>
                <c:pt idx="17">
                  <c:v>24297</c:v>
                </c:pt>
                <c:pt idx="18">
                  <c:v>23058</c:v>
                </c:pt>
                <c:pt idx="19">
                  <c:v>19921</c:v>
                </c:pt>
                <c:pt idx="20">
                  <c:v>18121</c:v>
                </c:pt>
                <c:pt idx="21">
                  <c:v>14694</c:v>
                </c:pt>
                <c:pt idx="22">
                  <c:v>13533</c:v>
                </c:pt>
                <c:pt idx="23">
                  <c:v>13165</c:v>
                </c:pt>
                <c:pt idx="24">
                  <c:v>12855</c:v>
                </c:pt>
                <c:pt idx="25">
                  <c:v>12758</c:v>
                </c:pt>
                <c:pt idx="26">
                  <c:v>10764</c:v>
                </c:pt>
                <c:pt idx="27">
                  <c:v>10512</c:v>
                </c:pt>
                <c:pt idx="28">
                  <c:v>10396</c:v>
                </c:pt>
                <c:pt idx="29">
                  <c:v>10261</c:v>
                </c:pt>
                <c:pt idx="30">
                  <c:v>9699.4</c:v>
                </c:pt>
                <c:pt idx="31">
                  <c:v>9505.7999999999993</c:v>
                </c:pt>
                <c:pt idx="32">
                  <c:v>9176.6</c:v>
                </c:pt>
                <c:pt idx="33">
                  <c:v>9060.5</c:v>
                </c:pt>
                <c:pt idx="34">
                  <c:v>8615.2000000000007</c:v>
                </c:pt>
                <c:pt idx="35">
                  <c:v>8305.4</c:v>
                </c:pt>
                <c:pt idx="36">
                  <c:v>8286.1</c:v>
                </c:pt>
                <c:pt idx="37">
                  <c:v>8286.1</c:v>
                </c:pt>
                <c:pt idx="38">
                  <c:v>8073.1</c:v>
                </c:pt>
                <c:pt idx="39">
                  <c:v>7879.5</c:v>
                </c:pt>
                <c:pt idx="40">
                  <c:v>7763.4</c:v>
                </c:pt>
                <c:pt idx="41">
                  <c:v>7569.8</c:v>
                </c:pt>
                <c:pt idx="42">
                  <c:v>7434.2</c:v>
                </c:pt>
                <c:pt idx="43">
                  <c:v>7356.8</c:v>
                </c:pt>
                <c:pt idx="44">
                  <c:v>7085.8</c:v>
                </c:pt>
                <c:pt idx="45">
                  <c:v>6098.4</c:v>
                </c:pt>
                <c:pt idx="46">
                  <c:v>5324</c:v>
                </c:pt>
              </c:numCache>
            </c:numRef>
          </c:xVal>
          <c:yVal>
            <c:numRef>
              <c:f>'Area and Volume Calcs'!$G$2:$G$152</c:f>
              <c:numCache>
                <c:formatCode>General</c:formatCode>
                <c:ptCount val="151"/>
                <c:pt idx="0">
                  <c:v>309992.2271089612</c:v>
                </c:pt>
                <c:pt idx="1">
                  <c:v>288966.04315334</c:v>
                </c:pt>
                <c:pt idx="2">
                  <c:v>217452.27069294002</c:v>
                </c:pt>
                <c:pt idx="3">
                  <c:v>230581.54707232001</c:v>
                </c:pt>
                <c:pt idx="4">
                  <c:v>167322.793995755</c:v>
                </c:pt>
                <c:pt idx="5">
                  <c:v>153947.18460199799</c:v>
                </c:pt>
                <c:pt idx="6">
                  <c:v>134082.6341008395</c:v>
                </c:pt>
                <c:pt idx="7">
                  <c:v>155107.97438246626</c:v>
                </c:pt>
                <c:pt idx="8">
                  <c:v>103906.5597669085</c:v>
                </c:pt>
                <c:pt idx="9">
                  <c:v>53103.429255671996</c:v>
                </c:pt>
                <c:pt idx="10">
                  <c:v>66533.981288620998</c:v>
                </c:pt>
                <c:pt idx="11">
                  <c:v>81641.701773572495</c:v>
                </c:pt>
                <c:pt idx="12">
                  <c:v>66346.152376939499</c:v>
                </c:pt>
                <c:pt idx="13">
                  <c:v>76020.019597817751</c:v>
                </c:pt>
                <c:pt idx="14">
                  <c:v>32956.951996674994</c:v>
                </c:pt>
                <c:pt idx="15">
                  <c:v>46581.191378337498</c:v>
                </c:pt>
                <c:pt idx="16">
                  <c:v>37083.011059409997</c:v>
                </c:pt>
                <c:pt idx="17">
                  <c:v>24328.217784352248</c:v>
                </c:pt>
                <c:pt idx="18">
                  <c:v>24567.067609888996</c:v>
                </c:pt>
                <c:pt idx="19">
                  <c:v>30312.754861743</c:v>
                </c:pt>
                <c:pt idx="20">
                  <c:v>19424.373765425749</c:v>
                </c:pt>
                <c:pt idx="21">
                  <c:v>14793.103284049999</c:v>
                </c:pt>
                <c:pt idx="22">
                  <c:v>27320.828010229998</c:v>
                </c:pt>
                <c:pt idx="23">
                  <c:v>29111.106582751501</c:v>
                </c:pt>
                <c:pt idx="24">
                  <c:v>16216.785478324999</c:v>
                </c:pt>
                <c:pt idx="25">
                  <c:v>28444.837861392494</c:v>
                </c:pt>
                <c:pt idx="26">
                  <c:v>10785.2008349305</c:v>
                </c:pt>
                <c:pt idx="27">
                  <c:v>21545.196379131998</c:v>
                </c:pt>
                <c:pt idx="28">
                  <c:v>23000.927503792002</c:v>
                </c:pt>
                <c:pt idx="29">
                  <c:v>22177.6915942755</c:v>
                </c:pt>
                <c:pt idx="30">
                  <c:v>9732.5908421749991</c:v>
                </c:pt>
                <c:pt idx="31">
                  <c:v>20059.531713713499</c:v>
                </c:pt>
                <c:pt idx="32">
                  <c:v>9222.2672712067506</c:v>
                </c:pt>
                <c:pt idx="33">
                  <c:v>9089.1878694719999</c:v>
                </c:pt>
                <c:pt idx="34">
                  <c:v>10400.1983521125</c:v>
                </c:pt>
                <c:pt idx="35">
                  <c:v>13937.422132569998</c:v>
                </c:pt>
                <c:pt idx="36">
                  <c:v>19963.010209411248</c:v>
                </c:pt>
                <c:pt idx="37">
                  <c:v>13839.077327971499</c:v>
                </c:pt>
                <c:pt idx="38">
                  <c:v>21107.024920296251</c:v>
                </c:pt>
                <c:pt idx="39">
                  <c:v>10216.855002632999</c:v>
                </c:pt>
                <c:pt idx="40">
                  <c:v>25638.341396135747</c:v>
                </c:pt>
                <c:pt idx="41">
                  <c:v>17297.318394239002</c:v>
                </c:pt>
                <c:pt idx="42">
                  <c:v>10652.646942662999</c:v>
                </c:pt>
                <c:pt idx="43">
                  <c:v>11167.566188562749</c:v>
                </c:pt>
                <c:pt idx="44">
                  <c:v>15638.518504807498</c:v>
                </c:pt>
                <c:pt idx="45">
                  <c:v>38134.433688224999</c:v>
                </c:pt>
                <c:pt idx="46">
                  <c:v>33892.658320446746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789120"/>
        <c:axId val="104790656"/>
      </c:scatterChart>
      <c:valAx>
        <c:axId val="1047891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04790656"/>
        <c:crosses val="autoZero"/>
        <c:crossBetween val="midCat"/>
      </c:val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789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'Area and Volume Calcs'!$H$1</c:f>
              <c:strCache>
                <c:ptCount val="1"/>
                <c:pt idx="0">
                  <c:v>Volume (LW2)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'Area and Volume Calcs'!$E$2:$E$152</c:f>
              <c:numCache>
                <c:formatCode>0</c:formatCode>
                <c:ptCount val="151"/>
                <c:pt idx="0">
                  <c:v>197140000</c:v>
                </c:pt>
                <c:pt idx="1">
                  <c:v>154810000</c:v>
                </c:pt>
                <c:pt idx="2">
                  <c:v>119690000</c:v>
                </c:pt>
                <c:pt idx="3">
                  <c:v>101280000</c:v>
                </c:pt>
                <c:pt idx="4">
                  <c:v>69389000</c:v>
                </c:pt>
                <c:pt idx="5">
                  <c:v>59926000</c:v>
                </c:pt>
                <c:pt idx="6">
                  <c:v>58811000</c:v>
                </c:pt>
                <c:pt idx="7">
                  <c:v>69577000</c:v>
                </c:pt>
                <c:pt idx="8">
                  <c:v>31685000</c:v>
                </c:pt>
                <c:pt idx="9">
                  <c:v>12242000</c:v>
                </c:pt>
                <c:pt idx="10">
                  <c:v>20555000</c:v>
                </c:pt>
                <c:pt idx="11">
                  <c:v>15739000</c:v>
                </c:pt>
                <c:pt idx="12">
                  <c:v>14692000</c:v>
                </c:pt>
                <c:pt idx="13">
                  <c:v>17181000</c:v>
                </c:pt>
                <c:pt idx="14">
                  <c:v>6065600</c:v>
                </c:pt>
                <c:pt idx="15">
                  <c:v>9438300</c:v>
                </c:pt>
                <c:pt idx="16">
                  <c:v>6140300</c:v>
                </c:pt>
                <c:pt idx="17">
                  <c:v>2913900</c:v>
                </c:pt>
                <c:pt idx="18">
                  <c:v>3185600</c:v>
                </c:pt>
                <c:pt idx="19">
                  <c:v>4527300</c:v>
                </c:pt>
                <c:pt idx="20">
                  <c:v>2149200</c:v>
                </c:pt>
                <c:pt idx="21">
                  <c:v>1401300</c:v>
                </c:pt>
                <c:pt idx="22">
                  <c:v>2896800</c:v>
                </c:pt>
                <c:pt idx="23">
                  <c:v>3465200</c:v>
                </c:pt>
                <c:pt idx="24">
                  <c:v>1744600</c:v>
                </c:pt>
                <c:pt idx="25">
                  <c:v>4105000</c:v>
                </c:pt>
                <c:pt idx="26">
                  <c:v>860590</c:v>
                </c:pt>
                <c:pt idx="27">
                  <c:v>2518600</c:v>
                </c:pt>
                <c:pt idx="28">
                  <c:v>2283800</c:v>
                </c:pt>
                <c:pt idx="29">
                  <c:v>2063000</c:v>
                </c:pt>
                <c:pt idx="30">
                  <c:v>746740</c:v>
                </c:pt>
                <c:pt idx="31">
                  <c:v>2152300</c:v>
                </c:pt>
                <c:pt idx="32">
                  <c:v>699310</c:v>
                </c:pt>
                <c:pt idx="33">
                  <c:v>680210</c:v>
                </c:pt>
                <c:pt idx="34">
                  <c:v>819790</c:v>
                </c:pt>
                <c:pt idx="35">
                  <c:v>1276900</c:v>
                </c:pt>
                <c:pt idx="36">
                  <c:v>1926900</c:v>
                </c:pt>
                <c:pt idx="37">
                  <c:v>1540600</c:v>
                </c:pt>
                <c:pt idx="38">
                  <c:v>2341000</c:v>
                </c:pt>
                <c:pt idx="39">
                  <c:v>897400</c:v>
                </c:pt>
                <c:pt idx="40">
                  <c:v>2777800</c:v>
                </c:pt>
                <c:pt idx="41">
                  <c:v>1861500</c:v>
                </c:pt>
                <c:pt idx="42">
                  <c:v>1059500</c:v>
                </c:pt>
                <c:pt idx="43">
                  <c:v>1123800</c:v>
                </c:pt>
                <c:pt idx="44">
                  <c:v>1858600</c:v>
                </c:pt>
                <c:pt idx="45">
                  <c:v>3164400</c:v>
                </c:pt>
                <c:pt idx="46">
                  <c:v>2341000</c:v>
                </c:pt>
              </c:numCache>
            </c:numRef>
          </c:xVal>
          <c:yVal>
            <c:numRef>
              <c:f>'Area and Volume Calcs'!$H$2:$H$152</c:f>
              <c:numCache>
                <c:formatCode>0.00</c:formatCode>
                <c:ptCount val="151"/>
                <c:pt idx="0">
                  <c:v>110916768.82072188</c:v>
                </c:pt>
                <c:pt idx="1">
                  <c:v>145234333.2888687</c:v>
                </c:pt>
                <c:pt idx="2">
                  <c:v>62221792.736077845</c:v>
                </c:pt>
                <c:pt idx="3">
                  <c:v>92947421.624852195</c:v>
                </c:pt>
                <c:pt idx="4">
                  <c:v>40918789.271661885</c:v>
                </c:pt>
                <c:pt idx="5">
                  <c:v>46833042.76369682</c:v>
                </c:pt>
                <c:pt idx="6">
                  <c:v>28536807.015681673</c:v>
                </c:pt>
                <c:pt idx="7">
                  <c:v>50165796.614649147</c:v>
                </c:pt>
                <c:pt idx="8">
                  <c:v>25131879.61082216</c:v>
                </c:pt>
                <c:pt idx="9">
                  <c:v>9348327.6861684974</c:v>
                </c:pt>
                <c:pt idx="10">
                  <c:v>12628482.318486709</c:v>
                </c:pt>
                <c:pt idx="11">
                  <c:v>14398738.733296115</c:v>
                </c:pt>
                <c:pt idx="12">
                  <c:v>17258624.617813271</c:v>
                </c:pt>
                <c:pt idx="13">
                  <c:v>15731202.755474417</c:v>
                </c:pt>
                <c:pt idx="14">
                  <c:v>4683182.878727518</c:v>
                </c:pt>
                <c:pt idx="15">
                  <c:v>6294283.4849978546</c:v>
                </c:pt>
                <c:pt idx="16">
                  <c:v>5597495.1043626415</c:v>
                </c:pt>
                <c:pt idx="17">
                  <c:v>2147816.7070915382</c:v>
                </c:pt>
                <c:pt idx="18">
                  <c:v>2808261.4984864118</c:v>
                </c:pt>
                <c:pt idx="19">
                  <c:v>3429281.9575089859</c:v>
                </c:pt>
                <c:pt idx="20">
                  <c:v>2164166.6030749101</c:v>
                </c:pt>
                <c:pt idx="21">
                  <c:v>1022573.2645099564</c:v>
                </c:pt>
                <c:pt idx="22">
                  <c:v>2585369.9546080646</c:v>
                </c:pt>
                <c:pt idx="23">
                  <c:v>4830405.9152759565</c:v>
                </c:pt>
                <c:pt idx="24">
                  <c:v>1535972.8365795524</c:v>
                </c:pt>
                <c:pt idx="25">
                  <c:v>4037744.7344246651</c:v>
                </c:pt>
                <c:pt idx="26">
                  <c:v>640533.07758652244</c:v>
                </c:pt>
                <c:pt idx="27">
                  <c:v>2283036.7343147225</c:v>
                </c:pt>
                <c:pt idx="28">
                  <c:v>2766091.5416060262</c:v>
                </c:pt>
                <c:pt idx="29">
                  <c:v>2534577.4838517755</c:v>
                </c:pt>
                <c:pt idx="30">
                  <c:v>552324.53029343125</c:v>
                </c:pt>
                <c:pt idx="31">
                  <c:v>2314268.173811127</c:v>
                </c:pt>
                <c:pt idx="32">
                  <c:v>517784.19594190299</c:v>
                </c:pt>
                <c:pt idx="33">
                  <c:v>495042.6173107925</c:v>
                </c:pt>
                <c:pt idx="34">
                  <c:v>622711.87633273599</c:v>
                </c:pt>
                <c:pt idx="35">
                  <c:v>1140081.1304442259</c:v>
                </c:pt>
                <c:pt idx="36">
                  <c:v>2314211.958525999</c:v>
                </c:pt>
                <c:pt idx="37">
                  <c:v>1161859.7370698471</c:v>
                </c:pt>
                <c:pt idx="38">
                  <c:v>2599857.7945574904</c:v>
                </c:pt>
                <c:pt idx="39">
                  <c:v>639217.53323973354</c:v>
                </c:pt>
                <c:pt idx="40">
                  <c:v>2843420.2525384352</c:v>
                </c:pt>
                <c:pt idx="41">
                  <c:v>1840694.1369229432</c:v>
                </c:pt>
                <c:pt idx="42">
                  <c:v>713088.18634186126</c:v>
                </c:pt>
                <c:pt idx="43">
                  <c:v>777095.09323113877</c:v>
                </c:pt>
                <c:pt idx="44">
                  <c:v>1170543.110084841</c:v>
                </c:pt>
                <c:pt idx="45">
                  <c:v>7788958.080819957</c:v>
                </c:pt>
                <c:pt idx="46">
                  <c:v>4281828.9889136394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807424"/>
        <c:axId val="104825600"/>
      </c:scatterChart>
      <c:valAx>
        <c:axId val="1048074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04825600"/>
        <c:crosses val="autoZero"/>
        <c:crossBetween val="midCat"/>
      </c:valAx>
      <c:valAx>
        <c:axId val="1048256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4807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Number of Copepods on Filter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6.3771556754971787E-2"/>
                  <c:y val="0.13550082555470039"/>
                </c:manualLayout>
              </c:layout>
              <c:numFmt formatCode="General" sourceLinked="0"/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'Residence Time'!$D$3:$D$23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0.33333333333333454</c:v>
                  </c:pt>
                  <c:pt idx="6">
                    <c:v>1.2018504251546627</c:v>
                  </c:pt>
                  <c:pt idx="9">
                    <c:v>0.33333333333333331</c:v>
                  </c:pt>
                  <c:pt idx="12">
                    <c:v>1.333333333333331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plus>
            <c:minus>
              <c:numRef>
                <c:f>'Residence Time'!$D$3:$D$23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0.33333333333333454</c:v>
                  </c:pt>
                  <c:pt idx="6">
                    <c:v>1.2018504251546627</c:v>
                  </c:pt>
                  <c:pt idx="9">
                    <c:v>0.33333333333333331</c:v>
                  </c:pt>
                  <c:pt idx="12">
                    <c:v>1.333333333333331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minus>
          </c:errBars>
          <c:xVal>
            <c:numRef>
              <c:f>'Residence Time'!$C$3:$C$23</c:f>
              <c:numCache>
                <c:formatCode>General</c:formatCode>
                <c:ptCount val="21"/>
                <c:pt idx="0">
                  <c:v>1.3333333333333333</c:v>
                </c:pt>
                <c:pt idx="3">
                  <c:v>4.666666666666667</c:v>
                </c:pt>
                <c:pt idx="6">
                  <c:v>7.666666666666667</c:v>
                </c:pt>
                <c:pt idx="9">
                  <c:v>14.333333333333334</c:v>
                </c:pt>
                <c:pt idx="12">
                  <c:v>17.333333333333332</c:v>
                </c:pt>
                <c:pt idx="15">
                  <c:v>25</c:v>
                </c:pt>
                <c:pt idx="18">
                  <c:v>40</c:v>
                </c:pt>
              </c:numCache>
            </c:numRef>
          </c:xVal>
          <c:yVal>
            <c:numRef>
              <c:f>'Residence Time'!$A$2:$A$23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</c:numCache>
            </c:numRef>
          </c:yVal>
          <c:smooth val="0"/>
        </c:ser>
        <c:ser>
          <c:idx val="1"/>
          <c:order val="1"/>
          <c:tx>
            <c:v>Resident Copepods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8369059615921113"/>
                  <c:y val="1.241982910030983E-2"/>
                </c:manualLayout>
              </c:layout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'Residence Time'!$G$4:$G$24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0.33333333333333337</c:v>
                  </c:pt>
                  <c:pt idx="6">
                    <c:v>1.2018504251546633</c:v>
                  </c:pt>
                  <c:pt idx="9">
                    <c:v>0.33333333333333337</c:v>
                  </c:pt>
                  <c:pt idx="12">
                    <c:v>1.3333333333333335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plus>
            <c:minus>
              <c:numRef>
                <c:f>'Residence Time'!$G$4:$G$24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0.33333333333333337</c:v>
                  </c:pt>
                  <c:pt idx="6">
                    <c:v>1.2018504251546633</c:v>
                  </c:pt>
                  <c:pt idx="9">
                    <c:v>0.33333333333333337</c:v>
                  </c:pt>
                  <c:pt idx="12">
                    <c:v>1.3333333333333335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'Residence Time'!$G$4:$G$24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0.33333333333333337</c:v>
                  </c:pt>
                  <c:pt idx="6">
                    <c:v>1.2018504251546633</c:v>
                  </c:pt>
                  <c:pt idx="9">
                    <c:v>0.33333333333333337</c:v>
                  </c:pt>
                  <c:pt idx="12">
                    <c:v>1.3333333333333335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plus>
            <c:minus>
              <c:numRef>
                <c:f>'Residence Time'!$G$4:$G$24</c:f>
                <c:numCache>
                  <c:formatCode>General</c:formatCode>
                  <c:ptCount val="21"/>
                  <c:pt idx="0">
                    <c:v>0.33333333333333337</c:v>
                  </c:pt>
                  <c:pt idx="3">
                    <c:v>0.33333333333333337</c:v>
                  </c:pt>
                  <c:pt idx="6">
                    <c:v>1.2018504251546633</c:v>
                  </c:pt>
                  <c:pt idx="9">
                    <c:v>0.33333333333333337</c:v>
                  </c:pt>
                  <c:pt idx="12">
                    <c:v>1.3333333333333335</c:v>
                  </c:pt>
                  <c:pt idx="15">
                    <c:v>1.5275252316519468</c:v>
                  </c:pt>
                  <c:pt idx="18">
                    <c:v>0</c:v>
                  </c:pt>
                </c:numCache>
              </c:numRef>
            </c:minus>
          </c:errBars>
          <c:xVal>
            <c:numRef>
              <c:f>'Residence Time'!$F$3:$F$24</c:f>
              <c:numCache>
                <c:formatCode>General</c:formatCode>
                <c:ptCount val="22"/>
                <c:pt idx="1">
                  <c:v>-0.33333333333333331</c:v>
                </c:pt>
                <c:pt idx="4">
                  <c:v>0.33333333333333331</c:v>
                </c:pt>
                <c:pt idx="7">
                  <c:v>2.3333333333333335</c:v>
                </c:pt>
                <c:pt idx="10">
                  <c:v>0.66666666666666663</c:v>
                </c:pt>
                <c:pt idx="13">
                  <c:v>2.6666666666666665</c:v>
                </c:pt>
                <c:pt idx="16">
                  <c:v>5</c:v>
                </c:pt>
                <c:pt idx="19">
                  <c:v>10</c:v>
                </c:pt>
              </c:numCache>
            </c:numRef>
          </c:xVal>
          <c:yVal>
            <c:numRef>
              <c:f>'Residence Time'!$A$2:$A$23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563072"/>
        <c:axId val="104564992"/>
      </c:scatterChart>
      <c:valAx>
        <c:axId val="10456307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Number</a:t>
                </a:r>
                <a:r>
                  <a:rPr lang="en-CA" baseline="0"/>
                  <a:t> of copepods</a:t>
                </a:r>
                <a:endParaRPr lang="en-CA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4564992"/>
        <c:crosses val="autoZero"/>
        <c:crossBetween val="midCat"/>
      </c:valAx>
      <c:valAx>
        <c:axId val="10456499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Number of copepods added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4563072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Number of copepods on filter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'Residence Time'!$D$2:$D$23</c:f>
                <c:numCache>
                  <c:formatCode>General</c:formatCode>
                  <c:ptCount val="22"/>
                  <c:pt idx="1">
                    <c:v>0.33333333333333337</c:v>
                  </c:pt>
                  <c:pt idx="4">
                    <c:v>0.33333333333333454</c:v>
                  </c:pt>
                  <c:pt idx="7">
                    <c:v>1.2018504251546627</c:v>
                  </c:pt>
                  <c:pt idx="10">
                    <c:v>0.33333333333333331</c:v>
                  </c:pt>
                  <c:pt idx="13">
                    <c:v>1.333333333333331</c:v>
                  </c:pt>
                  <c:pt idx="16">
                    <c:v>1.5275252316519468</c:v>
                  </c:pt>
                  <c:pt idx="19">
                    <c:v>0</c:v>
                  </c:pt>
                </c:numCache>
              </c:numRef>
            </c:plus>
            <c:minus>
              <c:numRef>
                <c:f>'Residence Time'!$D$2:$D$23</c:f>
                <c:numCache>
                  <c:formatCode>General</c:formatCode>
                  <c:ptCount val="22"/>
                  <c:pt idx="1">
                    <c:v>0.33333333333333337</c:v>
                  </c:pt>
                  <c:pt idx="4">
                    <c:v>0.33333333333333454</c:v>
                  </c:pt>
                  <c:pt idx="7">
                    <c:v>1.2018504251546627</c:v>
                  </c:pt>
                  <c:pt idx="10">
                    <c:v>0.33333333333333331</c:v>
                  </c:pt>
                  <c:pt idx="13">
                    <c:v>1.333333333333331</c:v>
                  </c:pt>
                  <c:pt idx="16">
                    <c:v>1.5275252316519468</c:v>
                  </c:pt>
                  <c:pt idx="19">
                    <c:v>0</c:v>
                  </c:pt>
                </c:numCache>
              </c:numRef>
            </c:minus>
          </c:errBars>
          <c:xVal>
            <c:numRef>
              <c:f>'Residence Time'!$A$2:$A$23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</c:numCache>
            </c:numRef>
          </c:xVal>
          <c:yVal>
            <c:numRef>
              <c:f>'Residence Time'!$C$2:$C$23</c:f>
              <c:numCache>
                <c:formatCode>General</c:formatCode>
                <c:ptCount val="22"/>
                <c:pt idx="1">
                  <c:v>1.3333333333333333</c:v>
                </c:pt>
                <c:pt idx="4">
                  <c:v>4.666666666666667</c:v>
                </c:pt>
                <c:pt idx="7">
                  <c:v>7.666666666666667</c:v>
                </c:pt>
                <c:pt idx="10">
                  <c:v>14.333333333333334</c:v>
                </c:pt>
                <c:pt idx="13">
                  <c:v>17.333333333333332</c:v>
                </c:pt>
                <c:pt idx="16">
                  <c:v>25</c:v>
                </c:pt>
                <c:pt idx="19">
                  <c:v>40</c:v>
                </c:pt>
              </c:numCache>
            </c:numRef>
          </c:yVal>
          <c:smooth val="0"/>
        </c:ser>
        <c:ser>
          <c:idx val="1"/>
          <c:order val="1"/>
          <c:tx>
            <c:v>Resident Copepods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'Residence Time'!$G$3:$G$24</c:f>
                <c:numCache>
                  <c:formatCode>General</c:formatCode>
                  <c:ptCount val="22"/>
                  <c:pt idx="1">
                    <c:v>0.33333333333333337</c:v>
                  </c:pt>
                  <c:pt idx="4">
                    <c:v>0.33333333333333337</c:v>
                  </c:pt>
                  <c:pt idx="7">
                    <c:v>1.2018504251546633</c:v>
                  </c:pt>
                  <c:pt idx="10">
                    <c:v>0.33333333333333337</c:v>
                  </c:pt>
                  <c:pt idx="13">
                    <c:v>1.3333333333333335</c:v>
                  </c:pt>
                  <c:pt idx="16">
                    <c:v>1.5275252316519468</c:v>
                  </c:pt>
                  <c:pt idx="19">
                    <c:v>0</c:v>
                  </c:pt>
                </c:numCache>
              </c:numRef>
            </c:plus>
            <c:minus>
              <c:numRef>
                <c:f>'Residence Time'!$G$2:$G$24</c:f>
                <c:numCache>
                  <c:formatCode>General</c:formatCode>
                  <c:ptCount val="23"/>
                  <c:pt idx="2">
                    <c:v>0.33333333333333337</c:v>
                  </c:pt>
                  <c:pt idx="5">
                    <c:v>0.33333333333333337</c:v>
                  </c:pt>
                  <c:pt idx="8">
                    <c:v>1.2018504251546633</c:v>
                  </c:pt>
                  <c:pt idx="11">
                    <c:v>0.33333333333333337</c:v>
                  </c:pt>
                  <c:pt idx="14">
                    <c:v>1.3333333333333335</c:v>
                  </c:pt>
                  <c:pt idx="17">
                    <c:v>1.5275252316519468</c:v>
                  </c:pt>
                  <c:pt idx="20">
                    <c:v>0</c:v>
                  </c:pt>
                </c:numCache>
              </c:numRef>
            </c:minus>
          </c:errBars>
          <c:xVal>
            <c:numRef>
              <c:f>'Residence Time'!$A$2:$A$23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</c:numCache>
            </c:numRef>
          </c:xVal>
          <c:yVal>
            <c:numRef>
              <c:f>'Residence Time'!$F$2:$F$24</c:f>
              <c:numCache>
                <c:formatCode>General</c:formatCode>
                <c:ptCount val="23"/>
                <c:pt idx="2">
                  <c:v>-0.33333333333333331</c:v>
                </c:pt>
                <c:pt idx="5">
                  <c:v>0.33333333333333331</c:v>
                </c:pt>
                <c:pt idx="8">
                  <c:v>2.3333333333333335</c:v>
                </c:pt>
                <c:pt idx="11">
                  <c:v>0.66666666666666663</c:v>
                </c:pt>
                <c:pt idx="14">
                  <c:v>2.6666666666666665</c:v>
                </c:pt>
                <c:pt idx="17">
                  <c:v>5</c:v>
                </c:pt>
                <c:pt idx="20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98560"/>
        <c:axId val="34097024"/>
      </c:scatterChart>
      <c:valAx>
        <c:axId val="3409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Known Number of Copepods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097024"/>
        <c:crosses val="autoZero"/>
        <c:crossBetween val="midCat"/>
      </c:valAx>
      <c:valAx>
        <c:axId val="340970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Copepods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0985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 TCal</c:v>
          </c:tx>
          <c:invertIfNegative val="0"/>
          <c:val>
            <c:numRef>
              <c:f>'Vol to #'!$E$5:$BB$5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4.0000000000000002E-4</c:v>
                </c:pt>
                <c:pt idx="18">
                  <c:v>1.6000000000000001E-3</c:v>
                </c:pt>
                <c:pt idx="19">
                  <c:v>1E-3</c:v>
                </c:pt>
                <c:pt idx="20">
                  <c:v>1.9599999999999999E-2</c:v>
                </c:pt>
                <c:pt idx="21">
                  <c:v>3.7999999999999999E-2</c:v>
                </c:pt>
                <c:pt idx="22">
                  <c:v>0.14579999999999999</c:v>
                </c:pt>
                <c:pt idx="23">
                  <c:v>0.25880000000000003</c:v>
                </c:pt>
                <c:pt idx="24">
                  <c:v>0.19400000000000001</c:v>
                </c:pt>
                <c:pt idx="25">
                  <c:v>0.4048000000000001</c:v>
                </c:pt>
                <c:pt idx="26">
                  <c:v>0.55959999999999999</c:v>
                </c:pt>
                <c:pt idx="27">
                  <c:v>1.0946</c:v>
                </c:pt>
                <c:pt idx="28">
                  <c:v>1.5315999999999999</c:v>
                </c:pt>
                <c:pt idx="29">
                  <c:v>1.444</c:v>
                </c:pt>
                <c:pt idx="30">
                  <c:v>2.8782000000000001</c:v>
                </c:pt>
                <c:pt idx="31">
                  <c:v>1.1568000000000001</c:v>
                </c:pt>
                <c:pt idx="32">
                  <c:v>0.58319999999999994</c:v>
                </c:pt>
                <c:pt idx="33">
                  <c:v>1.0720000000000001</c:v>
                </c:pt>
                <c:pt idx="34">
                  <c:v>1.9750000000000001</c:v>
                </c:pt>
                <c:pt idx="35">
                  <c:v>0</c:v>
                </c:pt>
                <c:pt idx="36">
                  <c:v>4.8574000000000002</c:v>
                </c:pt>
                <c:pt idx="37">
                  <c:v>7.2439999999999998</c:v>
                </c:pt>
                <c:pt idx="38">
                  <c:v>13.319399999999998</c:v>
                </c:pt>
                <c:pt idx="39">
                  <c:v>20.896999999999998</c:v>
                </c:pt>
                <c:pt idx="40">
                  <c:v>37.751999999999995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tx>
            <c:v>5 TCal</c:v>
          </c:tx>
          <c:invertIfNegative val="0"/>
          <c:val>
            <c:numRef>
              <c:f>'Vol to #'!$E$6:$BB$6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2.0000000000000001E-4</c:v>
                </c:pt>
                <c:pt idx="17">
                  <c:v>4.0000000000000002E-4</c:v>
                </c:pt>
                <c:pt idx="18">
                  <c:v>1.4E-3</c:v>
                </c:pt>
                <c:pt idx="19">
                  <c:v>5.8000000000000005E-3</c:v>
                </c:pt>
                <c:pt idx="20">
                  <c:v>5.7999999999999996E-3</c:v>
                </c:pt>
                <c:pt idx="21">
                  <c:v>4.4200000000000003E-2</c:v>
                </c:pt>
                <c:pt idx="22">
                  <c:v>7.2600000000000012E-2</c:v>
                </c:pt>
                <c:pt idx="23">
                  <c:v>0.1232</c:v>
                </c:pt>
                <c:pt idx="24">
                  <c:v>0.11219999999999999</c:v>
                </c:pt>
                <c:pt idx="25">
                  <c:v>0.16519999999999999</c:v>
                </c:pt>
                <c:pt idx="26">
                  <c:v>0.32060000000000005</c:v>
                </c:pt>
                <c:pt idx="27">
                  <c:v>0.28079999999999999</c:v>
                </c:pt>
                <c:pt idx="28">
                  <c:v>0.82020000000000004</c:v>
                </c:pt>
                <c:pt idx="29">
                  <c:v>0</c:v>
                </c:pt>
                <c:pt idx="30">
                  <c:v>0.22059999999999999</c:v>
                </c:pt>
                <c:pt idx="31">
                  <c:v>0.46500000000000002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15.5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v>10 TCal</c:v>
          </c:tx>
          <c:invertIfNegative val="0"/>
          <c:val>
            <c:numRef>
              <c:f>'Vol to #'!$E$7:$BB$7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4.0000000000000002E-4</c:v>
                </c:pt>
                <c:pt idx="16">
                  <c:v>2.1999999999999997E-3</c:v>
                </c:pt>
                <c:pt idx="17">
                  <c:v>2.8E-3</c:v>
                </c:pt>
                <c:pt idx="18">
                  <c:v>7.7999999999999996E-3</c:v>
                </c:pt>
                <c:pt idx="19">
                  <c:v>2.0200000000000003E-2</c:v>
                </c:pt>
                <c:pt idx="20">
                  <c:v>4.0999999999999995E-2</c:v>
                </c:pt>
                <c:pt idx="21">
                  <c:v>9.6400000000000013E-2</c:v>
                </c:pt>
                <c:pt idx="22">
                  <c:v>0.11740000000000002</c:v>
                </c:pt>
                <c:pt idx="23">
                  <c:v>6.2000000000000013E-2</c:v>
                </c:pt>
                <c:pt idx="24">
                  <c:v>0.17499999999999999</c:v>
                </c:pt>
                <c:pt idx="25">
                  <c:v>0.10740000000000001</c:v>
                </c:pt>
                <c:pt idx="26">
                  <c:v>0.16840000000000002</c:v>
                </c:pt>
                <c:pt idx="27">
                  <c:v>0.1038</c:v>
                </c:pt>
                <c:pt idx="28">
                  <c:v>0</c:v>
                </c:pt>
                <c:pt idx="29">
                  <c:v>0</c:v>
                </c:pt>
                <c:pt idx="30">
                  <c:v>0.27759999999999996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3"/>
          <c:order val="3"/>
          <c:tx>
            <c:v>15 TCal</c:v>
          </c:tx>
          <c:invertIfNegative val="0"/>
          <c:val>
            <c:numRef>
              <c:f>'Vol to #'!$E$8:$BB$8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2.0000000000000001E-4</c:v>
                </c:pt>
                <c:pt idx="16">
                  <c:v>0</c:v>
                </c:pt>
                <c:pt idx="17">
                  <c:v>8.0000000000000004E-4</c:v>
                </c:pt>
                <c:pt idx="18">
                  <c:v>2E-3</c:v>
                </c:pt>
                <c:pt idx="19">
                  <c:v>3.5999999999999999E-3</c:v>
                </c:pt>
                <c:pt idx="20">
                  <c:v>1.7999999999999999E-2</c:v>
                </c:pt>
                <c:pt idx="21">
                  <c:v>7.3200000000000015E-2</c:v>
                </c:pt>
                <c:pt idx="22">
                  <c:v>9.6599999999999991E-2</c:v>
                </c:pt>
                <c:pt idx="23">
                  <c:v>9.8999999999999991E-2</c:v>
                </c:pt>
                <c:pt idx="24">
                  <c:v>0.11200000000000002</c:v>
                </c:pt>
                <c:pt idx="25">
                  <c:v>0.28580000000000005</c:v>
                </c:pt>
                <c:pt idx="26">
                  <c:v>0.25659999999999999</c:v>
                </c:pt>
                <c:pt idx="27">
                  <c:v>0.15679999999999999</c:v>
                </c:pt>
                <c:pt idx="28">
                  <c:v>0.41600000000000004</c:v>
                </c:pt>
                <c:pt idx="29">
                  <c:v>0.13899999999999998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2.9148000000000001</c:v>
                </c:pt>
                <c:pt idx="36">
                  <c:v>5.2568000000000001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4"/>
          <c:order val="4"/>
          <c:tx>
            <c:v>20 TCal</c:v>
          </c:tx>
          <c:invertIfNegative val="0"/>
          <c:val>
            <c:numRef>
              <c:f>'Vol to #'!$E$9:$BB$9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4.0000000000000002E-4</c:v>
                </c:pt>
                <c:pt idx="18">
                  <c:v>3.8E-3</c:v>
                </c:pt>
                <c:pt idx="19">
                  <c:v>1.0200000000000001E-2</c:v>
                </c:pt>
                <c:pt idx="20">
                  <c:v>1.2800000000000001E-2</c:v>
                </c:pt>
                <c:pt idx="21">
                  <c:v>6.1800000000000008E-2</c:v>
                </c:pt>
                <c:pt idx="22">
                  <c:v>0.1028</c:v>
                </c:pt>
                <c:pt idx="23">
                  <c:v>0.13420000000000001</c:v>
                </c:pt>
                <c:pt idx="24">
                  <c:v>0.15539999999999998</c:v>
                </c:pt>
                <c:pt idx="25">
                  <c:v>0.15340000000000001</c:v>
                </c:pt>
                <c:pt idx="26">
                  <c:v>0.34420000000000001</c:v>
                </c:pt>
                <c:pt idx="27">
                  <c:v>0.31580000000000003</c:v>
                </c:pt>
                <c:pt idx="28">
                  <c:v>0.43180000000000007</c:v>
                </c:pt>
                <c:pt idx="29">
                  <c:v>0.15440000000000001</c:v>
                </c:pt>
                <c:pt idx="30">
                  <c:v>0.55320000000000003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13.9316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5"/>
          <c:order val="5"/>
          <c:tx>
            <c:v>30 TCal</c:v>
          </c:tx>
          <c:invertIfNegative val="0"/>
          <c:val>
            <c:numRef>
              <c:f>'Vol to #'!$E$10:$BB$10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1.3333333333333333E-3</c:v>
                </c:pt>
                <c:pt idx="18">
                  <c:v>5.6666666666666671E-3</c:v>
                </c:pt>
                <c:pt idx="19">
                  <c:v>1.2000000000000002E-2</c:v>
                </c:pt>
                <c:pt idx="20">
                  <c:v>2.2000000000000002E-2</c:v>
                </c:pt>
                <c:pt idx="21">
                  <c:v>9.2666666666666675E-2</c:v>
                </c:pt>
                <c:pt idx="22">
                  <c:v>0.19600000000000004</c:v>
                </c:pt>
                <c:pt idx="23">
                  <c:v>0.21466666666666664</c:v>
                </c:pt>
                <c:pt idx="24">
                  <c:v>0.24299999999999999</c:v>
                </c:pt>
                <c:pt idx="25">
                  <c:v>0.35266666666666668</c:v>
                </c:pt>
                <c:pt idx="26">
                  <c:v>0.22666666666666666</c:v>
                </c:pt>
                <c:pt idx="27">
                  <c:v>0.46066666666666672</c:v>
                </c:pt>
                <c:pt idx="28">
                  <c:v>0.99433333333333318</c:v>
                </c:pt>
                <c:pt idx="29">
                  <c:v>0</c:v>
                </c:pt>
                <c:pt idx="30">
                  <c:v>0.87466666666666659</c:v>
                </c:pt>
                <c:pt idx="31">
                  <c:v>0</c:v>
                </c:pt>
                <c:pt idx="32">
                  <c:v>2.904666666666667</c:v>
                </c:pt>
                <c:pt idx="33">
                  <c:v>0</c:v>
                </c:pt>
                <c:pt idx="34">
                  <c:v>0</c:v>
                </c:pt>
                <c:pt idx="35">
                  <c:v>5.8159999999999998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6"/>
          <c:order val="6"/>
          <c:tx>
            <c:v>50 TCal</c:v>
          </c:tx>
          <c:invertIfNegative val="0"/>
          <c:val>
            <c:numRef>
              <c:f>'Vol to #'!$E$11:$BB$11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3.3333333333333332E-4</c:v>
                </c:pt>
                <c:pt idx="14">
                  <c:v>3.3333333333333332E-4</c:v>
                </c:pt>
                <c:pt idx="15">
                  <c:v>1.3333333333333333E-3</c:v>
                </c:pt>
                <c:pt idx="16">
                  <c:v>4.6666666666666671E-3</c:v>
                </c:pt>
                <c:pt idx="17">
                  <c:v>1.2333333333333335E-2</c:v>
                </c:pt>
                <c:pt idx="18">
                  <c:v>3.1666666666666669E-2</c:v>
                </c:pt>
                <c:pt idx="19">
                  <c:v>7.5666666666666674E-2</c:v>
                </c:pt>
                <c:pt idx="20">
                  <c:v>0.12000000000000001</c:v>
                </c:pt>
                <c:pt idx="21">
                  <c:v>0.19700000000000004</c:v>
                </c:pt>
                <c:pt idx="22">
                  <c:v>0.24233333333333337</c:v>
                </c:pt>
                <c:pt idx="23">
                  <c:v>0.18600000000000003</c:v>
                </c:pt>
                <c:pt idx="24">
                  <c:v>0.25366666666666665</c:v>
                </c:pt>
                <c:pt idx="25">
                  <c:v>7.1999999999999995E-2</c:v>
                </c:pt>
                <c:pt idx="26">
                  <c:v>0.13033333333333333</c:v>
                </c:pt>
                <c:pt idx="27">
                  <c:v>8.4000000000000005E-2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0.6256666666666667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702784"/>
        <c:axId val="73713152"/>
      </c:barChart>
      <c:catAx>
        <c:axId val="7370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Size Bins</a:t>
                </a:r>
              </a:p>
            </c:rich>
          </c:tx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713152"/>
        <c:crosses val="autoZero"/>
        <c:auto val="1"/>
        <c:lblAlgn val="ctr"/>
        <c:lblOffset val="100"/>
        <c:noMultiLvlLbl val="0"/>
      </c:catAx>
      <c:valAx>
        <c:axId val="73713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Avg Vol &gt; 40 um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7027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lang="en-US"/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'Total Vol to #'!$C$1</c:f>
              <c:strCache>
                <c:ptCount val="1"/>
                <c:pt idx="0">
                  <c:v>Vol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  <c:txPr>
                <a:bodyPr/>
                <a:lstStyle/>
                <a:p>
                  <a:pPr>
                    <a:defRPr lang="en-US"/>
                  </a:pPr>
                  <a:endParaRPr lang="en-US"/>
                </a:p>
              </c:txPr>
            </c:trendlineLbl>
          </c:trendline>
          <c:xVal>
            <c:numRef>
              <c:f>'Total Vol to #'!$B$2:$B$990</c:f>
              <c:numCache>
                <c:formatCode>General</c:formatCode>
                <c:ptCount val="98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xVal>
          <c:yVal>
            <c:numRef>
              <c:f>'Total Vol to #'!$C$2:$C$990</c:f>
              <c:numCache>
                <c:formatCode>General</c:formatCode>
                <c:ptCount val="989"/>
                <c:pt idx="0">
                  <c:v>258637876.3199999</c:v>
                </c:pt>
                <c:pt idx="1">
                  <c:v>40962675.200000025</c:v>
                </c:pt>
                <c:pt idx="2">
                  <c:v>33002117.389999986</c:v>
                </c:pt>
                <c:pt idx="3">
                  <c:v>141594697.79999995</c:v>
                </c:pt>
                <c:pt idx="4">
                  <c:v>62334988.890000068</c:v>
                </c:pt>
                <c:pt idx="5">
                  <c:v>148527746.43999982</c:v>
                </c:pt>
                <c:pt idx="6">
                  <c:v>18208363.180000007</c:v>
                </c:pt>
                <c:pt idx="7">
                  <c:v>212891498.52000001</c:v>
                </c:pt>
                <c:pt idx="8">
                  <c:v>70518255.980000004</c:v>
                </c:pt>
                <c:pt idx="9">
                  <c:v>6854598.9899999956</c:v>
                </c:pt>
                <c:pt idx="10">
                  <c:v>18406527.879999995</c:v>
                </c:pt>
                <c:pt idx="11">
                  <c:v>7909727.6000000034</c:v>
                </c:pt>
                <c:pt idx="12">
                  <c:v>9660336.179999996</c:v>
                </c:pt>
                <c:pt idx="13">
                  <c:v>86852886.799999982</c:v>
                </c:pt>
                <c:pt idx="14">
                  <c:v>146052479.29999986</c:v>
                </c:pt>
                <c:pt idx="15">
                  <c:v>522239.80000000005</c:v>
                </c:pt>
                <c:pt idx="16">
                  <c:v>4461882.580000001</c:v>
                </c:pt>
                <c:pt idx="17">
                  <c:v>677463.46000000008</c:v>
                </c:pt>
                <c:pt idx="18">
                  <c:v>936754.4600000002</c:v>
                </c:pt>
                <c:pt idx="19">
                  <c:v>1153388.8799999997</c:v>
                </c:pt>
                <c:pt idx="20">
                  <c:v>3211389.4799999991</c:v>
                </c:pt>
                <c:pt idx="21">
                  <c:v>1622231.1799999997</c:v>
                </c:pt>
                <c:pt idx="22">
                  <c:v>560563.24</c:v>
                </c:pt>
                <c:pt idx="23">
                  <c:v>978282.82</c:v>
                </c:pt>
                <c:pt idx="24">
                  <c:v>1952818.4</c:v>
                </c:pt>
                <c:pt idx="25">
                  <c:v>653242.22</c:v>
                </c:pt>
                <c:pt idx="26">
                  <c:v>792263.89999999991</c:v>
                </c:pt>
                <c:pt idx="27">
                  <c:v>1258725.2</c:v>
                </c:pt>
                <c:pt idx="28">
                  <c:v>201554.30000000002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025600"/>
        <c:axId val="74056448"/>
      </c:scatterChart>
      <c:valAx>
        <c:axId val="7402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Known # of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056448"/>
        <c:crosses val="autoZero"/>
        <c:crossBetween val="midCat"/>
      </c:valAx>
      <c:valAx>
        <c:axId val="74056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Total Volume (um3)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025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  <c:txPr>
                <a:bodyPr/>
                <a:lstStyle/>
                <a:p>
                  <a:pPr>
                    <a:defRPr lang="en-US"/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'Total Vol to #'!$E$2:$E$29</c:f>
                <c:numCache>
                  <c:formatCode>General</c:formatCode>
                  <c:ptCount val="28"/>
                  <c:pt idx="0">
                    <c:v>73920888.406756923</c:v>
                  </c:pt>
                  <c:pt idx="3">
                    <c:v>27647945.54756036</c:v>
                  </c:pt>
                  <c:pt idx="6">
                    <c:v>58170242.613056771</c:v>
                  </c:pt>
                  <c:pt idx="9">
                    <c:v>3687389.7240118347</c:v>
                  </c:pt>
                  <c:pt idx="12">
                    <c:v>39487057.182107024</c:v>
                  </c:pt>
                  <c:pt idx="15">
                    <c:v>1288123.2621844229</c:v>
                  </c:pt>
                  <c:pt idx="18">
                    <c:v>724808.84130229254</c:v>
                  </c:pt>
                  <c:pt idx="21">
                    <c:v>308787.76896167418</c:v>
                  </c:pt>
                  <c:pt idx="24">
                    <c:v>411981.12299012387</c:v>
                  </c:pt>
                  <c:pt idx="27">
                    <c:v>528585.44999999984</c:v>
                  </c:pt>
                </c:numCache>
              </c:numRef>
            </c:plus>
            <c:minus>
              <c:numRef>
                <c:f>'Total Vol to #'!$E$2:$E$29</c:f>
                <c:numCache>
                  <c:formatCode>General</c:formatCode>
                  <c:ptCount val="28"/>
                  <c:pt idx="0">
                    <c:v>73920888.406756923</c:v>
                  </c:pt>
                  <c:pt idx="3">
                    <c:v>27647945.54756036</c:v>
                  </c:pt>
                  <c:pt idx="6">
                    <c:v>58170242.613056771</c:v>
                  </c:pt>
                  <c:pt idx="9">
                    <c:v>3687389.7240118347</c:v>
                  </c:pt>
                  <c:pt idx="12">
                    <c:v>39487057.182107024</c:v>
                  </c:pt>
                  <c:pt idx="15">
                    <c:v>1288123.2621844229</c:v>
                  </c:pt>
                  <c:pt idx="18">
                    <c:v>724808.84130229254</c:v>
                  </c:pt>
                  <c:pt idx="21">
                    <c:v>308787.76896167418</c:v>
                  </c:pt>
                  <c:pt idx="24">
                    <c:v>411981.12299012387</c:v>
                  </c:pt>
                  <c:pt idx="27">
                    <c:v>528585.44999999984</c:v>
                  </c:pt>
                </c:numCache>
              </c:numRef>
            </c:minus>
          </c:errBars>
          <c:xVal>
            <c:numRef>
              <c:f>'Total Vol to #'!$B$2:$B$29</c:f>
              <c:numCache>
                <c:formatCode>General</c:formatCode>
                <c:ptCount val="2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xVal>
          <c:yVal>
            <c:numRef>
              <c:f>'Total Vol to #'!$D$2:$D$29</c:f>
              <c:numCache>
                <c:formatCode>General</c:formatCode>
                <c:ptCount val="28"/>
                <c:pt idx="0">
                  <c:v>110867556.3033333</c:v>
                </c:pt>
                <c:pt idx="3">
                  <c:v>117485811.04333329</c:v>
                </c:pt>
                <c:pt idx="6">
                  <c:v>100539372.56</c:v>
                </c:pt>
                <c:pt idx="9">
                  <c:v>11056951.489999996</c:v>
                </c:pt>
                <c:pt idx="12">
                  <c:v>80855234.093333289</c:v>
                </c:pt>
                <c:pt idx="15">
                  <c:v>1887195.2800000003</c:v>
                </c:pt>
                <c:pt idx="18">
                  <c:v>1767177.6066666662</c:v>
                </c:pt>
                <c:pt idx="21">
                  <c:v>1053692.4133333333</c:v>
                </c:pt>
                <c:pt idx="24">
                  <c:v>1132774.8400000001</c:v>
                </c:pt>
                <c:pt idx="27">
                  <c:v>730139.75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098560"/>
        <c:axId val="74117120"/>
      </c:scatterChart>
      <c:valAx>
        <c:axId val="7409856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Known</a:t>
                </a:r>
                <a:r>
                  <a:rPr lang="en-US" baseline="0"/>
                  <a:t> # of copepods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117120"/>
        <c:crosses val="autoZero"/>
        <c:crossBetween val="midCat"/>
      </c:valAx>
      <c:valAx>
        <c:axId val="7411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Average</a:t>
                </a:r>
                <a:r>
                  <a:rPr lang="en-US" baseline="0"/>
                  <a:t> Volume (um3)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289643117526975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098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Average area</a:t>
            </a:r>
            <a:r>
              <a:rPr lang="en-US" baseline="0"/>
              <a:t> by known copepod #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  <c:txPr>
                <a:bodyPr/>
                <a:lstStyle/>
                <a:p>
                  <a:pPr>
                    <a:defRPr lang="en-US"/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'Total Vol to #'!$H$2:$H$30</c:f>
                <c:numCache>
                  <c:formatCode>General</c:formatCode>
                  <c:ptCount val="29"/>
                  <c:pt idx="0">
                    <c:v>83110.272615501279</c:v>
                  </c:pt>
                  <c:pt idx="3">
                    <c:v>102719.15555481652</c:v>
                  </c:pt>
                  <c:pt idx="6">
                    <c:v>71699.347934610836</c:v>
                  </c:pt>
                  <c:pt idx="9">
                    <c:v>37586.468142213896</c:v>
                  </c:pt>
                  <c:pt idx="12">
                    <c:v>75925.593930988296</c:v>
                  </c:pt>
                  <c:pt idx="15">
                    <c:v>19122.391610417835</c:v>
                  </c:pt>
                  <c:pt idx="18">
                    <c:v>7334.0685311345278</c:v>
                  </c:pt>
                  <c:pt idx="21">
                    <c:v>4914.9094804052838</c:v>
                  </c:pt>
                  <c:pt idx="24">
                    <c:v>7247.6412883364947</c:v>
                  </c:pt>
                  <c:pt idx="27">
                    <c:v>15972.060000000003</c:v>
                  </c:pt>
                </c:numCache>
              </c:numRef>
            </c:plus>
            <c:minus>
              <c:numRef>
                <c:f>'Total Vol to #'!$H$2:$H$30</c:f>
                <c:numCache>
                  <c:formatCode>General</c:formatCode>
                  <c:ptCount val="29"/>
                  <c:pt idx="0">
                    <c:v>83110.272615501279</c:v>
                  </c:pt>
                  <c:pt idx="3">
                    <c:v>102719.15555481652</c:v>
                  </c:pt>
                  <c:pt idx="6">
                    <c:v>71699.347934610836</c:v>
                  </c:pt>
                  <c:pt idx="9">
                    <c:v>37586.468142213896</c:v>
                  </c:pt>
                  <c:pt idx="12">
                    <c:v>75925.593930988296</c:v>
                  </c:pt>
                  <c:pt idx="15">
                    <c:v>19122.391610417835</c:v>
                  </c:pt>
                  <c:pt idx="18">
                    <c:v>7334.0685311345278</c:v>
                  </c:pt>
                  <c:pt idx="21">
                    <c:v>4914.9094804052838</c:v>
                  </c:pt>
                  <c:pt idx="24">
                    <c:v>7247.6412883364947</c:v>
                  </c:pt>
                  <c:pt idx="27">
                    <c:v>15972.060000000003</c:v>
                  </c:pt>
                </c:numCache>
              </c:numRef>
            </c:minus>
          </c:errBars>
          <c:xVal>
            <c:numRef>
              <c:f>'Total Vol to #'!$B$2:$B$30</c:f>
              <c:numCache>
                <c:formatCode>General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xVal>
          <c:yVal>
            <c:numRef>
              <c:f>'Total Vol to #'!$G$2:$G$30</c:f>
              <c:numCache>
                <c:formatCode>General</c:formatCode>
                <c:ptCount val="29"/>
                <c:pt idx="0">
                  <c:v>608313.14000000013</c:v>
                </c:pt>
                <c:pt idx="3">
                  <c:v>598346.15333333355</c:v>
                </c:pt>
                <c:pt idx="6">
                  <c:v>426081.63999999972</c:v>
                </c:pt>
                <c:pt idx="9">
                  <c:v>236359.8866666668</c:v>
                </c:pt>
                <c:pt idx="12">
                  <c:v>374176.24000000005</c:v>
                </c:pt>
                <c:pt idx="15">
                  <c:v>41837.006666666683</c:v>
                </c:pt>
                <c:pt idx="18">
                  <c:v>37816.486666666671</c:v>
                </c:pt>
                <c:pt idx="21">
                  <c:v>31782.613333333331</c:v>
                </c:pt>
                <c:pt idx="24">
                  <c:v>30730.74</c:v>
                </c:pt>
                <c:pt idx="27">
                  <c:v>20076.400000000001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30176"/>
        <c:axId val="74132096"/>
      </c:scatterChart>
      <c:valAx>
        <c:axId val="7413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Known # of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132096"/>
        <c:crosses val="autoZero"/>
        <c:crossBetween val="midCat"/>
      </c:valAx>
      <c:valAx>
        <c:axId val="74132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Averge Area (um2)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130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Area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  <c:txPr>
                <a:bodyPr/>
                <a:lstStyle/>
                <a:p>
                  <a:pPr>
                    <a:defRPr lang="en-US"/>
                  </a:pPr>
                  <a:endParaRPr lang="en-US"/>
                </a:p>
              </c:txPr>
            </c:trendlineLbl>
          </c:trendline>
          <c:xVal>
            <c:numRef>
              <c:f>'Total Vol to #'!$B$2:$B$30</c:f>
              <c:numCache>
                <c:formatCode>General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xVal>
          <c:yVal>
            <c:numRef>
              <c:f>'Total Vol to #'!$F$2:$F$30</c:f>
              <c:numCache>
                <c:formatCode>General</c:formatCode>
                <c:ptCount val="29"/>
                <c:pt idx="0">
                  <c:v>774348.41999999993</c:v>
                </c:pt>
                <c:pt idx="1">
                  <c:v>518500.90000000026</c:v>
                </c:pt>
                <c:pt idx="2">
                  <c:v>532090.10000000021</c:v>
                </c:pt>
                <c:pt idx="3">
                  <c:v>652200.22000000009</c:v>
                </c:pt>
                <c:pt idx="4">
                  <c:v>399726.14000000019</c:v>
                </c:pt>
                <c:pt idx="5">
                  <c:v>743112.10000000033</c:v>
                </c:pt>
                <c:pt idx="6">
                  <c:v>323660.5799999999</c:v>
                </c:pt>
                <c:pt idx="7">
                  <c:v>564210.71999999951</c:v>
                </c:pt>
                <c:pt idx="8">
                  <c:v>390373.61999999982</c:v>
                </c:pt>
                <c:pt idx="9">
                  <c:v>195342.68000000011</c:v>
                </c:pt>
                <c:pt idx="10">
                  <c:v>311425.06000000035</c:v>
                </c:pt>
                <c:pt idx="11">
                  <c:v>202311.91999999998</c:v>
                </c:pt>
                <c:pt idx="12">
                  <c:v>226124.44000000006</c:v>
                </c:pt>
                <c:pt idx="13">
                  <c:v>418968.8400000002</c:v>
                </c:pt>
                <c:pt idx="14">
                  <c:v>477435.43999999994</c:v>
                </c:pt>
                <c:pt idx="15">
                  <c:v>20308.599999999999</c:v>
                </c:pt>
                <c:pt idx="16">
                  <c:v>79976.260000000053</c:v>
                </c:pt>
                <c:pt idx="17">
                  <c:v>25226.160000000007</c:v>
                </c:pt>
                <c:pt idx="18">
                  <c:v>28265.66</c:v>
                </c:pt>
                <c:pt idx="19">
                  <c:v>32950.740000000005</c:v>
                </c:pt>
                <c:pt idx="20">
                  <c:v>52233.060000000005</c:v>
                </c:pt>
                <c:pt idx="21">
                  <c:v>40636.679999999993</c:v>
                </c:pt>
                <c:pt idx="22">
                  <c:v>23657.859999999997</c:v>
                </c:pt>
                <c:pt idx="23">
                  <c:v>31053.3</c:v>
                </c:pt>
                <c:pt idx="24">
                  <c:v>45224.919999999991</c:v>
                </c:pt>
                <c:pt idx="25">
                  <c:v>23328.82</c:v>
                </c:pt>
                <c:pt idx="26">
                  <c:v>23638.480000000003</c:v>
                </c:pt>
                <c:pt idx="27">
                  <c:v>36048.460000000006</c:v>
                </c:pt>
                <c:pt idx="28">
                  <c:v>4104.34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70368"/>
        <c:axId val="74172288"/>
      </c:scatterChart>
      <c:valAx>
        <c:axId val="7417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Known # of copepods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172288"/>
        <c:crosses val="autoZero"/>
        <c:crossBetween val="midCat"/>
      </c:valAx>
      <c:valAx>
        <c:axId val="74172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Total Area (um2)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4170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SHA Pod1951</a:t>
            </a:r>
            <a:r>
              <a:rPr lang="en-CA" baseline="0"/>
              <a:t> </a:t>
            </a:r>
            <a:r>
              <a:rPr lang="en-CA"/>
              <a:t>Signal for Known numbers</a:t>
            </a:r>
            <a:r>
              <a:rPr lang="en-CA" baseline="0"/>
              <a:t> of copepods</a:t>
            </a:r>
            <a:endParaRPr lang="en-CA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592331611414821"/>
          <c:y val="0.20872166547363397"/>
          <c:w val="0.8214347509905211"/>
          <c:h val="0.6144377833452635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'SHA to Known #'!$G$5:$G$27</c:f>
                <c:numCache>
                  <c:formatCode>General</c:formatCode>
                  <c:ptCount val="23"/>
                  <c:pt idx="0">
                    <c:v>6.4663230149238096E-2</c:v>
                  </c:pt>
                  <c:pt idx="1">
                    <c:v>3.4641016151377546E-2</c:v>
                  </c:pt>
                  <c:pt idx="2">
                    <c:v>8.2076561287487658E-3</c:v>
                  </c:pt>
                  <c:pt idx="5">
                    <c:v>8.8527041275742614E-3</c:v>
                  </c:pt>
                  <c:pt idx="8">
                    <c:v>3.6138613853961238E-3</c:v>
                  </c:pt>
                  <c:pt idx="11">
                    <c:v>9.814954576223639E-3</c:v>
                  </c:pt>
                  <c:pt idx="14">
                    <c:v>1.0007404665953514E-2</c:v>
                  </c:pt>
                  <c:pt idx="17">
                    <c:v>2.116950987028628E-2</c:v>
                  </c:pt>
                  <c:pt idx="20">
                    <c:v>4.6188021535170064E-3</c:v>
                  </c:pt>
                </c:numCache>
              </c:numRef>
            </c:plus>
            <c:minus>
              <c:numRef>
                <c:f>'SHA to Known #'!$G$5:$G$27</c:f>
                <c:numCache>
                  <c:formatCode>General</c:formatCode>
                  <c:ptCount val="23"/>
                  <c:pt idx="0">
                    <c:v>6.4663230149238096E-2</c:v>
                  </c:pt>
                  <c:pt idx="1">
                    <c:v>3.4641016151377546E-2</c:v>
                  </c:pt>
                  <c:pt idx="2">
                    <c:v>8.2076561287487658E-3</c:v>
                  </c:pt>
                  <c:pt idx="5">
                    <c:v>8.8527041275742614E-3</c:v>
                  </c:pt>
                  <c:pt idx="8">
                    <c:v>3.6138613853961238E-3</c:v>
                  </c:pt>
                  <c:pt idx="11">
                    <c:v>9.814954576223639E-3</c:v>
                  </c:pt>
                  <c:pt idx="14">
                    <c:v>1.0007404665953514E-2</c:v>
                  </c:pt>
                  <c:pt idx="17">
                    <c:v>2.116950987028628E-2</c:v>
                  </c:pt>
                  <c:pt idx="20">
                    <c:v>4.6188021535170064E-3</c:v>
                  </c:pt>
                </c:numCache>
              </c:numRef>
            </c:minus>
          </c:errBars>
          <c:xVal>
            <c:numRef>
              <c:f>'SHA to Known #'!$B$5:$B$27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</c:numCache>
            </c:numRef>
          </c:xVal>
          <c:yVal>
            <c:numRef>
              <c:f>'SHA to Known #'!$F$5:$F$27</c:f>
              <c:numCache>
                <c:formatCode>General</c:formatCode>
                <c:ptCount val="23"/>
                <c:pt idx="0">
                  <c:v>0.112</c:v>
                </c:pt>
                <c:pt idx="1">
                  <c:v>0.06</c:v>
                </c:pt>
                <c:pt idx="2">
                  <c:v>7.6499999999999999E-2</c:v>
                </c:pt>
                <c:pt idx="5">
                  <c:v>9.2333333333333337E-2</c:v>
                </c:pt>
                <c:pt idx="8">
                  <c:v>0.14849999999999999</c:v>
                </c:pt>
                <c:pt idx="11">
                  <c:v>0.22233333333333336</c:v>
                </c:pt>
                <c:pt idx="14">
                  <c:v>0.223</c:v>
                </c:pt>
                <c:pt idx="17">
                  <c:v>0.3193333333333333</c:v>
                </c:pt>
                <c:pt idx="20">
                  <c:v>0.29266666666666669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89760"/>
        <c:axId val="75991680"/>
      </c:scatterChart>
      <c:valAx>
        <c:axId val="7598976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Known</a:t>
                </a:r>
                <a:r>
                  <a:rPr lang="en-CA" baseline="0"/>
                  <a:t> # copepods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0.44502169115803197"/>
              <c:y val="0.915890002386065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991680"/>
        <c:crosses val="autoZero"/>
        <c:crossBetween val="midCat"/>
      </c:valAx>
      <c:valAx>
        <c:axId val="75991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Pod1951 Signal</a:t>
                </a:r>
                <a:r>
                  <a:rPr lang="en-CA" baseline="0"/>
                  <a:t> </a:t>
                </a:r>
                <a:r>
                  <a:rPr lang="en-CA"/>
                  <a:t>(450 nm)</a:t>
                </a:r>
              </a:p>
            </c:rich>
          </c:tx>
          <c:layout>
            <c:manualLayout>
              <c:xMode val="edge"/>
              <c:yMode val="edge"/>
              <c:x val="1.0615711252653927E-2"/>
              <c:y val="0.3245958601765688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989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'SHA to Known #'!$L$2:$L$27</c:f>
                <c:numCache>
                  <c:formatCode>General</c:formatCode>
                  <c:ptCount val="26"/>
                  <c:pt idx="0">
                    <c:v>1.0069903619744651E-2</c:v>
                  </c:pt>
                  <c:pt idx="3">
                    <c:v>5.4270925303824824E-2</c:v>
                  </c:pt>
                  <c:pt idx="4">
                    <c:v>3.406366588218792E-2</c:v>
                  </c:pt>
                  <c:pt idx="5">
                    <c:v>2.5018511664883787E-2</c:v>
                  </c:pt>
                  <c:pt idx="8">
                    <c:v>6.9282032302755104E-3</c:v>
                  </c:pt>
                  <c:pt idx="11">
                    <c:v>4.8112522432468812E-3</c:v>
                  </c:pt>
                  <c:pt idx="14">
                    <c:v>3.65655170486763E-3</c:v>
                  </c:pt>
                  <c:pt idx="17">
                    <c:v>1.0199854755683389E-2</c:v>
                  </c:pt>
                  <c:pt idx="20">
                    <c:v>1.6358257627039397E-2</c:v>
                  </c:pt>
                  <c:pt idx="23">
                    <c:v>5.773502691896258E-3</c:v>
                  </c:pt>
                </c:numCache>
              </c:numRef>
            </c:plus>
            <c:minus>
              <c:numRef>
                <c:f>'SHA to Known #'!$L$2:$L$27</c:f>
                <c:numCache>
                  <c:formatCode>General</c:formatCode>
                  <c:ptCount val="26"/>
                  <c:pt idx="0">
                    <c:v>1.0069903619744651E-2</c:v>
                  </c:pt>
                  <c:pt idx="3">
                    <c:v>5.4270925303824824E-2</c:v>
                  </c:pt>
                  <c:pt idx="4">
                    <c:v>3.406366588218792E-2</c:v>
                  </c:pt>
                  <c:pt idx="5">
                    <c:v>2.5018511664883787E-2</c:v>
                  </c:pt>
                  <c:pt idx="8">
                    <c:v>6.9282032302755104E-3</c:v>
                  </c:pt>
                  <c:pt idx="11">
                    <c:v>4.8112522432468812E-3</c:v>
                  </c:pt>
                  <c:pt idx="14">
                    <c:v>3.65655170486763E-3</c:v>
                  </c:pt>
                  <c:pt idx="17">
                    <c:v>1.0199854755683389E-2</c:v>
                  </c:pt>
                  <c:pt idx="20">
                    <c:v>1.6358257627039397E-2</c:v>
                  </c:pt>
                  <c:pt idx="23">
                    <c:v>5.773502691896258E-3</c:v>
                  </c:pt>
                </c:numCache>
              </c:numRef>
            </c:minus>
          </c:errBars>
          <c:yVal>
            <c:numRef>
              <c:f>'SHA to Known #'!$K$2:$K$27</c:f>
              <c:numCache>
                <c:formatCode>General</c:formatCode>
                <c:ptCount val="26"/>
                <c:pt idx="0">
                  <c:v>6.4888888888888885E-2</c:v>
                </c:pt>
                <c:pt idx="3">
                  <c:v>9.4E-2</c:v>
                </c:pt>
                <c:pt idx="4">
                  <c:v>5.8999999999999997E-2</c:v>
                </c:pt>
                <c:pt idx="5">
                  <c:v>7.6666666666666661E-2</c:v>
                </c:pt>
                <c:pt idx="8">
                  <c:v>6.1666666666666668E-2</c:v>
                </c:pt>
                <c:pt idx="11">
                  <c:v>7.5333333333333349E-2</c:v>
                </c:pt>
                <c:pt idx="14">
                  <c:v>5.3999999999999992E-2</c:v>
                </c:pt>
                <c:pt idx="17">
                  <c:v>6.3666666666666663E-2</c:v>
                </c:pt>
                <c:pt idx="20">
                  <c:v>9.0333333333333335E-2</c:v>
                </c:pt>
                <c:pt idx="23">
                  <c:v>6.5000000000000002E-2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35200"/>
        <c:axId val="76037120"/>
      </c:scatterChart>
      <c:valAx>
        <c:axId val="7603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Known</a:t>
                </a:r>
                <a:r>
                  <a:rPr lang="en-CA" baseline="0"/>
                  <a:t> # of copepods</a:t>
                </a:r>
                <a:endParaRPr lang="en-CA"/>
              </a:p>
            </c:rich>
          </c:tx>
          <c:overlay val="0"/>
        </c:title>
        <c:majorTickMark val="out"/>
        <c:minorTickMark val="none"/>
        <c:tickLblPos val="nextTo"/>
        <c:crossAx val="76037120"/>
        <c:crosses val="autoZero"/>
        <c:crossBetween val="midCat"/>
      </c:valAx>
      <c:valAx>
        <c:axId val="7603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auD1</a:t>
                </a:r>
                <a:r>
                  <a:rPr lang="en-CA" baseline="0"/>
                  <a:t> (450nm)</a:t>
                </a:r>
                <a:endParaRPr lang="en-CA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035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4.291272965879267E-2"/>
                  <c:y val="0.39333187518226898"/>
                </c:manualLayout>
              </c:layout>
              <c:numFmt formatCode="General" sourceLinked="0"/>
            </c:trendlineLbl>
          </c:trendline>
          <c:xVal>
            <c:strRef>
              <c:f>'SHA to Known #'!$M:$M</c:f>
              <c:strCache>
                <c:ptCount val="27"/>
                <c:pt idx="0">
                  <c:v># on filter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7</c:v>
                </c:pt>
                <c:pt idx="13">
                  <c:v>6</c:v>
                </c:pt>
                <c:pt idx="14">
                  <c:v>10</c:v>
                </c:pt>
                <c:pt idx="15">
                  <c:v>14</c:v>
                </c:pt>
                <c:pt idx="16">
                  <c:v>15</c:v>
                </c:pt>
                <c:pt idx="17">
                  <c:v>14</c:v>
                </c:pt>
                <c:pt idx="18">
                  <c:v>20</c:v>
                </c:pt>
                <c:pt idx="19">
                  <c:v>16</c:v>
                </c:pt>
                <c:pt idx="20">
                  <c:v>16</c:v>
                </c:pt>
                <c:pt idx="21">
                  <c:v>27</c:v>
                </c:pt>
                <c:pt idx="22">
                  <c:v>22</c:v>
                </c:pt>
                <c:pt idx="23">
                  <c:v>26</c:v>
                </c:pt>
                <c:pt idx="24">
                  <c:v>40</c:v>
                </c:pt>
                <c:pt idx="25">
                  <c:v>40</c:v>
                </c:pt>
                <c:pt idx="26">
                  <c:v>40</c:v>
                </c:pt>
              </c:strCache>
            </c:strRef>
          </c:xVal>
          <c:yVal>
            <c:numRef>
              <c:f>'SHA to Known #'!$C:$C</c:f>
              <c:numCache>
                <c:formatCode>General</c:formatCode>
                <c:ptCount val="1048576"/>
                <c:pt idx="0">
                  <c:v>0</c:v>
                </c:pt>
                <c:pt idx="4">
                  <c:v>0.112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0.11550000000000001</c:v>
                </c:pt>
                <c:pt idx="8">
                  <c:v>4.3999999999999997E-2</c:v>
                </c:pt>
                <c:pt idx="9">
                  <c:v>4.8000000000000001E-2</c:v>
                </c:pt>
                <c:pt idx="10">
                  <c:v>4.8000000000000001E-2</c:v>
                </c:pt>
                <c:pt idx="11">
                  <c:v>0.18099999999999999</c:v>
                </c:pt>
                <c:pt idx="12">
                  <c:v>0.14000000000000001</c:v>
                </c:pt>
                <c:pt idx="13">
                  <c:v>0.16649999999999998</c:v>
                </c:pt>
                <c:pt idx="14">
                  <c:v>0.13900000000000001</c:v>
                </c:pt>
                <c:pt idx="15">
                  <c:v>0.154</c:v>
                </c:pt>
                <c:pt idx="16">
                  <c:v>0.34100000000000003</c:v>
                </c:pt>
                <c:pt idx="17">
                  <c:v>0.17199999999999999</c:v>
                </c:pt>
                <c:pt idx="18">
                  <c:v>0.30099999999999999</c:v>
                </c:pt>
                <c:pt idx="19">
                  <c:v>0.2</c:v>
                </c:pt>
                <c:pt idx="20">
                  <c:v>0.16800000000000001</c:v>
                </c:pt>
                <c:pt idx="21">
                  <c:v>0.29099999999999998</c:v>
                </c:pt>
                <c:pt idx="22">
                  <c:v>0.36399999999999999</c:v>
                </c:pt>
                <c:pt idx="23">
                  <c:v>0.30299999999999999</c:v>
                </c:pt>
                <c:pt idx="24">
                  <c:v>0.32700000000000001</c:v>
                </c:pt>
                <c:pt idx="25">
                  <c:v>0.193</c:v>
                </c:pt>
                <c:pt idx="26">
                  <c:v>0.35799999999999998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75008"/>
        <c:axId val="76076928"/>
      </c:scatterChart>
      <c:valAx>
        <c:axId val="760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Copepods on filter</a:t>
                </a:r>
              </a:p>
            </c:rich>
          </c:tx>
          <c:overlay val="0"/>
        </c:title>
        <c:majorTickMark val="out"/>
        <c:minorTickMark val="none"/>
        <c:tickLblPos val="nextTo"/>
        <c:crossAx val="76076928"/>
        <c:crosses val="autoZero"/>
        <c:crossBetween val="midCat"/>
      </c:valAx>
      <c:valAx>
        <c:axId val="76076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Pod1951 SHA Signal (450nm)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075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14</xdr:row>
      <xdr:rowOff>4762</xdr:rowOff>
    </xdr:from>
    <xdr:to>
      <xdr:col>20</xdr:col>
      <xdr:colOff>609600</xdr:colOff>
      <xdr:row>28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66675</xdr:colOff>
      <xdr:row>14</xdr:row>
      <xdr:rowOff>4761</xdr:rowOff>
    </xdr:from>
    <xdr:to>
      <xdr:col>31</xdr:col>
      <xdr:colOff>152401</xdr:colOff>
      <xdr:row>28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19</xdr:row>
      <xdr:rowOff>33337</xdr:rowOff>
    </xdr:from>
    <xdr:to>
      <xdr:col>17</xdr:col>
      <xdr:colOff>495300</xdr:colOff>
      <xdr:row>33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390525</xdr:colOff>
      <xdr:row>0</xdr:row>
      <xdr:rowOff>142875</xdr:rowOff>
    </xdr:from>
    <xdr:to>
      <xdr:col>21</xdr:col>
      <xdr:colOff>504825</xdr:colOff>
      <xdr:row>15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295275</xdr:colOff>
      <xdr:row>0</xdr:row>
      <xdr:rowOff>57149</xdr:rowOff>
    </xdr:from>
    <xdr:to>
      <xdr:col>16</xdr:col>
      <xdr:colOff>104775</xdr:colOff>
      <xdr:row>13</xdr:row>
      <xdr:rowOff>66674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447675</xdr:colOff>
      <xdr:row>26</xdr:row>
      <xdr:rowOff>80962</xdr:rowOff>
    </xdr:from>
    <xdr:to>
      <xdr:col>14</xdr:col>
      <xdr:colOff>266700</xdr:colOff>
      <xdr:row>40</xdr:row>
      <xdr:rowOff>157162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480060</xdr:colOff>
      <xdr:row>0</xdr:row>
      <xdr:rowOff>0</xdr:rowOff>
    </xdr:from>
    <xdr:to>
      <xdr:col>21</xdr:col>
      <xdr:colOff>449580</xdr:colOff>
      <xdr:row>14</xdr:row>
      <xdr:rowOff>175260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22860</xdr:colOff>
      <xdr:row>14</xdr:row>
      <xdr:rowOff>30480</xdr:rowOff>
    </xdr:from>
    <xdr:to>
      <xdr:col>22</xdr:col>
      <xdr:colOff>327660</xdr:colOff>
      <xdr:row>29</xdr:row>
      <xdr:rowOff>30480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441960</xdr:colOff>
      <xdr:row>27</xdr:row>
      <xdr:rowOff>7620</xdr:rowOff>
    </xdr:from>
    <xdr:to>
      <xdr:col>10</xdr:col>
      <xdr:colOff>190500</xdr:colOff>
      <xdr:row>42</xdr:row>
      <xdr:rowOff>7620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53340</xdr:rowOff>
    </xdr:from>
    <xdr:to>
      <xdr:col>7</xdr:col>
      <xdr:colOff>571500</xdr:colOff>
      <xdr:row>31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312420</xdr:colOff>
      <xdr:row>12</xdr:row>
      <xdr:rowOff>121920</xdr:rowOff>
    </xdr:from>
    <xdr:to>
      <xdr:col>17</xdr:col>
      <xdr:colOff>335280</xdr:colOff>
      <xdr:row>29</xdr:row>
      <xdr:rowOff>121920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213360</xdr:colOff>
      <xdr:row>0</xdr:row>
      <xdr:rowOff>0</xdr:rowOff>
    </xdr:from>
    <xdr:to>
      <xdr:col>23</xdr:col>
      <xdr:colOff>518160</xdr:colOff>
      <xdr:row>15</xdr:row>
      <xdr:rowOff>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304800</xdr:colOff>
      <xdr:row>16</xdr:row>
      <xdr:rowOff>22860</xdr:rowOff>
    </xdr:from>
    <xdr:to>
      <xdr:col>23</xdr:col>
      <xdr:colOff>259080</xdr:colOff>
      <xdr:row>30</xdr:row>
      <xdr:rowOff>15240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403860</xdr:colOff>
      <xdr:row>0</xdr:row>
      <xdr:rowOff>0</xdr:rowOff>
    </xdr:from>
    <xdr:to>
      <xdr:col>21</xdr:col>
      <xdr:colOff>373380</xdr:colOff>
      <xdr:row>15</xdr:row>
      <xdr:rowOff>160020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15</xdr:row>
      <xdr:rowOff>99060</xdr:rowOff>
    </xdr:from>
    <xdr:to>
      <xdr:col>22</xdr:col>
      <xdr:colOff>114300</xdr:colOff>
      <xdr:row>30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1</xdr:row>
      <xdr:rowOff>133350</xdr:rowOff>
    </xdr:from>
    <xdr:to>
      <xdr:col>25</xdr:col>
      <xdr:colOff>215265</xdr:colOff>
      <xdr:row>33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3</xdr:row>
      <xdr:rowOff>57150</xdr:rowOff>
    </xdr:from>
    <xdr:to>
      <xdr:col>23</xdr:col>
      <xdr:colOff>304800</xdr:colOff>
      <xdr:row>28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9"/>
  <sheetViews>
    <sheetView workbookViewId="0">
      <selection activeCell="X13" sqref="X13"/>
    </sheetView>
  </sheetViews>
  <sheetFormatPr defaultRowHeight="15" x14ac:dyDescent="0.25"/>
  <cols>
    <col min="1" max="1" width="5.5703125" bestFit="1" customWidth="1"/>
    <col min="2" max="2" width="12.5703125" bestFit="1" customWidth="1"/>
    <col min="3" max="3" width="12" bestFit="1" customWidth="1"/>
    <col min="4" max="4" width="14" customWidth="1"/>
    <col min="5" max="13" width="2" bestFit="1" customWidth="1"/>
    <col min="14" max="20" width="3" bestFit="1" customWidth="1"/>
    <col min="21" max="21" width="12" bestFit="1" customWidth="1"/>
    <col min="22" max="22" width="3" bestFit="1" customWidth="1"/>
    <col min="23" max="26" width="12" bestFit="1" customWidth="1"/>
    <col min="27" max="27" width="7" bestFit="1" customWidth="1"/>
    <col min="28" max="33" width="12" bestFit="1" customWidth="1"/>
    <col min="34" max="34" width="8.28515625" bestFit="1" customWidth="1"/>
    <col min="35" max="38" width="3" bestFit="1" customWidth="1"/>
    <col min="39" max="39" width="12" bestFit="1" customWidth="1"/>
    <col min="40" max="42" width="3" bestFit="1" customWidth="1"/>
    <col min="43" max="43" width="12" bestFit="1" customWidth="1"/>
    <col min="44" max="54" width="3" bestFit="1" customWidth="1"/>
  </cols>
  <sheetData>
    <row r="2" spans="1:54" s="2" customFormat="1" x14ac:dyDescent="0.25">
      <c r="A2" s="2" t="s">
        <v>7</v>
      </c>
      <c r="B2" s="2" t="s">
        <v>5</v>
      </c>
      <c r="C2" s="2" t="s">
        <v>4</v>
      </c>
      <c r="D2" s="2" t="s">
        <v>6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">
        <v>19</v>
      </c>
      <c r="X2" s="2">
        <v>20</v>
      </c>
      <c r="Y2" s="2">
        <v>21</v>
      </c>
      <c r="Z2" s="2">
        <v>22</v>
      </c>
      <c r="AA2" s="2">
        <v>23</v>
      </c>
      <c r="AB2" s="2">
        <v>24</v>
      </c>
      <c r="AC2" s="2">
        <v>25</v>
      </c>
      <c r="AD2" s="2">
        <v>26</v>
      </c>
      <c r="AE2" s="2">
        <v>27</v>
      </c>
      <c r="AF2" s="2">
        <v>28</v>
      </c>
      <c r="AG2" s="2">
        <v>29</v>
      </c>
      <c r="AH2" s="2">
        <v>30</v>
      </c>
      <c r="AI2" s="2">
        <v>31</v>
      </c>
      <c r="AJ2" s="2">
        <v>32</v>
      </c>
      <c r="AK2" s="2">
        <v>33</v>
      </c>
      <c r="AL2" s="2">
        <v>34</v>
      </c>
      <c r="AM2" s="2">
        <v>35</v>
      </c>
      <c r="AN2" s="2">
        <v>36</v>
      </c>
      <c r="AO2" s="2">
        <v>37</v>
      </c>
      <c r="AP2" s="2">
        <v>38</v>
      </c>
      <c r="AQ2" s="2">
        <v>39</v>
      </c>
      <c r="AR2" s="2">
        <v>40</v>
      </c>
      <c r="AS2" s="2">
        <v>41</v>
      </c>
      <c r="AT2" s="2">
        <v>42</v>
      </c>
      <c r="AU2" s="2">
        <v>43</v>
      </c>
      <c r="AV2" s="2">
        <v>44</v>
      </c>
      <c r="AW2" s="2">
        <v>45</v>
      </c>
      <c r="AX2" s="2">
        <v>46</v>
      </c>
      <c r="AY2" s="2">
        <v>47</v>
      </c>
      <c r="AZ2" s="2">
        <v>48</v>
      </c>
      <c r="BA2" s="2">
        <v>49</v>
      </c>
      <c r="BB2" s="2">
        <v>50</v>
      </c>
    </row>
    <row r="3" spans="1:54" x14ac:dyDescent="0.25">
      <c r="A3" s="1" t="s">
        <v>2</v>
      </c>
    </row>
    <row r="4" spans="1:54" x14ac:dyDescent="0.25">
      <c r="A4" s="3" t="s">
        <v>3</v>
      </c>
    </row>
    <row r="5" spans="1:54" x14ac:dyDescent="0.25">
      <c r="A5" s="1">
        <v>1</v>
      </c>
      <c r="B5">
        <v>97.429000000000002</v>
      </c>
      <c r="C5">
        <v>93.782700580330911</v>
      </c>
      <c r="D5">
        <v>97.368200000000002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4.0000000000000002E-4</v>
      </c>
      <c r="W5">
        <v>1.6000000000000001E-3</v>
      </c>
      <c r="X5">
        <v>1E-3</v>
      </c>
      <c r="Y5">
        <v>1.9599999999999999E-2</v>
      </c>
      <c r="Z5">
        <v>3.7999999999999999E-2</v>
      </c>
      <c r="AA5">
        <v>0.14579999999999999</v>
      </c>
      <c r="AB5">
        <v>0.25880000000000003</v>
      </c>
      <c r="AC5">
        <v>0.19400000000000001</v>
      </c>
      <c r="AD5">
        <v>0.4048000000000001</v>
      </c>
      <c r="AE5">
        <v>0.55959999999999999</v>
      </c>
      <c r="AF5">
        <v>1.0946</v>
      </c>
      <c r="AG5">
        <v>1.5315999999999999</v>
      </c>
      <c r="AH5">
        <v>1.444</v>
      </c>
      <c r="AI5">
        <v>2.8782000000000001</v>
      </c>
      <c r="AJ5">
        <v>1.1568000000000001</v>
      </c>
      <c r="AK5">
        <v>0.58319999999999994</v>
      </c>
      <c r="AL5">
        <v>1.0720000000000001</v>
      </c>
      <c r="AM5">
        <v>1.9750000000000001</v>
      </c>
      <c r="AN5">
        <v>0</v>
      </c>
      <c r="AO5">
        <v>4.8574000000000002</v>
      </c>
      <c r="AP5">
        <v>7.2439999999999998</v>
      </c>
      <c r="AQ5">
        <v>13.319399999999998</v>
      </c>
      <c r="AR5">
        <v>20.896999999999998</v>
      </c>
      <c r="AS5">
        <v>37.751999999999995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</row>
    <row r="6" spans="1:54" x14ac:dyDescent="0.25">
      <c r="A6" s="1">
        <v>5</v>
      </c>
      <c r="B6">
        <v>18.139799999999997</v>
      </c>
      <c r="C6">
        <v>15.345670338567812</v>
      </c>
      <c r="D6">
        <v>18.080400000000001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2.0000000000000001E-4</v>
      </c>
      <c r="V6">
        <v>4.0000000000000002E-4</v>
      </c>
      <c r="W6">
        <v>1.4E-3</v>
      </c>
      <c r="X6">
        <v>5.8000000000000005E-3</v>
      </c>
      <c r="Y6">
        <v>5.7999999999999996E-3</v>
      </c>
      <c r="Z6">
        <v>4.4200000000000003E-2</v>
      </c>
      <c r="AA6">
        <v>7.2600000000000012E-2</v>
      </c>
      <c r="AB6">
        <v>0.1232</v>
      </c>
      <c r="AC6">
        <v>0.11219999999999999</v>
      </c>
      <c r="AD6">
        <v>0.16519999999999999</v>
      </c>
      <c r="AE6">
        <v>0.32060000000000005</v>
      </c>
      <c r="AF6">
        <v>0.28079999999999999</v>
      </c>
      <c r="AG6">
        <v>0.82020000000000004</v>
      </c>
      <c r="AH6">
        <v>0</v>
      </c>
      <c r="AI6">
        <v>0.22059999999999999</v>
      </c>
      <c r="AJ6">
        <v>0.46500000000000002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15.5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</row>
    <row r="7" spans="1:54" x14ac:dyDescent="0.25">
      <c r="A7" s="1">
        <v>10</v>
      </c>
      <c r="B7">
        <v>1.1835999999999998</v>
      </c>
      <c r="C7">
        <v>0.48847872010968918</v>
      </c>
      <c r="D7">
        <v>1.0116000000000001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4.0000000000000002E-4</v>
      </c>
      <c r="U7">
        <v>2.1999999999999997E-3</v>
      </c>
      <c r="V7">
        <v>2.8E-3</v>
      </c>
      <c r="W7">
        <v>7.7999999999999996E-3</v>
      </c>
      <c r="X7">
        <v>2.0200000000000003E-2</v>
      </c>
      <c r="Y7">
        <v>4.0999999999999995E-2</v>
      </c>
      <c r="Z7">
        <v>9.6400000000000013E-2</v>
      </c>
      <c r="AA7">
        <v>0.11740000000000002</v>
      </c>
      <c r="AB7">
        <v>6.2000000000000013E-2</v>
      </c>
      <c r="AC7">
        <v>0.17499999999999999</v>
      </c>
      <c r="AD7">
        <v>0.10740000000000001</v>
      </c>
      <c r="AE7">
        <v>0.16840000000000002</v>
      </c>
      <c r="AF7">
        <v>0.1038</v>
      </c>
      <c r="AG7">
        <v>0</v>
      </c>
      <c r="AH7">
        <v>0</v>
      </c>
      <c r="AI7">
        <v>0.27759999999999996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</row>
    <row r="8" spans="1:54" x14ac:dyDescent="0.25">
      <c r="A8" s="1">
        <v>15</v>
      </c>
      <c r="B8">
        <v>9.8311999999999991</v>
      </c>
      <c r="C8">
        <v>7.9428415154779444</v>
      </c>
      <c r="D8">
        <v>9.7333999999999996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2.0000000000000001E-4</v>
      </c>
      <c r="U8">
        <v>0</v>
      </c>
      <c r="V8">
        <v>8.0000000000000004E-4</v>
      </c>
      <c r="W8">
        <v>2E-3</v>
      </c>
      <c r="X8">
        <v>3.5999999999999999E-3</v>
      </c>
      <c r="Y8">
        <v>1.7999999999999999E-2</v>
      </c>
      <c r="Z8">
        <v>7.3200000000000015E-2</v>
      </c>
      <c r="AA8">
        <v>9.6599999999999991E-2</v>
      </c>
      <c r="AB8">
        <v>9.8999999999999991E-2</v>
      </c>
      <c r="AC8">
        <v>0.11200000000000002</v>
      </c>
      <c r="AD8">
        <v>0.28580000000000005</v>
      </c>
      <c r="AE8">
        <v>0.25659999999999999</v>
      </c>
      <c r="AF8">
        <v>0.15679999999999999</v>
      </c>
      <c r="AG8">
        <v>0.41600000000000004</v>
      </c>
      <c r="AH8">
        <v>0.13899999999999998</v>
      </c>
      <c r="AI8">
        <v>0</v>
      </c>
      <c r="AJ8">
        <v>0</v>
      </c>
      <c r="AK8">
        <v>0</v>
      </c>
      <c r="AL8">
        <v>0</v>
      </c>
      <c r="AM8">
        <v>0</v>
      </c>
      <c r="AN8">
        <v>2.9148000000000001</v>
      </c>
      <c r="AO8">
        <v>5.2568000000000001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</row>
    <row r="9" spans="1:54" x14ac:dyDescent="0.25">
      <c r="A9" s="1">
        <v>20</v>
      </c>
      <c r="B9">
        <v>16.365599999999997</v>
      </c>
      <c r="C9">
        <v>13.524467677509525</v>
      </c>
      <c r="D9">
        <v>16.276800000000001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4.0000000000000002E-4</v>
      </c>
      <c r="W9">
        <v>3.8E-3</v>
      </c>
      <c r="X9">
        <v>1.0200000000000001E-2</v>
      </c>
      <c r="Y9">
        <v>1.2800000000000001E-2</v>
      </c>
      <c r="Z9">
        <v>6.1800000000000008E-2</v>
      </c>
      <c r="AA9">
        <v>0.1028</v>
      </c>
      <c r="AB9">
        <v>0.13420000000000001</v>
      </c>
      <c r="AC9">
        <v>0.15539999999999998</v>
      </c>
      <c r="AD9">
        <v>0.15340000000000001</v>
      </c>
      <c r="AE9">
        <v>0.34420000000000001</v>
      </c>
      <c r="AF9">
        <v>0.31580000000000003</v>
      </c>
      <c r="AG9">
        <v>0.43180000000000007</v>
      </c>
      <c r="AH9">
        <v>0.15440000000000001</v>
      </c>
      <c r="AI9">
        <v>0.55320000000000003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13.9316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</row>
    <row r="10" spans="1:54" x14ac:dyDescent="0.25">
      <c r="A10" s="1">
        <v>30</v>
      </c>
      <c r="B10">
        <v>12.418666666666667</v>
      </c>
      <c r="C10">
        <v>6.385794790870678</v>
      </c>
      <c r="D10">
        <v>12.087333333333333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1.3333333333333333E-3</v>
      </c>
      <c r="W10">
        <v>5.6666666666666671E-3</v>
      </c>
      <c r="X10">
        <v>1.2000000000000002E-2</v>
      </c>
      <c r="Y10">
        <v>2.2000000000000002E-2</v>
      </c>
      <c r="Z10">
        <v>9.2666666666666675E-2</v>
      </c>
      <c r="AA10">
        <v>0.19600000000000004</v>
      </c>
      <c r="AB10">
        <v>0.21466666666666664</v>
      </c>
      <c r="AC10">
        <v>0.24299999999999999</v>
      </c>
      <c r="AD10">
        <v>0.35266666666666668</v>
      </c>
      <c r="AE10">
        <v>0.22666666666666666</v>
      </c>
      <c r="AF10">
        <v>0.46066666666666672</v>
      </c>
      <c r="AG10">
        <v>0.99433333333333318</v>
      </c>
      <c r="AH10">
        <v>0</v>
      </c>
      <c r="AI10">
        <v>0.87466666666666659</v>
      </c>
      <c r="AJ10">
        <v>0</v>
      </c>
      <c r="AK10">
        <v>2.904666666666667</v>
      </c>
      <c r="AL10">
        <v>0</v>
      </c>
      <c r="AM10">
        <v>0</v>
      </c>
      <c r="AN10">
        <v>5.8159999999999998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</row>
    <row r="11" spans="1:54" x14ac:dyDescent="0.25">
      <c r="A11" s="1">
        <v>50</v>
      </c>
      <c r="B11">
        <v>2.0386666666666668</v>
      </c>
      <c r="C11">
        <v>1.7012446750671832</v>
      </c>
      <c r="D11">
        <v>1.5939999999999999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3.3333333333333332E-4</v>
      </c>
      <c r="S11">
        <v>3.3333333333333332E-4</v>
      </c>
      <c r="T11">
        <v>1.3333333333333333E-3</v>
      </c>
      <c r="U11">
        <v>4.6666666666666671E-3</v>
      </c>
      <c r="V11">
        <v>1.2333333333333335E-2</v>
      </c>
      <c r="W11">
        <v>3.1666666666666669E-2</v>
      </c>
      <c r="X11">
        <v>7.5666666666666674E-2</v>
      </c>
      <c r="Y11">
        <v>0.12000000000000001</v>
      </c>
      <c r="Z11">
        <v>0.19700000000000004</v>
      </c>
      <c r="AA11">
        <v>0.24233333333333337</v>
      </c>
      <c r="AB11">
        <v>0.18600000000000003</v>
      </c>
      <c r="AC11">
        <v>0.25366666666666665</v>
      </c>
      <c r="AD11">
        <v>7.1999999999999995E-2</v>
      </c>
      <c r="AE11">
        <v>0.13033333333333333</v>
      </c>
      <c r="AF11">
        <v>8.4000000000000005E-2</v>
      </c>
      <c r="AG11">
        <v>0</v>
      </c>
      <c r="AH11">
        <v>0</v>
      </c>
      <c r="AI11">
        <v>0</v>
      </c>
      <c r="AJ11">
        <v>0.6256666666666667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</row>
    <row r="27" spans="33:34" x14ac:dyDescent="0.25">
      <c r="AH27" s="4"/>
    </row>
    <row r="28" spans="33:34" x14ac:dyDescent="0.25">
      <c r="AG28" s="4"/>
    </row>
    <row r="29" spans="33:34" x14ac:dyDescent="0.25">
      <c r="AG29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"/>
  <sheetViews>
    <sheetView workbookViewId="0">
      <selection activeCell="V24" sqref="V24"/>
    </sheetView>
  </sheetViews>
  <sheetFormatPr defaultRowHeight="15" x14ac:dyDescent="0.25"/>
  <cols>
    <col min="1" max="1" width="13.85546875" bestFit="1" customWidth="1"/>
    <col min="2" max="2" width="8.85546875" bestFit="1" customWidth="1"/>
    <col min="3" max="11" width="2" bestFit="1" customWidth="1"/>
    <col min="12" max="19" width="3" bestFit="1" customWidth="1"/>
    <col min="20" max="35" width="6" bestFit="1" customWidth="1"/>
    <col min="36" max="37" width="3" bestFit="1" customWidth="1"/>
    <col min="38" max="39" width="7" bestFit="1" customWidth="1"/>
    <col min="40" max="40" width="3" bestFit="1" customWidth="1"/>
    <col min="41" max="41" width="8" bestFit="1" customWidth="1"/>
    <col min="42" max="52" width="3" bestFit="1" customWidth="1"/>
  </cols>
  <sheetData>
    <row r="1" spans="1:52" ht="14.25" customHeight="1" x14ac:dyDescent="0.25">
      <c r="A1">
        <v>0.15</v>
      </c>
      <c r="B1">
        <f>SUM(C1:AZ1)</f>
        <v>198.22299999999998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4.0000000000000001E-3</v>
      </c>
      <c r="U1">
        <v>1.3999999999999999E-2</v>
      </c>
      <c r="V1">
        <v>3.3000000000000002E-2</v>
      </c>
      <c r="W1">
        <v>0.06</v>
      </c>
      <c r="X1">
        <v>5.7999999999999996E-2</v>
      </c>
      <c r="Y1">
        <v>0.215</v>
      </c>
      <c r="Z1">
        <v>0.43299999999999994</v>
      </c>
      <c r="AA1">
        <v>0.31900000000000001</v>
      </c>
      <c r="AB1">
        <v>0.53900000000000003</v>
      </c>
      <c r="AC1">
        <v>0.90600000000000014</v>
      </c>
      <c r="AD1">
        <v>1.5310000000000001</v>
      </c>
      <c r="AE1">
        <v>0.4</v>
      </c>
      <c r="AF1">
        <v>1.4969999999999999</v>
      </c>
      <c r="AG1">
        <v>0</v>
      </c>
      <c r="AH1">
        <v>5.0069999999999997</v>
      </c>
      <c r="AI1">
        <v>3.0009999999999999</v>
      </c>
      <c r="AJ1">
        <v>0</v>
      </c>
      <c r="AK1">
        <v>0</v>
      </c>
      <c r="AL1">
        <v>19.678999999999998</v>
      </c>
      <c r="AM1">
        <v>0</v>
      </c>
      <c r="AN1">
        <v>0</v>
      </c>
      <c r="AO1">
        <v>164.52699999999999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</row>
    <row r="2" spans="1:52" x14ac:dyDescent="0.25">
      <c r="A2">
        <v>0.18</v>
      </c>
      <c r="B2">
        <f t="shared" ref="B2:B8" si="0">SUM(C2:AZ2)</f>
        <v>176.56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2E-3</v>
      </c>
      <c r="U2">
        <v>6.0000000000000001E-3</v>
      </c>
      <c r="V2">
        <v>1.2E-2</v>
      </c>
      <c r="W2">
        <v>2.7999999999999997E-2</v>
      </c>
      <c r="X2">
        <v>8.1000000000000003E-2</v>
      </c>
      <c r="Y2">
        <v>0.18</v>
      </c>
      <c r="Z2">
        <v>0.26300000000000001</v>
      </c>
      <c r="AA2">
        <v>5.3999999999999999E-2</v>
      </c>
      <c r="AB2">
        <v>0.55900000000000005</v>
      </c>
      <c r="AC2">
        <v>1.196</v>
      </c>
      <c r="AD2">
        <v>0.318</v>
      </c>
      <c r="AE2">
        <v>1.397</v>
      </c>
      <c r="AF2">
        <v>2.2439999999999998</v>
      </c>
      <c r="AG2">
        <v>0</v>
      </c>
      <c r="AH2">
        <v>6.5209999999999999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163.69900000000001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</row>
    <row r="3" spans="1:52" x14ac:dyDescent="0.25">
      <c r="A3">
        <v>0.2</v>
      </c>
      <c r="B3">
        <f t="shared" si="0"/>
        <v>171.32900000000001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6.0000000000000001E-3</v>
      </c>
      <c r="W3">
        <v>2.7999999999999997E-2</v>
      </c>
      <c r="X3">
        <v>6.6000000000000003E-2</v>
      </c>
      <c r="Y3">
        <v>0.17299999999999999</v>
      </c>
      <c r="Z3">
        <v>8.299999999999999E-2</v>
      </c>
      <c r="AA3">
        <v>0.128</v>
      </c>
      <c r="AB3">
        <v>0.442</v>
      </c>
      <c r="AC3">
        <v>1.0169999999999999</v>
      </c>
      <c r="AD3">
        <v>0.89300000000000002</v>
      </c>
      <c r="AE3">
        <v>1.0009999999999999</v>
      </c>
      <c r="AF3">
        <v>0.69599999999999995</v>
      </c>
      <c r="AG3">
        <v>0</v>
      </c>
      <c r="AH3">
        <v>4.1719999999999997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162.624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</row>
    <row r="4" spans="1:52" x14ac:dyDescent="0.25">
      <c r="A4">
        <v>0.22</v>
      </c>
      <c r="B4">
        <f t="shared" si="0"/>
        <v>151.43700000000001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6.0000000000000001E-3</v>
      </c>
      <c r="W4">
        <v>1.8000000000000002E-2</v>
      </c>
      <c r="X4">
        <v>0.03</v>
      </c>
      <c r="Y4">
        <v>0.14699999999999999</v>
      </c>
      <c r="Z4">
        <v>3.6999999999999998E-2</v>
      </c>
      <c r="AA4">
        <v>8.7999999999999995E-2</v>
      </c>
      <c r="AB4">
        <v>0.48399999999999999</v>
      </c>
      <c r="AC4">
        <v>0.65700000000000003</v>
      </c>
      <c r="AD4">
        <v>0.55000000000000004</v>
      </c>
      <c r="AE4">
        <v>0.83499999999999996</v>
      </c>
      <c r="AF4">
        <v>1.56</v>
      </c>
      <c r="AG4">
        <v>0</v>
      </c>
      <c r="AH4">
        <v>2.1019999999999999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144.923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</row>
    <row r="5" spans="1:52" x14ac:dyDescent="0.25">
      <c r="A5">
        <v>0.25</v>
      </c>
      <c r="B5">
        <f t="shared" si="0"/>
        <v>105.57499999999999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3.0000000000000001E-3</v>
      </c>
      <c r="V5">
        <v>6.0000000000000001E-3</v>
      </c>
      <c r="W5">
        <v>8.9999999999999993E-3</v>
      </c>
      <c r="X5">
        <v>1.2999999999999999E-2</v>
      </c>
      <c r="Y5">
        <v>6.8000000000000005E-2</v>
      </c>
      <c r="Z5">
        <v>3.4000000000000002E-2</v>
      </c>
      <c r="AA5">
        <v>0.38</v>
      </c>
      <c r="AB5">
        <v>0.26100000000000001</v>
      </c>
      <c r="AC5">
        <v>0.623</v>
      </c>
      <c r="AD5">
        <v>0.97399999999999998</v>
      </c>
      <c r="AE5">
        <v>0</v>
      </c>
      <c r="AF5">
        <v>0.72099999999999997</v>
      </c>
      <c r="AG5">
        <v>1.0609999999999999</v>
      </c>
      <c r="AH5">
        <v>0</v>
      </c>
      <c r="AI5">
        <v>4.6210000000000004</v>
      </c>
      <c r="AJ5">
        <v>0</v>
      </c>
      <c r="AK5">
        <v>0</v>
      </c>
      <c r="AL5">
        <v>0</v>
      </c>
      <c r="AM5">
        <v>21.177</v>
      </c>
      <c r="AN5">
        <v>0</v>
      </c>
      <c r="AO5">
        <v>75.623999999999995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</row>
    <row r="6" spans="1:52" x14ac:dyDescent="0.25">
      <c r="A6">
        <v>0.3</v>
      </c>
      <c r="B6">
        <f t="shared" si="0"/>
        <v>3.8140000000000001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3.0000000000000001E-3</v>
      </c>
      <c r="V6">
        <v>0</v>
      </c>
      <c r="W6">
        <v>0</v>
      </c>
      <c r="X6">
        <v>3.5999999999999997E-2</v>
      </c>
      <c r="Y6">
        <v>8.6000000000000007E-2</v>
      </c>
      <c r="Z6">
        <v>0.14199999999999999</v>
      </c>
      <c r="AA6">
        <v>0.14199999999999999</v>
      </c>
      <c r="AB6">
        <v>0.246</v>
      </c>
      <c r="AC6">
        <v>0.42000000000000004</v>
      </c>
      <c r="AD6">
        <v>0.67300000000000004</v>
      </c>
      <c r="AE6">
        <v>0</v>
      </c>
      <c r="AF6">
        <v>0</v>
      </c>
      <c r="AG6">
        <v>0</v>
      </c>
      <c r="AH6">
        <v>2.0659999999999998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</row>
    <row r="7" spans="1:52" x14ac:dyDescent="0.25">
      <c r="A7">
        <v>0.35</v>
      </c>
      <c r="B7">
        <f t="shared" si="0"/>
        <v>3.8140000000000001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3.0000000000000001E-3</v>
      </c>
      <c r="V7">
        <v>0</v>
      </c>
      <c r="W7">
        <v>0</v>
      </c>
      <c r="X7">
        <v>3.5999999999999997E-2</v>
      </c>
      <c r="Y7">
        <v>8.6000000000000007E-2</v>
      </c>
      <c r="Z7">
        <v>0.14199999999999999</v>
      </c>
      <c r="AA7">
        <v>0.14199999999999999</v>
      </c>
      <c r="AB7">
        <v>0.246</v>
      </c>
      <c r="AC7">
        <v>0.42000000000000004</v>
      </c>
      <c r="AD7">
        <v>0.67300000000000004</v>
      </c>
      <c r="AE7">
        <v>0</v>
      </c>
      <c r="AF7">
        <v>0</v>
      </c>
      <c r="AG7">
        <v>0</v>
      </c>
      <c r="AH7">
        <v>2.0659999999999998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</row>
    <row r="8" spans="1:52" x14ac:dyDescent="0.25">
      <c r="A8">
        <v>0.4</v>
      </c>
      <c r="B8">
        <f t="shared" si="0"/>
        <v>0.27100000000000002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1.2999999999999999E-2</v>
      </c>
      <c r="Y8">
        <v>2.9000000000000001E-2</v>
      </c>
      <c r="Z8">
        <v>4.1000000000000002E-2</v>
      </c>
      <c r="AA8">
        <v>0.08</v>
      </c>
      <c r="AB8">
        <v>0.108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</row>
    <row r="9" spans="1:52" x14ac:dyDescent="0.25">
      <c r="A9" t="s">
        <v>0</v>
      </c>
      <c r="B9" t="s">
        <v>1</v>
      </c>
      <c r="C9">
        <v>1</v>
      </c>
      <c r="D9">
        <v>2</v>
      </c>
      <c r="E9">
        <v>3</v>
      </c>
      <c r="F9">
        <v>4</v>
      </c>
      <c r="G9">
        <v>5</v>
      </c>
      <c r="H9">
        <v>6</v>
      </c>
      <c r="I9">
        <v>7</v>
      </c>
      <c r="J9">
        <v>8</v>
      </c>
      <c r="K9">
        <v>9</v>
      </c>
      <c r="L9">
        <v>10</v>
      </c>
      <c r="M9">
        <v>11</v>
      </c>
      <c r="N9">
        <v>12</v>
      </c>
      <c r="O9">
        <v>13</v>
      </c>
      <c r="P9">
        <v>14</v>
      </c>
      <c r="Q9">
        <v>15</v>
      </c>
      <c r="R9">
        <v>16</v>
      </c>
      <c r="S9">
        <v>17</v>
      </c>
      <c r="T9">
        <v>18</v>
      </c>
      <c r="U9">
        <v>19</v>
      </c>
      <c r="V9">
        <v>20</v>
      </c>
      <c r="W9">
        <v>21</v>
      </c>
      <c r="X9">
        <v>22</v>
      </c>
      <c r="Y9">
        <v>23</v>
      </c>
      <c r="Z9">
        <v>24</v>
      </c>
      <c r="AA9">
        <v>25</v>
      </c>
      <c r="AB9">
        <v>26</v>
      </c>
      <c r="AC9">
        <v>27</v>
      </c>
      <c r="AD9">
        <v>28</v>
      </c>
      <c r="AE9">
        <v>29</v>
      </c>
      <c r="AF9">
        <v>30</v>
      </c>
      <c r="AG9">
        <v>31</v>
      </c>
      <c r="AH9">
        <v>32</v>
      </c>
      <c r="AI9">
        <v>33</v>
      </c>
      <c r="AJ9">
        <v>34</v>
      </c>
      <c r="AK9">
        <v>35</v>
      </c>
      <c r="AL9">
        <v>36</v>
      </c>
      <c r="AM9">
        <v>37</v>
      </c>
      <c r="AN9">
        <v>38</v>
      </c>
      <c r="AO9">
        <v>39</v>
      </c>
      <c r="AP9">
        <v>40</v>
      </c>
      <c r="AQ9">
        <v>41</v>
      </c>
      <c r="AR9">
        <v>42</v>
      </c>
      <c r="AS9">
        <v>43</v>
      </c>
      <c r="AT9">
        <v>44</v>
      </c>
      <c r="AU9">
        <v>45</v>
      </c>
      <c r="AV9">
        <v>46</v>
      </c>
      <c r="AW9">
        <v>47</v>
      </c>
      <c r="AX9">
        <v>48</v>
      </c>
      <c r="AY9">
        <v>49</v>
      </c>
      <c r="AZ9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4"/>
  <sheetViews>
    <sheetView workbookViewId="0">
      <pane ySplit="1" topLeftCell="A2" activePane="bottomLeft" state="frozen"/>
      <selection pane="bottomLeft" activeCell="S40" sqref="S40"/>
    </sheetView>
  </sheetViews>
  <sheetFormatPr defaultRowHeight="15" x14ac:dyDescent="0.25"/>
  <cols>
    <col min="1" max="1" width="9.42578125" customWidth="1"/>
    <col min="2" max="2" width="7.5703125" bestFit="1" customWidth="1"/>
    <col min="3" max="3" width="8.85546875" bestFit="1" customWidth="1"/>
    <col min="4" max="4" width="4.42578125" bestFit="1" customWidth="1"/>
    <col min="5" max="12" width="2" bestFit="1" customWidth="1"/>
    <col min="13" max="16" width="3" bestFit="1" customWidth="1"/>
    <col min="17" max="33" width="6" bestFit="1" customWidth="1"/>
    <col min="34" max="34" width="7" bestFit="1" customWidth="1"/>
    <col min="35" max="36" width="6" bestFit="1" customWidth="1"/>
    <col min="37" max="37" width="5" bestFit="1" customWidth="1"/>
    <col min="38" max="38" width="6" bestFit="1" customWidth="1"/>
    <col min="39" max="40" width="7" bestFit="1" customWidth="1"/>
    <col min="41" max="41" width="6" bestFit="1" customWidth="1"/>
    <col min="42" max="42" width="7" bestFit="1" customWidth="1"/>
    <col min="43" max="43" width="8" bestFit="1" customWidth="1"/>
    <col min="44" max="44" width="7" bestFit="1" customWidth="1"/>
    <col min="45" max="53" width="3" bestFit="1" customWidth="1"/>
    <col min="54" max="54" width="1.42578125" customWidth="1"/>
    <col min="55" max="55" width="7.5703125" bestFit="1" customWidth="1"/>
  </cols>
  <sheetData>
    <row r="1" spans="1:53" x14ac:dyDescent="0.25">
      <c r="A1" t="s">
        <v>8</v>
      </c>
      <c r="B1" t="s">
        <v>7</v>
      </c>
      <c r="C1" t="s">
        <v>1</v>
      </c>
      <c r="D1" t="s">
        <v>9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  <c r="AL1">
        <v>35</v>
      </c>
      <c r="AM1">
        <v>36</v>
      </c>
      <c r="AN1">
        <v>37</v>
      </c>
      <c r="AO1">
        <v>38</v>
      </c>
      <c r="AP1">
        <v>39</v>
      </c>
      <c r="AQ1">
        <v>40</v>
      </c>
      <c r="AR1">
        <v>41</v>
      </c>
      <c r="AS1">
        <v>42</v>
      </c>
      <c r="AT1">
        <v>43</v>
      </c>
      <c r="AU1">
        <v>44</v>
      </c>
      <c r="AV1">
        <v>45</v>
      </c>
      <c r="AW1">
        <v>46</v>
      </c>
      <c r="AX1">
        <v>47</v>
      </c>
      <c r="AY1">
        <v>48</v>
      </c>
      <c r="AZ1">
        <v>49</v>
      </c>
      <c r="BA1">
        <v>50</v>
      </c>
    </row>
    <row r="2" spans="1:53" x14ac:dyDescent="0.25">
      <c r="A2">
        <v>1</v>
      </c>
      <c r="B2" t="s">
        <v>10</v>
      </c>
      <c r="C2">
        <v>1.0610000000000002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4.0000000000000001E-3</v>
      </c>
      <c r="W2">
        <v>0</v>
      </c>
      <c r="X2">
        <v>2.0999999999999998E-2</v>
      </c>
      <c r="Y2">
        <v>4.8000000000000001E-2</v>
      </c>
      <c r="Z2">
        <v>0.109</v>
      </c>
      <c r="AA2">
        <v>0.128</v>
      </c>
      <c r="AB2">
        <v>6.8000000000000005E-2</v>
      </c>
      <c r="AC2">
        <v>0.1</v>
      </c>
      <c r="AD2">
        <v>0.58399999999999996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x14ac:dyDescent="0.25">
      <c r="A3">
        <v>1</v>
      </c>
      <c r="B3" t="s">
        <v>11</v>
      </c>
      <c r="C3">
        <v>10.695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8.9999999999999993E-3</v>
      </c>
      <c r="Y3">
        <v>1.7000000000000001E-2</v>
      </c>
      <c r="Z3">
        <v>4.7E-2</v>
      </c>
      <c r="AA3">
        <v>0.125</v>
      </c>
      <c r="AB3">
        <v>0</v>
      </c>
      <c r="AC3">
        <v>0</v>
      </c>
      <c r="AD3">
        <v>0</v>
      </c>
      <c r="AE3">
        <v>0.623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9.875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x14ac:dyDescent="0.25">
      <c r="A4">
        <v>1</v>
      </c>
      <c r="B4" t="s">
        <v>12</v>
      </c>
      <c r="C4">
        <v>1.613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0.02</v>
      </c>
      <c r="Y4">
        <v>1.2999999999999999E-2</v>
      </c>
      <c r="Z4">
        <v>8.6999999999999994E-2</v>
      </c>
      <c r="AA4">
        <v>4.2000000000000003E-2</v>
      </c>
      <c r="AB4">
        <v>0</v>
      </c>
      <c r="AC4">
        <v>0</v>
      </c>
      <c r="AD4">
        <v>0</v>
      </c>
      <c r="AE4">
        <v>0</v>
      </c>
      <c r="AF4">
        <v>0.44700000000000001</v>
      </c>
      <c r="AG4">
        <v>1.0049999999999999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x14ac:dyDescent="0.25">
      <c r="A5">
        <v>4</v>
      </c>
      <c r="B5" t="s">
        <v>13</v>
      </c>
      <c r="C5">
        <v>0.75499999999999989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4.0000000000000001E-3</v>
      </c>
      <c r="W5">
        <v>1.0999999999999999E-2</v>
      </c>
      <c r="X5">
        <v>0</v>
      </c>
      <c r="Y5">
        <v>1.7999999999999999E-2</v>
      </c>
      <c r="Z5">
        <v>7.1000000000000008E-2</v>
      </c>
      <c r="AA5">
        <v>0.122</v>
      </c>
      <c r="AB5">
        <v>0.21999999999999997</v>
      </c>
      <c r="AC5">
        <v>9.6000000000000002E-2</v>
      </c>
      <c r="AD5">
        <v>0.21099999999999999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 x14ac:dyDescent="0.25">
      <c r="A6">
        <v>6</v>
      </c>
      <c r="B6" t="s">
        <v>14</v>
      </c>
      <c r="C6">
        <v>79.196999999999989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1E-3</v>
      </c>
      <c r="U6">
        <v>0</v>
      </c>
      <c r="V6">
        <v>0</v>
      </c>
      <c r="W6">
        <v>6.0000000000000001E-3</v>
      </c>
      <c r="X6">
        <v>1.7999999999999999E-2</v>
      </c>
      <c r="Y6">
        <v>4.4999999999999998E-2</v>
      </c>
      <c r="Z6">
        <v>0.10200000000000001</v>
      </c>
      <c r="AA6">
        <v>0.11800000000000002</v>
      </c>
      <c r="AB6">
        <v>8.3000000000000004E-2</v>
      </c>
      <c r="AC6">
        <v>0.28299999999999997</v>
      </c>
      <c r="AD6">
        <v>0.189</v>
      </c>
      <c r="AE6">
        <v>0.375</v>
      </c>
      <c r="AF6">
        <v>0.47399999999999998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77.5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x14ac:dyDescent="0.25">
      <c r="A7">
        <v>5</v>
      </c>
      <c r="B7" t="s">
        <v>15</v>
      </c>
      <c r="C7">
        <v>1.7069999999999996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3.0000000000000001E-3</v>
      </c>
      <c r="W7">
        <v>6.0000000000000001E-3</v>
      </c>
      <c r="X7">
        <v>1.0999999999999999E-2</v>
      </c>
      <c r="Y7">
        <v>0.10400000000000001</v>
      </c>
      <c r="Z7">
        <v>0.14199999999999999</v>
      </c>
      <c r="AA7">
        <v>0.11899999999999999</v>
      </c>
      <c r="AB7">
        <v>0.128</v>
      </c>
      <c r="AC7">
        <v>0.11899999999999999</v>
      </c>
      <c r="AD7">
        <v>0.218</v>
      </c>
      <c r="AE7">
        <v>0.27600000000000002</v>
      </c>
      <c r="AF7">
        <v>0.58099999999999996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x14ac:dyDescent="0.25">
      <c r="A8">
        <v>6</v>
      </c>
      <c r="B8" t="s">
        <v>16</v>
      </c>
      <c r="C8">
        <v>0.54900000000000004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5.0000000000000001E-3</v>
      </c>
      <c r="X8">
        <v>1.0999999999999999E-2</v>
      </c>
      <c r="Y8">
        <v>1.4999999999999999E-2</v>
      </c>
      <c r="Z8">
        <v>2.8000000000000001E-2</v>
      </c>
      <c r="AA8">
        <v>0.10500000000000001</v>
      </c>
      <c r="AB8">
        <v>0.28499999999999998</v>
      </c>
      <c r="AC8">
        <v>9.8000000000000004E-2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x14ac:dyDescent="0.25">
      <c r="A9">
        <v>10</v>
      </c>
      <c r="B9" t="s">
        <v>17</v>
      </c>
      <c r="C9">
        <v>0.32200000000000001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3.0000000000000001E-3</v>
      </c>
      <c r="W9">
        <v>0</v>
      </c>
      <c r="X9">
        <v>2.3E-2</v>
      </c>
      <c r="Y9">
        <v>3.1E-2</v>
      </c>
      <c r="Z9">
        <v>0.14199999999999999</v>
      </c>
      <c r="AA9">
        <v>0</v>
      </c>
      <c r="AB9">
        <v>0</v>
      </c>
      <c r="AC9">
        <v>0.123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 x14ac:dyDescent="0.25">
      <c r="A10">
        <v>12</v>
      </c>
      <c r="B10" t="s">
        <v>18</v>
      </c>
      <c r="C10">
        <v>1.103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1E-3</v>
      </c>
      <c r="T10">
        <v>0</v>
      </c>
      <c r="U10">
        <v>4.0000000000000001E-3</v>
      </c>
      <c r="V10">
        <v>0.01</v>
      </c>
      <c r="W10">
        <v>1.0999999999999999E-2</v>
      </c>
      <c r="X10">
        <v>1.7999999999999999E-2</v>
      </c>
      <c r="Y10">
        <v>7.2999999999999995E-2</v>
      </c>
      <c r="Z10">
        <v>7.1000000000000008E-2</v>
      </c>
      <c r="AA10">
        <v>0.159</v>
      </c>
      <c r="AB10">
        <v>6.0999999999999999E-2</v>
      </c>
      <c r="AC10">
        <v>9.4E-2</v>
      </c>
      <c r="AD10">
        <v>0.32200000000000001</v>
      </c>
      <c r="AE10">
        <v>0.27700000000000002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x14ac:dyDescent="0.25">
      <c r="A11">
        <v>20</v>
      </c>
      <c r="B11" t="s">
        <v>19</v>
      </c>
      <c r="C11">
        <v>70.383999999999986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1.9E-2</v>
      </c>
      <c r="X11">
        <v>0</v>
      </c>
      <c r="Y11">
        <v>0.10400000000000001</v>
      </c>
      <c r="Z11">
        <v>0.129</v>
      </c>
      <c r="AA11">
        <v>0.20100000000000001</v>
      </c>
      <c r="AB11">
        <v>0.129</v>
      </c>
      <c r="AC11">
        <v>0.14499999999999999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69.658000000000001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25">
      <c r="A12">
        <v>18</v>
      </c>
      <c r="B12" t="s">
        <v>20</v>
      </c>
      <c r="C12">
        <v>3.165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5.0000000000000001E-3</v>
      </c>
      <c r="X12">
        <v>1.9E-2</v>
      </c>
      <c r="Y12">
        <v>0.02</v>
      </c>
      <c r="Z12">
        <v>0.1</v>
      </c>
      <c r="AA12">
        <v>0.17099999999999999</v>
      </c>
      <c r="AB12">
        <v>0.193</v>
      </c>
      <c r="AC12">
        <v>0.11700000000000001</v>
      </c>
      <c r="AD12">
        <v>0.371</v>
      </c>
      <c r="AE12">
        <v>0.66999999999999993</v>
      </c>
      <c r="AF12">
        <v>0.39800000000000002</v>
      </c>
      <c r="AG12">
        <v>0</v>
      </c>
      <c r="AH12">
        <v>1.101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x14ac:dyDescent="0.25">
      <c r="A13">
        <v>22</v>
      </c>
      <c r="B13" t="s">
        <v>21</v>
      </c>
      <c r="C13">
        <v>4.0049999999999999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2E-3</v>
      </c>
      <c r="V13">
        <v>1.2E-2</v>
      </c>
      <c r="W13">
        <v>1.6E-2</v>
      </c>
      <c r="X13">
        <v>1.7999999999999999E-2</v>
      </c>
      <c r="Y13">
        <v>0.11</v>
      </c>
      <c r="Z13">
        <v>0.18899999999999997</v>
      </c>
      <c r="AA13">
        <v>7.8E-2</v>
      </c>
      <c r="AB13">
        <v>0.21400000000000002</v>
      </c>
      <c r="AC13">
        <v>0.41000000000000003</v>
      </c>
      <c r="AD13">
        <v>0.53400000000000003</v>
      </c>
      <c r="AE13">
        <v>0.66</v>
      </c>
      <c r="AF13">
        <v>1.7610000000000001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25">
      <c r="A14">
        <v>30</v>
      </c>
      <c r="B14" t="s">
        <v>22</v>
      </c>
      <c r="C14">
        <v>23.935999999999996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4.0000000000000001E-3</v>
      </c>
      <c r="V14">
        <v>0</v>
      </c>
      <c r="W14">
        <v>2.2000000000000002E-2</v>
      </c>
      <c r="X14">
        <v>3.5000000000000003E-2</v>
      </c>
      <c r="Y14">
        <v>0.13800000000000001</v>
      </c>
      <c r="Z14">
        <v>0.34700000000000009</v>
      </c>
      <c r="AA14">
        <v>0.28999999999999998</v>
      </c>
      <c r="AB14">
        <v>0.38400000000000001</v>
      </c>
      <c r="AC14">
        <v>0.48</v>
      </c>
      <c r="AD14">
        <v>0.30599999999999999</v>
      </c>
      <c r="AE14">
        <v>1.1380000000000001</v>
      </c>
      <c r="AF14">
        <v>1.9929999999999999</v>
      </c>
      <c r="AG14">
        <v>0</v>
      </c>
      <c r="AH14">
        <v>1.349</v>
      </c>
      <c r="AI14">
        <v>0</v>
      </c>
      <c r="AJ14">
        <v>0</v>
      </c>
      <c r="AK14">
        <v>0</v>
      </c>
      <c r="AL14">
        <v>0</v>
      </c>
      <c r="AM14">
        <v>17.448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x14ac:dyDescent="0.25">
      <c r="A15">
        <v>30</v>
      </c>
      <c r="B15" t="s">
        <v>23</v>
      </c>
      <c r="C15">
        <v>11.440000000000001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7.0000000000000001E-3</v>
      </c>
      <c r="W15">
        <v>7.0000000000000001E-3</v>
      </c>
      <c r="X15">
        <v>3.1E-2</v>
      </c>
      <c r="Y15">
        <v>0.106</v>
      </c>
      <c r="Z15">
        <v>7.2999999999999995E-2</v>
      </c>
      <c r="AA15">
        <v>0.35399999999999998</v>
      </c>
      <c r="AB15">
        <v>5.6000000000000001E-2</v>
      </c>
      <c r="AC15">
        <v>0.48399999999999999</v>
      </c>
      <c r="AD15">
        <v>0.374</v>
      </c>
      <c r="AE15">
        <v>0.24399999999999999</v>
      </c>
      <c r="AF15">
        <v>0.99</v>
      </c>
      <c r="AG15">
        <v>0</v>
      </c>
      <c r="AH15">
        <v>0</v>
      </c>
      <c r="AI15">
        <v>0</v>
      </c>
      <c r="AJ15">
        <v>8.7140000000000004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25">
      <c r="A16">
        <v>30</v>
      </c>
      <c r="B16" t="s">
        <v>24</v>
      </c>
      <c r="C16">
        <v>1.88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0.01</v>
      </c>
      <c r="W16">
        <v>7.0000000000000001E-3</v>
      </c>
      <c r="X16">
        <v>0</v>
      </c>
      <c r="Y16">
        <v>3.4000000000000002E-2</v>
      </c>
      <c r="Z16">
        <v>0.16800000000000001</v>
      </c>
      <c r="AA16">
        <v>0</v>
      </c>
      <c r="AB16">
        <v>0.28899999999999998</v>
      </c>
      <c r="AC16">
        <v>9.4E-2</v>
      </c>
      <c r="AD16">
        <v>0</v>
      </c>
      <c r="AE16">
        <v>0</v>
      </c>
      <c r="AF16">
        <v>0</v>
      </c>
      <c r="AG16">
        <v>0</v>
      </c>
      <c r="AH16">
        <v>1.2749999999999999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x14ac:dyDescent="0.25">
      <c r="A17">
        <v>50</v>
      </c>
      <c r="B17" t="s">
        <v>25</v>
      </c>
      <c r="C17">
        <v>0.57000000000000006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3.0000000000000001E-3</v>
      </c>
      <c r="V17">
        <v>3.0000000000000001E-3</v>
      </c>
      <c r="W17">
        <v>5.0000000000000001E-3</v>
      </c>
      <c r="X17">
        <v>8.9999999999999993E-3</v>
      </c>
      <c r="Y17">
        <v>1.4999999999999999E-2</v>
      </c>
      <c r="Z17">
        <v>0.10100000000000001</v>
      </c>
      <c r="AA17">
        <v>0.17199999999999999</v>
      </c>
      <c r="AB17">
        <v>0.14000000000000001</v>
      </c>
      <c r="AC17">
        <v>0.12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25">
      <c r="A18">
        <v>50</v>
      </c>
      <c r="B18" t="s">
        <v>26</v>
      </c>
      <c r="C18">
        <v>0.115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3.0000000000000001E-3</v>
      </c>
      <c r="W18">
        <v>0</v>
      </c>
      <c r="X18">
        <v>1.0999999999999999E-2</v>
      </c>
      <c r="Y18">
        <v>3.4000000000000002E-2</v>
      </c>
      <c r="Z18">
        <v>2.8000000000000001E-2</v>
      </c>
      <c r="AA18">
        <v>3.6999999999999998E-2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 x14ac:dyDescent="0.25">
      <c r="A19">
        <v>50</v>
      </c>
      <c r="B19" t="s">
        <v>27</v>
      </c>
      <c r="C19">
        <v>5.6870000000000003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1E-3</v>
      </c>
      <c r="R19">
        <v>1E-3</v>
      </c>
      <c r="S19">
        <v>4.0000000000000001E-3</v>
      </c>
      <c r="T19">
        <v>1.4E-2</v>
      </c>
      <c r="U19">
        <v>3.4000000000000002E-2</v>
      </c>
      <c r="V19">
        <v>8.8999999999999996E-2</v>
      </c>
      <c r="W19">
        <v>0.222</v>
      </c>
      <c r="X19">
        <v>0.34</v>
      </c>
      <c r="Y19">
        <v>0.54200000000000004</v>
      </c>
      <c r="Z19">
        <v>0.59800000000000009</v>
      </c>
      <c r="AA19">
        <v>0.39400000000000002</v>
      </c>
      <c r="AB19">
        <v>0.621</v>
      </c>
      <c r="AC19">
        <v>9.6000000000000002E-2</v>
      </c>
      <c r="AD19">
        <v>0.60199999999999998</v>
      </c>
      <c r="AE19">
        <v>0.252</v>
      </c>
      <c r="AF19">
        <v>0</v>
      </c>
      <c r="AG19">
        <v>0</v>
      </c>
      <c r="AH19">
        <v>0</v>
      </c>
      <c r="AI19">
        <v>1.877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x14ac:dyDescent="0.25">
      <c r="A20">
        <v>20</v>
      </c>
      <c r="B20" t="s">
        <v>28</v>
      </c>
      <c r="C20">
        <v>478.79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8.0000000000000002E-3</v>
      </c>
      <c r="W20">
        <v>5.0000000000000001E-3</v>
      </c>
      <c r="X20">
        <v>2.7E-2</v>
      </c>
      <c r="Y20">
        <v>0.112</v>
      </c>
      <c r="Z20">
        <v>0.33300000000000002</v>
      </c>
      <c r="AA20">
        <v>0.46199999999999991</v>
      </c>
      <c r="AB20">
        <v>0.88900000000000001</v>
      </c>
      <c r="AC20">
        <v>2.0300000000000002</v>
      </c>
      <c r="AD20">
        <v>2.032</v>
      </c>
      <c r="AE20">
        <v>4.5839999999999996</v>
      </c>
      <c r="AF20">
        <v>6.2509999999999994</v>
      </c>
      <c r="AG20">
        <v>5.3789999999999996</v>
      </c>
      <c r="AH20">
        <v>15.888</v>
      </c>
      <c r="AI20">
        <v>7.8120000000000012</v>
      </c>
      <c r="AJ20">
        <v>7.2669999999999995</v>
      </c>
      <c r="AK20">
        <v>5.36</v>
      </c>
      <c r="AL20">
        <v>0</v>
      </c>
      <c r="AM20">
        <v>0</v>
      </c>
      <c r="AN20">
        <v>24.286999999999999</v>
      </c>
      <c r="AO20">
        <v>36.22</v>
      </c>
      <c r="AP20">
        <v>66.596999999999994</v>
      </c>
      <c r="AQ20">
        <v>104.485</v>
      </c>
      <c r="AR20">
        <v>188.76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x14ac:dyDescent="0.25">
      <c r="A21">
        <v>5</v>
      </c>
      <c r="B21" t="s">
        <v>29</v>
      </c>
      <c r="C21">
        <v>8.91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2E-3</v>
      </c>
      <c r="V21">
        <v>0</v>
      </c>
      <c r="W21">
        <v>6.0000000000000001E-3</v>
      </c>
      <c r="X21">
        <v>0</v>
      </c>
      <c r="Y21">
        <v>5.3999999999999999E-2</v>
      </c>
      <c r="Z21">
        <v>4.8000000000000001E-2</v>
      </c>
      <c r="AA21">
        <v>0.25700000000000001</v>
      </c>
      <c r="AB21">
        <v>0</v>
      </c>
      <c r="AC21">
        <v>0.32799999999999996</v>
      </c>
      <c r="AD21">
        <v>0.9850000000000001</v>
      </c>
      <c r="AE21">
        <v>0.753</v>
      </c>
      <c r="AF21">
        <v>3.0459999999999998</v>
      </c>
      <c r="AG21">
        <v>0</v>
      </c>
      <c r="AH21">
        <v>1.103</v>
      </c>
      <c r="AI21">
        <v>2.3250000000000002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x14ac:dyDescent="0.25">
      <c r="A22">
        <v>4</v>
      </c>
      <c r="B22" t="s">
        <v>30</v>
      </c>
      <c r="C22">
        <v>0.13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0.13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x14ac:dyDescent="0.25">
      <c r="A23">
        <v>8</v>
      </c>
      <c r="B23" t="s">
        <v>31</v>
      </c>
      <c r="C23">
        <v>2.4309999999999996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4.0000000000000001E-3</v>
      </c>
      <c r="W23">
        <v>7.0000000000000001E-3</v>
      </c>
      <c r="X23">
        <v>2.0999999999999998E-2</v>
      </c>
      <c r="Y23">
        <v>3.4000000000000002E-2</v>
      </c>
      <c r="Z23">
        <v>7.6999999999999999E-2</v>
      </c>
      <c r="AA23">
        <v>4.2000000000000003E-2</v>
      </c>
      <c r="AB23">
        <v>0.11899999999999999</v>
      </c>
      <c r="AC23">
        <v>0.218</v>
      </c>
      <c r="AD23">
        <v>0</v>
      </c>
      <c r="AE23">
        <v>0.51900000000000002</v>
      </c>
      <c r="AF23">
        <v>0</v>
      </c>
      <c r="AG23">
        <v>0</v>
      </c>
      <c r="AH23">
        <v>1.3879999999999999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x14ac:dyDescent="0.25">
      <c r="A24">
        <v>10</v>
      </c>
      <c r="B24" t="s">
        <v>32</v>
      </c>
      <c r="C24">
        <v>2.3180000000000001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2E-3</v>
      </c>
      <c r="T24">
        <v>1.0999999999999999E-2</v>
      </c>
      <c r="U24">
        <v>1.4E-2</v>
      </c>
      <c r="V24">
        <v>2.8000000000000001E-2</v>
      </c>
      <c r="W24">
        <v>8.4000000000000005E-2</v>
      </c>
      <c r="X24">
        <v>0.15</v>
      </c>
      <c r="Y24">
        <v>0.35900000000000004</v>
      </c>
      <c r="Z24">
        <v>0.23</v>
      </c>
      <c r="AA24">
        <v>0.126</v>
      </c>
      <c r="AB24">
        <v>0.47100000000000003</v>
      </c>
      <c r="AC24">
        <v>0</v>
      </c>
      <c r="AD24">
        <v>0.84200000000000008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 x14ac:dyDescent="0.25">
      <c r="A25">
        <v>14</v>
      </c>
      <c r="B25" t="s">
        <v>33</v>
      </c>
      <c r="C25">
        <v>3.2869999999999999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7.0000000000000001E-3</v>
      </c>
      <c r="X25">
        <v>3.2000000000000001E-2</v>
      </c>
      <c r="Y25">
        <v>8.1000000000000003E-2</v>
      </c>
      <c r="Z25">
        <v>0.11</v>
      </c>
      <c r="AA25">
        <v>4.2999999999999997E-2</v>
      </c>
      <c r="AB25">
        <v>0.192</v>
      </c>
      <c r="AC25">
        <v>0.25800000000000001</v>
      </c>
      <c r="AD25">
        <v>0</v>
      </c>
      <c r="AE25">
        <v>0.247</v>
      </c>
      <c r="AF25">
        <v>1.623</v>
      </c>
      <c r="AG25">
        <v>0.69499999999999995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 x14ac:dyDescent="0.25">
      <c r="A26">
        <v>10</v>
      </c>
      <c r="B26" t="s">
        <v>34</v>
      </c>
      <c r="C26">
        <v>41.547999999999995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1.7999999999999999E-2</v>
      </c>
      <c r="Y26">
        <v>6.8000000000000005E-2</v>
      </c>
      <c r="Z26">
        <v>0.106</v>
      </c>
      <c r="AA26">
        <v>0.21599999999999997</v>
      </c>
      <c r="AB26">
        <v>0.14500000000000002</v>
      </c>
      <c r="AC26">
        <v>0.13600000000000001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14.574</v>
      </c>
      <c r="AN26">
        <v>26.283999999999999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 x14ac:dyDescent="0.25">
      <c r="A27">
        <v>20</v>
      </c>
      <c r="B27" t="s">
        <v>35</v>
      </c>
      <c r="C27">
        <v>0.10099999999999999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1.9E-2</v>
      </c>
      <c r="Y27">
        <v>1.4E-2</v>
      </c>
      <c r="Z27">
        <v>0</v>
      </c>
      <c r="AA27">
        <v>0</v>
      </c>
      <c r="AB27">
        <v>6.9000000000000006E-2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x14ac:dyDescent="0.25">
      <c r="A28">
        <v>15</v>
      </c>
      <c r="B28" t="s">
        <v>36</v>
      </c>
      <c r="C28">
        <v>4.173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7.0000000000000001E-3</v>
      </c>
      <c r="W28">
        <v>1.0999999999999999E-2</v>
      </c>
      <c r="X28">
        <v>8.0000000000000002E-3</v>
      </c>
      <c r="Y28">
        <v>6.0999999999999999E-2</v>
      </c>
      <c r="Z28">
        <v>9.6000000000000002E-2</v>
      </c>
      <c r="AA28">
        <v>0.22099999999999997</v>
      </c>
      <c r="AB28">
        <v>0.17199999999999999</v>
      </c>
      <c r="AC28">
        <v>9.5000000000000001E-2</v>
      </c>
      <c r="AD28">
        <v>0.81599999999999995</v>
      </c>
      <c r="AE28">
        <v>0.249</v>
      </c>
      <c r="AF28">
        <v>0</v>
      </c>
      <c r="AG28">
        <v>0.77200000000000002</v>
      </c>
      <c r="AH28">
        <v>1.665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 x14ac:dyDescent="0.25">
      <c r="A29">
        <v>5</v>
      </c>
      <c r="B29" t="s">
        <v>37</v>
      </c>
      <c r="C29">
        <v>4.7E-2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4.7E-2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 x14ac:dyDescent="0.25">
      <c r="A30">
        <v>1</v>
      </c>
      <c r="B30" t="s">
        <v>38</v>
      </c>
      <c r="C30">
        <v>184.89200000000002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5.0000000000000001E-3</v>
      </c>
      <c r="X30">
        <v>0</v>
      </c>
      <c r="Y30">
        <v>5.5999999999999994E-2</v>
      </c>
      <c r="Z30">
        <v>8.8999999999999996E-2</v>
      </c>
      <c r="AA30">
        <v>4.7E-2</v>
      </c>
      <c r="AB30">
        <v>0.45900000000000002</v>
      </c>
      <c r="AC30">
        <v>1.9649999999999999</v>
      </c>
      <c r="AD30">
        <v>2.2650000000000001</v>
      </c>
      <c r="AE30">
        <v>2.38</v>
      </c>
      <c r="AF30">
        <v>5.6829999999999998</v>
      </c>
      <c r="AG30">
        <v>6.1280000000000001</v>
      </c>
      <c r="AH30">
        <v>18.738</v>
      </c>
      <c r="AI30">
        <v>25.684000000000001</v>
      </c>
      <c r="AJ30">
        <v>61.262999999999998</v>
      </c>
      <c r="AK30">
        <v>27.292999999999999</v>
      </c>
      <c r="AL30">
        <v>19.283999999999999</v>
      </c>
      <c r="AM30">
        <v>13.557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 x14ac:dyDescent="0.25">
      <c r="A31">
        <v>2</v>
      </c>
      <c r="B31" t="s">
        <v>39</v>
      </c>
      <c r="C31">
        <v>5.9619999999999997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7.3999999999999996E-2</v>
      </c>
      <c r="AA31">
        <v>0.153</v>
      </c>
      <c r="AB31">
        <v>0.25700000000000001</v>
      </c>
      <c r="AC31">
        <v>8.8999999999999996E-2</v>
      </c>
      <c r="AD31">
        <v>0.189</v>
      </c>
      <c r="AE31">
        <v>0</v>
      </c>
      <c r="AF31">
        <v>0.53500000000000003</v>
      </c>
      <c r="AG31">
        <v>0</v>
      </c>
      <c r="AH31">
        <v>0</v>
      </c>
      <c r="AI31">
        <v>0</v>
      </c>
      <c r="AJ31">
        <v>4.665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x14ac:dyDescent="0.25">
      <c r="A32">
        <v>0</v>
      </c>
      <c r="B32" t="s">
        <v>40</v>
      </c>
      <c r="C32">
        <v>4.0469999999999997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0.01</v>
      </c>
      <c r="Y32">
        <v>0</v>
      </c>
      <c r="Z32">
        <v>4.5999999999999999E-2</v>
      </c>
      <c r="AA32">
        <v>0.08</v>
      </c>
      <c r="AB32">
        <v>0</v>
      </c>
      <c r="AC32">
        <v>0.27100000000000002</v>
      </c>
      <c r="AD32">
        <v>0.56899999999999995</v>
      </c>
      <c r="AE32">
        <v>0</v>
      </c>
      <c r="AF32">
        <v>0</v>
      </c>
      <c r="AG32">
        <v>1.431</v>
      </c>
      <c r="AH32">
        <v>1.64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 x14ac:dyDescent="0.25">
      <c r="A33">
        <v>3</v>
      </c>
      <c r="B33" t="s">
        <v>41</v>
      </c>
      <c r="C33">
        <v>2.2200000000000002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5.0000000000000001E-3</v>
      </c>
      <c r="X33">
        <v>0</v>
      </c>
      <c r="Y33">
        <v>1.4E-2</v>
      </c>
      <c r="Z33">
        <v>0</v>
      </c>
      <c r="AA33">
        <v>0.16700000000000001</v>
      </c>
      <c r="AB33">
        <v>1.1949999999999998</v>
      </c>
      <c r="AC33">
        <v>0.83899999999999997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 x14ac:dyDescent="0.25">
      <c r="A34">
        <v>1</v>
      </c>
      <c r="B34" t="s">
        <v>42</v>
      </c>
      <c r="C34">
        <v>0.13600000000000001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2.1000000000000001E-2</v>
      </c>
      <c r="AA34">
        <v>0</v>
      </c>
      <c r="AB34">
        <v>0</v>
      </c>
      <c r="AC34">
        <v>0.115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7"/>
  <sheetViews>
    <sheetView workbookViewId="0">
      <selection activeCell="I1" sqref="I1:I1048576"/>
    </sheetView>
  </sheetViews>
  <sheetFormatPr defaultRowHeight="15" x14ac:dyDescent="0.25"/>
  <cols>
    <col min="3" max="3" width="11" bestFit="1" customWidth="1"/>
    <col min="4" max="5" width="12" bestFit="1" customWidth="1"/>
    <col min="6" max="7" width="10" bestFit="1" customWidth="1"/>
    <col min="9" max="9" width="13" customWidth="1"/>
    <col min="10" max="12" width="10" bestFit="1" customWidth="1"/>
    <col min="14" max="15" width="10" bestFit="1" customWidth="1"/>
  </cols>
  <sheetData>
    <row r="1" spans="1:9" x14ac:dyDescent="0.25">
      <c r="B1" t="s">
        <v>7</v>
      </c>
      <c r="C1" t="s">
        <v>43</v>
      </c>
      <c r="D1" t="s">
        <v>48</v>
      </c>
      <c r="E1" t="s">
        <v>4</v>
      </c>
      <c r="F1" t="s">
        <v>47</v>
      </c>
      <c r="G1" t="s">
        <v>54</v>
      </c>
      <c r="H1" t="s">
        <v>55</v>
      </c>
    </row>
    <row r="2" spans="1:9" x14ac:dyDescent="0.25">
      <c r="A2" t="s">
        <v>44</v>
      </c>
      <c r="B2">
        <v>50</v>
      </c>
      <c r="C2">
        <v>258637876.3199999</v>
      </c>
      <c r="D2">
        <f>AVERAGE(C2:C4)</f>
        <v>110867556.3033333</v>
      </c>
      <c r="E2">
        <f>(STDEV(C2:C4))/SQRT(3)</f>
        <v>73920888.406756923</v>
      </c>
      <c r="F2">
        <v>774348.41999999993</v>
      </c>
      <c r="G2">
        <f>AVERAGE(F2:F4)</f>
        <v>608313.14000000013</v>
      </c>
      <c r="H2">
        <f>(STDEV(F2:F4))/SQRT(3)</f>
        <v>83110.272615501279</v>
      </c>
    </row>
    <row r="3" spans="1:9" x14ac:dyDescent="0.25">
      <c r="A3" t="s">
        <v>45</v>
      </c>
      <c r="B3">
        <v>50</v>
      </c>
      <c r="C3">
        <v>40962675.200000025</v>
      </c>
      <c r="F3">
        <v>518500.90000000026</v>
      </c>
    </row>
    <row r="4" spans="1:9" x14ac:dyDescent="0.25">
      <c r="A4" t="s">
        <v>46</v>
      </c>
      <c r="B4">
        <v>50</v>
      </c>
      <c r="C4">
        <v>33002117.389999986</v>
      </c>
      <c r="F4">
        <v>532090.10000000021</v>
      </c>
    </row>
    <row r="5" spans="1:9" x14ac:dyDescent="0.25">
      <c r="A5" t="s">
        <v>44</v>
      </c>
      <c r="B5">
        <v>30</v>
      </c>
      <c r="C5">
        <v>141594697.79999995</v>
      </c>
      <c r="D5">
        <f>AVERAGE(C5:C7)</f>
        <v>117485811.04333329</v>
      </c>
      <c r="E5">
        <f>(STDEV(C5:C7))/SQRT(3)</f>
        <v>27647945.54756036</v>
      </c>
      <c r="F5">
        <v>652200.22000000009</v>
      </c>
      <c r="G5">
        <f t="shared" ref="G5:G26" si="0">AVERAGE(F5:F7)</f>
        <v>598346.15333333355</v>
      </c>
      <c r="H5">
        <f t="shared" ref="H5:H26" si="1">(STDEV(F5:F7))/SQRT(3)</f>
        <v>102719.15555481652</v>
      </c>
    </row>
    <row r="6" spans="1:9" x14ac:dyDescent="0.25">
      <c r="A6" t="s">
        <v>45</v>
      </c>
      <c r="B6">
        <v>30</v>
      </c>
      <c r="C6">
        <v>62334988.890000068</v>
      </c>
      <c r="F6">
        <v>399726.14000000019</v>
      </c>
    </row>
    <row r="7" spans="1:9" x14ac:dyDescent="0.25">
      <c r="A7" t="s">
        <v>46</v>
      </c>
      <c r="B7">
        <v>30</v>
      </c>
      <c r="C7">
        <v>148527746.43999982</v>
      </c>
      <c r="F7">
        <v>743112.10000000033</v>
      </c>
    </row>
    <row r="8" spans="1:9" x14ac:dyDescent="0.25">
      <c r="A8" t="s">
        <v>44</v>
      </c>
      <c r="B8">
        <v>20</v>
      </c>
      <c r="C8">
        <v>18208363.180000007</v>
      </c>
      <c r="D8">
        <f>AVERAGE(C8:C10)</f>
        <v>100539372.56</v>
      </c>
      <c r="E8">
        <f>(STDEV(C8:C10))/SQRT(3)</f>
        <v>58170242.613056771</v>
      </c>
      <c r="F8">
        <v>323660.5799999999</v>
      </c>
      <c r="G8">
        <f t="shared" si="0"/>
        <v>426081.63999999972</v>
      </c>
      <c r="H8">
        <f t="shared" si="1"/>
        <v>71699.347934610836</v>
      </c>
      <c r="I8" s="4"/>
    </row>
    <row r="9" spans="1:9" x14ac:dyDescent="0.25">
      <c r="A9" t="s">
        <v>45</v>
      </c>
      <c r="B9">
        <v>20</v>
      </c>
      <c r="C9">
        <v>212891498.52000001</v>
      </c>
      <c r="F9">
        <v>564210.71999999951</v>
      </c>
    </row>
    <row r="10" spans="1:9" x14ac:dyDescent="0.25">
      <c r="A10" t="s">
        <v>46</v>
      </c>
      <c r="B10">
        <v>20</v>
      </c>
      <c r="C10">
        <v>70518255.980000004</v>
      </c>
      <c r="F10">
        <v>390373.61999999982</v>
      </c>
    </row>
    <row r="11" spans="1:9" x14ac:dyDescent="0.25">
      <c r="A11" t="s">
        <v>44</v>
      </c>
      <c r="B11">
        <v>15</v>
      </c>
      <c r="C11">
        <v>6854598.9899999956</v>
      </c>
      <c r="D11">
        <f>AVERAGE(C11:C13)</f>
        <v>11056951.489999996</v>
      </c>
      <c r="E11">
        <f>(STDEV(C11:C13))/SQRT(3)</f>
        <v>3687389.7240118347</v>
      </c>
      <c r="F11">
        <v>195342.68000000011</v>
      </c>
      <c r="G11">
        <f t="shared" si="0"/>
        <v>236359.8866666668</v>
      </c>
      <c r="H11">
        <f t="shared" si="1"/>
        <v>37586.468142213896</v>
      </c>
    </row>
    <row r="12" spans="1:9" x14ac:dyDescent="0.25">
      <c r="A12" t="s">
        <v>45</v>
      </c>
      <c r="B12">
        <v>15</v>
      </c>
      <c r="C12">
        <v>18406527.879999995</v>
      </c>
      <c r="F12">
        <v>311425.06000000035</v>
      </c>
    </row>
    <row r="13" spans="1:9" x14ac:dyDescent="0.25">
      <c r="A13" t="s">
        <v>46</v>
      </c>
      <c r="B13">
        <v>15</v>
      </c>
      <c r="C13">
        <v>7909727.6000000034</v>
      </c>
      <c r="F13">
        <v>202311.91999999998</v>
      </c>
    </row>
    <row r="14" spans="1:9" x14ac:dyDescent="0.25">
      <c r="A14" t="s">
        <v>44</v>
      </c>
      <c r="B14">
        <v>10</v>
      </c>
      <c r="C14">
        <v>9660336.179999996</v>
      </c>
      <c r="D14">
        <f>AVERAGE(C14:C16)</f>
        <v>80855234.093333289</v>
      </c>
      <c r="E14">
        <f>(STDEV(C14:C16))/SQRT(3)</f>
        <v>39487057.182107024</v>
      </c>
      <c r="F14">
        <v>226124.44000000006</v>
      </c>
      <c r="G14">
        <f t="shared" si="0"/>
        <v>374176.24000000005</v>
      </c>
      <c r="H14">
        <f t="shared" si="1"/>
        <v>75925.593930988296</v>
      </c>
    </row>
    <row r="15" spans="1:9" x14ac:dyDescent="0.25">
      <c r="A15" t="s">
        <v>45</v>
      </c>
      <c r="B15">
        <v>10</v>
      </c>
      <c r="C15">
        <v>86852886.799999982</v>
      </c>
      <c r="F15">
        <v>418968.8400000002</v>
      </c>
      <c r="I15" s="4"/>
    </row>
    <row r="16" spans="1:9" x14ac:dyDescent="0.25">
      <c r="A16" t="s">
        <v>46</v>
      </c>
      <c r="B16">
        <v>10</v>
      </c>
      <c r="C16">
        <v>146052479.29999986</v>
      </c>
      <c r="F16">
        <v>477435.43999999994</v>
      </c>
    </row>
    <row r="17" spans="1:9" x14ac:dyDescent="0.25">
      <c r="A17" t="s">
        <v>44</v>
      </c>
      <c r="B17">
        <v>5</v>
      </c>
      <c r="C17">
        <v>522239.80000000005</v>
      </c>
      <c r="D17">
        <f>AVERAGE(C17:C19)</f>
        <v>1887195.2800000003</v>
      </c>
      <c r="E17">
        <f>(STDEV(C17:C19))/SQRT(3)</f>
        <v>1288123.2621844229</v>
      </c>
      <c r="F17">
        <v>20308.599999999999</v>
      </c>
      <c r="G17">
        <f t="shared" si="0"/>
        <v>41837.006666666683</v>
      </c>
      <c r="H17">
        <f t="shared" si="1"/>
        <v>19122.391610417835</v>
      </c>
    </row>
    <row r="18" spans="1:9" x14ac:dyDescent="0.25">
      <c r="A18" t="s">
        <v>45</v>
      </c>
      <c r="B18">
        <v>5</v>
      </c>
      <c r="C18">
        <v>4461882.580000001</v>
      </c>
      <c r="F18">
        <v>79976.260000000053</v>
      </c>
    </row>
    <row r="19" spans="1:9" x14ac:dyDescent="0.25">
      <c r="A19" t="s">
        <v>46</v>
      </c>
      <c r="B19">
        <v>5</v>
      </c>
      <c r="C19">
        <v>677463.46000000008</v>
      </c>
      <c r="F19">
        <v>25226.160000000007</v>
      </c>
    </row>
    <row r="20" spans="1:9" x14ac:dyDescent="0.25">
      <c r="A20" t="s">
        <v>44</v>
      </c>
      <c r="B20">
        <v>1</v>
      </c>
      <c r="C20">
        <v>936754.4600000002</v>
      </c>
      <c r="D20">
        <f>AVERAGE(C20:C22)</f>
        <v>1767177.6066666662</v>
      </c>
      <c r="E20">
        <f>(STDEV(C20:C22))/SQRT(3)</f>
        <v>724808.84130229254</v>
      </c>
      <c r="F20">
        <v>28265.66</v>
      </c>
      <c r="G20">
        <f t="shared" si="0"/>
        <v>37816.486666666671</v>
      </c>
      <c r="H20">
        <f t="shared" si="1"/>
        <v>7334.0685311345278</v>
      </c>
    </row>
    <row r="21" spans="1:9" x14ac:dyDescent="0.25">
      <c r="A21" t="s">
        <v>45</v>
      </c>
      <c r="B21">
        <v>1</v>
      </c>
      <c r="C21">
        <v>1153388.8799999997</v>
      </c>
      <c r="F21">
        <v>32950.740000000005</v>
      </c>
    </row>
    <row r="22" spans="1:9" x14ac:dyDescent="0.25">
      <c r="A22" t="s">
        <v>46</v>
      </c>
      <c r="B22">
        <v>1</v>
      </c>
      <c r="C22">
        <v>3211389.4799999991</v>
      </c>
      <c r="F22">
        <v>52233.060000000005</v>
      </c>
    </row>
    <row r="23" spans="1:9" x14ac:dyDescent="0.25">
      <c r="A23" t="s">
        <v>44</v>
      </c>
      <c r="B23">
        <v>0</v>
      </c>
      <c r="C23">
        <v>1622231.1799999997</v>
      </c>
      <c r="D23">
        <f>AVERAGE(C23:C25)</f>
        <v>1053692.4133333333</v>
      </c>
      <c r="E23">
        <f>(STDEV(C23:C25))/SQRT(3)</f>
        <v>308787.76896167418</v>
      </c>
      <c r="F23">
        <v>40636.679999999993</v>
      </c>
      <c r="G23">
        <f t="shared" si="0"/>
        <v>31782.613333333331</v>
      </c>
      <c r="H23">
        <f t="shared" si="1"/>
        <v>4914.9094804052838</v>
      </c>
    </row>
    <row r="24" spans="1:9" x14ac:dyDescent="0.25">
      <c r="A24" t="s">
        <v>45</v>
      </c>
      <c r="B24">
        <v>0</v>
      </c>
      <c r="C24">
        <v>560563.24</v>
      </c>
      <c r="F24">
        <v>23657.859999999997</v>
      </c>
    </row>
    <row r="25" spans="1:9" x14ac:dyDescent="0.25">
      <c r="A25" t="s">
        <v>46</v>
      </c>
      <c r="B25">
        <v>0</v>
      </c>
      <c r="C25">
        <v>978282.82</v>
      </c>
      <c r="F25">
        <v>31053.3</v>
      </c>
    </row>
    <row r="26" spans="1:9" x14ac:dyDescent="0.25">
      <c r="A26" t="s">
        <v>49</v>
      </c>
      <c r="B26">
        <v>0</v>
      </c>
      <c r="C26">
        <v>1952818.4</v>
      </c>
      <c r="D26">
        <f>AVERAGE(C26:C28)</f>
        <v>1132774.8400000001</v>
      </c>
      <c r="E26">
        <f>(STDEV(C26:C28))/SQRT(3)</f>
        <v>411981.12299012387</v>
      </c>
      <c r="F26">
        <v>45224.919999999991</v>
      </c>
      <c r="G26">
        <f t="shared" si="0"/>
        <v>30730.74</v>
      </c>
      <c r="H26">
        <f t="shared" si="1"/>
        <v>7247.6412883364947</v>
      </c>
    </row>
    <row r="27" spans="1:9" x14ac:dyDescent="0.25">
      <c r="A27" t="s">
        <v>50</v>
      </c>
      <c r="B27">
        <v>0</v>
      </c>
      <c r="C27">
        <v>653242.22</v>
      </c>
      <c r="F27">
        <v>23328.82</v>
      </c>
    </row>
    <row r="28" spans="1:9" x14ac:dyDescent="0.25">
      <c r="A28" t="s">
        <v>51</v>
      </c>
      <c r="B28">
        <v>0</v>
      </c>
      <c r="C28">
        <v>792263.89999999991</v>
      </c>
      <c r="F28">
        <v>23638.480000000003</v>
      </c>
    </row>
    <row r="29" spans="1:9" x14ac:dyDescent="0.25">
      <c r="A29" t="s">
        <v>52</v>
      </c>
      <c r="B29">
        <v>0</v>
      </c>
      <c r="C29">
        <v>1258725.2</v>
      </c>
      <c r="D29">
        <f>AVERAGE(C29:C33)</f>
        <v>730139.75</v>
      </c>
      <c r="E29">
        <f>(STDEV(C29:C33))/SQRT(2)</f>
        <v>528585.44999999984</v>
      </c>
      <c r="F29">
        <v>36048.460000000006</v>
      </c>
      <c r="G29">
        <f>AVERAGE(F29:F30)</f>
        <v>20076.400000000001</v>
      </c>
      <c r="H29">
        <f>(STDEV(F29:F31))/SQRT(2)</f>
        <v>15972.060000000003</v>
      </c>
    </row>
    <row r="30" spans="1:9" x14ac:dyDescent="0.25">
      <c r="A30" t="s">
        <v>53</v>
      </c>
      <c r="B30">
        <v>0</v>
      </c>
      <c r="C30">
        <v>201554.30000000002</v>
      </c>
      <c r="F30">
        <v>4104.34</v>
      </c>
      <c r="I30" s="4"/>
    </row>
    <row r="33" spans="7:10" x14ac:dyDescent="0.25">
      <c r="G33" s="4"/>
    </row>
    <row r="34" spans="7:10" x14ac:dyDescent="0.25">
      <c r="I34" s="4"/>
    </row>
    <row r="48" spans="7:10" x14ac:dyDescent="0.25">
      <c r="J48" s="4"/>
    </row>
    <row r="54" spans="9:9" x14ac:dyDescent="0.25">
      <c r="I54" s="4"/>
    </row>
    <row r="66" spans="10:10" x14ac:dyDescent="0.25">
      <c r="J66" s="4"/>
    </row>
    <row r="100" spans="10:10" x14ac:dyDescent="0.25">
      <c r="J100" s="4"/>
    </row>
    <row r="126" spans="10:10" x14ac:dyDescent="0.25">
      <c r="J126" s="4"/>
    </row>
    <row r="131" spans="9:9" x14ac:dyDescent="0.25">
      <c r="I131" s="4"/>
    </row>
    <row r="150" spans="10:10" x14ac:dyDescent="0.25">
      <c r="J150" s="4"/>
    </row>
    <row r="174" spans="9:9" x14ac:dyDescent="0.25">
      <c r="I174" s="4"/>
    </row>
    <row r="184" spans="9:9" x14ac:dyDescent="0.25">
      <c r="I184" s="4"/>
    </row>
    <row r="189" spans="9:9" x14ac:dyDescent="0.25">
      <c r="I189" s="4"/>
    </row>
    <row r="190" spans="9:9" x14ac:dyDescent="0.25">
      <c r="I190" s="4"/>
    </row>
    <row r="195" spans="9:10" x14ac:dyDescent="0.25">
      <c r="J195" s="4"/>
    </row>
    <row r="197" spans="9:10" x14ac:dyDescent="0.25">
      <c r="J197" s="4"/>
    </row>
    <row r="199" spans="9:10" x14ac:dyDescent="0.25">
      <c r="J199" s="4"/>
    </row>
    <row r="201" spans="9:10" x14ac:dyDescent="0.25">
      <c r="I201" s="4"/>
    </row>
    <row r="217" spans="10:10" x14ac:dyDescent="0.25">
      <c r="J217" s="4"/>
    </row>
    <row r="229" spans="9:9" x14ac:dyDescent="0.25">
      <c r="I229" s="4"/>
    </row>
    <row r="232" spans="9:9" x14ac:dyDescent="0.25">
      <c r="I232" s="4"/>
    </row>
    <row r="236" spans="9:9" x14ac:dyDescent="0.25">
      <c r="I236" s="4"/>
    </row>
    <row r="238" spans="9:9" x14ac:dyDescent="0.25">
      <c r="I238" s="4"/>
    </row>
    <row r="239" spans="9:9" x14ac:dyDescent="0.25">
      <c r="I239" s="4"/>
    </row>
    <row r="241" spans="9:10" x14ac:dyDescent="0.25">
      <c r="I241" s="4"/>
    </row>
    <row r="246" spans="9:10" x14ac:dyDescent="0.25">
      <c r="J246" s="4"/>
    </row>
    <row r="247" spans="9:10" x14ac:dyDescent="0.25">
      <c r="J247" s="4"/>
    </row>
    <row r="253" spans="9:10" x14ac:dyDescent="0.25">
      <c r="J253" s="4"/>
    </row>
    <row r="255" spans="9:10" x14ac:dyDescent="0.25">
      <c r="I255" s="4"/>
    </row>
    <row r="260" spans="10:10" x14ac:dyDescent="0.25">
      <c r="J260" s="4"/>
    </row>
    <row r="262" spans="10:10" x14ac:dyDescent="0.25">
      <c r="J262" s="4"/>
    </row>
    <row r="274" spans="9:9" x14ac:dyDescent="0.25">
      <c r="I274" s="4"/>
    </row>
    <row r="291" spans="9:9" x14ac:dyDescent="0.25">
      <c r="I291" s="4"/>
    </row>
    <row r="292" spans="9:9" x14ac:dyDescent="0.25">
      <c r="I292" s="4"/>
    </row>
    <row r="342" spans="10:10" x14ac:dyDescent="0.25">
      <c r="J342" s="4"/>
    </row>
    <row r="361" spans="10:10" x14ac:dyDescent="0.25">
      <c r="J361" s="4"/>
    </row>
    <row r="375" spans="10:10" x14ac:dyDescent="0.25">
      <c r="J375" s="4"/>
    </row>
    <row r="400" spans="10:10" x14ac:dyDescent="0.25">
      <c r="J400" s="4"/>
    </row>
    <row r="429" spans="9:9" x14ac:dyDescent="0.25">
      <c r="I429" s="4"/>
    </row>
    <row r="442" spans="10:10" x14ac:dyDescent="0.25">
      <c r="J442" s="4"/>
    </row>
    <row r="443" spans="10:10" x14ac:dyDescent="0.25">
      <c r="J443" s="4"/>
    </row>
    <row r="454" spans="10:10" x14ac:dyDescent="0.25">
      <c r="J454" s="4"/>
    </row>
    <row r="483" spans="9:10" x14ac:dyDescent="0.25">
      <c r="I483" s="4"/>
    </row>
    <row r="486" spans="9:10" x14ac:dyDescent="0.25">
      <c r="J486" s="4"/>
    </row>
    <row r="492" spans="9:10" x14ac:dyDescent="0.25">
      <c r="J492" s="4"/>
    </row>
    <row r="511" spans="9:10" x14ac:dyDescent="0.25">
      <c r="I511" s="4"/>
    </row>
    <row r="512" spans="9:10" x14ac:dyDescent="0.25">
      <c r="J512" s="4"/>
    </row>
    <row r="523" spans="9:9" x14ac:dyDescent="0.25">
      <c r="I523" s="4"/>
    </row>
    <row r="537" spans="10:10" x14ac:dyDescent="0.25">
      <c r="J537" s="4"/>
    </row>
    <row r="579" spans="9:10" x14ac:dyDescent="0.25">
      <c r="J579" s="4"/>
    </row>
    <row r="582" spans="9:10" x14ac:dyDescent="0.25">
      <c r="I582" s="4"/>
    </row>
    <row r="597" spans="10:10" x14ac:dyDescent="0.25">
      <c r="J597" s="4"/>
    </row>
    <row r="605" spans="10:10" x14ac:dyDescent="0.25">
      <c r="J605" s="4"/>
    </row>
    <row r="642" spans="9:9" x14ac:dyDescent="0.25">
      <c r="I642" s="4"/>
    </row>
    <row r="650" spans="9:9" x14ac:dyDescent="0.25">
      <c r="I650" s="4"/>
    </row>
    <row r="669" spans="9:9" x14ac:dyDescent="0.25">
      <c r="I669" s="4"/>
    </row>
    <row r="716" spans="8:8" x14ac:dyDescent="0.25">
      <c r="H716" s="4"/>
    </row>
    <row r="717" spans="8:8" x14ac:dyDescent="0.25">
      <c r="H717" s="4"/>
    </row>
    <row r="719" spans="8:8" x14ac:dyDescent="0.25">
      <c r="H719" s="4"/>
    </row>
    <row r="721" spans="8:8" x14ac:dyDescent="0.25">
      <c r="H721" s="4"/>
    </row>
    <row r="724" spans="8:8" x14ac:dyDescent="0.25">
      <c r="H724" s="4"/>
    </row>
    <row r="725" spans="8:8" x14ac:dyDescent="0.25">
      <c r="H725" s="4"/>
    </row>
    <row r="727" spans="8:8" x14ac:dyDescent="0.25">
      <c r="H727" s="4"/>
    </row>
    <row r="728" spans="8:8" x14ac:dyDescent="0.25">
      <c r="H728" s="4"/>
    </row>
    <row r="729" spans="8:8" x14ac:dyDescent="0.25">
      <c r="H729" s="4"/>
    </row>
    <row r="730" spans="8:8" x14ac:dyDescent="0.25">
      <c r="H730" s="4"/>
    </row>
    <row r="731" spans="8:8" x14ac:dyDescent="0.25">
      <c r="H731" s="4"/>
    </row>
    <row r="733" spans="8:8" x14ac:dyDescent="0.25">
      <c r="H733" s="4"/>
    </row>
    <row r="734" spans="8:8" x14ac:dyDescent="0.25">
      <c r="H734" s="4"/>
    </row>
    <row r="737" spans="8:8" x14ac:dyDescent="0.25">
      <c r="H737" s="4"/>
    </row>
    <row r="738" spans="8:8" x14ac:dyDescent="0.25">
      <c r="H738" s="4"/>
    </row>
    <row r="742" spans="8:8" x14ac:dyDescent="0.25">
      <c r="H742" s="4"/>
    </row>
    <row r="744" spans="8:8" x14ac:dyDescent="0.25">
      <c r="H744" s="4"/>
    </row>
    <row r="745" spans="8:8" x14ac:dyDescent="0.25">
      <c r="H745" s="4"/>
    </row>
    <row r="746" spans="8:8" x14ac:dyDescent="0.25">
      <c r="H746" s="4"/>
    </row>
    <row r="747" spans="8:8" x14ac:dyDescent="0.25">
      <c r="H747" s="4"/>
    </row>
    <row r="748" spans="8:8" x14ac:dyDescent="0.25">
      <c r="H748" s="4"/>
    </row>
    <row r="749" spans="8:8" x14ac:dyDescent="0.25">
      <c r="H749" s="4"/>
    </row>
    <row r="750" spans="8:8" x14ac:dyDescent="0.25">
      <c r="H750" s="4"/>
    </row>
    <row r="753" spans="8:8" x14ac:dyDescent="0.25">
      <c r="H753" s="4"/>
    </row>
    <row r="754" spans="8:8" x14ac:dyDescent="0.25">
      <c r="H754" s="4"/>
    </row>
    <row r="756" spans="8:8" x14ac:dyDescent="0.25">
      <c r="H756" s="4"/>
    </row>
    <row r="758" spans="8:8" x14ac:dyDescent="0.25">
      <c r="H758" s="4"/>
    </row>
    <row r="759" spans="8:8" x14ac:dyDescent="0.25">
      <c r="H759" s="4"/>
    </row>
    <row r="762" spans="8:8" x14ac:dyDescent="0.25">
      <c r="H762" s="4"/>
    </row>
    <row r="763" spans="8:8" x14ac:dyDescent="0.25">
      <c r="H763" s="4"/>
    </row>
    <row r="764" spans="8:8" x14ac:dyDescent="0.25">
      <c r="H764" s="4"/>
    </row>
    <row r="765" spans="8:8" x14ac:dyDescent="0.25">
      <c r="H765" s="4"/>
    </row>
    <row r="766" spans="8:8" x14ac:dyDescent="0.25">
      <c r="H766" s="4"/>
    </row>
    <row r="769" spans="8:8" x14ac:dyDescent="0.25">
      <c r="H769" s="4"/>
    </row>
    <row r="770" spans="8:8" x14ac:dyDescent="0.25">
      <c r="H770" s="4"/>
    </row>
    <row r="774" spans="8:8" x14ac:dyDescent="0.25">
      <c r="H774" s="4"/>
    </row>
    <row r="775" spans="8:8" x14ac:dyDescent="0.25">
      <c r="H775" s="4"/>
    </row>
    <row r="776" spans="8:8" x14ac:dyDescent="0.25">
      <c r="H776" s="4"/>
    </row>
    <row r="777" spans="8:8" x14ac:dyDescent="0.25">
      <c r="H777" s="4"/>
    </row>
    <row r="778" spans="8:8" x14ac:dyDescent="0.25">
      <c r="H778" s="4"/>
    </row>
    <row r="779" spans="8:8" x14ac:dyDescent="0.25">
      <c r="H779" s="4"/>
    </row>
    <row r="780" spans="8:8" x14ac:dyDescent="0.25">
      <c r="H780" s="4"/>
    </row>
    <row r="782" spans="8:8" x14ac:dyDescent="0.25">
      <c r="H782" s="4"/>
    </row>
    <row r="783" spans="8:8" x14ac:dyDescent="0.25">
      <c r="H783" s="4"/>
    </row>
    <row r="784" spans="8:8" x14ac:dyDescent="0.25">
      <c r="H784" s="4"/>
    </row>
    <row r="785" spans="8:8" x14ac:dyDescent="0.25">
      <c r="H785" s="4"/>
    </row>
    <row r="786" spans="8:8" x14ac:dyDescent="0.25">
      <c r="H786" s="4"/>
    </row>
    <row r="788" spans="8:8" x14ac:dyDescent="0.25">
      <c r="H788" s="4"/>
    </row>
    <row r="789" spans="8:8" x14ac:dyDescent="0.25">
      <c r="H789" s="4"/>
    </row>
    <row r="790" spans="8:8" x14ac:dyDescent="0.25">
      <c r="H790" s="4"/>
    </row>
    <row r="791" spans="8:8" x14ac:dyDescent="0.25">
      <c r="H791" s="4"/>
    </row>
    <row r="792" spans="8:8" x14ac:dyDescent="0.25">
      <c r="H792" s="4"/>
    </row>
    <row r="793" spans="8:8" x14ac:dyDescent="0.25">
      <c r="H793" s="4"/>
    </row>
    <row r="794" spans="8:8" x14ac:dyDescent="0.25">
      <c r="H794" s="4"/>
    </row>
    <row r="795" spans="8:8" x14ac:dyDescent="0.25">
      <c r="H795" s="4"/>
    </row>
    <row r="796" spans="8:8" x14ac:dyDescent="0.25">
      <c r="H796" s="4"/>
    </row>
    <row r="797" spans="8:8" x14ac:dyDescent="0.25">
      <c r="H797" s="4"/>
    </row>
    <row r="801" spans="8:8" x14ac:dyDescent="0.25">
      <c r="H801" s="4"/>
    </row>
    <row r="802" spans="8:8" x14ac:dyDescent="0.25">
      <c r="H802" s="4"/>
    </row>
    <row r="803" spans="8:8" x14ac:dyDescent="0.25">
      <c r="H803" s="4"/>
    </row>
    <row r="804" spans="8:8" x14ac:dyDescent="0.25">
      <c r="H804" s="4"/>
    </row>
    <row r="805" spans="8:8" x14ac:dyDescent="0.25">
      <c r="H805" s="4"/>
    </row>
    <row r="807" spans="8:8" x14ac:dyDescent="0.25">
      <c r="H807" s="4"/>
    </row>
    <row r="808" spans="8:8" x14ac:dyDescent="0.25">
      <c r="H808" s="4"/>
    </row>
    <row r="812" spans="8:8" x14ac:dyDescent="0.25">
      <c r="H812" s="4"/>
    </row>
    <row r="813" spans="8:8" x14ac:dyDescent="0.25">
      <c r="H813" s="4"/>
    </row>
    <row r="814" spans="8:8" x14ac:dyDescent="0.25">
      <c r="H814" s="4"/>
    </row>
    <row r="815" spans="8:8" x14ac:dyDescent="0.25">
      <c r="H815" s="4"/>
    </row>
    <row r="819" spans="8:8" x14ac:dyDescent="0.25">
      <c r="H819" s="4"/>
    </row>
    <row r="821" spans="8:8" x14ac:dyDescent="0.25">
      <c r="H821" s="4"/>
    </row>
    <row r="822" spans="8:8" x14ac:dyDescent="0.25">
      <c r="H822" s="4"/>
    </row>
    <row r="823" spans="8:8" x14ac:dyDescent="0.25">
      <c r="H823" s="4"/>
    </row>
    <row r="825" spans="8:8" x14ac:dyDescent="0.25">
      <c r="H825" s="4"/>
    </row>
    <row r="826" spans="8:8" x14ac:dyDescent="0.25">
      <c r="H826" s="4"/>
    </row>
    <row r="827" spans="8:8" x14ac:dyDescent="0.25">
      <c r="H827" s="4"/>
    </row>
    <row r="830" spans="8:8" x14ac:dyDescent="0.25">
      <c r="H830" s="4"/>
    </row>
    <row r="832" spans="8:8" x14ac:dyDescent="0.25">
      <c r="H832" s="4"/>
    </row>
    <row r="835" spans="8:8" x14ac:dyDescent="0.25">
      <c r="H835" s="4"/>
    </row>
    <row r="836" spans="8:8" x14ac:dyDescent="0.25">
      <c r="H836" s="4"/>
    </row>
    <row r="838" spans="8:8" x14ac:dyDescent="0.25">
      <c r="H838" s="4"/>
    </row>
    <row r="842" spans="8:8" x14ac:dyDescent="0.25">
      <c r="H842" s="4"/>
    </row>
    <row r="844" spans="8:8" x14ac:dyDescent="0.25">
      <c r="H844" s="4"/>
    </row>
    <row r="845" spans="8:8" x14ac:dyDescent="0.25">
      <c r="H845" s="4"/>
    </row>
    <row r="848" spans="8:8" x14ac:dyDescent="0.25">
      <c r="H848" s="4"/>
    </row>
    <row r="849" spans="8:8" x14ac:dyDescent="0.25">
      <c r="H849" s="4"/>
    </row>
    <row r="850" spans="8:8" x14ac:dyDescent="0.25">
      <c r="H850" s="4"/>
    </row>
    <row r="851" spans="8:8" x14ac:dyDescent="0.25">
      <c r="H851" s="4"/>
    </row>
    <row r="853" spans="8:8" x14ac:dyDescent="0.25">
      <c r="H853" s="4"/>
    </row>
    <row r="854" spans="8:8" x14ac:dyDescent="0.25">
      <c r="H854" s="4"/>
    </row>
    <row r="856" spans="8:8" x14ac:dyDescent="0.25">
      <c r="H856" s="4"/>
    </row>
    <row r="857" spans="8:8" x14ac:dyDescent="0.25">
      <c r="H857" s="4"/>
    </row>
    <row r="860" spans="8:8" x14ac:dyDescent="0.25">
      <c r="H860" s="4"/>
    </row>
    <row r="864" spans="8:8" x14ac:dyDescent="0.25">
      <c r="H864" s="4"/>
    </row>
    <row r="865" spans="8:8" x14ac:dyDescent="0.25">
      <c r="H865" s="4"/>
    </row>
    <row r="866" spans="8:8" x14ac:dyDescent="0.25">
      <c r="H866" s="4"/>
    </row>
    <row r="867" spans="8:8" x14ac:dyDescent="0.25">
      <c r="H867" s="4"/>
    </row>
    <row r="869" spans="8:8" x14ac:dyDescent="0.25">
      <c r="H869" s="4"/>
    </row>
    <row r="874" spans="8:8" x14ac:dyDescent="0.25">
      <c r="H874" s="4"/>
    </row>
    <row r="876" spans="8:8" x14ac:dyDescent="0.25">
      <c r="H876" s="4"/>
    </row>
    <row r="877" spans="8:8" x14ac:dyDescent="0.25">
      <c r="H877" s="4"/>
    </row>
    <row r="880" spans="8:8" x14ac:dyDescent="0.25">
      <c r="H880" s="4"/>
    </row>
    <row r="881" spans="8:8" x14ac:dyDescent="0.25">
      <c r="H881" s="4"/>
    </row>
    <row r="884" spans="8:8" x14ac:dyDescent="0.25">
      <c r="H884" s="4"/>
    </row>
    <row r="887" spans="8:8" x14ac:dyDescent="0.25">
      <c r="H887" s="4"/>
    </row>
    <row r="890" spans="8:8" x14ac:dyDescent="0.25">
      <c r="H890" s="4"/>
    </row>
    <row r="891" spans="8:8" x14ac:dyDescent="0.25">
      <c r="H891" s="4"/>
    </row>
    <row r="896" spans="8:8" x14ac:dyDescent="0.25">
      <c r="H896" s="4"/>
    </row>
    <row r="897" spans="8:8" x14ac:dyDescent="0.25">
      <c r="H897" s="4"/>
    </row>
    <row r="902" spans="8:8" x14ac:dyDescent="0.25">
      <c r="H902" s="4"/>
    </row>
    <row r="903" spans="8:8" x14ac:dyDescent="0.25">
      <c r="H903" s="4"/>
    </row>
    <row r="904" spans="8:8" x14ac:dyDescent="0.25">
      <c r="H904" s="4"/>
    </row>
    <row r="905" spans="8:8" x14ac:dyDescent="0.25">
      <c r="H905" s="4"/>
    </row>
    <row r="908" spans="8:8" x14ac:dyDescent="0.25">
      <c r="H908" s="4"/>
    </row>
    <row r="909" spans="8:8" x14ac:dyDescent="0.25">
      <c r="H909" s="4"/>
    </row>
    <row r="910" spans="8:8" x14ac:dyDescent="0.25">
      <c r="H910" s="4"/>
    </row>
    <row r="911" spans="8:8" x14ac:dyDescent="0.25">
      <c r="H911" s="4"/>
    </row>
    <row r="916" spans="8:8" x14ac:dyDescent="0.25">
      <c r="H916" s="4"/>
    </row>
    <row r="920" spans="8:8" x14ac:dyDescent="0.25">
      <c r="H920" s="4"/>
    </row>
    <row r="921" spans="8:8" x14ac:dyDescent="0.25">
      <c r="H921" s="4"/>
    </row>
    <row r="922" spans="8:8" x14ac:dyDescent="0.25">
      <c r="H922" s="4"/>
    </row>
    <row r="925" spans="8:8" x14ac:dyDescent="0.25">
      <c r="H925" s="4"/>
    </row>
    <row r="926" spans="8:8" x14ac:dyDescent="0.25">
      <c r="H926" s="4"/>
    </row>
    <row r="928" spans="8:8" x14ac:dyDescent="0.25">
      <c r="H928" s="4"/>
    </row>
    <row r="931" spans="8:8" x14ac:dyDescent="0.25">
      <c r="H931" s="4"/>
    </row>
    <row r="934" spans="8:8" x14ac:dyDescent="0.25">
      <c r="H934" s="4"/>
    </row>
    <row r="935" spans="8:8" x14ac:dyDescent="0.25">
      <c r="H935" s="4"/>
    </row>
    <row r="936" spans="8:8" x14ac:dyDescent="0.25">
      <c r="H936" s="4"/>
    </row>
    <row r="937" spans="8:8" x14ac:dyDescent="0.25">
      <c r="H937" s="4"/>
    </row>
    <row r="938" spans="8:8" x14ac:dyDescent="0.25">
      <c r="H938" s="4"/>
    </row>
    <row r="941" spans="8:8" x14ac:dyDescent="0.25">
      <c r="H941" s="4"/>
    </row>
    <row r="942" spans="8:8" x14ac:dyDescent="0.25">
      <c r="H942" s="4"/>
    </row>
    <row r="945" spans="8:8" x14ac:dyDescent="0.25">
      <c r="H945" s="4"/>
    </row>
    <row r="947" spans="8:8" x14ac:dyDescent="0.25">
      <c r="H947" s="4"/>
    </row>
    <row r="950" spans="8:8" x14ac:dyDescent="0.25">
      <c r="H950" s="4"/>
    </row>
    <row r="952" spans="8:8" x14ac:dyDescent="0.25">
      <c r="H952" s="4"/>
    </row>
    <row r="953" spans="8:8" x14ac:dyDescent="0.25">
      <c r="H953" s="4"/>
    </row>
    <row r="954" spans="8:8" x14ac:dyDescent="0.25">
      <c r="H954" s="4"/>
    </row>
    <row r="956" spans="8:8" x14ac:dyDescent="0.25">
      <c r="H956" s="4"/>
    </row>
    <row r="957" spans="8:8" x14ac:dyDescent="0.25">
      <c r="H957" s="4"/>
    </row>
    <row r="958" spans="8:8" x14ac:dyDescent="0.25">
      <c r="H958" s="4"/>
    </row>
    <row r="959" spans="8:8" x14ac:dyDescent="0.25">
      <c r="H959" s="4"/>
    </row>
    <row r="960" spans="8:8" x14ac:dyDescent="0.25">
      <c r="H960" s="4"/>
    </row>
    <row r="961" spans="8:8" x14ac:dyDescent="0.25">
      <c r="H961" s="4"/>
    </row>
    <row r="963" spans="8:8" x14ac:dyDescent="0.25">
      <c r="H963" s="4"/>
    </row>
    <row r="964" spans="8:8" x14ac:dyDescent="0.25">
      <c r="H964" s="4"/>
    </row>
    <row r="965" spans="8:8" x14ac:dyDescent="0.25">
      <c r="H965" s="4"/>
    </row>
    <row r="967" spans="8:8" x14ac:dyDescent="0.25">
      <c r="H967" s="4"/>
    </row>
    <row r="968" spans="8:8" x14ac:dyDescent="0.25">
      <c r="H968" s="4"/>
    </row>
    <row r="972" spans="8:8" x14ac:dyDescent="0.25">
      <c r="H972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3" spans="8:8" x14ac:dyDescent="0.25">
      <c r="H983" s="4"/>
    </row>
    <row r="984" spans="8:8" x14ac:dyDescent="0.25">
      <c r="H984" s="4"/>
    </row>
    <row r="986" spans="8:8" x14ac:dyDescent="0.25">
      <c r="H986" s="4"/>
    </row>
    <row r="987" spans="8:8" x14ac:dyDescent="0.25">
      <c r="H987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M27" sqref="M1:M27"/>
    </sheetView>
  </sheetViews>
  <sheetFormatPr defaultRowHeight="15" x14ac:dyDescent="0.25"/>
  <cols>
    <col min="1" max="1" width="5.7109375" bestFit="1" customWidth="1"/>
    <col min="2" max="2" width="9.140625" bestFit="1" customWidth="1"/>
    <col min="3" max="3" width="8.140625" bestFit="1" customWidth="1"/>
  </cols>
  <sheetData>
    <row r="1" spans="1:14" x14ac:dyDescent="0.25">
      <c r="B1" t="s">
        <v>63</v>
      </c>
      <c r="C1" t="s">
        <v>64</v>
      </c>
      <c r="D1" t="s">
        <v>58</v>
      </c>
      <c r="E1" t="s">
        <v>57</v>
      </c>
      <c r="F1" t="s">
        <v>70</v>
      </c>
      <c r="G1" t="s">
        <v>57</v>
      </c>
      <c r="H1" t="s">
        <v>65</v>
      </c>
      <c r="I1" t="s">
        <v>58</v>
      </c>
      <c r="J1" t="s">
        <v>57</v>
      </c>
      <c r="K1" t="s">
        <v>70</v>
      </c>
      <c r="L1" t="s">
        <v>57</v>
      </c>
      <c r="M1" t="s">
        <v>8</v>
      </c>
    </row>
    <row r="2" spans="1:14" x14ac:dyDescent="0.25">
      <c r="A2" t="s">
        <v>59</v>
      </c>
      <c r="B2">
        <v>0</v>
      </c>
      <c r="H2">
        <v>5.8999999999999997E-2</v>
      </c>
      <c r="I2">
        <v>5.0000000000000001E-3</v>
      </c>
      <c r="J2">
        <f>(I2)/SQRT(6)</f>
        <v>2.0412414523193153E-3</v>
      </c>
      <c r="K2">
        <f>AVERAGE(H2:H4)</f>
        <v>6.4888888888888885E-2</v>
      </c>
      <c r="L2">
        <f>(AVERAGE(I2:I4))/SQRT(3)</f>
        <v>1.0069903619744651E-2</v>
      </c>
      <c r="M2">
        <v>0</v>
      </c>
    </row>
    <row r="3" spans="1:14" x14ac:dyDescent="0.25">
      <c r="A3" t="s">
        <v>60</v>
      </c>
      <c r="B3">
        <v>0</v>
      </c>
      <c r="H3">
        <v>5.6000000000000001E-2</v>
      </c>
      <c r="I3">
        <v>2E-3</v>
      </c>
      <c r="J3">
        <f>I3/SQRT(6)</f>
        <v>8.1649658092772617E-4</v>
      </c>
      <c r="M3">
        <v>0</v>
      </c>
    </row>
    <row r="4" spans="1:14" x14ac:dyDescent="0.25">
      <c r="A4" t="s">
        <v>61</v>
      </c>
      <c r="B4">
        <v>0</v>
      </c>
      <c r="H4">
        <f>AVERAGE(0.053, 0.054,  0.132)</f>
        <v>7.9666666666666663E-2</v>
      </c>
      <c r="I4">
        <f>STDEV(0.053, 0.054, 0.132)</f>
        <v>4.5324754090158452E-2</v>
      </c>
      <c r="J4">
        <f>I4/SQRT(6)</f>
        <v>1.8503753373002172E-2</v>
      </c>
      <c r="M4">
        <v>0</v>
      </c>
    </row>
    <row r="5" spans="1:14" x14ac:dyDescent="0.25">
      <c r="A5" t="s">
        <v>39</v>
      </c>
      <c r="B5">
        <v>0</v>
      </c>
      <c r="C5">
        <v>0.112</v>
      </c>
      <c r="D5">
        <v>7.0000000000000001E-3</v>
      </c>
      <c r="E5">
        <f t="shared" ref="E5:E13" si="0">D5/SQRT(3)</f>
        <v>4.041451884327381E-3</v>
      </c>
      <c r="F5">
        <v>0.112</v>
      </c>
      <c r="G5">
        <f>F5/SQRT(3)</f>
        <v>6.4663230149238096E-2</v>
      </c>
      <c r="H5">
        <v>9.4E-2</v>
      </c>
      <c r="I5">
        <v>1.7000000000000001E-2</v>
      </c>
      <c r="J5">
        <f t="shared" ref="J5:J27" si="1">I5/SQRT(3)</f>
        <v>9.814954576223639E-3</v>
      </c>
      <c r="K5">
        <v>9.4E-2</v>
      </c>
      <c r="L5">
        <f>K5/SQRT(3)</f>
        <v>5.4270925303824824E-2</v>
      </c>
      <c r="M5">
        <v>0</v>
      </c>
    </row>
    <row r="6" spans="1:14" x14ac:dyDescent="0.25">
      <c r="A6" t="s">
        <v>62</v>
      </c>
      <c r="B6">
        <v>0</v>
      </c>
      <c r="C6">
        <v>0.06</v>
      </c>
      <c r="D6">
        <v>4.0000000000000001E-3</v>
      </c>
      <c r="E6">
        <f t="shared" si="0"/>
        <v>2.3094010767585032E-3</v>
      </c>
      <c r="F6">
        <v>0.06</v>
      </c>
      <c r="G6">
        <f>F6/SQRT(3)</f>
        <v>3.4641016151377546E-2</v>
      </c>
      <c r="H6">
        <v>5.8999999999999997E-2</v>
      </c>
      <c r="I6">
        <v>2E-3</v>
      </c>
      <c r="J6">
        <f t="shared" si="1"/>
        <v>1.1547005383792516E-3</v>
      </c>
      <c r="K6">
        <v>5.8999999999999997E-2</v>
      </c>
      <c r="L6">
        <f>K6/SQRT(3)</f>
        <v>3.406366588218792E-2</v>
      </c>
      <c r="M6">
        <v>0</v>
      </c>
    </row>
    <row r="7" spans="1:14" x14ac:dyDescent="0.25">
      <c r="A7" t="s">
        <v>10</v>
      </c>
      <c r="B7">
        <v>1</v>
      </c>
      <c r="C7">
        <v>7.0000000000000007E-2</v>
      </c>
      <c r="D7">
        <v>7.0000000000000001E-3</v>
      </c>
      <c r="E7">
        <f t="shared" si="0"/>
        <v>4.041451884327381E-3</v>
      </c>
      <c r="F7">
        <f>AVERAGE(C7:C9)</f>
        <v>7.6499999999999999E-2</v>
      </c>
      <c r="G7">
        <f>(AVERAGE(D7:D9))/SQRT(3)</f>
        <v>8.2076561287487658E-3</v>
      </c>
      <c r="H7">
        <v>8.6999999999999994E-2</v>
      </c>
      <c r="I7">
        <v>5.5E-2</v>
      </c>
      <c r="J7">
        <f t="shared" si="1"/>
        <v>3.1754264805429422E-2</v>
      </c>
      <c r="K7">
        <f>AVERAGE(H7:H9)</f>
        <v>7.6666666666666661E-2</v>
      </c>
      <c r="L7">
        <f>(AVERAGE(I7:I9))/SQRT(3)</f>
        <v>2.5018511664883787E-2</v>
      </c>
      <c r="M7">
        <v>1</v>
      </c>
    </row>
    <row r="8" spans="1:14" x14ac:dyDescent="0.25">
      <c r="A8" t="s">
        <v>11</v>
      </c>
      <c r="B8">
        <v>1</v>
      </c>
      <c r="C8">
        <f>AVERAGE(0.091, 0.14)</f>
        <v>0.11550000000000001</v>
      </c>
      <c r="D8">
        <f>STDEV(0.091, 0.14)</f>
        <v>3.4648232278140831E-2</v>
      </c>
      <c r="E8">
        <f t="shared" si="0"/>
        <v>2.0004166232729291E-2</v>
      </c>
      <c r="H8">
        <v>0.06</v>
      </c>
      <c r="I8">
        <v>8.9999999999999993E-3</v>
      </c>
      <c r="J8">
        <f t="shared" si="1"/>
        <v>5.1961524227066317E-3</v>
      </c>
      <c r="M8">
        <v>1</v>
      </c>
    </row>
    <row r="9" spans="1:14" x14ac:dyDescent="0.25">
      <c r="A9" t="s">
        <v>12</v>
      </c>
      <c r="B9">
        <v>1</v>
      </c>
      <c r="C9">
        <v>4.3999999999999997E-2</v>
      </c>
      <c r="D9">
        <v>1E-3</v>
      </c>
      <c r="E9">
        <f t="shared" si="0"/>
        <v>5.773502691896258E-4</v>
      </c>
      <c r="H9">
        <v>8.3000000000000004E-2</v>
      </c>
      <c r="I9">
        <v>6.6000000000000003E-2</v>
      </c>
      <c r="J9">
        <f t="shared" si="1"/>
        <v>3.8105117766515303E-2</v>
      </c>
      <c r="M9">
        <v>2</v>
      </c>
    </row>
    <row r="10" spans="1:14" x14ac:dyDescent="0.25">
      <c r="A10" t="s">
        <v>13</v>
      </c>
      <c r="B10">
        <v>5</v>
      </c>
      <c r="C10">
        <v>4.8000000000000001E-2</v>
      </c>
      <c r="D10">
        <v>3.0000000000000001E-3</v>
      </c>
      <c r="E10">
        <f t="shared" si="0"/>
        <v>1.7320508075688774E-3</v>
      </c>
      <c r="F10">
        <f>AVERAGE(C10:C12)</f>
        <v>9.2333333333333337E-2</v>
      </c>
      <c r="G10">
        <f>(AVERAGE(D10:D12))/SQRT(3)</f>
        <v>8.8527041275742614E-3</v>
      </c>
      <c r="H10">
        <v>0.05</v>
      </c>
      <c r="I10">
        <v>8.9999999999999993E-3</v>
      </c>
      <c r="J10">
        <f t="shared" si="1"/>
        <v>5.1961524227066317E-3</v>
      </c>
      <c r="K10">
        <f>AVERAGE(H10:H12)</f>
        <v>6.1666666666666668E-2</v>
      </c>
      <c r="L10">
        <f>(AVERAGE(I10:I12))/SQRT(3)</f>
        <v>6.9282032302755104E-3</v>
      </c>
      <c r="M10">
        <v>4</v>
      </c>
      <c r="N10" t="s">
        <v>66</v>
      </c>
    </row>
    <row r="11" spans="1:14" x14ac:dyDescent="0.25">
      <c r="A11" t="s">
        <v>14</v>
      </c>
      <c r="B11">
        <v>5</v>
      </c>
      <c r="C11">
        <v>4.8000000000000001E-2</v>
      </c>
      <c r="D11">
        <v>4.0000000000000001E-3</v>
      </c>
      <c r="E11">
        <f t="shared" si="0"/>
        <v>2.3094010767585032E-3</v>
      </c>
      <c r="H11">
        <v>6.7000000000000004E-2</v>
      </c>
      <c r="I11">
        <v>2.5000000000000001E-2</v>
      </c>
      <c r="J11">
        <f t="shared" si="1"/>
        <v>1.4433756729740645E-2</v>
      </c>
      <c r="M11">
        <v>5</v>
      </c>
      <c r="N11" t="s">
        <v>66</v>
      </c>
    </row>
    <row r="12" spans="1:14" x14ac:dyDescent="0.25">
      <c r="A12" t="s">
        <v>15</v>
      </c>
      <c r="B12">
        <v>5</v>
      </c>
      <c r="C12">
        <v>0.18099999999999999</v>
      </c>
      <c r="D12">
        <v>3.9E-2</v>
      </c>
      <c r="E12">
        <f t="shared" si="0"/>
        <v>2.2516660498395406E-2</v>
      </c>
      <c r="H12">
        <v>6.8000000000000005E-2</v>
      </c>
      <c r="I12">
        <v>2E-3</v>
      </c>
      <c r="J12">
        <f t="shared" si="1"/>
        <v>1.1547005383792516E-3</v>
      </c>
      <c r="M12">
        <v>5</v>
      </c>
    </row>
    <row r="13" spans="1:14" x14ac:dyDescent="0.25">
      <c r="A13" t="s">
        <v>16</v>
      </c>
      <c r="B13">
        <v>10</v>
      </c>
      <c r="C13">
        <v>0.14000000000000001</v>
      </c>
      <c r="D13">
        <v>7.0000000000000001E-3</v>
      </c>
      <c r="E13">
        <f t="shared" si="0"/>
        <v>4.041451884327381E-3</v>
      </c>
      <c r="F13">
        <f>AVERAGE(C13:C15)</f>
        <v>0.14849999999999999</v>
      </c>
      <c r="G13">
        <f>(AVERAGE(D13:D15))/SQRT(3)</f>
        <v>3.6138613853961238E-3</v>
      </c>
      <c r="H13">
        <v>6.2E-2</v>
      </c>
      <c r="I13">
        <v>7.0000000000000001E-3</v>
      </c>
      <c r="J13">
        <f t="shared" si="1"/>
        <v>4.041451884327381E-3</v>
      </c>
      <c r="K13">
        <f>AVERAGE(H13:H15)</f>
        <v>7.5333333333333349E-2</v>
      </c>
      <c r="L13">
        <f>(AVERAGE(I13:I15))/SQRT(3)</f>
        <v>4.8112522432468812E-3</v>
      </c>
      <c r="M13">
        <v>7</v>
      </c>
    </row>
    <row r="14" spans="1:14" x14ac:dyDescent="0.25">
      <c r="A14" t="s">
        <v>17</v>
      </c>
      <c r="B14">
        <v>10</v>
      </c>
      <c r="C14">
        <f>AVERAGE(0.172, 0.161)</f>
        <v>0.16649999999999998</v>
      </c>
      <c r="D14">
        <f>STDEV(0.172, 0.161)</f>
        <v>7.77817459305201E-3</v>
      </c>
      <c r="E14">
        <f>D14/SQRT(2)</f>
        <v>5.4999999999999901E-3</v>
      </c>
      <c r="H14">
        <v>0.08</v>
      </c>
      <c r="I14">
        <v>8.9999999999999993E-3</v>
      </c>
      <c r="J14">
        <f t="shared" si="1"/>
        <v>5.1961524227066317E-3</v>
      </c>
      <c r="M14">
        <v>6</v>
      </c>
    </row>
    <row r="15" spans="1:14" x14ac:dyDescent="0.25">
      <c r="A15" t="s">
        <v>67</v>
      </c>
      <c r="B15">
        <v>10</v>
      </c>
      <c r="C15">
        <v>0.13900000000000001</v>
      </c>
      <c r="D15">
        <v>4.0000000000000001E-3</v>
      </c>
      <c r="E15">
        <f t="shared" ref="E15:E27" si="2">D15/SQRT(3)</f>
        <v>2.3094010767585032E-3</v>
      </c>
      <c r="H15">
        <v>8.4000000000000005E-2</v>
      </c>
      <c r="I15">
        <v>8.9999999999999993E-3</v>
      </c>
      <c r="J15">
        <f t="shared" si="1"/>
        <v>5.1961524227066317E-3</v>
      </c>
      <c r="M15">
        <v>10</v>
      </c>
    </row>
    <row r="16" spans="1:14" x14ac:dyDescent="0.25">
      <c r="A16" t="s">
        <v>18</v>
      </c>
      <c r="B16">
        <v>15</v>
      </c>
      <c r="C16">
        <v>0.154</v>
      </c>
      <c r="D16">
        <v>2.7E-2</v>
      </c>
      <c r="E16">
        <f t="shared" si="2"/>
        <v>1.5588457268119896E-2</v>
      </c>
      <c r="F16">
        <f>AVERAGE(C16:C18)</f>
        <v>0.22233333333333336</v>
      </c>
      <c r="G16">
        <f>(AVERAGE(D16:D18))/SQRT(3)</f>
        <v>9.814954576223639E-3</v>
      </c>
      <c r="H16">
        <v>5.1999999999999998E-2</v>
      </c>
      <c r="I16">
        <v>1E-3</v>
      </c>
      <c r="J16">
        <f t="shared" si="1"/>
        <v>5.773502691896258E-4</v>
      </c>
      <c r="K16">
        <f>AVERAGE(H16:H18)</f>
        <v>5.3999999999999992E-2</v>
      </c>
      <c r="L16">
        <f>(AVERAGE(I16:I18))/SQRT(3)</f>
        <v>3.65655170486763E-3</v>
      </c>
      <c r="M16">
        <v>14</v>
      </c>
    </row>
    <row r="17" spans="1:13" x14ac:dyDescent="0.25">
      <c r="A17" t="s">
        <v>68</v>
      </c>
      <c r="B17">
        <v>15</v>
      </c>
      <c r="C17">
        <v>0.34100000000000003</v>
      </c>
      <c r="D17">
        <v>2.1999999999999999E-2</v>
      </c>
      <c r="E17">
        <f t="shared" si="2"/>
        <v>1.2701705922171767E-2</v>
      </c>
      <c r="H17">
        <v>5.8999999999999997E-2</v>
      </c>
      <c r="I17">
        <v>1.2999999999999999E-2</v>
      </c>
      <c r="J17">
        <f t="shared" si="1"/>
        <v>7.5055534994651349E-3</v>
      </c>
      <c r="M17">
        <v>15</v>
      </c>
    </row>
    <row r="18" spans="1:13" x14ac:dyDescent="0.25">
      <c r="A18" t="s">
        <v>69</v>
      </c>
      <c r="B18">
        <v>15</v>
      </c>
      <c r="C18">
        <v>0.17199999999999999</v>
      </c>
      <c r="D18">
        <v>2E-3</v>
      </c>
      <c r="E18">
        <f t="shared" si="2"/>
        <v>1.1547005383792516E-3</v>
      </c>
      <c r="H18">
        <v>5.0999999999999997E-2</v>
      </c>
      <c r="I18">
        <v>5.0000000000000001E-3</v>
      </c>
      <c r="J18">
        <f t="shared" si="1"/>
        <v>2.886751345948129E-3</v>
      </c>
      <c r="M18">
        <v>14</v>
      </c>
    </row>
    <row r="19" spans="1:13" x14ac:dyDescent="0.25">
      <c r="A19" t="s">
        <v>19</v>
      </c>
      <c r="B19">
        <v>20</v>
      </c>
      <c r="C19">
        <v>0.30099999999999999</v>
      </c>
      <c r="D19">
        <v>6.0000000000000001E-3</v>
      </c>
      <c r="E19">
        <f t="shared" si="2"/>
        <v>3.4641016151377548E-3</v>
      </c>
      <c r="F19">
        <f>AVERAGE(C19:C21)</f>
        <v>0.223</v>
      </c>
      <c r="G19">
        <f>(AVERAGE(D19:D21))/SQRT(3)</f>
        <v>1.0007404665953514E-2</v>
      </c>
      <c r="H19">
        <v>4.9000000000000002E-2</v>
      </c>
      <c r="I19">
        <v>6.0000000000000001E-3</v>
      </c>
      <c r="J19">
        <f t="shared" si="1"/>
        <v>3.4641016151377548E-3</v>
      </c>
      <c r="K19">
        <f>AVERAGE(H19:H21)</f>
        <v>6.3666666666666663E-2</v>
      </c>
      <c r="L19">
        <f>(AVERAGE(I19:I21))/SQRT(3)</f>
        <v>1.0199854755683389E-2</v>
      </c>
      <c r="M19">
        <v>20</v>
      </c>
    </row>
    <row r="20" spans="1:13" x14ac:dyDescent="0.25">
      <c r="A20" t="s">
        <v>20</v>
      </c>
      <c r="B20">
        <v>20</v>
      </c>
      <c r="C20">
        <v>0.2</v>
      </c>
      <c r="D20">
        <v>4.3999999999999997E-2</v>
      </c>
      <c r="E20">
        <f t="shared" si="2"/>
        <v>2.5403411844343533E-2</v>
      </c>
      <c r="H20">
        <v>6.0999999999999999E-2</v>
      </c>
      <c r="I20">
        <v>4.0000000000000001E-3</v>
      </c>
      <c r="J20">
        <f t="shared" si="1"/>
        <v>2.3094010767585032E-3</v>
      </c>
      <c r="M20">
        <v>16</v>
      </c>
    </row>
    <row r="21" spans="1:13" x14ac:dyDescent="0.25">
      <c r="A21" t="s">
        <v>21</v>
      </c>
      <c r="B21">
        <v>20</v>
      </c>
      <c r="C21">
        <v>0.16800000000000001</v>
      </c>
      <c r="D21">
        <v>2E-3</v>
      </c>
      <c r="E21">
        <f t="shared" si="2"/>
        <v>1.1547005383792516E-3</v>
      </c>
      <c r="H21">
        <v>8.1000000000000003E-2</v>
      </c>
      <c r="I21">
        <v>4.2999999999999997E-2</v>
      </c>
      <c r="J21">
        <f t="shared" si="1"/>
        <v>2.4826061575153907E-2</v>
      </c>
      <c r="M21">
        <v>16</v>
      </c>
    </row>
    <row r="22" spans="1:13" x14ac:dyDescent="0.25">
      <c r="A22" t="s">
        <v>22</v>
      </c>
      <c r="B22">
        <v>30</v>
      </c>
      <c r="C22">
        <v>0.29099999999999998</v>
      </c>
      <c r="D22">
        <v>3.6999999999999998E-2</v>
      </c>
      <c r="E22">
        <f t="shared" si="2"/>
        <v>2.1361959960016153E-2</v>
      </c>
      <c r="F22">
        <f>AVERAGE(C22:C24)</f>
        <v>0.3193333333333333</v>
      </c>
      <c r="G22">
        <f>(AVERAGE(D22:D24))/SQRT(3)</f>
        <v>2.116950987028628E-2</v>
      </c>
      <c r="H22">
        <v>7.5999999999999998E-2</v>
      </c>
      <c r="I22">
        <v>1.4E-2</v>
      </c>
      <c r="J22">
        <f t="shared" si="1"/>
        <v>8.082903768654762E-3</v>
      </c>
      <c r="K22">
        <f>AVERAGE(H22:H24)</f>
        <v>9.0333333333333335E-2</v>
      </c>
      <c r="L22">
        <f>(AVERAGE(I22:I24))/SQRT(3)</f>
        <v>1.6358257627039397E-2</v>
      </c>
      <c r="M22">
        <v>27</v>
      </c>
    </row>
    <row r="23" spans="1:13" x14ac:dyDescent="0.25">
      <c r="A23" t="s">
        <v>23</v>
      </c>
      <c r="B23">
        <v>30</v>
      </c>
      <c r="C23">
        <v>0.36399999999999999</v>
      </c>
      <c r="D23">
        <v>2.5000000000000001E-2</v>
      </c>
      <c r="E23">
        <f t="shared" si="2"/>
        <v>1.4433756729740645E-2</v>
      </c>
      <c r="H23">
        <v>5.5E-2</v>
      </c>
      <c r="I23">
        <v>7.0000000000000001E-3</v>
      </c>
      <c r="J23">
        <f t="shared" si="1"/>
        <v>4.041451884327381E-3</v>
      </c>
      <c r="M23">
        <v>22</v>
      </c>
    </row>
    <row r="24" spans="1:13" x14ac:dyDescent="0.25">
      <c r="A24" t="s">
        <v>24</v>
      </c>
      <c r="B24">
        <v>30</v>
      </c>
      <c r="C24">
        <v>0.30299999999999999</v>
      </c>
      <c r="D24">
        <v>4.8000000000000001E-2</v>
      </c>
      <c r="E24">
        <f t="shared" si="2"/>
        <v>2.7712812921102038E-2</v>
      </c>
      <c r="H24">
        <v>0.14000000000000001</v>
      </c>
      <c r="I24">
        <v>6.4000000000000001E-2</v>
      </c>
      <c r="J24">
        <f t="shared" si="1"/>
        <v>3.6950417228136051E-2</v>
      </c>
      <c r="M24">
        <v>26</v>
      </c>
    </row>
    <row r="25" spans="1:13" x14ac:dyDescent="0.25">
      <c r="A25" t="s">
        <v>25</v>
      </c>
      <c r="B25">
        <v>50</v>
      </c>
      <c r="C25">
        <v>0.32700000000000001</v>
      </c>
      <c r="D25">
        <v>1.9E-2</v>
      </c>
      <c r="E25">
        <f t="shared" si="2"/>
        <v>1.096965511460289E-2</v>
      </c>
      <c r="F25">
        <f>AVERAGE(C25:C27)</f>
        <v>0.29266666666666669</v>
      </c>
      <c r="G25">
        <f>(AVERAGE(D25:D27))/SQRT(3)</f>
        <v>4.6188021535170064E-3</v>
      </c>
      <c r="H25">
        <v>6.9000000000000006E-2</v>
      </c>
      <c r="I25">
        <v>1.2E-2</v>
      </c>
      <c r="J25">
        <f t="shared" si="1"/>
        <v>6.9282032302755096E-3</v>
      </c>
      <c r="K25">
        <f>AVERAGE(H25:H27)</f>
        <v>6.5000000000000002E-2</v>
      </c>
      <c r="L25">
        <f>(AVERAGE(I25:I27))/SQRT(3)</f>
        <v>5.773502691896258E-3</v>
      </c>
      <c r="M25">
        <v>40</v>
      </c>
    </row>
    <row r="26" spans="1:13" x14ac:dyDescent="0.25">
      <c r="A26" t="s">
        <v>26</v>
      </c>
      <c r="B26">
        <v>50</v>
      </c>
      <c r="C26">
        <v>0.193</v>
      </c>
      <c r="D26">
        <v>3.0000000000000001E-3</v>
      </c>
      <c r="E26">
        <f t="shared" si="2"/>
        <v>1.7320508075688774E-3</v>
      </c>
      <c r="H26">
        <v>5.8000000000000003E-2</v>
      </c>
      <c r="I26">
        <v>2E-3</v>
      </c>
      <c r="J26">
        <f t="shared" si="1"/>
        <v>1.1547005383792516E-3</v>
      </c>
      <c r="M26">
        <v>40</v>
      </c>
    </row>
    <row r="27" spans="1:13" x14ac:dyDescent="0.25">
      <c r="A27" t="s">
        <v>27</v>
      </c>
      <c r="B27">
        <v>50</v>
      </c>
      <c r="C27">
        <v>0.35799999999999998</v>
      </c>
      <c r="D27">
        <v>2E-3</v>
      </c>
      <c r="E27">
        <f t="shared" si="2"/>
        <v>1.1547005383792516E-3</v>
      </c>
      <c r="H27">
        <v>6.8000000000000005E-2</v>
      </c>
      <c r="I27">
        <v>1.6E-2</v>
      </c>
      <c r="J27">
        <f t="shared" si="1"/>
        <v>9.2376043070340128E-3</v>
      </c>
      <c r="M27">
        <v>40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1" topLeftCell="A2" activePane="bottomLeft" state="frozen"/>
      <selection pane="bottomLeft" activeCell="P7" sqref="P7"/>
    </sheetView>
  </sheetViews>
  <sheetFormatPr defaultRowHeight="15" x14ac:dyDescent="0.25"/>
  <cols>
    <col min="1" max="1" width="6.85546875" bestFit="1" customWidth="1"/>
    <col min="2" max="2" width="5.7109375" bestFit="1" customWidth="1"/>
    <col min="3" max="10" width="12" bestFit="1" customWidth="1"/>
  </cols>
  <sheetData>
    <row r="1" spans="1:12" x14ac:dyDescent="0.25">
      <c r="A1" t="s">
        <v>7</v>
      </c>
      <c r="B1" t="s">
        <v>73</v>
      </c>
      <c r="C1" t="s">
        <v>47</v>
      </c>
      <c r="D1" t="s">
        <v>57</v>
      </c>
      <c r="E1" t="s">
        <v>72</v>
      </c>
      <c r="F1" t="s">
        <v>57</v>
      </c>
      <c r="G1" t="s">
        <v>64</v>
      </c>
      <c r="H1" t="s">
        <v>57</v>
      </c>
      <c r="I1" t="s">
        <v>71</v>
      </c>
      <c r="J1" t="s">
        <v>57</v>
      </c>
      <c r="K1" t="s">
        <v>91</v>
      </c>
      <c r="L1" t="s">
        <v>92</v>
      </c>
    </row>
    <row r="2" spans="1:12" x14ac:dyDescent="0.25">
      <c r="A2" t="s">
        <v>56</v>
      </c>
      <c r="B2">
        <v>0</v>
      </c>
      <c r="C2">
        <v>31782.613333333331</v>
      </c>
      <c r="D2">
        <v>4914.9094804052838</v>
      </c>
      <c r="E2">
        <v>1053692.4133333333</v>
      </c>
      <c r="F2">
        <v>308787.76896167418</v>
      </c>
      <c r="I2">
        <v>6.4888888888888885E-2</v>
      </c>
      <c r="J2">
        <v>1.0069903619744651E-2</v>
      </c>
      <c r="K2">
        <v>0</v>
      </c>
      <c r="L2">
        <v>0</v>
      </c>
    </row>
    <row r="3" spans="1:12" x14ac:dyDescent="0.25">
      <c r="A3" t="s">
        <v>39</v>
      </c>
      <c r="B3">
        <v>0</v>
      </c>
      <c r="C3">
        <v>20076.400000000001</v>
      </c>
      <c r="D3">
        <v>15972.060000000003</v>
      </c>
      <c r="E3">
        <v>20076.400000000001</v>
      </c>
      <c r="F3">
        <v>15972.060000000003</v>
      </c>
      <c r="G3">
        <v>0.112</v>
      </c>
      <c r="H3">
        <f>G3/SQRT(3)</f>
        <v>6.4663230149238096E-2</v>
      </c>
      <c r="I3">
        <v>9.4E-2</v>
      </c>
      <c r="J3">
        <f>I3/SQRT(3)</f>
        <v>5.4270925303824824E-2</v>
      </c>
      <c r="K3">
        <v>0</v>
      </c>
      <c r="L3">
        <v>0</v>
      </c>
    </row>
    <row r="4" spans="1:12" x14ac:dyDescent="0.25">
      <c r="A4" t="s">
        <v>62</v>
      </c>
      <c r="B4">
        <v>0</v>
      </c>
      <c r="C4">
        <v>23638.480000000003</v>
      </c>
      <c r="E4">
        <v>23638.480000000003</v>
      </c>
      <c r="G4">
        <v>0.06</v>
      </c>
      <c r="H4">
        <f>G4/SQRT(3)</f>
        <v>3.4641016151377546E-2</v>
      </c>
      <c r="I4">
        <v>5.8999999999999997E-2</v>
      </c>
      <c r="J4">
        <f>I4/SQRT(3)</f>
        <v>3.406366588218792E-2</v>
      </c>
      <c r="K4">
        <v>0</v>
      </c>
      <c r="L4">
        <v>0</v>
      </c>
    </row>
    <row r="5" spans="1:12" x14ac:dyDescent="0.25">
      <c r="A5">
        <v>1</v>
      </c>
      <c r="B5">
        <v>1</v>
      </c>
      <c r="C5">
        <v>37816.486666666671</v>
      </c>
      <c r="D5">
        <v>7334.0685311345278</v>
      </c>
      <c r="E5">
        <v>1767177.6066666662</v>
      </c>
      <c r="F5">
        <v>724808.84130229254</v>
      </c>
      <c r="G5">
        <v>7.6499999999999999E-2</v>
      </c>
      <c r="H5">
        <v>8.2076561287487658E-3</v>
      </c>
      <c r="I5">
        <v>7.6666666666666661E-2</v>
      </c>
      <c r="J5">
        <v>2.5018511664883787E-2</v>
      </c>
      <c r="K5">
        <f>AVERAGE(1,2,2)</f>
        <v>1.6666666666666667</v>
      </c>
      <c r="L5">
        <f>STDEV(1,2,2)/SQRT(3)</f>
        <v>0.3333333333333332</v>
      </c>
    </row>
    <row r="6" spans="1:12" x14ac:dyDescent="0.25">
      <c r="A6">
        <v>5</v>
      </c>
      <c r="B6">
        <v>5</v>
      </c>
      <c r="C6">
        <v>41837.006666666683</v>
      </c>
      <c r="D6">
        <v>19122.391610417835</v>
      </c>
      <c r="E6">
        <v>1887195.2800000003</v>
      </c>
      <c r="F6">
        <v>1288123.2621844229</v>
      </c>
      <c r="G6">
        <v>9.2333333333333337E-2</v>
      </c>
      <c r="H6">
        <v>8.8527041275742614E-3</v>
      </c>
      <c r="I6">
        <v>6.1666666666666668E-2</v>
      </c>
      <c r="J6">
        <v>6.9282032302755104E-3</v>
      </c>
      <c r="K6">
        <f>AVERAGE(4,5,5)</f>
        <v>4.666666666666667</v>
      </c>
      <c r="L6">
        <f>STDEV(4,5,5)/SQRT(3)</f>
        <v>0.33333333333333454</v>
      </c>
    </row>
    <row r="7" spans="1:12" x14ac:dyDescent="0.25">
      <c r="A7">
        <v>10</v>
      </c>
      <c r="B7">
        <v>10</v>
      </c>
      <c r="C7">
        <v>374176.24000000005</v>
      </c>
      <c r="D7">
        <v>75925.593930988296</v>
      </c>
      <c r="E7">
        <v>80855234.093333289</v>
      </c>
      <c r="F7">
        <v>39487057.182107024</v>
      </c>
      <c r="G7">
        <v>0.14849999999999999</v>
      </c>
      <c r="H7">
        <v>3.6138613853961238E-3</v>
      </c>
      <c r="I7">
        <v>7.5333333333333349E-2</v>
      </c>
      <c r="J7">
        <v>4.8112522432468812E-3</v>
      </c>
      <c r="K7">
        <f>AVERAGE(7,6,10)</f>
        <v>7.666666666666667</v>
      </c>
      <c r="L7">
        <f>STDEV(7,6,10)/SQRT(3)</f>
        <v>1.2018504251546627</v>
      </c>
    </row>
    <row r="8" spans="1:12" x14ac:dyDescent="0.25">
      <c r="A8">
        <v>15</v>
      </c>
      <c r="B8">
        <v>15</v>
      </c>
      <c r="C8">
        <v>236359.8866666668</v>
      </c>
      <c r="D8">
        <v>37586.468142213896</v>
      </c>
      <c r="E8">
        <v>11056951.489999996</v>
      </c>
      <c r="F8">
        <v>3687389.7240118347</v>
      </c>
      <c r="G8">
        <v>0.22233333333333336</v>
      </c>
      <c r="H8">
        <v>9.814954576223639E-3</v>
      </c>
      <c r="I8">
        <v>5.3999999999999992E-2</v>
      </c>
      <c r="J8">
        <v>3.65655170486763E-3</v>
      </c>
      <c r="K8">
        <f>AVERAGE(14,15,14)</f>
        <v>14.333333333333334</v>
      </c>
      <c r="L8">
        <f>STDEV(14,15,14)/SQRT(3)</f>
        <v>0.33333333333333331</v>
      </c>
    </row>
    <row r="9" spans="1:12" x14ac:dyDescent="0.25">
      <c r="A9">
        <v>20</v>
      </c>
      <c r="B9">
        <v>20</v>
      </c>
      <c r="C9">
        <v>426081.63999999972</v>
      </c>
      <c r="D9">
        <v>71699.347934610836</v>
      </c>
      <c r="E9">
        <v>100539372.56</v>
      </c>
      <c r="F9">
        <v>58170242.613056771</v>
      </c>
      <c r="G9">
        <v>0.223</v>
      </c>
      <c r="H9">
        <v>1.0007404665953514E-2</v>
      </c>
      <c r="I9">
        <v>6.3666666666666663E-2</v>
      </c>
      <c r="J9">
        <v>1.0199854755683389E-2</v>
      </c>
      <c r="K9">
        <f>AVERAGE(20,16,16)</f>
        <v>17.333333333333332</v>
      </c>
      <c r="L9">
        <f>STDEV(20,16,16)/SQRT(3)</f>
        <v>1.333333333333331</v>
      </c>
    </row>
    <row r="10" spans="1:12" x14ac:dyDescent="0.25">
      <c r="A10">
        <v>30</v>
      </c>
      <c r="B10">
        <v>30</v>
      </c>
      <c r="C10">
        <v>598346.15333333355</v>
      </c>
      <c r="D10">
        <v>102719.15555481652</v>
      </c>
      <c r="E10">
        <v>117485811.04333329</v>
      </c>
      <c r="F10">
        <v>27647945.54756036</v>
      </c>
      <c r="G10">
        <v>0.3193333333333333</v>
      </c>
      <c r="H10">
        <v>2.116950987028628E-2</v>
      </c>
      <c r="I10">
        <v>9.0333333333333335E-2</v>
      </c>
      <c r="J10">
        <v>1.6358257627039397E-2</v>
      </c>
      <c r="K10">
        <f>AVERAGE(27,22,26)</f>
        <v>25</v>
      </c>
      <c r="L10">
        <f>STDEV(27,22,26)/SQRT(3)</f>
        <v>1.5275252316519468</v>
      </c>
    </row>
    <row r="11" spans="1:12" x14ac:dyDescent="0.25">
      <c r="A11">
        <v>50</v>
      </c>
      <c r="B11">
        <v>50</v>
      </c>
      <c r="C11">
        <v>608313.14000000013</v>
      </c>
      <c r="D11">
        <v>83110.272615501279</v>
      </c>
      <c r="E11">
        <v>110867556.3033333</v>
      </c>
      <c r="F11">
        <v>73920888.406756923</v>
      </c>
      <c r="G11">
        <v>0.29266666666666669</v>
      </c>
      <c r="H11">
        <v>4.6188021535170064E-3</v>
      </c>
      <c r="I11">
        <v>6.5000000000000002E-2</v>
      </c>
      <c r="J11">
        <v>5.773502691896258E-3</v>
      </c>
      <c r="K11">
        <v>40</v>
      </c>
      <c r="L11">
        <f>STDEV(40,40,40)/SQRT(3)</f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workbookViewId="0">
      <pane ySplit="1" topLeftCell="A2" activePane="bottomLeft" state="frozen"/>
      <selection pane="bottomLeft" activeCell="L24" sqref="L24"/>
    </sheetView>
  </sheetViews>
  <sheetFormatPr defaultRowHeight="15" x14ac:dyDescent="0.25"/>
  <cols>
    <col min="1" max="1" width="7.42578125" bestFit="1" customWidth="1"/>
    <col min="2" max="3" width="10" bestFit="1" customWidth="1"/>
    <col min="4" max="4" width="9.85546875" bestFit="1" customWidth="1"/>
    <col min="5" max="5" width="12.28515625" bestFit="1" customWidth="1"/>
    <col min="7" max="7" width="9" customWidth="1"/>
  </cols>
  <sheetData>
    <row r="1" spans="1:16" x14ac:dyDescent="0.25">
      <c r="A1" t="s">
        <v>74</v>
      </c>
      <c r="B1" t="s">
        <v>75</v>
      </c>
      <c r="C1" t="s">
        <v>76</v>
      </c>
      <c r="D1" t="s">
        <v>77</v>
      </c>
      <c r="E1" t="s">
        <v>78</v>
      </c>
      <c r="G1" t="s">
        <v>79</v>
      </c>
      <c r="H1" t="s">
        <v>8</v>
      </c>
      <c r="I1" t="s">
        <v>7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</row>
    <row r="2" spans="1:16" x14ac:dyDescent="0.25">
      <c r="A2">
        <v>880</v>
      </c>
      <c r="B2">
        <v>715.61</v>
      </c>
      <c r="C2">
        <v>551.54999999999995</v>
      </c>
      <c r="D2" s="4">
        <v>249320</v>
      </c>
      <c r="E2" s="4">
        <v>197140000</v>
      </c>
      <c r="G2">
        <v>20</v>
      </c>
      <c r="H2">
        <v>1</v>
      </c>
      <c r="I2" t="s">
        <v>10</v>
      </c>
      <c r="J2">
        <f>COUNTIF(A:A, "&lt;416")-COUNTIF(A:A, "&lt;385")</f>
        <v>0</v>
      </c>
      <c r="K2">
        <v>1</v>
      </c>
      <c r="L2">
        <v>0</v>
      </c>
      <c r="M2">
        <v>0</v>
      </c>
      <c r="N2">
        <f t="shared" ref="N2:N22" si="0">J2/K2</f>
        <v>0</v>
      </c>
    </row>
    <row r="3" spans="1:16" x14ac:dyDescent="0.25">
      <c r="A3">
        <v>1044</v>
      </c>
      <c r="B3">
        <v>1005.2</v>
      </c>
      <c r="C3">
        <v>366.02</v>
      </c>
      <c r="D3" s="4">
        <v>243630</v>
      </c>
      <c r="E3" s="4">
        <v>154810000</v>
      </c>
      <c r="G3">
        <v>50</v>
      </c>
      <c r="H3">
        <v>1</v>
      </c>
      <c r="I3" t="s">
        <v>11</v>
      </c>
      <c r="J3">
        <f>COUNTIF(A:A, "&lt;492")-COUNTIF(A:A, "&lt;461")</f>
        <v>0</v>
      </c>
      <c r="K3">
        <v>1</v>
      </c>
      <c r="N3">
        <f t="shared" si="0"/>
        <v>0</v>
      </c>
    </row>
    <row r="4" spans="1:16" x14ac:dyDescent="0.25">
      <c r="A4">
        <v>696</v>
      </c>
      <c r="B4">
        <v>572.28</v>
      </c>
      <c r="C4">
        <v>483.8</v>
      </c>
      <c r="D4" s="4">
        <v>188410</v>
      </c>
      <c r="E4" s="4">
        <v>119690000</v>
      </c>
      <c r="G4">
        <v>10</v>
      </c>
      <c r="H4">
        <v>2</v>
      </c>
      <c r="I4" t="s">
        <v>12</v>
      </c>
      <c r="J4">
        <f>COUNTIF(A:A, "&lt;525")-COUNTIF(A:A, "&lt;494")</f>
        <v>0</v>
      </c>
      <c r="K4">
        <v>1</v>
      </c>
      <c r="N4">
        <f t="shared" si="0"/>
        <v>0</v>
      </c>
    </row>
    <row r="5" spans="1:16" x14ac:dyDescent="0.25">
      <c r="A5">
        <v>987</v>
      </c>
      <c r="B5">
        <v>806.2</v>
      </c>
      <c r="C5">
        <v>364.16</v>
      </c>
      <c r="D5" s="4">
        <v>181130</v>
      </c>
      <c r="E5" s="4">
        <v>101280000</v>
      </c>
      <c r="G5">
        <v>30</v>
      </c>
      <c r="H5">
        <v>4</v>
      </c>
      <c r="I5" t="s">
        <v>13</v>
      </c>
      <c r="J5">
        <f>COUNTIF(A:A, "&lt;557")-COUNTIF(A:A, "&lt;526")</f>
        <v>0</v>
      </c>
      <c r="K5">
        <v>5</v>
      </c>
      <c r="L5">
        <v>0</v>
      </c>
      <c r="M5">
        <v>0</v>
      </c>
      <c r="N5">
        <f t="shared" si="0"/>
        <v>0</v>
      </c>
    </row>
    <row r="6" spans="1:16" x14ac:dyDescent="0.25">
      <c r="A6">
        <v>676</v>
      </c>
      <c r="B6">
        <v>489.1</v>
      </c>
      <c r="C6">
        <v>435.58</v>
      </c>
      <c r="D6" s="4">
        <v>145470</v>
      </c>
      <c r="E6" s="4">
        <v>69389000</v>
      </c>
      <c r="G6">
        <v>10</v>
      </c>
      <c r="H6">
        <v>5</v>
      </c>
      <c r="I6" t="s">
        <v>14</v>
      </c>
      <c r="J6">
        <f>COUNTIF(A:A, "&lt;589")-COUNTIF(A:A, "&lt;558")</f>
        <v>0</v>
      </c>
      <c r="K6">
        <v>5</v>
      </c>
      <c r="N6">
        <f t="shared" si="0"/>
        <v>0</v>
      </c>
    </row>
    <row r="7" spans="1:16" x14ac:dyDescent="0.25">
      <c r="A7">
        <v>925</v>
      </c>
      <c r="B7">
        <v>608.42999999999995</v>
      </c>
      <c r="C7">
        <v>322.16000000000003</v>
      </c>
      <c r="D7" s="4">
        <v>121640</v>
      </c>
      <c r="E7" s="4">
        <v>59926000</v>
      </c>
      <c r="G7">
        <v>30</v>
      </c>
      <c r="H7">
        <v>5</v>
      </c>
      <c r="I7" t="s">
        <v>15</v>
      </c>
      <c r="J7">
        <f>COUNTIF(A:A, "&lt;629")-COUNTIF(A:A, "&lt;598")</f>
        <v>0</v>
      </c>
      <c r="K7">
        <v>5</v>
      </c>
      <c r="N7">
        <f t="shared" si="0"/>
        <v>0</v>
      </c>
    </row>
    <row r="8" spans="1:16" x14ac:dyDescent="0.25">
      <c r="A8">
        <v>888</v>
      </c>
      <c r="B8">
        <v>425.66</v>
      </c>
      <c r="C8">
        <v>401.07</v>
      </c>
      <c r="D8" s="4">
        <v>111590</v>
      </c>
      <c r="E8" s="4">
        <v>58811000</v>
      </c>
      <c r="G8">
        <v>20</v>
      </c>
      <c r="H8">
        <v>7</v>
      </c>
      <c r="I8" t="s">
        <v>16</v>
      </c>
      <c r="J8">
        <f>COUNTIF(A:A, "&lt;661")-COUNTIF(A:A, "&lt;630")</f>
        <v>0</v>
      </c>
      <c r="K8">
        <v>10</v>
      </c>
      <c r="L8">
        <f>AVERAGE(J8:J10)</f>
        <v>1.6666666666666667</v>
      </c>
      <c r="M8">
        <f>STDEV(J8:J10)/SQRT(3)</f>
        <v>1.2018504251546631</v>
      </c>
      <c r="N8">
        <f t="shared" si="0"/>
        <v>0</v>
      </c>
    </row>
    <row r="9" spans="1:16" x14ac:dyDescent="0.25">
      <c r="A9">
        <v>1023</v>
      </c>
      <c r="B9">
        <v>646.85</v>
      </c>
      <c r="C9">
        <v>305.31</v>
      </c>
      <c r="D9" s="4">
        <v>108980</v>
      </c>
      <c r="E9" s="4">
        <v>69577000</v>
      </c>
      <c r="G9">
        <v>50</v>
      </c>
      <c r="H9">
        <v>6</v>
      </c>
      <c r="I9" t="s">
        <v>17</v>
      </c>
      <c r="J9">
        <f>COUNTIF(A:A, "&lt;694")-COUNTIF(A:A, "&lt;662")</f>
        <v>4</v>
      </c>
      <c r="K9">
        <v>10</v>
      </c>
      <c r="N9">
        <f t="shared" si="0"/>
        <v>0.4</v>
      </c>
    </row>
    <row r="10" spans="1:16" x14ac:dyDescent="0.25">
      <c r="A10">
        <v>968</v>
      </c>
      <c r="B10">
        <v>483.74</v>
      </c>
      <c r="C10">
        <v>273.49</v>
      </c>
      <c r="D10">
        <v>58448</v>
      </c>
      <c r="E10" s="4">
        <v>31685000</v>
      </c>
      <c r="G10">
        <v>30</v>
      </c>
      <c r="H10">
        <v>10</v>
      </c>
      <c r="I10" t="s">
        <v>67</v>
      </c>
      <c r="J10">
        <f>COUNTIF(A:A, "&lt;726")-COUNTIF(A:A, "&lt;695")</f>
        <v>1</v>
      </c>
      <c r="K10">
        <v>10</v>
      </c>
      <c r="N10">
        <f t="shared" si="0"/>
        <v>0.1</v>
      </c>
    </row>
    <row r="11" spans="1:16" x14ac:dyDescent="0.25">
      <c r="A11">
        <v>1031</v>
      </c>
      <c r="B11">
        <v>352.08</v>
      </c>
      <c r="C11">
        <v>192.04</v>
      </c>
      <c r="D11">
        <v>47355</v>
      </c>
      <c r="E11" s="4">
        <v>12242000</v>
      </c>
      <c r="G11">
        <v>50</v>
      </c>
      <c r="H11">
        <v>14</v>
      </c>
      <c r="I11" t="s">
        <v>18</v>
      </c>
      <c r="J11">
        <f>COUNTIF(A:A, "&lt;754")-COUNTIF(A:A, "&lt;728")</f>
        <v>0</v>
      </c>
      <c r="K11">
        <v>15</v>
      </c>
      <c r="L11">
        <f>AVERAGE(J11:J13)</f>
        <v>1.3333333333333333</v>
      </c>
      <c r="M11">
        <f>STDEV(J11:J13)/SQRT(3)</f>
        <v>0.88191710368819698</v>
      </c>
      <c r="N11">
        <f t="shared" si="0"/>
        <v>0</v>
      </c>
    </row>
    <row r="12" spans="1:16" x14ac:dyDescent="0.25">
      <c r="A12">
        <v>943</v>
      </c>
      <c r="B12">
        <v>379.61</v>
      </c>
      <c r="C12">
        <v>223.16</v>
      </c>
      <c r="D12">
        <v>40230</v>
      </c>
      <c r="E12" s="4">
        <v>20555000</v>
      </c>
      <c r="G12">
        <v>30</v>
      </c>
      <c r="H12">
        <v>15</v>
      </c>
      <c r="I12" t="s">
        <v>68</v>
      </c>
      <c r="J12">
        <f>COUNTIF(A:A, "&lt;786")-COUNTIF(A:A, "&lt;755")</f>
        <v>3</v>
      </c>
      <c r="K12">
        <v>15</v>
      </c>
      <c r="N12">
        <f t="shared" si="0"/>
        <v>0.2</v>
      </c>
    </row>
    <row r="13" spans="1:16" x14ac:dyDescent="0.25">
      <c r="A13">
        <v>941</v>
      </c>
      <c r="B13">
        <v>352.73</v>
      </c>
      <c r="C13">
        <v>294.7</v>
      </c>
      <c r="D13">
        <v>37829</v>
      </c>
      <c r="E13" s="4">
        <v>15739000</v>
      </c>
      <c r="G13">
        <v>30</v>
      </c>
      <c r="H13">
        <v>14</v>
      </c>
      <c r="I13" t="s">
        <v>69</v>
      </c>
      <c r="J13">
        <f>COUNTIF(A:A, "&lt;819")-COUNTIF(A:A, "&lt;788")</f>
        <v>1</v>
      </c>
      <c r="K13">
        <v>15</v>
      </c>
      <c r="N13">
        <f t="shared" si="0"/>
        <v>6.6666666666666666E-2</v>
      </c>
    </row>
    <row r="14" spans="1:16" x14ac:dyDescent="0.25">
      <c r="A14">
        <v>965</v>
      </c>
      <c r="B14">
        <v>520.26</v>
      </c>
      <c r="C14">
        <v>162.37</v>
      </c>
      <c r="D14">
        <v>34093</v>
      </c>
      <c r="E14" s="4">
        <v>14692000</v>
      </c>
      <c r="G14">
        <v>30</v>
      </c>
      <c r="H14">
        <v>20</v>
      </c>
      <c r="I14" t="s">
        <v>19</v>
      </c>
      <c r="J14">
        <f>COUNTIF(A:A, "&lt;851")-COUNTIF(A:A, "&lt;820")</f>
        <v>2</v>
      </c>
      <c r="K14">
        <v>20</v>
      </c>
      <c r="L14">
        <f>AVERAGE(J14:J16)</f>
        <v>1.6666666666666667</v>
      </c>
      <c r="M14">
        <f>STDEV(J14:J16)/SQRT(3)</f>
        <v>0.3333333333333332</v>
      </c>
      <c r="N14">
        <f t="shared" si="0"/>
        <v>0.1</v>
      </c>
    </row>
    <row r="15" spans="1:16" x14ac:dyDescent="0.25">
      <c r="A15">
        <v>932</v>
      </c>
      <c r="B15">
        <v>413.87</v>
      </c>
      <c r="C15">
        <v>233.87</v>
      </c>
      <c r="D15">
        <v>33996</v>
      </c>
      <c r="E15" s="4">
        <v>17181000</v>
      </c>
      <c r="G15">
        <v>30</v>
      </c>
      <c r="H15">
        <v>16</v>
      </c>
      <c r="I15" t="s">
        <v>20</v>
      </c>
      <c r="J15">
        <f>COUNTIF(A:A, "&lt;883")-COUNTIF(A:A, "&lt;852")</f>
        <v>2</v>
      </c>
      <c r="K15">
        <v>20</v>
      </c>
      <c r="N15">
        <f t="shared" si="0"/>
        <v>0.1</v>
      </c>
    </row>
    <row r="16" spans="1:16" x14ac:dyDescent="0.25">
      <c r="A16">
        <v>1085</v>
      </c>
      <c r="B16">
        <v>284.2</v>
      </c>
      <c r="C16">
        <v>147.65</v>
      </c>
      <c r="D16">
        <v>27607</v>
      </c>
      <c r="E16" s="4">
        <v>6065600</v>
      </c>
      <c r="G16">
        <v>50</v>
      </c>
      <c r="H16">
        <v>16</v>
      </c>
      <c r="I16" t="s">
        <v>21</v>
      </c>
      <c r="J16">
        <f>COUNTIF(A:A, "&lt;915")-COUNTIF(A:A, "&lt;884")</f>
        <v>1</v>
      </c>
      <c r="K16">
        <v>20</v>
      </c>
      <c r="N16">
        <f t="shared" si="0"/>
        <v>0.05</v>
      </c>
    </row>
    <row r="17" spans="1:15" x14ac:dyDescent="0.25">
      <c r="A17">
        <v>945</v>
      </c>
      <c r="B17">
        <v>270.25</v>
      </c>
      <c r="C17">
        <v>219.46</v>
      </c>
      <c r="D17">
        <v>24936</v>
      </c>
      <c r="E17" s="4">
        <v>9438300</v>
      </c>
      <c r="G17">
        <v>30</v>
      </c>
      <c r="H17">
        <v>27</v>
      </c>
      <c r="I17" t="s">
        <v>22</v>
      </c>
      <c r="J17">
        <f>COUNTIF(A:A, "&lt;948")-COUNTIF(A:A, "&lt;916")</f>
        <v>6</v>
      </c>
      <c r="K17">
        <v>30</v>
      </c>
      <c r="L17">
        <f>AVERAGE(J17:J19)</f>
        <v>7</v>
      </c>
      <c r="M17">
        <f>STDEV(J17:J19)/SQRT(3)</f>
        <v>1</v>
      </c>
      <c r="N17">
        <f t="shared" si="0"/>
        <v>0.2</v>
      </c>
    </row>
    <row r="18" spans="1:15" x14ac:dyDescent="0.25">
      <c r="A18">
        <v>1073</v>
      </c>
      <c r="B18">
        <v>301.89</v>
      </c>
      <c r="C18">
        <v>156.4</v>
      </c>
      <c r="D18">
        <v>24607</v>
      </c>
      <c r="E18" s="4">
        <v>6140300</v>
      </c>
      <c r="G18">
        <v>50</v>
      </c>
      <c r="H18">
        <v>22</v>
      </c>
      <c r="I18" t="s">
        <v>23</v>
      </c>
      <c r="J18">
        <f>COUNTIF(A:A, "&lt;980")-COUNTIF(A:A, "&lt;949")</f>
        <v>6</v>
      </c>
      <c r="K18">
        <v>30</v>
      </c>
      <c r="N18">
        <f t="shared" si="0"/>
        <v>0.2</v>
      </c>
    </row>
    <row r="19" spans="1:15" x14ac:dyDescent="0.25">
      <c r="A19">
        <v>987</v>
      </c>
      <c r="B19">
        <v>176.57</v>
      </c>
      <c r="C19">
        <v>175.43</v>
      </c>
      <c r="D19">
        <v>24297</v>
      </c>
      <c r="E19" s="4">
        <v>2913900</v>
      </c>
      <c r="G19">
        <v>30</v>
      </c>
      <c r="H19">
        <v>26</v>
      </c>
      <c r="I19" t="s">
        <v>24</v>
      </c>
      <c r="J19">
        <f>COUNTIF(A:A, "&lt;1012")-COUNTIF(A:A, "&lt;981")</f>
        <v>9</v>
      </c>
      <c r="K19">
        <v>30</v>
      </c>
      <c r="N19">
        <f t="shared" si="0"/>
        <v>0.3</v>
      </c>
    </row>
    <row r="20" spans="1:15" x14ac:dyDescent="0.25">
      <c r="A20">
        <v>1000</v>
      </c>
      <c r="B20">
        <v>228.62</v>
      </c>
      <c r="C20">
        <v>136.82</v>
      </c>
      <c r="D20">
        <v>23058</v>
      </c>
      <c r="E20" s="4">
        <v>3185600</v>
      </c>
      <c r="G20">
        <v>30</v>
      </c>
      <c r="H20">
        <v>40</v>
      </c>
      <c r="I20" t="s">
        <v>25</v>
      </c>
      <c r="J20">
        <f>COUNTIF(A:A, "&lt;1044")-COUNTIF(A:A, "&lt;1013")</f>
        <v>5</v>
      </c>
      <c r="K20">
        <v>50</v>
      </c>
      <c r="L20">
        <f>AVERAGE(J20:J22)</f>
        <v>3.3333333333333335</v>
      </c>
      <c r="M20">
        <f>STDEV(J20:J22)/SQRT(3)</f>
        <v>0.88191710368819676</v>
      </c>
      <c r="N20">
        <f t="shared" si="0"/>
        <v>0.1</v>
      </c>
    </row>
    <row r="21" spans="1:15" x14ac:dyDescent="0.25">
      <c r="A21">
        <v>1002</v>
      </c>
      <c r="B21">
        <v>226.26</v>
      </c>
      <c r="C21">
        <v>170.58</v>
      </c>
      <c r="D21">
        <v>19921</v>
      </c>
      <c r="E21" s="4">
        <v>4527300</v>
      </c>
      <c r="G21">
        <v>30</v>
      </c>
      <c r="H21">
        <v>40</v>
      </c>
      <c r="I21" t="s">
        <v>26</v>
      </c>
      <c r="J21">
        <f>COUNTIF(A:A, "&lt;1076")-COUNTIF(A:A, "&lt;1045")</f>
        <v>3</v>
      </c>
      <c r="K21">
        <v>50</v>
      </c>
      <c r="N21">
        <f t="shared" si="0"/>
        <v>0.06</v>
      </c>
    </row>
    <row r="22" spans="1:15" x14ac:dyDescent="0.25">
      <c r="A22">
        <v>1005</v>
      </c>
      <c r="B22">
        <v>222.83</v>
      </c>
      <c r="C22">
        <v>110.99</v>
      </c>
      <c r="D22">
        <v>18121</v>
      </c>
      <c r="E22" s="4">
        <v>2149200</v>
      </c>
      <c r="G22">
        <v>30</v>
      </c>
      <c r="H22">
        <v>40</v>
      </c>
      <c r="I22" t="s">
        <v>27</v>
      </c>
      <c r="J22">
        <f>COUNTIF(A:A, "&lt;1108")-COUNTIF(A:A, "&lt;1077")</f>
        <v>2</v>
      </c>
      <c r="K22">
        <v>50</v>
      </c>
      <c r="N22">
        <f t="shared" si="0"/>
        <v>0.04</v>
      </c>
    </row>
    <row r="23" spans="1:15" x14ac:dyDescent="0.25">
      <c r="A23">
        <v>1076</v>
      </c>
      <c r="B23">
        <v>138.25</v>
      </c>
      <c r="C23">
        <v>136.24</v>
      </c>
      <c r="D23">
        <v>14694</v>
      </c>
      <c r="E23" s="4">
        <v>1401300</v>
      </c>
      <c r="G23">
        <v>50</v>
      </c>
    </row>
    <row r="24" spans="1:15" x14ac:dyDescent="0.25">
      <c r="A24">
        <v>964</v>
      </c>
      <c r="B24">
        <v>189.26</v>
      </c>
      <c r="C24">
        <v>183.8</v>
      </c>
      <c r="D24">
        <v>13533</v>
      </c>
      <c r="E24" s="4">
        <v>2896800</v>
      </c>
      <c r="G24">
        <v>30</v>
      </c>
      <c r="N24">
        <f>AVERAGE(N2:N22)</f>
        <v>9.1269841269841279E-2</v>
      </c>
      <c r="O24">
        <f>STDEV(N2:N22)/SQRT(21)</f>
        <v>2.4261010363023205E-2</v>
      </c>
    </row>
    <row r="25" spans="1:15" x14ac:dyDescent="0.25">
      <c r="A25">
        <v>673</v>
      </c>
      <c r="B25">
        <v>331.86</v>
      </c>
      <c r="C25">
        <v>111.69</v>
      </c>
      <c r="D25">
        <v>13165</v>
      </c>
      <c r="E25" s="4">
        <v>3465200</v>
      </c>
      <c r="G25">
        <v>10</v>
      </c>
    </row>
    <row r="26" spans="1:15" x14ac:dyDescent="0.25">
      <c r="A26">
        <v>880</v>
      </c>
      <c r="B26">
        <v>189.43</v>
      </c>
      <c r="C26">
        <v>109</v>
      </c>
      <c r="D26">
        <v>12855</v>
      </c>
      <c r="E26" s="4">
        <v>1744600</v>
      </c>
      <c r="G26">
        <v>20</v>
      </c>
    </row>
    <row r="27" spans="1:15" x14ac:dyDescent="0.25">
      <c r="A27">
        <v>985</v>
      </c>
      <c r="B27">
        <v>283.89999999999998</v>
      </c>
      <c r="C27">
        <v>127.57</v>
      </c>
      <c r="D27">
        <v>12758</v>
      </c>
      <c r="E27" s="4">
        <v>4105000</v>
      </c>
      <c r="G27">
        <v>30</v>
      </c>
    </row>
    <row r="28" spans="1:15" x14ac:dyDescent="0.25">
      <c r="A28">
        <v>1055</v>
      </c>
      <c r="B28">
        <v>118.78</v>
      </c>
      <c r="C28">
        <v>115.61</v>
      </c>
      <c r="D28">
        <v>10764</v>
      </c>
      <c r="E28" s="4">
        <v>860590</v>
      </c>
      <c r="G28">
        <v>50</v>
      </c>
    </row>
    <row r="29" spans="1:15" x14ac:dyDescent="0.25">
      <c r="A29">
        <v>987</v>
      </c>
      <c r="B29">
        <v>211.93</v>
      </c>
      <c r="C29">
        <v>129.44</v>
      </c>
      <c r="D29">
        <v>10512</v>
      </c>
      <c r="E29" s="4">
        <v>2518600</v>
      </c>
      <c r="G29">
        <v>30</v>
      </c>
    </row>
    <row r="30" spans="1:15" x14ac:dyDescent="0.25">
      <c r="A30">
        <v>983</v>
      </c>
      <c r="B30">
        <v>240.52</v>
      </c>
      <c r="C30">
        <v>121.76</v>
      </c>
      <c r="D30">
        <v>10396</v>
      </c>
      <c r="E30" s="4">
        <v>2283800</v>
      </c>
      <c r="G30">
        <v>30</v>
      </c>
    </row>
    <row r="31" spans="1:15" x14ac:dyDescent="0.25">
      <c r="A31">
        <v>927</v>
      </c>
      <c r="B31">
        <v>228.57</v>
      </c>
      <c r="C31">
        <v>123.54</v>
      </c>
      <c r="D31">
        <v>10261</v>
      </c>
      <c r="E31" s="4">
        <v>2063000</v>
      </c>
      <c r="G31">
        <v>30</v>
      </c>
    </row>
    <row r="32" spans="1:15" x14ac:dyDescent="0.25">
      <c r="A32">
        <v>1041</v>
      </c>
      <c r="B32">
        <v>113.5</v>
      </c>
      <c r="C32">
        <v>109.18</v>
      </c>
      <c r="D32">
        <v>9699.4</v>
      </c>
      <c r="E32" s="4">
        <v>746740</v>
      </c>
      <c r="G32">
        <v>50</v>
      </c>
    </row>
    <row r="33" spans="1:7" x14ac:dyDescent="0.25">
      <c r="A33">
        <v>984</v>
      </c>
      <c r="B33">
        <v>230.74</v>
      </c>
      <c r="C33">
        <v>110.69</v>
      </c>
      <c r="D33">
        <v>9505.7999999999993</v>
      </c>
      <c r="E33" s="4">
        <v>2152300</v>
      </c>
      <c r="G33">
        <v>30</v>
      </c>
    </row>
    <row r="34" spans="1:7" x14ac:dyDescent="0.25">
      <c r="A34">
        <v>1039</v>
      </c>
      <c r="B34">
        <v>112.29</v>
      </c>
      <c r="C34">
        <v>104.57</v>
      </c>
      <c r="D34">
        <v>9176.6</v>
      </c>
      <c r="E34" s="4">
        <v>699310</v>
      </c>
      <c r="G34">
        <v>50</v>
      </c>
    </row>
    <row r="35" spans="1:7" x14ac:dyDescent="0.25">
      <c r="A35">
        <v>838</v>
      </c>
      <c r="B35">
        <v>108.93</v>
      </c>
      <c r="C35">
        <v>106.24</v>
      </c>
      <c r="D35">
        <v>9060.5</v>
      </c>
      <c r="E35" s="4">
        <v>680210</v>
      </c>
      <c r="G35">
        <v>20</v>
      </c>
    </row>
    <row r="36" spans="1:7" x14ac:dyDescent="0.25">
      <c r="A36">
        <v>1081</v>
      </c>
      <c r="B36">
        <v>119.75</v>
      </c>
      <c r="C36">
        <v>110.58</v>
      </c>
      <c r="D36">
        <v>8615.2000000000007</v>
      </c>
      <c r="E36" s="4">
        <v>819790</v>
      </c>
      <c r="G36">
        <v>50</v>
      </c>
    </row>
    <row r="37" spans="1:7" x14ac:dyDescent="0.25">
      <c r="A37">
        <v>965</v>
      </c>
      <c r="B37">
        <v>163.6</v>
      </c>
      <c r="C37">
        <v>108.47</v>
      </c>
      <c r="D37">
        <v>8305.4</v>
      </c>
      <c r="E37" s="4">
        <v>1276900</v>
      </c>
      <c r="G37">
        <v>30</v>
      </c>
    </row>
    <row r="38" spans="1:7" x14ac:dyDescent="0.25">
      <c r="A38">
        <v>666</v>
      </c>
      <c r="B38">
        <v>231.85</v>
      </c>
      <c r="C38">
        <v>109.63</v>
      </c>
      <c r="D38">
        <v>8286.1</v>
      </c>
      <c r="E38" s="4">
        <v>1926900</v>
      </c>
      <c r="G38">
        <v>10</v>
      </c>
    </row>
    <row r="39" spans="1:7" x14ac:dyDescent="0.25">
      <c r="A39">
        <v>764</v>
      </c>
      <c r="B39">
        <v>167.91</v>
      </c>
      <c r="C39">
        <v>104.94</v>
      </c>
      <c r="D39">
        <v>8286.1</v>
      </c>
      <c r="E39" s="4">
        <v>1540600</v>
      </c>
      <c r="G39">
        <v>15</v>
      </c>
    </row>
    <row r="40" spans="1:7" x14ac:dyDescent="0.25">
      <c r="A40">
        <v>1019</v>
      </c>
      <c r="B40">
        <v>246.35</v>
      </c>
      <c r="C40">
        <v>109.09</v>
      </c>
      <c r="D40">
        <v>8073.1</v>
      </c>
      <c r="E40" s="4">
        <v>2341000</v>
      </c>
      <c r="G40">
        <v>50</v>
      </c>
    </row>
    <row r="41" spans="1:7" x14ac:dyDescent="0.25">
      <c r="A41">
        <v>813</v>
      </c>
      <c r="B41">
        <v>125.13</v>
      </c>
      <c r="C41">
        <v>103.96</v>
      </c>
      <c r="D41">
        <v>7879.5</v>
      </c>
      <c r="E41" s="4">
        <v>897400</v>
      </c>
      <c r="G41">
        <v>15</v>
      </c>
    </row>
    <row r="42" spans="1:7" x14ac:dyDescent="0.25">
      <c r="A42">
        <v>668</v>
      </c>
      <c r="B42">
        <v>221.81</v>
      </c>
      <c r="C42">
        <v>147.16999999999999</v>
      </c>
      <c r="D42">
        <v>7763.4</v>
      </c>
      <c r="E42" s="4">
        <v>2777800</v>
      </c>
      <c r="G42">
        <v>10</v>
      </c>
    </row>
    <row r="43" spans="1:7" x14ac:dyDescent="0.25">
      <c r="A43">
        <v>1060</v>
      </c>
      <c r="B43">
        <v>212.83</v>
      </c>
      <c r="C43">
        <v>103.48</v>
      </c>
      <c r="D43">
        <v>7569.8</v>
      </c>
      <c r="E43" s="4">
        <v>1861500</v>
      </c>
      <c r="G43">
        <v>50</v>
      </c>
    </row>
    <row r="44" spans="1:7" x14ac:dyDescent="0.25">
      <c r="A44">
        <v>964</v>
      </c>
      <c r="B44">
        <v>133.88</v>
      </c>
      <c r="C44">
        <v>101.31</v>
      </c>
      <c r="D44">
        <v>7434.2</v>
      </c>
      <c r="E44" s="4">
        <v>1059500</v>
      </c>
      <c r="G44">
        <v>30</v>
      </c>
    </row>
    <row r="45" spans="1:7" x14ac:dyDescent="0.25">
      <c r="A45">
        <v>968</v>
      </c>
      <c r="B45">
        <v>139.16999999999999</v>
      </c>
      <c r="C45">
        <v>102.17</v>
      </c>
      <c r="D45">
        <v>7356.8</v>
      </c>
      <c r="E45" s="4">
        <v>1123800</v>
      </c>
      <c r="G45">
        <v>30</v>
      </c>
    </row>
    <row r="46" spans="1:7" x14ac:dyDescent="0.25">
      <c r="A46">
        <v>764</v>
      </c>
      <c r="B46">
        <v>149.69999999999999</v>
      </c>
      <c r="C46">
        <v>133.01</v>
      </c>
      <c r="D46">
        <v>7085.8</v>
      </c>
      <c r="E46" s="4">
        <v>1858600</v>
      </c>
      <c r="G46">
        <v>15</v>
      </c>
    </row>
    <row r="47" spans="1:7" x14ac:dyDescent="0.25">
      <c r="A47">
        <v>837</v>
      </c>
      <c r="B47">
        <v>408.5</v>
      </c>
      <c r="C47">
        <v>118.86</v>
      </c>
      <c r="D47">
        <v>6098.4</v>
      </c>
      <c r="E47" s="4">
        <v>3164400</v>
      </c>
      <c r="G47">
        <v>20</v>
      </c>
    </row>
    <row r="48" spans="1:7" x14ac:dyDescent="0.25">
      <c r="A48">
        <v>755</v>
      </c>
      <c r="B48">
        <v>252.67</v>
      </c>
      <c r="C48">
        <v>170.79</v>
      </c>
      <c r="D48">
        <v>5324</v>
      </c>
      <c r="E48" s="4">
        <v>2341000</v>
      </c>
      <c r="G48">
        <v>15</v>
      </c>
    </row>
    <row r="49" spans="4:5" x14ac:dyDescent="0.25">
      <c r="E49" s="4"/>
    </row>
    <row r="50" spans="4:5" x14ac:dyDescent="0.25">
      <c r="D50" s="4"/>
      <c r="E50" s="4"/>
    </row>
    <row r="51" spans="4:5" x14ac:dyDescent="0.25">
      <c r="E51" s="4"/>
    </row>
    <row r="52" spans="4:5" x14ac:dyDescent="0.25">
      <c r="E52" s="4"/>
    </row>
    <row r="53" spans="4:5" x14ac:dyDescent="0.25">
      <c r="E53" s="4"/>
    </row>
    <row r="54" spans="4:5" x14ac:dyDescent="0.25">
      <c r="E54" s="4"/>
    </row>
    <row r="55" spans="4:5" x14ac:dyDescent="0.25">
      <c r="E55" s="4"/>
    </row>
    <row r="56" spans="4:5" x14ac:dyDescent="0.25">
      <c r="E56" s="4"/>
    </row>
    <row r="57" spans="4:5" x14ac:dyDescent="0.25">
      <c r="E57" s="4"/>
    </row>
    <row r="58" spans="4:5" x14ac:dyDescent="0.25">
      <c r="D58" s="4"/>
      <c r="E58" s="4"/>
    </row>
    <row r="59" spans="4:5" x14ac:dyDescent="0.25">
      <c r="E59" s="4"/>
    </row>
    <row r="60" spans="4:5" x14ac:dyDescent="0.25">
      <c r="E60" s="4"/>
    </row>
    <row r="61" spans="4:5" x14ac:dyDescent="0.25">
      <c r="E61" s="4"/>
    </row>
    <row r="62" spans="4:5" x14ac:dyDescent="0.25">
      <c r="E62" s="4"/>
    </row>
    <row r="63" spans="4:5" x14ac:dyDescent="0.25">
      <c r="E63" s="4"/>
    </row>
    <row r="64" spans="4:5" x14ac:dyDescent="0.25">
      <c r="E64" s="4"/>
    </row>
    <row r="65" spans="4:5" x14ac:dyDescent="0.25">
      <c r="E65" s="4"/>
    </row>
    <row r="66" spans="4:5" x14ac:dyDescent="0.25">
      <c r="E66" s="4"/>
    </row>
    <row r="67" spans="4:5" x14ac:dyDescent="0.25">
      <c r="E67" s="4"/>
    </row>
    <row r="68" spans="4:5" x14ac:dyDescent="0.25">
      <c r="E68" s="4"/>
    </row>
    <row r="69" spans="4:5" x14ac:dyDescent="0.25">
      <c r="E69" s="4"/>
    </row>
    <row r="70" spans="4:5" x14ac:dyDescent="0.25"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E73" s="4"/>
    </row>
    <row r="74" spans="4:5" x14ac:dyDescent="0.25">
      <c r="E74" s="4"/>
    </row>
    <row r="75" spans="4:5" x14ac:dyDescent="0.25">
      <c r="E75" s="4"/>
    </row>
    <row r="76" spans="4:5" x14ac:dyDescent="0.25">
      <c r="E76" s="4"/>
    </row>
    <row r="77" spans="4:5" x14ac:dyDescent="0.25">
      <c r="E77" s="4"/>
    </row>
    <row r="78" spans="4:5" x14ac:dyDescent="0.25">
      <c r="E78" s="4"/>
    </row>
    <row r="79" spans="4:5" x14ac:dyDescent="0.25">
      <c r="E79" s="4"/>
    </row>
    <row r="80" spans="4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4:5" x14ac:dyDescent="0.25">
      <c r="E97" s="4"/>
    </row>
    <row r="98" spans="4:5" x14ac:dyDescent="0.25">
      <c r="D98" s="4"/>
      <c r="E98" s="4"/>
    </row>
    <row r="99" spans="4:5" x14ac:dyDescent="0.25">
      <c r="E99" s="4"/>
    </row>
    <row r="100" spans="4:5" x14ac:dyDescent="0.25">
      <c r="E100" s="4"/>
    </row>
    <row r="101" spans="4:5" x14ac:dyDescent="0.25">
      <c r="E101" s="4"/>
    </row>
    <row r="102" spans="4:5" x14ac:dyDescent="0.25">
      <c r="E102" s="4"/>
    </row>
    <row r="103" spans="4:5" x14ac:dyDescent="0.25">
      <c r="E103" s="4"/>
    </row>
    <row r="104" spans="4:5" x14ac:dyDescent="0.25">
      <c r="E104" s="4"/>
    </row>
    <row r="105" spans="4:5" x14ac:dyDescent="0.25">
      <c r="E105" s="4"/>
    </row>
    <row r="106" spans="4:5" x14ac:dyDescent="0.25">
      <c r="E106" s="4"/>
    </row>
    <row r="107" spans="4:5" x14ac:dyDescent="0.25">
      <c r="E107" s="4"/>
    </row>
    <row r="108" spans="4:5" x14ac:dyDescent="0.25">
      <c r="E108" s="4"/>
    </row>
    <row r="109" spans="4:5" x14ac:dyDescent="0.25">
      <c r="E109" s="4"/>
    </row>
    <row r="110" spans="4:5" x14ac:dyDescent="0.25">
      <c r="E110" s="4"/>
    </row>
    <row r="111" spans="4:5" x14ac:dyDescent="0.25">
      <c r="E111" s="4"/>
    </row>
    <row r="112" spans="4:5" x14ac:dyDescent="0.25">
      <c r="E112" s="4"/>
    </row>
    <row r="113" spans="4:5" x14ac:dyDescent="0.25">
      <c r="E113" s="4"/>
    </row>
    <row r="114" spans="4:5" x14ac:dyDescent="0.25"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E117" s="4"/>
    </row>
    <row r="118" spans="4:5" x14ac:dyDescent="0.25">
      <c r="E118" s="4"/>
    </row>
    <row r="119" spans="4:5" x14ac:dyDescent="0.25">
      <c r="E119" s="4"/>
    </row>
    <row r="120" spans="4:5" x14ac:dyDescent="0.25">
      <c r="E120" s="4"/>
    </row>
    <row r="121" spans="4:5" x14ac:dyDescent="0.25">
      <c r="E121" s="4"/>
    </row>
    <row r="122" spans="4:5" x14ac:dyDescent="0.25">
      <c r="E122" s="4"/>
    </row>
    <row r="123" spans="4:5" x14ac:dyDescent="0.25">
      <c r="E123" s="4"/>
    </row>
    <row r="124" spans="4:5" x14ac:dyDescent="0.25">
      <c r="E124" s="4"/>
    </row>
    <row r="125" spans="4:5" x14ac:dyDescent="0.25">
      <c r="E125" s="4"/>
    </row>
    <row r="126" spans="4:5" x14ac:dyDescent="0.25">
      <c r="E126" s="4"/>
    </row>
    <row r="127" spans="4:5" x14ac:dyDescent="0.25">
      <c r="E127" s="4"/>
    </row>
    <row r="128" spans="4:5" x14ac:dyDescent="0.25">
      <c r="E128" s="4"/>
    </row>
    <row r="129" spans="4:5" x14ac:dyDescent="0.25">
      <c r="E129" s="4"/>
    </row>
    <row r="130" spans="4:5" x14ac:dyDescent="0.25">
      <c r="E130" s="4"/>
    </row>
    <row r="131" spans="4:5" x14ac:dyDescent="0.25">
      <c r="E131" s="4"/>
    </row>
    <row r="132" spans="4:5" x14ac:dyDescent="0.25">
      <c r="E132" s="4"/>
    </row>
    <row r="133" spans="4:5" x14ac:dyDescent="0.25">
      <c r="E133" s="4"/>
    </row>
    <row r="134" spans="4:5" x14ac:dyDescent="0.25">
      <c r="E134" s="4"/>
    </row>
    <row r="135" spans="4:5" x14ac:dyDescent="0.25">
      <c r="E135" s="4"/>
    </row>
    <row r="136" spans="4:5" x14ac:dyDescent="0.25">
      <c r="E136" s="4"/>
    </row>
    <row r="137" spans="4:5" x14ac:dyDescent="0.25">
      <c r="E137" s="4"/>
    </row>
    <row r="138" spans="4:5" x14ac:dyDescent="0.25">
      <c r="D138" s="4"/>
      <c r="E138" s="4"/>
    </row>
    <row r="139" spans="4:5" x14ac:dyDescent="0.25">
      <c r="E139" s="4"/>
    </row>
    <row r="140" spans="4:5" x14ac:dyDescent="0.25">
      <c r="E140" s="4"/>
    </row>
    <row r="141" spans="4:5" x14ac:dyDescent="0.25">
      <c r="E141" s="4"/>
    </row>
    <row r="142" spans="4:5" x14ac:dyDescent="0.25">
      <c r="E142" s="4"/>
    </row>
    <row r="143" spans="4:5" x14ac:dyDescent="0.25">
      <c r="E143" s="4"/>
    </row>
    <row r="144" spans="4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</sheetData>
  <sortState ref="A2:E48">
    <sortCondition descending="1" ref="D2:D48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K4" sqref="K4"/>
    </sheetView>
  </sheetViews>
  <sheetFormatPr defaultRowHeight="15" x14ac:dyDescent="0.25"/>
  <cols>
    <col min="1" max="1" width="7.42578125" bestFit="1" customWidth="1"/>
    <col min="2" max="3" width="10" bestFit="1" customWidth="1"/>
    <col min="4" max="4" width="10" style="5" bestFit="1" customWidth="1"/>
    <col min="5" max="5" width="12.5703125" style="5" bestFit="1" customWidth="1"/>
    <col min="8" max="8" width="15.7109375" style="1" bestFit="1" customWidth="1"/>
    <col min="9" max="9" width="14.5703125" style="1" bestFit="1" customWidth="1"/>
    <col min="10" max="10" width="16.5703125" bestFit="1" customWidth="1"/>
  </cols>
  <sheetData>
    <row r="1" spans="1:10" x14ac:dyDescent="0.25">
      <c r="A1" t="s">
        <v>74</v>
      </c>
      <c r="B1" t="s">
        <v>75</v>
      </c>
      <c r="C1" t="s">
        <v>76</v>
      </c>
      <c r="D1" s="5" t="s">
        <v>77</v>
      </c>
      <c r="E1" s="5" t="s">
        <v>78</v>
      </c>
      <c r="G1" t="s">
        <v>88</v>
      </c>
      <c r="H1" s="1" t="s">
        <v>87</v>
      </c>
      <c r="I1" s="1" t="s">
        <v>89</v>
      </c>
      <c r="J1" t="s">
        <v>90</v>
      </c>
    </row>
    <row r="2" spans="1:10" x14ac:dyDescent="0.25">
      <c r="A2">
        <v>880</v>
      </c>
      <c r="B2">
        <v>715.61</v>
      </c>
      <c r="C2">
        <v>551.54999999999995</v>
      </c>
      <c r="D2" s="5">
        <v>249320</v>
      </c>
      <c r="E2" s="5">
        <v>197140000</v>
      </c>
      <c r="G2">
        <f>(B2/2)*(C2/2)*3.14159</f>
        <v>309992.2271089612</v>
      </c>
      <c r="H2" s="1">
        <f>((B2/2)^2)*(C2/2)*3.14159</f>
        <v>110916768.82072188</v>
      </c>
      <c r="I2" s="1">
        <f>H2/E2</f>
        <v>0.56262944516953373</v>
      </c>
      <c r="J2">
        <f>G2/D2</f>
        <v>1.2433508226735168</v>
      </c>
    </row>
    <row r="3" spans="1:10" x14ac:dyDescent="0.25">
      <c r="A3">
        <v>1044</v>
      </c>
      <c r="B3">
        <v>1005.2</v>
      </c>
      <c r="C3">
        <v>366.02</v>
      </c>
      <c r="D3" s="5">
        <v>243630</v>
      </c>
      <c r="E3" s="5">
        <v>154810000</v>
      </c>
      <c r="G3">
        <f t="shared" ref="G3:G48" si="0">(B3/2)*(C3/2)*3.14159</f>
        <v>288966.04315334</v>
      </c>
      <c r="H3" s="1">
        <f t="shared" ref="H3:H48" si="1">((B3/2)^2)*(C3/2)*3.14159</f>
        <v>145234333.2888687</v>
      </c>
      <c r="I3" s="1">
        <f t="shared" ref="I3:I48" si="2">H3/E3</f>
        <v>0.93814568366945739</v>
      </c>
      <c r="J3">
        <f t="shared" ref="J3:J48" si="3">G3/D3</f>
        <v>1.1860856345825226</v>
      </c>
    </row>
    <row r="4" spans="1:10" x14ac:dyDescent="0.25">
      <c r="A4">
        <v>696</v>
      </c>
      <c r="B4">
        <v>572.28</v>
      </c>
      <c r="C4">
        <v>483.8</v>
      </c>
      <c r="D4" s="5">
        <v>188410</v>
      </c>
      <c r="E4" s="5">
        <v>119690000</v>
      </c>
      <c r="G4">
        <f t="shared" si="0"/>
        <v>217452.27069294002</v>
      </c>
      <c r="H4" s="1">
        <f t="shared" si="1"/>
        <v>62221792.736077845</v>
      </c>
      <c r="I4" s="1">
        <f t="shared" si="2"/>
        <v>0.51985790572376844</v>
      </c>
      <c r="J4">
        <f t="shared" si="3"/>
        <v>1.1541439981579535</v>
      </c>
    </row>
    <row r="5" spans="1:10" x14ac:dyDescent="0.25">
      <c r="A5">
        <v>987</v>
      </c>
      <c r="B5">
        <v>806.2</v>
      </c>
      <c r="C5">
        <v>364.16</v>
      </c>
      <c r="D5" s="5">
        <v>181130</v>
      </c>
      <c r="E5" s="5">
        <v>101280000</v>
      </c>
      <c r="G5">
        <f t="shared" si="0"/>
        <v>230581.54707232001</v>
      </c>
      <c r="H5" s="1">
        <f t="shared" si="1"/>
        <v>92947421.624852195</v>
      </c>
      <c r="I5" s="1">
        <f t="shared" si="2"/>
        <v>0.91772730672247427</v>
      </c>
      <c r="J5">
        <f t="shared" si="3"/>
        <v>1.273016877780158</v>
      </c>
    </row>
    <row r="6" spans="1:10" x14ac:dyDescent="0.25">
      <c r="A6">
        <v>676</v>
      </c>
      <c r="B6">
        <v>489.1</v>
      </c>
      <c r="C6">
        <v>435.58</v>
      </c>
      <c r="D6" s="5">
        <v>145470</v>
      </c>
      <c r="E6" s="5">
        <v>69389000</v>
      </c>
      <c r="G6">
        <f t="shared" si="0"/>
        <v>167322.793995755</v>
      </c>
      <c r="H6" s="1">
        <f t="shared" si="1"/>
        <v>40918789.271661885</v>
      </c>
      <c r="I6" s="1">
        <f t="shared" si="2"/>
        <v>0.58970138309619513</v>
      </c>
      <c r="J6">
        <f t="shared" si="3"/>
        <v>1.150221997633567</v>
      </c>
    </row>
    <row r="7" spans="1:10" x14ac:dyDescent="0.25">
      <c r="A7">
        <v>925</v>
      </c>
      <c r="B7">
        <v>608.42999999999995</v>
      </c>
      <c r="C7">
        <v>322.16000000000003</v>
      </c>
      <c r="D7" s="5">
        <v>121640</v>
      </c>
      <c r="E7" s="5">
        <v>59926000</v>
      </c>
      <c r="G7">
        <f t="shared" si="0"/>
        <v>153947.18460199799</v>
      </c>
      <c r="H7" s="1">
        <f t="shared" si="1"/>
        <v>46833042.76369682</v>
      </c>
      <c r="I7" s="1">
        <f t="shared" si="2"/>
        <v>0.78151458071115742</v>
      </c>
      <c r="J7">
        <f t="shared" si="3"/>
        <v>1.265596716557037</v>
      </c>
    </row>
    <row r="8" spans="1:10" x14ac:dyDescent="0.25">
      <c r="A8">
        <v>888</v>
      </c>
      <c r="B8">
        <v>425.66</v>
      </c>
      <c r="C8">
        <v>401.07</v>
      </c>
      <c r="D8" s="5">
        <v>111590</v>
      </c>
      <c r="E8" s="5">
        <v>58811000</v>
      </c>
      <c r="G8">
        <f t="shared" si="0"/>
        <v>134082.6341008395</v>
      </c>
      <c r="H8" s="1">
        <f t="shared" si="1"/>
        <v>28536807.015681673</v>
      </c>
      <c r="I8" s="1">
        <f t="shared" si="2"/>
        <v>0.48522907305915003</v>
      </c>
      <c r="J8">
        <f t="shared" si="3"/>
        <v>1.2015649619216731</v>
      </c>
    </row>
    <row r="9" spans="1:10" x14ac:dyDescent="0.25">
      <c r="A9">
        <v>1023</v>
      </c>
      <c r="B9">
        <v>646.85</v>
      </c>
      <c r="C9">
        <v>305.31</v>
      </c>
      <c r="D9" s="5">
        <v>108980</v>
      </c>
      <c r="E9" s="5">
        <v>69577000</v>
      </c>
      <c r="G9">
        <f t="shared" si="0"/>
        <v>155107.97438246626</v>
      </c>
      <c r="H9" s="1">
        <f t="shared" si="1"/>
        <v>50165796.614649147</v>
      </c>
      <c r="I9" s="1">
        <f t="shared" si="2"/>
        <v>0.72101120506272398</v>
      </c>
      <c r="J9">
        <f t="shared" si="3"/>
        <v>1.4232700897638673</v>
      </c>
    </row>
    <row r="10" spans="1:10" x14ac:dyDescent="0.25">
      <c r="A10">
        <v>968</v>
      </c>
      <c r="B10">
        <v>483.74</v>
      </c>
      <c r="C10">
        <v>273.49</v>
      </c>
      <c r="D10" s="5">
        <v>58448</v>
      </c>
      <c r="E10" s="5">
        <v>31685000</v>
      </c>
      <c r="G10">
        <f t="shared" si="0"/>
        <v>103906.5597669085</v>
      </c>
      <c r="H10" s="1">
        <f t="shared" si="1"/>
        <v>25131879.61082216</v>
      </c>
      <c r="I10" s="1">
        <f t="shared" si="2"/>
        <v>0.79317909455017077</v>
      </c>
      <c r="J10">
        <f t="shared" si="3"/>
        <v>1.7777607406054698</v>
      </c>
    </row>
    <row r="11" spans="1:10" x14ac:dyDescent="0.25">
      <c r="A11">
        <v>1031</v>
      </c>
      <c r="B11">
        <v>352.08</v>
      </c>
      <c r="C11">
        <v>192.04</v>
      </c>
      <c r="D11" s="5">
        <v>47355</v>
      </c>
      <c r="E11" s="5">
        <v>12242000</v>
      </c>
      <c r="G11">
        <f t="shared" si="0"/>
        <v>53103.429255671996</v>
      </c>
      <c r="H11" s="1">
        <f t="shared" si="1"/>
        <v>9348327.6861684974</v>
      </c>
      <c r="I11" s="1">
        <f t="shared" si="2"/>
        <v>0.76362748620883003</v>
      </c>
      <c r="J11">
        <f t="shared" si="3"/>
        <v>1.1213901225989229</v>
      </c>
    </row>
    <row r="12" spans="1:10" x14ac:dyDescent="0.25">
      <c r="A12">
        <v>943</v>
      </c>
      <c r="B12">
        <v>379.61</v>
      </c>
      <c r="C12">
        <v>223.16</v>
      </c>
      <c r="D12" s="5">
        <v>40230</v>
      </c>
      <c r="E12" s="5">
        <v>20555000</v>
      </c>
      <c r="G12">
        <f t="shared" si="0"/>
        <v>66533.981288620998</v>
      </c>
      <c r="H12" s="1">
        <f t="shared" si="1"/>
        <v>12628482.318486709</v>
      </c>
      <c r="I12" s="1">
        <f t="shared" si="2"/>
        <v>0.61437520401297541</v>
      </c>
      <c r="J12">
        <f t="shared" si="3"/>
        <v>1.6538399524887148</v>
      </c>
    </row>
    <row r="13" spans="1:10" x14ac:dyDescent="0.25">
      <c r="A13">
        <v>941</v>
      </c>
      <c r="B13">
        <v>352.73</v>
      </c>
      <c r="C13">
        <v>294.7</v>
      </c>
      <c r="D13" s="5">
        <v>37829</v>
      </c>
      <c r="E13" s="5">
        <v>15739000</v>
      </c>
      <c r="G13">
        <f t="shared" si="0"/>
        <v>81641.701773572495</v>
      </c>
      <c r="H13" s="1">
        <f t="shared" si="1"/>
        <v>14398738.733296115</v>
      </c>
      <c r="I13" s="1">
        <f t="shared" si="2"/>
        <v>0.91484457292687682</v>
      </c>
      <c r="J13">
        <f t="shared" si="3"/>
        <v>2.1581776355064237</v>
      </c>
    </row>
    <row r="14" spans="1:10" x14ac:dyDescent="0.25">
      <c r="A14">
        <v>965</v>
      </c>
      <c r="B14">
        <v>520.26</v>
      </c>
      <c r="C14">
        <v>162.37</v>
      </c>
      <c r="D14" s="5">
        <v>34093</v>
      </c>
      <c r="E14" s="5">
        <v>14692000</v>
      </c>
      <c r="G14">
        <f t="shared" si="0"/>
        <v>66346.152376939499</v>
      </c>
      <c r="H14" s="1">
        <f t="shared" si="1"/>
        <v>17258624.617813271</v>
      </c>
      <c r="I14" s="1">
        <f t="shared" si="2"/>
        <v>1.1746953864561169</v>
      </c>
      <c r="J14">
        <f t="shared" si="3"/>
        <v>1.9460344462775203</v>
      </c>
    </row>
    <row r="15" spans="1:10" x14ac:dyDescent="0.25">
      <c r="A15">
        <v>932</v>
      </c>
      <c r="B15">
        <v>413.87</v>
      </c>
      <c r="C15">
        <v>233.87</v>
      </c>
      <c r="D15" s="5">
        <v>33996</v>
      </c>
      <c r="E15" s="5">
        <v>17181000</v>
      </c>
      <c r="G15">
        <f t="shared" si="0"/>
        <v>76020.019597817751</v>
      </c>
      <c r="H15" s="1">
        <f t="shared" si="1"/>
        <v>15731202.755474417</v>
      </c>
      <c r="I15" s="1">
        <f t="shared" si="2"/>
        <v>0.915616247917724</v>
      </c>
      <c r="J15">
        <f t="shared" si="3"/>
        <v>2.2361460053482101</v>
      </c>
    </row>
    <row r="16" spans="1:10" x14ac:dyDescent="0.25">
      <c r="A16">
        <v>1085</v>
      </c>
      <c r="B16">
        <v>284.2</v>
      </c>
      <c r="C16">
        <v>147.65</v>
      </c>
      <c r="D16" s="5">
        <v>27607</v>
      </c>
      <c r="E16" s="5">
        <v>6065600</v>
      </c>
      <c r="G16">
        <f t="shared" si="0"/>
        <v>32956.951996674994</v>
      </c>
      <c r="H16" s="1">
        <f t="shared" si="1"/>
        <v>4683182.878727518</v>
      </c>
      <c r="I16" s="1">
        <f t="shared" si="2"/>
        <v>0.7720889736757317</v>
      </c>
      <c r="J16">
        <f t="shared" si="3"/>
        <v>1.1937896908999528</v>
      </c>
    </row>
    <row r="17" spans="1:10" x14ac:dyDescent="0.25">
      <c r="A17">
        <v>945</v>
      </c>
      <c r="B17">
        <v>270.25</v>
      </c>
      <c r="C17">
        <v>219.46</v>
      </c>
      <c r="D17" s="5">
        <v>24936</v>
      </c>
      <c r="E17" s="5">
        <v>9438300</v>
      </c>
      <c r="G17">
        <f t="shared" si="0"/>
        <v>46581.191378337498</v>
      </c>
      <c r="H17" s="1">
        <f t="shared" si="1"/>
        <v>6294283.4849978546</v>
      </c>
      <c r="I17" s="1">
        <f t="shared" si="2"/>
        <v>0.66688741457655032</v>
      </c>
      <c r="J17">
        <f t="shared" si="3"/>
        <v>1.868029811450814</v>
      </c>
    </row>
    <row r="18" spans="1:10" x14ac:dyDescent="0.25">
      <c r="A18">
        <v>1073</v>
      </c>
      <c r="B18">
        <v>301.89</v>
      </c>
      <c r="C18">
        <v>156.4</v>
      </c>
      <c r="D18" s="5">
        <v>24607</v>
      </c>
      <c r="E18" s="5">
        <v>6140300</v>
      </c>
      <c r="G18">
        <f t="shared" si="0"/>
        <v>37083.011059409997</v>
      </c>
      <c r="H18" s="1">
        <f t="shared" si="1"/>
        <v>5597495.1043626415</v>
      </c>
      <c r="I18" s="1">
        <f t="shared" si="2"/>
        <v>0.91159961310728166</v>
      </c>
      <c r="J18">
        <f t="shared" si="3"/>
        <v>1.5070106497911162</v>
      </c>
    </row>
    <row r="19" spans="1:10" x14ac:dyDescent="0.25">
      <c r="A19">
        <v>987</v>
      </c>
      <c r="B19">
        <v>176.57</v>
      </c>
      <c r="C19">
        <v>175.43</v>
      </c>
      <c r="D19" s="5">
        <v>24297</v>
      </c>
      <c r="E19" s="5">
        <v>2913900</v>
      </c>
      <c r="G19">
        <f t="shared" si="0"/>
        <v>24328.217784352248</v>
      </c>
      <c r="H19" s="1">
        <f t="shared" si="1"/>
        <v>2147816.7070915382</v>
      </c>
      <c r="I19" s="1">
        <f t="shared" si="2"/>
        <v>0.73709348539467323</v>
      </c>
      <c r="J19">
        <f t="shared" si="3"/>
        <v>1.0012848411059903</v>
      </c>
    </row>
    <row r="20" spans="1:10" x14ac:dyDescent="0.25">
      <c r="A20">
        <v>1000</v>
      </c>
      <c r="B20">
        <v>228.62</v>
      </c>
      <c r="C20">
        <v>136.82</v>
      </c>
      <c r="D20" s="5">
        <v>23058</v>
      </c>
      <c r="E20" s="5">
        <v>3185600</v>
      </c>
      <c r="G20">
        <f t="shared" si="0"/>
        <v>24567.067609888996</v>
      </c>
      <c r="H20" s="1">
        <f t="shared" si="1"/>
        <v>2808261.4984864118</v>
      </c>
      <c r="I20" s="1">
        <f t="shared" si="2"/>
        <v>0.88154868737016945</v>
      </c>
      <c r="J20">
        <f t="shared" si="3"/>
        <v>1.0654465959705524</v>
      </c>
    </row>
    <row r="21" spans="1:10" x14ac:dyDescent="0.25">
      <c r="A21">
        <v>1002</v>
      </c>
      <c r="B21">
        <v>226.26</v>
      </c>
      <c r="C21">
        <v>170.58</v>
      </c>
      <c r="D21" s="5">
        <v>19921</v>
      </c>
      <c r="E21" s="5">
        <v>4527300</v>
      </c>
      <c r="G21">
        <f t="shared" si="0"/>
        <v>30312.754861743</v>
      </c>
      <c r="H21" s="1">
        <f t="shared" si="1"/>
        <v>3429281.9575089859</v>
      </c>
      <c r="I21" s="1">
        <f t="shared" si="2"/>
        <v>0.75746735526892095</v>
      </c>
      <c r="J21">
        <f t="shared" si="3"/>
        <v>1.5216482536892224</v>
      </c>
    </row>
    <row r="22" spans="1:10" x14ac:dyDescent="0.25">
      <c r="A22">
        <v>1005</v>
      </c>
      <c r="B22">
        <v>222.83</v>
      </c>
      <c r="C22">
        <v>110.99</v>
      </c>
      <c r="D22" s="5">
        <v>18121</v>
      </c>
      <c r="E22" s="5">
        <v>2149200</v>
      </c>
      <c r="G22">
        <f t="shared" si="0"/>
        <v>19424.373765425749</v>
      </c>
      <c r="H22" s="1">
        <f t="shared" si="1"/>
        <v>2164166.6030749101</v>
      </c>
      <c r="I22" s="1">
        <f t="shared" si="2"/>
        <v>1.0069638019146241</v>
      </c>
      <c r="J22">
        <f t="shared" si="3"/>
        <v>1.0719261500704016</v>
      </c>
    </row>
    <row r="23" spans="1:10" x14ac:dyDescent="0.25">
      <c r="A23">
        <v>1076</v>
      </c>
      <c r="B23">
        <v>138.25</v>
      </c>
      <c r="C23">
        <v>136.24</v>
      </c>
      <c r="D23" s="5">
        <v>14694</v>
      </c>
      <c r="E23" s="5">
        <v>1401300</v>
      </c>
      <c r="G23">
        <f t="shared" si="0"/>
        <v>14793.103284049999</v>
      </c>
      <c r="H23" s="1">
        <f t="shared" si="1"/>
        <v>1022573.2645099564</v>
      </c>
      <c r="I23" s="1">
        <f t="shared" si="2"/>
        <v>0.72973186648822974</v>
      </c>
      <c r="J23">
        <f t="shared" si="3"/>
        <v>1.0067444728494623</v>
      </c>
    </row>
    <row r="24" spans="1:10" x14ac:dyDescent="0.25">
      <c r="A24">
        <v>964</v>
      </c>
      <c r="B24">
        <v>189.26</v>
      </c>
      <c r="C24">
        <v>183.8</v>
      </c>
      <c r="D24" s="5">
        <v>13533</v>
      </c>
      <c r="E24" s="5">
        <v>2896800</v>
      </c>
      <c r="G24">
        <f t="shared" si="0"/>
        <v>27320.828010229998</v>
      </c>
      <c r="H24" s="1">
        <f t="shared" si="1"/>
        <v>2585369.9546080646</v>
      </c>
      <c r="I24" s="1">
        <f t="shared" si="2"/>
        <v>0.89249169932617534</v>
      </c>
      <c r="J24">
        <f t="shared" si="3"/>
        <v>2.0188301197243774</v>
      </c>
    </row>
    <row r="25" spans="1:10" x14ac:dyDescent="0.25">
      <c r="A25">
        <v>673</v>
      </c>
      <c r="B25">
        <v>331.86</v>
      </c>
      <c r="C25">
        <v>111.69</v>
      </c>
      <c r="D25" s="5">
        <v>13165</v>
      </c>
      <c r="E25" s="5">
        <v>3465200</v>
      </c>
      <c r="G25">
        <f t="shared" si="0"/>
        <v>29111.106582751501</v>
      </c>
      <c r="H25" s="1">
        <f t="shared" si="1"/>
        <v>4830405.9152759565</v>
      </c>
      <c r="I25" s="1">
        <f t="shared" si="2"/>
        <v>1.3939760808253365</v>
      </c>
      <c r="J25">
        <f t="shared" si="3"/>
        <v>2.2112500252754654</v>
      </c>
    </row>
    <row r="26" spans="1:10" x14ac:dyDescent="0.25">
      <c r="A26">
        <v>880</v>
      </c>
      <c r="B26">
        <v>189.43</v>
      </c>
      <c r="C26">
        <v>109</v>
      </c>
      <c r="D26" s="5">
        <v>12855</v>
      </c>
      <c r="E26" s="5">
        <v>1744600</v>
      </c>
      <c r="G26">
        <f t="shared" si="0"/>
        <v>16216.785478324999</v>
      </c>
      <c r="H26" s="1">
        <f t="shared" si="1"/>
        <v>1535972.8365795524</v>
      </c>
      <c r="I26" s="1">
        <f t="shared" si="2"/>
        <v>0.88041547436636047</v>
      </c>
      <c r="J26">
        <f t="shared" si="3"/>
        <v>1.2615157898346945</v>
      </c>
    </row>
    <row r="27" spans="1:10" x14ac:dyDescent="0.25">
      <c r="A27">
        <v>985</v>
      </c>
      <c r="B27">
        <v>283.89999999999998</v>
      </c>
      <c r="C27">
        <v>127.57</v>
      </c>
      <c r="D27" s="5">
        <v>12758</v>
      </c>
      <c r="E27" s="5">
        <v>4105000</v>
      </c>
      <c r="G27">
        <f t="shared" si="0"/>
        <v>28444.837861392494</v>
      </c>
      <c r="H27" s="1">
        <f t="shared" si="1"/>
        <v>4037744.7344246651</v>
      </c>
      <c r="I27" s="1">
        <f t="shared" si="2"/>
        <v>0.98361625686349941</v>
      </c>
      <c r="J27">
        <f t="shared" si="3"/>
        <v>2.2295687303176432</v>
      </c>
    </row>
    <row r="28" spans="1:10" x14ac:dyDescent="0.25">
      <c r="A28">
        <v>1055</v>
      </c>
      <c r="B28">
        <v>118.78</v>
      </c>
      <c r="C28">
        <v>115.61</v>
      </c>
      <c r="D28" s="5">
        <v>10764</v>
      </c>
      <c r="E28" s="5">
        <v>860590</v>
      </c>
      <c r="G28">
        <f t="shared" si="0"/>
        <v>10785.2008349305</v>
      </c>
      <c r="H28" s="1">
        <f t="shared" si="1"/>
        <v>640533.07758652244</v>
      </c>
      <c r="I28" s="1">
        <f t="shared" si="2"/>
        <v>0.74429528298785996</v>
      </c>
      <c r="J28">
        <f t="shared" si="3"/>
        <v>1.0019696056234206</v>
      </c>
    </row>
    <row r="29" spans="1:10" x14ac:dyDescent="0.25">
      <c r="A29">
        <v>987</v>
      </c>
      <c r="B29">
        <v>211.93</v>
      </c>
      <c r="C29">
        <v>129.44</v>
      </c>
      <c r="D29" s="5">
        <v>10512</v>
      </c>
      <c r="E29" s="5">
        <v>2518600</v>
      </c>
      <c r="G29">
        <f t="shared" si="0"/>
        <v>21545.196379131998</v>
      </c>
      <c r="H29" s="1">
        <f t="shared" si="1"/>
        <v>2283036.7343147225</v>
      </c>
      <c r="I29" s="1">
        <f t="shared" si="2"/>
        <v>0.90647055281296052</v>
      </c>
      <c r="J29">
        <f t="shared" si="3"/>
        <v>2.0495810862949009</v>
      </c>
    </row>
    <row r="30" spans="1:10" x14ac:dyDescent="0.25">
      <c r="A30">
        <v>983</v>
      </c>
      <c r="B30">
        <v>240.52</v>
      </c>
      <c r="C30">
        <v>121.76</v>
      </c>
      <c r="D30" s="5">
        <v>10396</v>
      </c>
      <c r="E30" s="5">
        <v>2283800</v>
      </c>
      <c r="G30">
        <f t="shared" si="0"/>
        <v>23000.927503792002</v>
      </c>
      <c r="H30" s="1">
        <f t="shared" si="1"/>
        <v>2766091.5416060262</v>
      </c>
      <c r="I30" s="1">
        <f t="shared" si="2"/>
        <v>1.2111794122103627</v>
      </c>
      <c r="J30">
        <f t="shared" si="3"/>
        <v>2.2124785979022703</v>
      </c>
    </row>
    <row r="31" spans="1:10" x14ac:dyDescent="0.25">
      <c r="A31">
        <v>927</v>
      </c>
      <c r="B31">
        <v>228.57</v>
      </c>
      <c r="C31">
        <v>123.54</v>
      </c>
      <c r="D31" s="5">
        <v>10261</v>
      </c>
      <c r="E31" s="5">
        <v>2063000</v>
      </c>
      <c r="G31">
        <f t="shared" si="0"/>
        <v>22177.6915942755</v>
      </c>
      <c r="H31" s="1">
        <f t="shared" si="1"/>
        <v>2534577.4838517755</v>
      </c>
      <c r="I31" s="1">
        <f t="shared" si="2"/>
        <v>1.2285882132097796</v>
      </c>
      <c r="J31">
        <f t="shared" si="3"/>
        <v>2.1613577228608811</v>
      </c>
    </row>
    <row r="32" spans="1:10" x14ac:dyDescent="0.25">
      <c r="A32">
        <v>1041</v>
      </c>
      <c r="B32">
        <v>113.5</v>
      </c>
      <c r="C32">
        <v>109.18</v>
      </c>
      <c r="D32" s="5">
        <v>9699.4</v>
      </c>
      <c r="E32" s="5">
        <v>746740</v>
      </c>
      <c r="G32">
        <f t="shared" si="0"/>
        <v>9732.5908421749991</v>
      </c>
      <c r="H32" s="1">
        <f t="shared" si="1"/>
        <v>552324.53029343125</v>
      </c>
      <c r="I32" s="1">
        <f t="shared" si="2"/>
        <v>0.73964770910013022</v>
      </c>
      <c r="J32">
        <f t="shared" si="3"/>
        <v>1.003421947973586</v>
      </c>
    </row>
    <row r="33" spans="1:10" x14ac:dyDescent="0.25">
      <c r="A33">
        <v>984</v>
      </c>
      <c r="B33">
        <v>230.74</v>
      </c>
      <c r="C33">
        <v>110.69</v>
      </c>
      <c r="D33" s="5">
        <v>9505.7999999999993</v>
      </c>
      <c r="E33" s="5">
        <v>2152300</v>
      </c>
      <c r="G33">
        <f t="shared" si="0"/>
        <v>20059.531713713499</v>
      </c>
      <c r="H33" s="1">
        <f t="shared" si="1"/>
        <v>2314268.173811127</v>
      </c>
      <c r="I33" s="1">
        <f t="shared" si="2"/>
        <v>1.0752535305538851</v>
      </c>
      <c r="J33">
        <f t="shared" si="3"/>
        <v>2.1102412962310906</v>
      </c>
    </row>
    <row r="34" spans="1:10" x14ac:dyDescent="0.25">
      <c r="A34">
        <v>1039</v>
      </c>
      <c r="B34">
        <v>112.29</v>
      </c>
      <c r="C34">
        <v>104.57</v>
      </c>
      <c r="D34" s="5">
        <v>9176.6</v>
      </c>
      <c r="E34" s="5">
        <v>699310</v>
      </c>
      <c r="G34">
        <f t="shared" si="0"/>
        <v>9222.2672712067506</v>
      </c>
      <c r="H34" s="1">
        <f t="shared" si="1"/>
        <v>517784.19594190299</v>
      </c>
      <c r="I34" s="1">
        <f t="shared" si="2"/>
        <v>0.74042155259027187</v>
      </c>
      <c r="J34">
        <f t="shared" si="3"/>
        <v>1.0049764914245745</v>
      </c>
    </row>
    <row r="35" spans="1:10" x14ac:dyDescent="0.25">
      <c r="A35">
        <v>838</v>
      </c>
      <c r="B35">
        <v>108.93</v>
      </c>
      <c r="C35">
        <v>106.24</v>
      </c>
      <c r="D35" s="5">
        <v>9060.5</v>
      </c>
      <c r="E35" s="5">
        <v>680210</v>
      </c>
      <c r="G35">
        <f t="shared" si="0"/>
        <v>9089.1878694719999</v>
      </c>
      <c r="H35" s="1">
        <f t="shared" si="1"/>
        <v>495042.6173107925</v>
      </c>
      <c r="I35" s="1">
        <f t="shared" si="2"/>
        <v>0.72777909367811777</v>
      </c>
      <c r="J35">
        <f t="shared" si="3"/>
        <v>1.0031662567708184</v>
      </c>
    </row>
    <row r="36" spans="1:10" x14ac:dyDescent="0.25">
      <c r="A36">
        <v>1081</v>
      </c>
      <c r="B36">
        <v>119.75</v>
      </c>
      <c r="C36">
        <v>110.58</v>
      </c>
      <c r="D36" s="5">
        <v>8615.2000000000007</v>
      </c>
      <c r="E36" s="5">
        <v>819790</v>
      </c>
      <c r="G36">
        <f t="shared" si="0"/>
        <v>10400.1983521125</v>
      </c>
      <c r="H36" s="1">
        <f t="shared" si="1"/>
        <v>622711.87633273599</v>
      </c>
      <c r="I36" s="1">
        <f t="shared" si="2"/>
        <v>0.75959925875252932</v>
      </c>
      <c r="J36">
        <f t="shared" si="3"/>
        <v>1.2071917485505268</v>
      </c>
    </row>
    <row r="37" spans="1:10" x14ac:dyDescent="0.25">
      <c r="A37">
        <v>965</v>
      </c>
      <c r="B37">
        <v>163.6</v>
      </c>
      <c r="C37">
        <v>108.47</v>
      </c>
      <c r="D37" s="5">
        <v>8305.4</v>
      </c>
      <c r="E37" s="5">
        <v>1276900</v>
      </c>
      <c r="G37">
        <f t="shared" si="0"/>
        <v>13937.422132569998</v>
      </c>
      <c r="H37" s="1">
        <f t="shared" si="1"/>
        <v>1140081.1304442259</v>
      </c>
      <c r="I37" s="1">
        <f t="shared" si="2"/>
        <v>0.89285075608444342</v>
      </c>
      <c r="J37">
        <f t="shared" si="3"/>
        <v>1.678115699733908</v>
      </c>
    </row>
    <row r="38" spans="1:10" x14ac:dyDescent="0.25">
      <c r="A38">
        <v>666</v>
      </c>
      <c r="B38">
        <v>231.85</v>
      </c>
      <c r="C38">
        <v>109.63</v>
      </c>
      <c r="D38" s="5">
        <v>8286.1</v>
      </c>
      <c r="E38" s="5">
        <v>1926900</v>
      </c>
      <c r="G38">
        <f t="shared" si="0"/>
        <v>19963.010209411248</v>
      </c>
      <c r="H38" s="1">
        <f t="shared" si="1"/>
        <v>2314211.958525999</v>
      </c>
      <c r="I38" s="1">
        <f t="shared" si="2"/>
        <v>1.2010026252145929</v>
      </c>
      <c r="J38">
        <f t="shared" si="3"/>
        <v>2.4092166651876332</v>
      </c>
    </row>
    <row r="39" spans="1:10" x14ac:dyDescent="0.25">
      <c r="A39">
        <v>764</v>
      </c>
      <c r="B39">
        <v>167.91</v>
      </c>
      <c r="C39">
        <v>104.94</v>
      </c>
      <c r="D39" s="5">
        <v>8286.1</v>
      </c>
      <c r="E39" s="5">
        <v>1540600</v>
      </c>
      <c r="G39">
        <f t="shared" si="0"/>
        <v>13839.077327971499</v>
      </c>
      <c r="H39" s="1">
        <f t="shared" si="1"/>
        <v>1161859.7370698471</v>
      </c>
      <c r="I39" s="1">
        <f t="shared" si="2"/>
        <v>0.7541605459365488</v>
      </c>
      <c r="J39">
        <f t="shared" si="3"/>
        <v>1.6701557219888123</v>
      </c>
    </row>
    <row r="40" spans="1:10" x14ac:dyDescent="0.25">
      <c r="A40">
        <v>1019</v>
      </c>
      <c r="B40">
        <v>246.35</v>
      </c>
      <c r="C40">
        <v>109.09</v>
      </c>
      <c r="D40" s="5">
        <v>8073.1</v>
      </c>
      <c r="E40" s="5">
        <v>2341000</v>
      </c>
      <c r="G40">
        <f t="shared" si="0"/>
        <v>21107.024920296251</v>
      </c>
      <c r="H40" s="1">
        <f t="shared" si="1"/>
        <v>2599857.7945574904</v>
      </c>
      <c r="I40" s="1">
        <f t="shared" si="2"/>
        <v>1.1105757345397225</v>
      </c>
      <c r="J40">
        <f t="shared" si="3"/>
        <v>2.6144882288459512</v>
      </c>
    </row>
    <row r="41" spans="1:10" x14ac:dyDescent="0.25">
      <c r="A41">
        <v>813</v>
      </c>
      <c r="B41">
        <v>125.13</v>
      </c>
      <c r="C41">
        <v>103.96</v>
      </c>
      <c r="D41" s="5">
        <v>7879.5</v>
      </c>
      <c r="E41" s="5">
        <v>897400</v>
      </c>
      <c r="G41">
        <f t="shared" si="0"/>
        <v>10216.855002632999</v>
      </c>
      <c r="H41" s="1">
        <f t="shared" si="1"/>
        <v>639217.53323973354</v>
      </c>
      <c r="I41" s="1">
        <f t="shared" si="2"/>
        <v>0.71229945758829238</v>
      </c>
      <c r="J41">
        <f t="shared" si="3"/>
        <v>1.2966374773314295</v>
      </c>
    </row>
    <row r="42" spans="1:10" x14ac:dyDescent="0.25">
      <c r="A42">
        <v>668</v>
      </c>
      <c r="B42">
        <v>221.81</v>
      </c>
      <c r="C42">
        <v>147.16999999999999</v>
      </c>
      <c r="D42" s="5">
        <v>7763.4</v>
      </c>
      <c r="E42" s="5">
        <v>2777800</v>
      </c>
      <c r="G42">
        <f t="shared" si="0"/>
        <v>25638.341396135747</v>
      </c>
      <c r="H42" s="1">
        <f t="shared" si="1"/>
        <v>2843420.2525384352</v>
      </c>
      <c r="I42" s="1">
        <f t="shared" si="2"/>
        <v>1.0236231019290212</v>
      </c>
      <c r="J42">
        <f t="shared" si="3"/>
        <v>3.3024630182826789</v>
      </c>
    </row>
    <row r="43" spans="1:10" x14ac:dyDescent="0.25">
      <c r="A43">
        <v>1060</v>
      </c>
      <c r="B43">
        <v>212.83</v>
      </c>
      <c r="C43">
        <v>103.48</v>
      </c>
      <c r="D43" s="5">
        <v>7569.8</v>
      </c>
      <c r="E43" s="5">
        <v>1861500</v>
      </c>
      <c r="G43">
        <f t="shared" si="0"/>
        <v>17297.318394239002</v>
      </c>
      <c r="H43" s="1">
        <f t="shared" si="1"/>
        <v>1840694.1369229432</v>
      </c>
      <c r="I43" s="1">
        <f t="shared" si="2"/>
        <v>0.98882306576574974</v>
      </c>
      <c r="J43">
        <f t="shared" si="3"/>
        <v>2.2850429858436159</v>
      </c>
    </row>
    <row r="44" spans="1:10" x14ac:dyDescent="0.25">
      <c r="A44">
        <v>964</v>
      </c>
      <c r="B44">
        <v>133.88</v>
      </c>
      <c r="C44">
        <v>101.31</v>
      </c>
      <c r="D44" s="5">
        <v>7434.2</v>
      </c>
      <c r="E44" s="5">
        <v>1059500</v>
      </c>
      <c r="G44">
        <f t="shared" si="0"/>
        <v>10652.646942662999</v>
      </c>
      <c r="H44" s="1">
        <f t="shared" si="1"/>
        <v>713088.18634186126</v>
      </c>
      <c r="I44" s="1">
        <f t="shared" si="2"/>
        <v>0.67304217682101108</v>
      </c>
      <c r="J44">
        <f t="shared" si="3"/>
        <v>1.4329244495255709</v>
      </c>
    </row>
    <row r="45" spans="1:10" x14ac:dyDescent="0.25">
      <c r="A45">
        <v>968</v>
      </c>
      <c r="B45">
        <v>139.16999999999999</v>
      </c>
      <c r="C45">
        <v>102.17</v>
      </c>
      <c r="D45" s="5">
        <v>7356.8</v>
      </c>
      <c r="E45" s="5">
        <v>1123800</v>
      </c>
      <c r="G45">
        <f t="shared" si="0"/>
        <v>11167.566188562749</v>
      </c>
      <c r="H45" s="1">
        <f t="shared" si="1"/>
        <v>777095.09323113877</v>
      </c>
      <c r="I45" s="1">
        <f t="shared" si="2"/>
        <v>0.69148878201738639</v>
      </c>
      <c r="J45">
        <f t="shared" si="3"/>
        <v>1.5179923592543971</v>
      </c>
    </row>
    <row r="46" spans="1:10" x14ac:dyDescent="0.25">
      <c r="A46">
        <v>764</v>
      </c>
      <c r="B46">
        <v>149.69999999999999</v>
      </c>
      <c r="C46">
        <v>133.01</v>
      </c>
      <c r="D46" s="5">
        <v>7085.8</v>
      </c>
      <c r="E46" s="5">
        <v>1858600</v>
      </c>
      <c r="G46">
        <f t="shared" si="0"/>
        <v>15638.518504807498</v>
      </c>
      <c r="H46" s="1">
        <f t="shared" si="1"/>
        <v>1170543.110084841</v>
      </c>
      <c r="I46" s="1">
        <f t="shared" si="2"/>
        <v>0.62979829446079905</v>
      </c>
      <c r="J46">
        <f t="shared" si="3"/>
        <v>2.2070222846830982</v>
      </c>
    </row>
    <row r="47" spans="1:10" x14ac:dyDescent="0.25">
      <c r="A47">
        <v>837</v>
      </c>
      <c r="B47">
        <v>408.5</v>
      </c>
      <c r="C47">
        <v>118.86</v>
      </c>
      <c r="D47" s="5">
        <v>6098.4</v>
      </c>
      <c r="E47" s="5">
        <v>3164400</v>
      </c>
      <c r="G47">
        <f t="shared" si="0"/>
        <v>38134.433688224999</v>
      </c>
      <c r="H47" s="1">
        <f t="shared" si="1"/>
        <v>7788958.080819957</v>
      </c>
      <c r="I47" s="1">
        <f t="shared" si="2"/>
        <v>2.4614328406080004</v>
      </c>
      <c r="J47">
        <f t="shared" si="3"/>
        <v>6.2531866863808538</v>
      </c>
    </row>
    <row r="48" spans="1:10" x14ac:dyDescent="0.25">
      <c r="A48">
        <v>755</v>
      </c>
      <c r="B48">
        <v>252.67</v>
      </c>
      <c r="C48">
        <v>170.79</v>
      </c>
      <c r="D48" s="5">
        <v>5324</v>
      </c>
      <c r="E48" s="5">
        <v>2341000</v>
      </c>
      <c r="G48">
        <f t="shared" si="0"/>
        <v>33892.658320446746</v>
      </c>
      <c r="H48" s="1">
        <f t="shared" si="1"/>
        <v>4281828.9889136394</v>
      </c>
      <c r="I48" s="1">
        <f t="shared" si="2"/>
        <v>1.8290597987670394</v>
      </c>
      <c r="J48">
        <f t="shared" si="3"/>
        <v>6.3660139595129124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29" sqref="B29"/>
    </sheetView>
  </sheetViews>
  <sheetFormatPr defaultRowHeight="15" x14ac:dyDescent="0.25"/>
  <sheetData>
    <row r="1" spans="1:7" x14ac:dyDescent="0.25">
      <c r="A1" t="s">
        <v>93</v>
      </c>
      <c r="B1" t="s">
        <v>94</v>
      </c>
      <c r="C1" t="s">
        <v>70</v>
      </c>
      <c r="D1" t="s">
        <v>57</v>
      </c>
      <c r="E1" t="s">
        <v>95</v>
      </c>
      <c r="F1" t="s">
        <v>70</v>
      </c>
      <c r="G1" t="s">
        <v>57</v>
      </c>
    </row>
    <row r="2" spans="1:7" x14ac:dyDescent="0.25">
      <c r="A2">
        <v>0</v>
      </c>
      <c r="B2">
        <v>0</v>
      </c>
    </row>
    <row r="3" spans="1:7" x14ac:dyDescent="0.25">
      <c r="A3">
        <v>1</v>
      </c>
      <c r="B3">
        <v>1</v>
      </c>
      <c r="C3">
        <f>AVERAGE(B3:B5)</f>
        <v>1.3333333333333333</v>
      </c>
      <c r="D3">
        <f>STDEV(B3:B5)/SQRT(3)</f>
        <v>0.33333333333333337</v>
      </c>
      <c r="E3">
        <f t="shared" ref="E3:E24" si="0">A2-B2</f>
        <v>0</v>
      </c>
    </row>
    <row r="4" spans="1:7" x14ac:dyDescent="0.25">
      <c r="A4">
        <v>1</v>
      </c>
      <c r="B4">
        <v>1</v>
      </c>
      <c r="E4">
        <f t="shared" si="0"/>
        <v>0</v>
      </c>
      <c r="F4">
        <f>AVERAGE(E4:E6)</f>
        <v>-0.33333333333333331</v>
      </c>
      <c r="G4">
        <f>STDEV(E4:E6)/SQRT(3)</f>
        <v>0.33333333333333337</v>
      </c>
    </row>
    <row r="5" spans="1:7" x14ac:dyDescent="0.25">
      <c r="A5">
        <v>1</v>
      </c>
      <c r="B5">
        <v>2</v>
      </c>
      <c r="E5">
        <f t="shared" si="0"/>
        <v>0</v>
      </c>
    </row>
    <row r="6" spans="1:7" x14ac:dyDescent="0.25">
      <c r="A6">
        <v>5</v>
      </c>
      <c r="B6">
        <v>4</v>
      </c>
      <c r="C6">
        <f>AVERAGE(B6:B8)</f>
        <v>4.666666666666667</v>
      </c>
      <c r="D6">
        <f t="shared" ref="D6:D21" si="1">STDEV(B6:B8)/SQRT(3)</f>
        <v>0.33333333333333454</v>
      </c>
      <c r="E6">
        <f t="shared" si="0"/>
        <v>-1</v>
      </c>
    </row>
    <row r="7" spans="1:7" x14ac:dyDescent="0.25">
      <c r="A7">
        <v>5</v>
      </c>
      <c r="B7">
        <v>5</v>
      </c>
      <c r="E7">
        <f t="shared" si="0"/>
        <v>1</v>
      </c>
      <c r="F7">
        <f t="shared" ref="F7:F22" si="2">AVERAGE(E7:E9)</f>
        <v>0.33333333333333331</v>
      </c>
      <c r="G7">
        <f t="shared" ref="G7:G22" si="3">STDEV(E7:E9)/SQRT(3)</f>
        <v>0.33333333333333337</v>
      </c>
    </row>
    <row r="8" spans="1:7" x14ac:dyDescent="0.25">
      <c r="A8">
        <v>5</v>
      </c>
      <c r="B8">
        <v>5</v>
      </c>
      <c r="E8">
        <f t="shared" si="0"/>
        <v>0</v>
      </c>
    </row>
    <row r="9" spans="1:7" x14ac:dyDescent="0.25">
      <c r="A9">
        <v>10</v>
      </c>
      <c r="B9">
        <v>7</v>
      </c>
      <c r="C9">
        <f>AVERAGE(B9:B11)</f>
        <v>7.666666666666667</v>
      </c>
      <c r="D9">
        <f t="shared" si="1"/>
        <v>1.2018504251546627</v>
      </c>
      <c r="E9">
        <f t="shared" si="0"/>
        <v>0</v>
      </c>
    </row>
    <row r="10" spans="1:7" x14ac:dyDescent="0.25">
      <c r="A10">
        <v>10</v>
      </c>
      <c r="B10">
        <v>6</v>
      </c>
      <c r="E10">
        <f t="shared" si="0"/>
        <v>3</v>
      </c>
      <c r="F10">
        <f t="shared" si="2"/>
        <v>2.3333333333333335</v>
      </c>
      <c r="G10">
        <f t="shared" si="3"/>
        <v>1.2018504251546633</v>
      </c>
    </row>
    <row r="11" spans="1:7" x14ac:dyDescent="0.25">
      <c r="A11">
        <v>10</v>
      </c>
      <c r="B11">
        <v>10</v>
      </c>
      <c r="E11">
        <f t="shared" si="0"/>
        <v>4</v>
      </c>
    </row>
    <row r="12" spans="1:7" x14ac:dyDescent="0.25">
      <c r="A12">
        <v>15</v>
      </c>
      <c r="B12">
        <v>14</v>
      </c>
      <c r="C12">
        <f>AVERAGE(B12:B14)</f>
        <v>14.333333333333334</v>
      </c>
      <c r="D12">
        <f t="shared" si="1"/>
        <v>0.33333333333333331</v>
      </c>
      <c r="E12">
        <f t="shared" si="0"/>
        <v>0</v>
      </c>
    </row>
    <row r="13" spans="1:7" x14ac:dyDescent="0.25">
      <c r="A13">
        <v>15</v>
      </c>
      <c r="B13">
        <v>15</v>
      </c>
      <c r="E13">
        <f t="shared" si="0"/>
        <v>1</v>
      </c>
      <c r="F13">
        <f t="shared" si="2"/>
        <v>0.66666666666666663</v>
      </c>
      <c r="G13">
        <f t="shared" si="3"/>
        <v>0.33333333333333337</v>
      </c>
    </row>
    <row r="14" spans="1:7" x14ac:dyDescent="0.25">
      <c r="A14">
        <v>15</v>
      </c>
      <c r="B14">
        <v>14</v>
      </c>
      <c r="E14">
        <f t="shared" si="0"/>
        <v>0</v>
      </c>
    </row>
    <row r="15" spans="1:7" x14ac:dyDescent="0.25">
      <c r="A15">
        <v>20</v>
      </c>
      <c r="B15">
        <v>20</v>
      </c>
      <c r="C15">
        <f>AVERAGE(B15:B17)</f>
        <v>17.333333333333332</v>
      </c>
      <c r="D15">
        <f t="shared" si="1"/>
        <v>1.333333333333331</v>
      </c>
      <c r="E15">
        <f t="shared" si="0"/>
        <v>1</v>
      </c>
    </row>
    <row r="16" spans="1:7" x14ac:dyDescent="0.25">
      <c r="A16">
        <v>20</v>
      </c>
      <c r="B16">
        <v>16</v>
      </c>
      <c r="E16">
        <f t="shared" si="0"/>
        <v>0</v>
      </c>
      <c r="F16">
        <f t="shared" si="2"/>
        <v>2.6666666666666665</v>
      </c>
      <c r="G16">
        <f t="shared" si="3"/>
        <v>1.3333333333333335</v>
      </c>
    </row>
    <row r="17" spans="1:7" x14ac:dyDescent="0.25">
      <c r="A17">
        <v>20</v>
      </c>
      <c r="B17">
        <v>16</v>
      </c>
      <c r="E17">
        <f t="shared" si="0"/>
        <v>4</v>
      </c>
    </row>
    <row r="18" spans="1:7" x14ac:dyDescent="0.25">
      <c r="A18">
        <v>30</v>
      </c>
      <c r="B18">
        <v>27</v>
      </c>
      <c r="C18">
        <f>AVERAGE(B18:B20)</f>
        <v>25</v>
      </c>
      <c r="D18">
        <f t="shared" si="1"/>
        <v>1.5275252316519468</v>
      </c>
      <c r="E18">
        <f t="shared" si="0"/>
        <v>4</v>
      </c>
    </row>
    <row r="19" spans="1:7" x14ac:dyDescent="0.25">
      <c r="A19">
        <v>30</v>
      </c>
      <c r="B19">
        <v>22</v>
      </c>
      <c r="E19">
        <f t="shared" si="0"/>
        <v>3</v>
      </c>
      <c r="F19">
        <f t="shared" si="2"/>
        <v>5</v>
      </c>
      <c r="G19">
        <f t="shared" si="3"/>
        <v>1.5275252316519468</v>
      </c>
    </row>
    <row r="20" spans="1:7" x14ac:dyDescent="0.25">
      <c r="A20">
        <v>30</v>
      </c>
      <c r="B20">
        <v>26</v>
      </c>
      <c r="E20">
        <f t="shared" si="0"/>
        <v>8</v>
      </c>
    </row>
    <row r="21" spans="1:7" x14ac:dyDescent="0.25">
      <c r="A21">
        <v>50</v>
      </c>
      <c r="B21">
        <v>40</v>
      </c>
      <c r="C21">
        <f>AVERAGE(B21:B23)</f>
        <v>40</v>
      </c>
      <c r="D21">
        <f t="shared" si="1"/>
        <v>0</v>
      </c>
      <c r="E21">
        <f t="shared" si="0"/>
        <v>4</v>
      </c>
    </row>
    <row r="22" spans="1:7" x14ac:dyDescent="0.25">
      <c r="A22">
        <v>50</v>
      </c>
      <c r="B22">
        <v>40</v>
      </c>
      <c r="E22">
        <f t="shared" si="0"/>
        <v>10</v>
      </c>
      <c r="F22">
        <f t="shared" si="2"/>
        <v>10</v>
      </c>
      <c r="G22">
        <f t="shared" si="3"/>
        <v>0</v>
      </c>
    </row>
    <row r="23" spans="1:7" x14ac:dyDescent="0.25">
      <c r="A23">
        <v>50</v>
      </c>
      <c r="B23">
        <v>40</v>
      </c>
      <c r="E23">
        <f t="shared" si="0"/>
        <v>10</v>
      </c>
    </row>
    <row r="24" spans="1:7" x14ac:dyDescent="0.25">
      <c r="E24">
        <f t="shared" si="0"/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Vol to #</vt:lpstr>
      <vt:lpstr>Min Threshold Test</vt:lpstr>
      <vt:lpstr># on filter</vt:lpstr>
      <vt:lpstr>Total Vol to #</vt:lpstr>
      <vt:lpstr>SHA to Known #</vt:lpstr>
      <vt:lpstr>Overall HOLO-SHA Comp</vt:lpstr>
      <vt:lpstr>Minor axis &gt; 100 um</vt:lpstr>
      <vt:lpstr>Area and Volume Calcs</vt:lpstr>
      <vt:lpstr>Residence Time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2013-07-29T21:44:51Z</dcterms:created>
  <dcterms:modified xsi:type="dcterms:W3CDTF">2013-08-12T23:32:23Z</dcterms:modified>
</cp:coreProperties>
</file>