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 yWindow="24" windowWidth="17340" windowHeight="13560" tabRatio="832" firstSheet="1" activeTab="1"/>
  </bookViews>
  <sheets>
    <sheet name="MOOSCostSummary" sheetId="4" r:id="rId1"/>
    <sheet name="MuceBatteryPower" sheetId="3" r:id="rId2"/>
    <sheet name="BatteryPowerChart" sheetId="15" r:id="rId3"/>
    <sheet name="ShipTimeCalculation" sheetId="6" r:id="rId4"/>
    <sheet name="EstimatedWeight" sheetId="16" r:id="rId5"/>
    <sheet name="Illustrations" sheetId="17" r:id="rId6"/>
  </sheets>
  <calcPr calcId="145621"/>
</workbook>
</file>

<file path=xl/calcChain.xml><?xml version="1.0" encoding="utf-8"?>
<calcChain xmlns="http://schemas.openxmlformats.org/spreadsheetml/2006/main">
  <c r="M5" i="3" l="1"/>
  <c r="M6" i="3" l="1"/>
  <c r="N7" i="4" l="1"/>
  <c r="P11" i="4"/>
  <c r="P9" i="4"/>
  <c r="P7" i="4"/>
  <c r="N12" i="4"/>
  <c r="K9" i="4"/>
  <c r="K7" i="4"/>
  <c r="H9" i="4"/>
  <c r="H7" i="4"/>
  <c r="E9" i="4"/>
  <c r="E7" i="4"/>
  <c r="E14" i="4" s="1"/>
  <c r="K12" i="4"/>
  <c r="M11" i="4"/>
  <c r="M9" i="4"/>
  <c r="M7" i="4"/>
  <c r="H12" i="4"/>
  <c r="J11" i="4"/>
  <c r="J9" i="4"/>
  <c r="J7" i="4"/>
  <c r="E12" i="4"/>
  <c r="G11" i="4"/>
  <c r="G9" i="4"/>
  <c r="G7" i="4"/>
  <c r="G14" i="4" s="1"/>
  <c r="D11" i="4"/>
  <c r="D9" i="4"/>
  <c r="D7" i="4"/>
  <c r="D14" i="4" s="1"/>
  <c r="B12" i="4"/>
  <c r="B9" i="4"/>
  <c r="B7" i="4"/>
  <c r="B14" i="4" s="1"/>
  <c r="H14" i="4" l="1"/>
  <c r="M14" i="4"/>
  <c r="J14" i="4"/>
  <c r="P14" i="4"/>
  <c r="N9" i="4"/>
  <c r="N14" i="4" s="1"/>
  <c r="K14" i="4"/>
  <c r="B29" i="3" l="1"/>
  <c r="B50" i="3"/>
  <c r="AJ36" i="3"/>
  <c r="AJ35" i="3"/>
  <c r="AJ37" i="3" s="1"/>
  <c r="AJ33" i="3"/>
  <c r="AJ27" i="3"/>
  <c r="AJ26" i="3"/>
  <c r="AJ24" i="3"/>
  <c r="AF36" i="3"/>
  <c r="AF35" i="3"/>
  <c r="AF33" i="3"/>
  <c r="AF27" i="3"/>
  <c r="AF26" i="3"/>
  <c r="AF24" i="3"/>
  <c r="AC36" i="3"/>
  <c r="AC35" i="3"/>
  <c r="AC27" i="3"/>
  <c r="AC26" i="3"/>
  <c r="S36" i="3"/>
  <c r="S35" i="3"/>
  <c r="S27" i="3"/>
  <c r="S26" i="3"/>
  <c r="S28" i="3" s="1"/>
  <c r="S37" i="3"/>
  <c r="D37" i="6"/>
  <c r="B37" i="6"/>
  <c r="D29" i="6"/>
  <c r="B29" i="6"/>
  <c r="D18" i="6"/>
  <c r="B18" i="6"/>
  <c r="D7" i="6"/>
  <c r="D39" i="6" s="1"/>
  <c r="E42" i="3"/>
  <c r="E41" i="3"/>
  <c r="C24" i="3" s="1"/>
  <c r="E40" i="3"/>
  <c r="E39" i="3"/>
  <c r="C25" i="3" s="1"/>
  <c r="AC37" i="3" l="1"/>
  <c r="AJ28" i="3"/>
  <c r="AC28" i="3"/>
  <c r="AF28" i="3"/>
  <c r="AF37" i="3"/>
  <c r="B7" i="6"/>
  <c r="B39" i="6" s="1"/>
  <c r="D14" i="3"/>
  <c r="D15" i="3"/>
  <c r="D16" i="3"/>
  <c r="D17" i="3"/>
  <c r="D18" i="3"/>
  <c r="D3" i="3"/>
  <c r="D19" i="3" l="1"/>
  <c r="D21" i="3" s="1"/>
  <c r="F21" i="3" s="1"/>
  <c r="F19" i="3" l="1"/>
  <c r="G21" i="3"/>
  <c r="AG6" i="3" s="1"/>
  <c r="AI6" i="3" l="1"/>
  <c r="AI4" i="3" s="1"/>
  <c r="AH6" i="3"/>
  <c r="AH4" i="3" s="1"/>
  <c r="AJ6" i="3"/>
  <c r="I6" i="3"/>
  <c r="AD6" i="3"/>
  <c r="T6" i="3"/>
  <c r="H21" i="3"/>
  <c r="AJ12" i="3" l="1"/>
  <c r="AJ8" i="3"/>
  <c r="W6" i="3"/>
  <c r="AC6" i="3" s="1"/>
  <c r="V6" i="3"/>
  <c r="X6" i="3" s="1"/>
  <c r="AA6" i="3" s="1"/>
  <c r="U6" i="3"/>
  <c r="K6" i="3"/>
  <c r="J6" i="3"/>
  <c r="AF6" i="3"/>
  <c r="AE6" i="3"/>
  <c r="L6" i="3"/>
  <c r="AB6" i="3" l="1"/>
  <c r="AC12" i="3" s="1"/>
  <c r="AC32" i="3" s="1"/>
  <c r="AJ10" i="3"/>
  <c r="AJ23" i="3"/>
  <c r="AJ25" i="3" s="1"/>
  <c r="AJ29" i="3" s="1"/>
  <c r="AJ14" i="3"/>
  <c r="AJ16" i="3" s="1"/>
  <c r="AJ32" i="3"/>
  <c r="AJ34" i="3" s="1"/>
  <c r="AJ38" i="3" s="1"/>
  <c r="AF8" i="3"/>
  <c r="AF12" i="3"/>
  <c r="AC9" i="3"/>
  <c r="AC24" i="3" s="1"/>
  <c r="AC13" i="3"/>
  <c r="AC33" i="3" s="1"/>
  <c r="Z6" i="3"/>
  <c r="Z4" i="3" s="1"/>
  <c r="Y6" i="3"/>
  <c r="Y4" i="3" s="1"/>
  <c r="Q6" i="3"/>
  <c r="S6" i="3" s="1"/>
  <c r="AC8" i="3" l="1"/>
  <c r="AC10" i="3" s="1"/>
  <c r="O9" i="4"/>
  <c r="N10" i="4" s="1"/>
  <c r="AC34" i="3"/>
  <c r="AC38" i="3" s="1"/>
  <c r="AF14" i="3"/>
  <c r="AF16" i="3" s="1"/>
  <c r="AF32" i="3"/>
  <c r="AF34" i="3" s="1"/>
  <c r="AF38" i="3" s="1"/>
  <c r="AF10" i="3"/>
  <c r="AF23" i="3"/>
  <c r="AF25" i="3" s="1"/>
  <c r="AF29" i="3" s="1"/>
  <c r="AC23" i="3"/>
  <c r="AC25" i="3" s="1"/>
  <c r="AC29" i="3" s="1"/>
  <c r="AC14" i="3"/>
  <c r="AC16" i="3" s="1"/>
  <c r="S9" i="3"/>
  <c r="S24" i="3" s="1"/>
  <c r="S13" i="3"/>
  <c r="S33" i="3" s="1"/>
  <c r="AB33" i="3" s="1"/>
  <c r="P6" i="3"/>
  <c r="R6" i="3" s="1"/>
  <c r="O6" i="3"/>
  <c r="O4" i="3" s="1"/>
  <c r="D3" i="16" s="1"/>
  <c r="D6" i="16" s="1"/>
  <c r="N6" i="3"/>
  <c r="N4" i="3" s="1"/>
  <c r="C3" i="16" s="1"/>
  <c r="C6" i="16" s="1"/>
  <c r="I9" i="4" l="1"/>
  <c r="H10" i="4" s="1"/>
  <c r="L9" i="4"/>
  <c r="K10" i="4" s="1"/>
  <c r="L7" i="4"/>
  <c r="S8" i="3"/>
  <c r="S12" i="3"/>
  <c r="I7" i="4" l="1"/>
  <c r="I14" i="4" s="1"/>
  <c r="H15" i="4" s="1"/>
  <c r="F9" i="4"/>
  <c r="E10" i="4" s="1"/>
  <c r="O7" i="4"/>
  <c r="F7" i="4"/>
  <c r="K8" i="4"/>
  <c r="L14" i="4"/>
  <c r="K15" i="4" s="1"/>
  <c r="C7" i="4"/>
  <c r="S14" i="3"/>
  <c r="S16" i="3" s="1"/>
  <c r="S32" i="3"/>
  <c r="S10" i="3"/>
  <c r="S23" i="3"/>
  <c r="S25" i="3" s="1"/>
  <c r="S29" i="3" s="1"/>
  <c r="AB29" i="3" s="1"/>
  <c r="S34" i="3" l="1"/>
  <c r="AB32" i="3"/>
  <c r="H8" i="4"/>
  <c r="E8" i="4"/>
  <c r="F14" i="4"/>
  <c r="E15" i="4" s="1"/>
  <c r="N8" i="4"/>
  <c r="O14" i="4"/>
  <c r="N15" i="4" s="1"/>
  <c r="B8" i="4"/>
  <c r="S38" i="3" l="1"/>
  <c r="AB38" i="3" s="1"/>
  <c r="AB34" i="3"/>
  <c r="C9" i="4"/>
  <c r="B10" i="4" l="1"/>
  <c r="C14" i="4"/>
  <c r="B15" i="4" s="1"/>
</calcChain>
</file>

<file path=xl/comments1.xml><?xml version="1.0" encoding="utf-8"?>
<comments xmlns="http://schemas.openxmlformats.org/spreadsheetml/2006/main">
  <authors>
    <author>chma</author>
  </authors>
  <commentList>
    <comment ref="H4" authorId="0">
      <text>
        <r>
          <rPr>
            <b/>
            <sz val="9"/>
            <color indexed="81"/>
            <rFont val="Tahoma"/>
            <family val="2"/>
          </rPr>
          <t>chma:</t>
        </r>
        <r>
          <rPr>
            <sz val="9"/>
            <color indexed="81"/>
            <rFont val="Tahoma"/>
            <family val="2"/>
          </rPr>
          <t xml:space="preserve">
I prefer option C or D (combined BIN and battery frame).</t>
        </r>
      </text>
    </comment>
  </commentList>
</comments>
</file>

<file path=xl/comments2.xml><?xml version="1.0" encoding="utf-8"?>
<comments xmlns="http://schemas.openxmlformats.org/spreadsheetml/2006/main">
  <authors>
    <author>chma</author>
  </authors>
  <commentList>
    <comment ref="D9" authorId="0">
      <text>
        <r>
          <rPr>
            <b/>
            <sz val="9"/>
            <color indexed="81"/>
            <rFont val="Tahoma"/>
            <family val="2"/>
          </rPr>
          <t>chma:</t>
        </r>
        <r>
          <rPr>
            <sz val="9"/>
            <color indexed="81"/>
            <rFont val="Tahoma"/>
            <family val="2"/>
          </rPr>
          <t xml:space="preserve">
Roberto calculation is 1.41 Wh. I had 1.25 Wh from ??</t>
        </r>
      </text>
    </comment>
    <comment ref="D11" authorId="0">
      <text>
        <r>
          <rPr>
            <b/>
            <sz val="9"/>
            <color indexed="81"/>
            <rFont val="Tahoma"/>
            <family val="2"/>
          </rPr>
          <t>chma:</t>
        </r>
        <r>
          <rPr>
            <sz val="9"/>
            <color indexed="81"/>
            <rFont val="Tahoma"/>
            <family val="2"/>
          </rPr>
          <t xml:space="preserve">
Estimate from Roberto</t>
        </r>
      </text>
    </comment>
    <comment ref="D12" authorId="0">
      <text>
        <r>
          <rPr>
            <b/>
            <sz val="9"/>
            <color indexed="81"/>
            <rFont val="Tahoma"/>
            <family val="2"/>
          </rPr>
          <t>chma:</t>
        </r>
        <r>
          <rPr>
            <sz val="9"/>
            <color indexed="81"/>
            <rFont val="Tahoma"/>
            <family val="2"/>
          </rPr>
          <t xml:space="preserve">
Estimate from Roberto</t>
        </r>
      </text>
    </comment>
    <comment ref="S14" authorId="0">
      <text>
        <r>
          <rPr>
            <b/>
            <sz val="9"/>
            <color indexed="81"/>
            <rFont val="Tahoma"/>
            <family val="2"/>
          </rPr>
          <t>chma:</t>
        </r>
        <r>
          <rPr>
            <sz val="9"/>
            <color indexed="81"/>
            <rFont val="Tahoma"/>
            <family val="2"/>
          </rPr>
          <t xml:space="preserve">
Used these values.</t>
        </r>
      </text>
    </comment>
    <comment ref="B24" authorId="0">
      <text>
        <r>
          <rPr>
            <b/>
            <sz val="9"/>
            <color indexed="81"/>
            <rFont val="Tahoma"/>
            <family val="2"/>
          </rPr>
          <t>chma:</t>
        </r>
        <r>
          <rPr>
            <sz val="9"/>
            <color indexed="81"/>
            <rFont val="Tahoma"/>
            <family val="2"/>
          </rPr>
          <t xml:space="preserve">
Used SCPI battery pak quote numbers.</t>
        </r>
      </text>
    </comment>
    <comment ref="B30" authorId="0">
      <text>
        <r>
          <rPr>
            <b/>
            <sz val="9"/>
            <color indexed="81"/>
            <rFont val="Tahoma"/>
            <family val="2"/>
          </rPr>
          <t>chma:</t>
        </r>
        <r>
          <rPr>
            <sz val="9"/>
            <color indexed="81"/>
            <rFont val="Tahoma"/>
            <family val="2"/>
          </rPr>
          <t xml:space="preserve">
40% is 248 cells per sphere. 38.7% (240 cells) is a proven number w/equal size packs..</t>
        </r>
      </text>
    </comment>
    <comment ref="C39" authorId="0">
      <text>
        <r>
          <rPr>
            <b/>
            <sz val="9"/>
            <color indexed="81"/>
            <rFont val="Tahoma"/>
            <family val="2"/>
          </rPr>
          <t>chma:</t>
        </r>
        <r>
          <rPr>
            <sz val="9"/>
            <color indexed="81"/>
            <rFont val="Tahoma"/>
            <family val="2"/>
          </rPr>
          <t xml:space="preserve">
from: http://www.candlepowerforums.com/vb/showthread.php?64660-Alkaline-Battery-Shoot-Out</t>
        </r>
      </text>
    </comment>
    <comment ref="D39" authorId="0">
      <text>
        <r>
          <rPr>
            <b/>
            <sz val="9"/>
            <color indexed="81"/>
            <rFont val="Tahoma"/>
            <family val="2"/>
          </rPr>
          <t>chma:</t>
        </r>
        <r>
          <rPr>
            <sz val="9"/>
            <color indexed="81"/>
            <rFont val="Tahoma"/>
            <family val="2"/>
          </rPr>
          <t xml:space="preserve">
At low discharge rates the temperature effect on capacity is minimized.</t>
        </r>
      </text>
    </comment>
    <comment ref="B46" authorId="0">
      <text>
        <r>
          <rPr>
            <b/>
            <sz val="9"/>
            <color indexed="81"/>
            <rFont val="Tahoma"/>
            <family val="2"/>
          </rPr>
          <t>chma:</t>
        </r>
        <r>
          <rPr>
            <sz val="9"/>
            <color indexed="81"/>
            <rFont val="Tahoma"/>
            <family val="2"/>
          </rPr>
          <t xml:space="preserve">
Estimate, need to verify.</t>
        </r>
      </text>
    </comment>
    <comment ref="E48" authorId="0">
      <text>
        <r>
          <rPr>
            <b/>
            <sz val="9"/>
            <color indexed="81"/>
            <rFont val="Tahoma"/>
            <family val="2"/>
          </rPr>
          <t>chma:</t>
        </r>
        <r>
          <rPr>
            <sz val="9"/>
            <color indexed="81"/>
            <rFont val="Tahoma"/>
            <family val="2"/>
          </rPr>
          <t xml:space="preserve">
Roberto calculation is 1.41 Wh. I had 1.25 Wh from ??</t>
        </r>
      </text>
    </comment>
    <comment ref="B49" authorId="0">
      <text>
        <r>
          <rPr>
            <b/>
            <sz val="9"/>
            <color indexed="81"/>
            <rFont val="Tahoma"/>
            <family val="2"/>
          </rPr>
          <t>chma:</t>
        </r>
        <r>
          <rPr>
            <sz val="9"/>
            <color indexed="81"/>
            <rFont val="Tahoma"/>
            <family val="2"/>
          </rPr>
          <t xml:space="preserve">
Estimated from Paul's use of FAWM-8-PENT-R/A on MOBB</t>
        </r>
      </text>
    </comment>
    <comment ref="E50" authorId="0">
      <text>
        <r>
          <rPr>
            <b/>
            <sz val="9"/>
            <color indexed="81"/>
            <rFont val="Tahoma"/>
            <family val="2"/>
          </rPr>
          <t>chma:</t>
        </r>
        <r>
          <rPr>
            <sz val="9"/>
            <color indexed="81"/>
            <rFont val="Tahoma"/>
            <family val="2"/>
          </rPr>
          <t xml:space="preserve">
Estimate from Roberto</t>
        </r>
      </text>
    </comment>
    <comment ref="E51" authorId="0">
      <text>
        <r>
          <rPr>
            <b/>
            <sz val="9"/>
            <color indexed="81"/>
            <rFont val="Tahoma"/>
            <family val="2"/>
          </rPr>
          <t>chma:</t>
        </r>
        <r>
          <rPr>
            <sz val="9"/>
            <color indexed="81"/>
            <rFont val="Tahoma"/>
            <family val="2"/>
          </rPr>
          <t xml:space="preserve">
Estimate from Roberto</t>
        </r>
      </text>
    </comment>
  </commentList>
</comments>
</file>

<file path=xl/comments3.xml><?xml version="1.0" encoding="utf-8"?>
<comments xmlns="http://schemas.openxmlformats.org/spreadsheetml/2006/main">
  <authors>
    <author>chma</author>
  </authors>
  <commentList>
    <comment ref="C1" authorId="0">
      <text>
        <r>
          <rPr>
            <b/>
            <sz val="9"/>
            <color indexed="81"/>
            <rFont val="Tahoma"/>
            <family val="2"/>
          </rPr>
          <t>chma:</t>
        </r>
        <r>
          <rPr>
            <sz val="9"/>
            <color indexed="81"/>
            <rFont val="Tahoma"/>
            <family val="2"/>
          </rPr>
          <t xml:space="preserve">
This column used in calculation!</t>
        </r>
      </text>
    </comment>
    <comment ref="D39" authorId="0">
      <text>
        <r>
          <rPr>
            <b/>
            <sz val="9"/>
            <color indexed="81"/>
            <rFont val="Tahoma"/>
            <family val="2"/>
          </rPr>
          <t>chma:</t>
        </r>
        <r>
          <rPr>
            <sz val="9"/>
            <color indexed="81"/>
            <rFont val="Tahoma"/>
            <family val="2"/>
          </rPr>
          <t xml:space="preserve">
This value used in overall shiptime estimate (assumes battery spares).</t>
        </r>
      </text>
    </comment>
  </commentList>
</comments>
</file>

<file path=xl/sharedStrings.xml><?xml version="1.0" encoding="utf-8"?>
<sst xmlns="http://schemas.openxmlformats.org/spreadsheetml/2006/main" count="278" uniqueCount="183">
  <si>
    <t>Total</t>
  </si>
  <si>
    <t xml:space="preserve"> </t>
  </si>
  <si>
    <t>Continous duty current (A)</t>
  </si>
  <si>
    <t>Nominal Voltage</t>
  </si>
  <si>
    <t>Continous duty Watts</t>
  </si>
  <si>
    <t>Memory per day MB</t>
  </si>
  <si>
    <t>Joules per week</t>
  </si>
  <si>
    <t>Joules per period</t>
  </si>
  <si>
    <t>Cost of housing (see B30)</t>
  </si>
  <si>
    <t>Lithium disposal cost</t>
  </si>
  <si>
    <t>Lithium initial cost</t>
  </si>
  <si>
    <t>Lithium recurring cost</t>
  </si>
  <si>
    <t>Alkaline initial cost</t>
  </si>
  <si>
    <t>Alkaline recurring cost</t>
  </si>
  <si>
    <t>Number of DSP&amp;L lead acid batteries @ 3,456,000 joules</t>
  </si>
  <si>
    <t>Total weight in air kg</t>
  </si>
  <si>
    <t>Total cost @ $3395</t>
  </si>
  <si>
    <t>MBARI (Okuda) battery design, number of batteries @ 3,456,000 joules</t>
  </si>
  <si>
    <t>MUCE BIN total power</t>
  </si>
  <si>
    <t>ADC 10 (Volts)</t>
  </si>
  <si>
    <t>ADC 11 (Amps)</t>
  </si>
  <si>
    <t>Instruments</t>
  </si>
  <si>
    <t>2.2</t>
  </si>
  <si>
    <t>Nortek Aquadopp</t>
  </si>
  <si>
    <t>WetLabs Triplet</t>
  </si>
  <si>
    <t>SBE19+ w/pump</t>
  </si>
  <si>
    <t>Transmissometer</t>
  </si>
  <si>
    <t>Seapoint backscatter</t>
  </si>
  <si>
    <t>Anderra O2</t>
  </si>
  <si>
    <t>Instruments alone</t>
  </si>
  <si>
    <t>total</t>
  </si>
  <si>
    <t>Data logger (MMC estimate w/o Medusa)</t>
  </si>
  <si>
    <t>Instruments + data logger</t>
  </si>
  <si>
    <t>6 months</t>
  </si>
  <si>
    <t>Lithium disposal cost m^3</t>
  </si>
  <si>
    <t>Pt. Sur day rate</t>
  </si>
  <si>
    <t>Western Flyer/Tiburon day rate</t>
  </si>
  <si>
    <t>Pt. Lobos/Ventana day rate</t>
  </si>
  <si>
    <t>Lithium battery cost in pak</t>
  </si>
  <si>
    <t>Initial cost @ $1033</t>
  </si>
  <si>
    <t>Note: 5625 lbs. of lead-acid batteries</t>
  </si>
  <si>
    <t>Subtotal</t>
  </si>
  <si>
    <t>Expense</t>
  </si>
  <si>
    <t>Total Volume of D Alkaline cells m^3 in pak</t>
  </si>
  <si>
    <t>cost of Al housing per m^3</t>
  </si>
  <si>
    <t>cost of glass housing m^3</t>
  </si>
  <si>
    <t>Number of Benthos glass spheres</t>
  </si>
  <si>
    <t>Glass sphere packing factor</t>
  </si>
  <si>
    <t>cost of glass housing ea.</t>
  </si>
  <si>
    <t>Air weight of batteries and spheres kg</t>
  </si>
  <si>
    <t>Water weight of batteries and spheres kg</t>
  </si>
  <si>
    <t>kW Hours per period</t>
  </si>
  <si>
    <t>Alkaline battery cost in pak</t>
  </si>
  <si>
    <t>Number of D Alkaline cells @ 20% derate</t>
  </si>
  <si>
    <t>Glass sphere volume ^m</t>
  </si>
  <si>
    <t>Comparative Annual cost - 6 month service interval</t>
  </si>
  <si>
    <t>Transit</t>
  </si>
  <si>
    <t>Place first BIN frame and battery frame</t>
  </si>
  <si>
    <t>Ship days</t>
  </si>
  <si>
    <t>Hoist first battery frame</t>
  </si>
  <si>
    <t>Lower first battery frame</t>
  </si>
  <si>
    <t>Dive ROV and connect first battery</t>
  </si>
  <si>
    <t>Total ship time</t>
  </si>
  <si>
    <t>Lower new first battery frame</t>
  </si>
  <si>
    <t>Battery Type</t>
  </si>
  <si>
    <t>Lithium D Cell - Primary, SAFT LSH20</t>
  </si>
  <si>
    <t>25 C</t>
  </si>
  <si>
    <t>0 C</t>
  </si>
  <si>
    <t>Wh</t>
  </si>
  <si>
    <t>Temp. derate</t>
  </si>
  <si>
    <t>Lithium D Cell - Primary, SAFT LS33600 (Li-SOCl2)</t>
  </si>
  <si>
    <t>Lithium DD Cell - Primary, SAFT M 62 (Li-MnO2)</t>
  </si>
  <si>
    <t>Battery energy @ ~ 30mA rate</t>
  </si>
  <si>
    <t>Joules</t>
  </si>
  <si>
    <t>Volume</t>
  </si>
  <si>
    <t>in kg</t>
  </si>
  <si>
    <t>Mass each</t>
  </si>
  <si>
    <t>m^3</t>
  </si>
  <si>
    <t>Weight of cells in kg</t>
  </si>
  <si>
    <t>Estimate based on BIN power readings</t>
  </si>
  <si>
    <t>Number of Lithium cells @ 20% derate</t>
  </si>
  <si>
    <t>Total volume of Lithium cells m^3 in pak</t>
  </si>
  <si>
    <t>Cost of Lithium cells (in pak).</t>
  </si>
  <si>
    <t>Cost of Alkaline cells (in pak).</t>
  </si>
  <si>
    <t>Alkaline D Cell RayOVac MAX 813FT or equivalent</t>
  </si>
  <si>
    <t>RDI ADCP 1 min (30Wh) (300kHz)</t>
  </si>
  <si>
    <t>RDI ADCP17 sec (53Wh)  (300kHz)</t>
  </si>
  <si>
    <t>RDI ADCP 1 min (600kHz)</t>
  </si>
  <si>
    <t>RDI ADCP 1 min (1200kHz)</t>
  </si>
  <si>
    <t>Other Major Variables</t>
  </si>
  <si>
    <t>Joules/cell</t>
  </si>
  <si>
    <t>No Spare Battery Pack</t>
  </si>
  <si>
    <t>Battery cost for year 1 (deployment)</t>
  </si>
  <si>
    <t>Battery cost for year 2 (service 1&amp;2)</t>
  </si>
  <si>
    <t>Battery cost total</t>
  </si>
  <si>
    <t>note 1:</t>
  </si>
  <si>
    <t>With Partial Spare Battery Pack (note 1)</t>
  </si>
  <si>
    <t>Battery cost with full spares (note 1) total</t>
  </si>
  <si>
    <t>Partial is no spare batteries after last servicing mission, full spares is always having a spare pack.</t>
  </si>
  <si>
    <t>Lithium Batteries</t>
  </si>
  <si>
    <t>Alkaline Batteries</t>
  </si>
  <si>
    <t>Lead Acid Batteries</t>
  </si>
  <si>
    <t>note 2:</t>
  </si>
  <si>
    <t>Internal build of batteries does not include any labor.</t>
  </si>
  <si>
    <t>Energy estimate based on individual power readings</t>
  </si>
  <si>
    <t>One battery BIN, no extra battery</t>
  </si>
  <si>
    <t>One battery BIN, extra battery</t>
  </si>
  <si>
    <t>Dive ROV, disconnect  first BIN and attach lift reel to battery</t>
  </si>
  <si>
    <t>Replace battery packs in housings</t>
  </si>
  <si>
    <t>Hoist used battery frame</t>
  </si>
  <si>
    <t>Dive ROV, disconnect  BIN and attach lift reel to used battery and connect new battery</t>
  </si>
  <si>
    <t>Lower BIN on elevator, dive ROV and connect first BIN</t>
  </si>
  <si>
    <t>Dive ROV, disconnect and move BIN to elevator and attach lift reel to frame</t>
  </si>
  <si>
    <t>Recover elevator, recover BIN frame</t>
  </si>
  <si>
    <t>Dive ROV and attach lift reel to battery frame</t>
  </si>
  <si>
    <t>Hoist battery frame</t>
  </si>
  <si>
    <t>Installation (year 1)</t>
  </si>
  <si>
    <t>6 month service (year 2)</t>
  </si>
  <si>
    <t>12 month service (year 2)</t>
  </si>
  <si>
    <t>Decommissioning (year 2)</t>
  </si>
  <si>
    <t>Ship cost year 1</t>
  </si>
  <si>
    <t>Ship cost year 2</t>
  </si>
  <si>
    <t>Ship cost total</t>
  </si>
  <si>
    <t>Total cost</t>
  </si>
  <si>
    <t>lbs. air</t>
  </si>
  <si>
    <t>lbs. water</t>
  </si>
  <si>
    <t>Total cost, ship and batteries</t>
  </si>
  <si>
    <t>Benthos housing cost detail</t>
  </si>
  <si>
    <t>Glass balls</t>
  </si>
  <si>
    <t>Hard hat</t>
  </si>
  <si>
    <t>penetrator and cable whip</t>
  </si>
  <si>
    <t>Ti vacuum port</t>
  </si>
  <si>
    <t>Penetrator drilling and flat</t>
  </si>
  <si>
    <t>Note: The summary of this comparison is that 1. An extra battery pack is less expensive than the extra two ship days needed to recover and redeploy a single battery pack. In addition this provides a ready spare in case of failure of the primary pack. 2. The difference between the cost of Lithium and Alkaline batteries is offset by the cost for extra Alkaline housing hardware. This difference will actually be even less if the battery pack manifold connections are included.</t>
  </si>
  <si>
    <t>Difference</t>
  </si>
  <si>
    <t>Capital</t>
  </si>
  <si>
    <t>Option A - Full spares of batteries and BIN (except ADCP's) from deployment. Separate BIN frame and battery frame. No spare batteries after last swap.</t>
  </si>
  <si>
    <t>Option D - Spares of batteries and BIN moved to year 2. Combined BIN frame and battery frame. No spare batteries after last swap.</t>
  </si>
  <si>
    <t>Option B - Spares of batteries and BIN moved to year 2. Separate BIN frame and battery frame. No spare batteries after last swap.</t>
  </si>
  <si>
    <t>Option C - Full spares of batteries and BIN (except ADCP's) from deployment. Combined BIN frame and battery frame. No spare batteries after last swap.</t>
  </si>
  <si>
    <t>Battery Powered Instrument Options, single BIN, 18 month deployment w/six month battery swap</t>
  </si>
  <si>
    <t>Option A</t>
  </si>
  <si>
    <t>Option B</t>
  </si>
  <si>
    <t>Option C</t>
  </si>
  <si>
    <t>Option D</t>
  </si>
  <si>
    <t>Ship Days</t>
  </si>
  <si>
    <t>Year 1 - Build and Deployment</t>
  </si>
  <si>
    <t>Year 2 - Maintenance</t>
  </si>
  <si>
    <t>Year 1 subtotal</t>
  </si>
  <si>
    <t>Year 2 subtotal</t>
  </si>
  <si>
    <t>Separate BIN and Battery frames with interconnect cable</t>
  </si>
  <si>
    <t>Year 3 subtotal</t>
  </si>
  <si>
    <t>Year 2 - Decommissioning</t>
  </si>
  <si>
    <t>Option E</t>
  </si>
  <si>
    <t>Option E - No spares of batteries and BIN. Combined BIN frame and battery frame.</t>
  </si>
  <si>
    <t>Monterey Upper Canyon Experiment BIN Cost Summary</t>
  </si>
  <si>
    <t>Notes:</t>
  </si>
  <si>
    <t>1. Advantage of having spares in reducing shiptime, providing nearly continous sampling coverage and increasing reliability appears to out weigh small cost savings. Compare option D &amp; E.</t>
  </si>
  <si>
    <t>2. Cost of battery disposal is included in battery pack cost. Expect some minor carry-over into year 3 for decommissioning.</t>
  </si>
  <si>
    <t>4. There is a significant cost (and risk) saving by combining the BIN and battery functions into one frame. Compare option A with option C.</t>
  </si>
  <si>
    <t>5. Costing is assuming primary lithium batteries in an approximately 60kWh capacity in 7 Benthos glass spheres. Detailed battery cost comparison is on MuceBatteryPower worksheet.</t>
  </si>
  <si>
    <t>Combined BIN and Battery frame (one of these options recommended)</t>
  </si>
  <si>
    <t>Total 3 Year Cost</t>
  </si>
  <si>
    <t>Total Comparative Annual cost - 6 month service interval INCLUDING SHIP TIME</t>
  </si>
  <si>
    <t>3. Calculation margins include 20% power margin on battery capacity. Sales tax and shipping are included in costs. There is no cost margin.</t>
  </si>
  <si>
    <t>6. These are not final design numbers. If we can reduce the energy requirements to 6 spheres then there is a 10% overall cost savings.</t>
  </si>
  <si>
    <t>Revisions:</t>
  </si>
  <si>
    <t>19JUL13 - rev. 4.5 - Added galvanizing cost ($750 ea.) to battery frame material cost. Mrc.</t>
  </si>
  <si>
    <t>Battery and housing weight</t>
  </si>
  <si>
    <t>frame weight</t>
  </si>
  <si>
    <t>BIN weight</t>
  </si>
  <si>
    <t>Watts</t>
  </si>
  <si>
    <t>Estimated weight in Lbs.</t>
  </si>
  <si>
    <t>Total weight in air @ 35.5 kg each</t>
  </si>
  <si>
    <t>Total weight in water @ 22 kg each</t>
  </si>
  <si>
    <t>see note 2</t>
  </si>
  <si>
    <t>Presentation Material</t>
  </si>
  <si>
    <t>Number of Battery Spheres Necessary</t>
  </si>
  <si>
    <t>Estimated Total Deployment Weight (lbs.)</t>
  </si>
  <si>
    <t>Workhorse ADCP Power Levels in Wh (each of 3 units)</t>
  </si>
  <si>
    <t>Total System Battery Cost (3 X 6 months)</t>
  </si>
  <si>
    <t>Air</t>
  </si>
  <si>
    <t>Water</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</si>
</sst>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quot;$&quot;#,##0.00"/>
    <numFmt numFmtId="165" formatCode="0.0000"/>
    <numFmt numFmtId="166" formatCode="0.0"/>
    <numFmt numFmtId="167" formatCode="&quot;$&quot;#,##0"/>
    <numFmt numFmtId="168" formatCode="0.00000"/>
    <numFmt numFmtId="169" formatCode="0.0000000"/>
  </numFmts>
  <fonts count="12" x14ac:knownFonts="1">
    <font>
      <sz val="10"/>
      <name val="Arial"/>
    </font>
    <font>
      <sz val="8"/>
      <name val="Arial"/>
      <family val="2"/>
    </font>
    <font>
      <b/>
      <sz val="10"/>
      <name val="Arial"/>
      <family val="2"/>
    </font>
    <font>
      <sz val="10"/>
      <name val="Arial"/>
      <family val="2"/>
    </font>
    <font>
      <b/>
      <sz val="12"/>
      <name val="Arial"/>
      <family val="2"/>
    </font>
    <font>
      <sz val="12"/>
      <name val="Arial"/>
      <family val="2"/>
    </font>
    <font>
      <b/>
      <sz val="14"/>
      <name val="Arial"/>
      <family val="2"/>
    </font>
    <font>
      <sz val="8"/>
      <name val="Arial"/>
      <family val="2"/>
    </font>
    <font>
      <sz val="9"/>
      <color indexed="81"/>
      <name val="Tahoma"/>
      <family val="2"/>
    </font>
    <font>
      <b/>
      <sz val="9"/>
      <color indexed="81"/>
      <name val="Tahoma"/>
      <family val="2"/>
    </font>
    <font>
      <sz val="16"/>
      <name val="Arial"/>
      <family val="2"/>
    </font>
    <font>
      <sz val="11"/>
      <name val="Arial"/>
      <family val="2"/>
    </font>
  </fonts>
  <fills count="10">
    <fill>
      <patternFill patternType="none"/>
    </fill>
    <fill>
      <patternFill patternType="gray125"/>
    </fill>
    <fill>
      <patternFill patternType="solid">
        <fgColor indexed="43"/>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52">
    <border>
      <left/>
      <right/>
      <top/>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right style="thin">
        <color indexed="64"/>
      </right>
      <top style="thin">
        <color indexed="64"/>
      </top>
      <bottom/>
      <diagonal style="thin">
        <color indexed="64"/>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269">
    <xf numFmtId="0" fontId="0" fillId="0" borderId="0" xfId="0"/>
    <xf numFmtId="165" fontId="1" fillId="0" borderId="1" xfId="0" applyNumberFormat="1" applyFont="1" applyBorder="1" applyAlignment="1">
      <alignment horizontal="center" vertical="center" wrapText="1"/>
    </xf>
    <xf numFmtId="165" fontId="1" fillId="0" borderId="2" xfId="0" applyNumberFormat="1" applyFont="1" applyBorder="1" applyAlignment="1">
      <alignment horizontal="center" vertical="center" textRotation="45" wrapText="1"/>
    </xf>
    <xf numFmtId="3" fontId="1" fillId="0" borderId="2" xfId="0" applyNumberFormat="1" applyFont="1" applyBorder="1" applyAlignment="1">
      <alignment horizontal="center" vertical="center" textRotation="45" wrapText="1"/>
    </xf>
    <xf numFmtId="165" fontId="1" fillId="0" borderId="3" xfId="0" applyNumberFormat="1" applyFont="1" applyBorder="1" applyAlignment="1">
      <alignment horizontal="center" vertical="center" textRotation="45" wrapText="1"/>
    </xf>
    <xf numFmtId="1" fontId="1" fillId="0" borderId="4" xfId="0" applyNumberFormat="1" applyFont="1" applyBorder="1" applyAlignment="1">
      <alignment horizontal="center" vertical="center" textRotation="45" wrapText="1"/>
    </xf>
    <xf numFmtId="1" fontId="1" fillId="0" borderId="5" xfId="0" applyNumberFormat="1" applyFont="1" applyBorder="1" applyAlignment="1">
      <alignment horizontal="center" vertical="center" textRotation="45" wrapText="1"/>
    </xf>
    <xf numFmtId="165" fontId="1" fillId="0" borderId="5" xfId="0" applyNumberFormat="1" applyFont="1" applyBorder="1" applyAlignment="1">
      <alignment horizontal="center" vertical="center" textRotation="45" wrapText="1"/>
    </xf>
    <xf numFmtId="165" fontId="1" fillId="0" borderId="6" xfId="0" applyNumberFormat="1" applyFont="1" applyBorder="1" applyAlignment="1">
      <alignment horizontal="center" vertical="center" textRotation="45" wrapText="1"/>
    </xf>
    <xf numFmtId="165" fontId="1" fillId="0" borderId="7" xfId="0" applyNumberFormat="1" applyFont="1" applyBorder="1" applyAlignment="1">
      <alignment horizontal="center" vertical="center" textRotation="45" wrapText="1"/>
    </xf>
    <xf numFmtId="165" fontId="0" fillId="0" borderId="0" xfId="0" applyNumberFormat="1" applyAlignment="1">
      <alignment wrapText="1"/>
    </xf>
    <xf numFmtId="165" fontId="0" fillId="0" borderId="0" xfId="0" applyNumberFormat="1" applyAlignment="1">
      <alignment horizontal="center" wrapText="1"/>
    </xf>
    <xf numFmtId="3" fontId="0" fillId="0" borderId="0" xfId="0" applyNumberFormat="1" applyAlignment="1">
      <alignment horizontal="center" wrapText="1"/>
    </xf>
    <xf numFmtId="1" fontId="0" fillId="0" borderId="8" xfId="0" applyNumberFormat="1" applyBorder="1" applyAlignment="1">
      <alignment wrapText="1"/>
    </xf>
    <xf numFmtId="1" fontId="0" fillId="0" borderId="0" xfId="0" applyNumberFormat="1" applyBorder="1" applyAlignment="1">
      <alignment wrapText="1"/>
    </xf>
    <xf numFmtId="165" fontId="0" fillId="0" borderId="0" xfId="0" applyNumberFormat="1" applyBorder="1" applyAlignment="1">
      <alignment wrapText="1"/>
    </xf>
    <xf numFmtId="165" fontId="0" fillId="0" borderId="9" xfId="0" applyNumberFormat="1" applyBorder="1" applyAlignment="1">
      <alignment wrapText="1"/>
    </xf>
    <xf numFmtId="166" fontId="0" fillId="0" borderId="0" xfId="0" applyNumberFormat="1" applyBorder="1" applyAlignment="1">
      <alignment wrapText="1"/>
    </xf>
    <xf numFmtId="3" fontId="0" fillId="0" borderId="0" xfId="0" applyNumberFormat="1" applyAlignment="1">
      <alignment wrapText="1"/>
    </xf>
    <xf numFmtId="167" fontId="0" fillId="0" borderId="0" xfId="0" applyNumberFormat="1" applyBorder="1" applyAlignment="1">
      <alignment wrapText="1"/>
    </xf>
    <xf numFmtId="167" fontId="2" fillId="0" borderId="0" xfId="0" applyNumberFormat="1" applyFont="1" applyBorder="1" applyAlignment="1">
      <alignment wrapText="1"/>
    </xf>
    <xf numFmtId="167" fontId="2" fillId="0" borderId="9" xfId="0" applyNumberFormat="1" applyFont="1" applyBorder="1" applyAlignment="1">
      <alignment wrapText="1"/>
    </xf>
    <xf numFmtId="165" fontId="0" fillId="0" borderId="0" xfId="0" quotePrefix="1" applyNumberFormat="1" applyAlignment="1">
      <alignment wrapText="1"/>
    </xf>
    <xf numFmtId="165" fontId="0" fillId="0" borderId="10" xfId="0" applyNumberFormat="1" applyBorder="1" applyAlignment="1">
      <alignment wrapText="1"/>
    </xf>
    <xf numFmtId="167" fontId="2" fillId="0" borderId="12" xfId="0" applyNumberFormat="1" applyFont="1" applyBorder="1" applyAlignment="1">
      <alignment wrapText="1"/>
    </xf>
    <xf numFmtId="167" fontId="0" fillId="0" borderId="9" xfId="0" applyNumberFormat="1" applyBorder="1" applyAlignment="1">
      <alignment wrapText="1"/>
    </xf>
    <xf numFmtId="165" fontId="2" fillId="0" borderId="12" xfId="0" applyNumberFormat="1" applyFont="1" applyBorder="1" applyAlignment="1">
      <alignment wrapText="1"/>
    </xf>
    <xf numFmtId="1" fontId="0" fillId="0" borderId="13" xfId="0" applyNumberFormat="1" applyBorder="1" applyAlignment="1">
      <alignment wrapText="1"/>
    </xf>
    <xf numFmtId="1" fontId="0" fillId="0" borderId="10" xfId="0" applyNumberFormat="1" applyBorder="1" applyAlignment="1">
      <alignment wrapText="1"/>
    </xf>
    <xf numFmtId="167" fontId="0" fillId="0" borderId="10" xfId="0" applyNumberFormat="1" applyBorder="1" applyAlignment="1">
      <alignment wrapText="1"/>
    </xf>
    <xf numFmtId="166" fontId="0" fillId="0" borderId="10" xfId="0" applyNumberFormat="1" applyBorder="1" applyAlignment="1">
      <alignment wrapText="1"/>
    </xf>
    <xf numFmtId="1" fontId="0" fillId="0" borderId="4" xfId="0" applyNumberFormat="1" applyBorder="1" applyAlignment="1">
      <alignment wrapText="1"/>
    </xf>
    <xf numFmtId="1" fontId="0" fillId="0" borderId="5" xfId="0" applyNumberFormat="1" applyBorder="1" applyAlignment="1">
      <alignment wrapText="1"/>
    </xf>
    <xf numFmtId="165" fontId="0" fillId="0" borderId="5" xfId="0" applyNumberFormat="1" applyBorder="1" applyAlignment="1">
      <alignment wrapText="1"/>
    </xf>
    <xf numFmtId="165" fontId="0" fillId="0" borderId="6" xfId="0" applyNumberFormat="1" applyBorder="1" applyAlignment="1">
      <alignment wrapText="1"/>
    </xf>
    <xf numFmtId="166" fontId="0" fillId="0" borderId="5" xfId="0" applyNumberFormat="1" applyBorder="1" applyAlignment="1">
      <alignment wrapText="1"/>
    </xf>
    <xf numFmtId="165" fontId="2" fillId="0" borderId="10" xfId="0" applyNumberFormat="1" applyFont="1" applyBorder="1" applyAlignment="1">
      <alignment wrapText="1"/>
    </xf>
    <xf numFmtId="167" fontId="0" fillId="0" borderId="0" xfId="0" applyNumberFormat="1" applyAlignment="1">
      <alignment horizontal="center" wrapText="1"/>
    </xf>
    <xf numFmtId="165" fontId="2" fillId="0" borderId="0" xfId="0" applyNumberFormat="1" applyFont="1" applyBorder="1" applyAlignment="1">
      <alignment wrapText="1"/>
    </xf>
    <xf numFmtId="1" fontId="0" fillId="0" borderId="0" xfId="0" applyNumberFormat="1" applyAlignment="1">
      <alignment wrapText="1"/>
    </xf>
    <xf numFmtId="1" fontId="0" fillId="0" borderId="0" xfId="0" applyNumberFormat="1" applyAlignment="1">
      <alignment horizontal="center" wrapText="1"/>
    </xf>
    <xf numFmtId="0" fontId="0" fillId="0" borderId="10" xfId="0" applyBorder="1"/>
    <xf numFmtId="167" fontId="0" fillId="0" borderId="0" xfId="0" applyNumberFormat="1"/>
    <xf numFmtId="0" fontId="0" fillId="0" borderId="0" xfId="0" applyAlignment="1">
      <alignment wrapText="1"/>
    </xf>
    <xf numFmtId="164" fontId="0" fillId="0" borderId="0" xfId="0" applyNumberFormat="1" applyAlignment="1">
      <alignment horizontal="center" wrapText="1"/>
    </xf>
    <xf numFmtId="3" fontId="0" fillId="0" borderId="10" xfId="0" applyNumberFormat="1" applyBorder="1" applyAlignment="1">
      <alignment wrapText="1"/>
    </xf>
    <xf numFmtId="3" fontId="0" fillId="0" borderId="0" xfId="0" applyNumberFormat="1" applyBorder="1" applyAlignment="1">
      <alignment wrapText="1"/>
    </xf>
    <xf numFmtId="0" fontId="0" fillId="0" borderId="12" xfId="0" applyBorder="1"/>
    <xf numFmtId="165" fontId="3" fillId="0" borderId="0" xfId="0" applyNumberFormat="1" applyFont="1" applyBorder="1" applyAlignment="1">
      <alignment wrapText="1"/>
    </xf>
    <xf numFmtId="165" fontId="3" fillId="0" borderId="0" xfId="0" applyNumberFormat="1" applyFont="1" applyAlignment="1">
      <alignment wrapText="1"/>
    </xf>
    <xf numFmtId="0" fontId="6" fillId="0" borderId="0" xfId="0" applyFont="1"/>
    <xf numFmtId="167" fontId="0" fillId="0" borderId="0" xfId="0" applyNumberFormat="1" applyBorder="1"/>
    <xf numFmtId="167" fontId="2" fillId="2" borderId="12" xfId="0" applyNumberFormat="1" applyFont="1" applyFill="1" applyBorder="1"/>
    <xf numFmtId="0" fontId="2" fillId="0" borderId="16" xfId="0" applyFont="1" applyBorder="1" applyAlignment="1">
      <alignment horizontal="right"/>
    </xf>
    <xf numFmtId="167" fontId="0" fillId="2" borderId="17" xfId="0" applyNumberFormat="1" applyFill="1" applyBorder="1" applyAlignment="1">
      <alignment horizontal="center" wrapText="1"/>
    </xf>
    <xf numFmtId="168" fontId="0" fillId="0" borderId="0" xfId="0" applyNumberFormat="1" applyAlignment="1">
      <alignment horizontal="center" wrapText="1"/>
    </xf>
    <xf numFmtId="165" fontId="1" fillId="0" borderId="0" xfId="0" applyNumberFormat="1" applyFont="1" applyBorder="1" applyAlignment="1">
      <alignment horizontal="center" vertical="center" textRotation="45" wrapText="1"/>
    </xf>
    <xf numFmtId="166" fontId="1" fillId="0" borderId="5" xfId="0" applyNumberFormat="1" applyFont="1" applyBorder="1" applyAlignment="1">
      <alignment horizontal="center" vertical="center" textRotation="45" wrapText="1"/>
    </xf>
    <xf numFmtId="1" fontId="0" fillId="0" borderId="0" xfId="0" applyNumberFormat="1" applyBorder="1" applyAlignment="1">
      <alignment horizontal="center" wrapText="1"/>
    </xf>
    <xf numFmtId="167" fontId="0" fillId="0" borderId="0" xfId="0" applyNumberFormat="1" applyFill="1" applyBorder="1"/>
    <xf numFmtId="0" fontId="0" fillId="0" borderId="0" xfId="0" applyAlignment="1">
      <alignment horizontal="left"/>
    </xf>
    <xf numFmtId="0" fontId="0" fillId="0" borderId="19" xfId="0" applyBorder="1"/>
    <xf numFmtId="0" fontId="2" fillId="0" borderId="19" xfId="0" applyFont="1" applyBorder="1"/>
    <xf numFmtId="167" fontId="0" fillId="0" borderId="8" xfId="0" applyNumberFormat="1" applyBorder="1"/>
    <xf numFmtId="0" fontId="0" fillId="0" borderId="9" xfId="0" applyBorder="1"/>
    <xf numFmtId="0" fontId="0" fillId="0" borderId="11" xfId="0" applyBorder="1"/>
    <xf numFmtId="167" fontId="2" fillId="0" borderId="10" xfId="0" applyNumberFormat="1" applyFont="1" applyBorder="1"/>
    <xf numFmtId="167" fontId="0" fillId="0" borderId="8" xfId="0" applyNumberFormat="1" applyFill="1" applyBorder="1"/>
    <xf numFmtId="0" fontId="2" fillId="0" borderId="21" xfId="0" applyFont="1" applyBorder="1"/>
    <xf numFmtId="0" fontId="0" fillId="0" borderId="8" xfId="0" applyBorder="1"/>
    <xf numFmtId="0" fontId="3" fillId="0" borderId="8" xfId="0" applyFont="1" applyBorder="1"/>
    <xf numFmtId="165" fontId="0" fillId="0" borderId="0" xfId="0" applyNumberFormat="1" applyAlignment="1">
      <alignment wrapText="1"/>
    </xf>
    <xf numFmtId="165" fontId="0" fillId="0" borderId="0" xfId="0" applyNumberFormat="1" applyAlignment="1">
      <alignment horizontal="left" wrapText="1"/>
    </xf>
    <xf numFmtId="0" fontId="7" fillId="0" borderId="0" xfId="0" applyFont="1" applyBorder="1" applyAlignment="1">
      <alignment horizontal="center" vertical="center"/>
    </xf>
    <xf numFmtId="3" fontId="0" fillId="0" borderId="0" xfId="0" applyNumberFormat="1" applyAlignment="1">
      <alignment horizontal="left" wrapText="1"/>
    </xf>
    <xf numFmtId="0" fontId="7" fillId="0" borderId="0" xfId="0" applyFont="1" applyBorder="1" applyAlignment="1">
      <alignment horizontal="left" vertical="center"/>
    </xf>
    <xf numFmtId="1" fontId="0" fillId="0" borderId="0" xfId="0" applyNumberFormat="1" applyAlignment="1">
      <alignment horizontal="left" wrapText="1"/>
    </xf>
    <xf numFmtId="2" fontId="0" fillId="0" borderId="17" xfId="0" applyNumberFormat="1" applyBorder="1" applyAlignment="1">
      <alignment horizontal="left" vertical="center"/>
    </xf>
    <xf numFmtId="2" fontId="0" fillId="0" borderId="38" xfId="0" applyNumberFormat="1" applyBorder="1" applyAlignment="1">
      <alignment horizontal="left" vertical="center"/>
    </xf>
    <xf numFmtId="165" fontId="0" fillId="0" borderId="0" xfId="0" applyNumberFormat="1" applyBorder="1" applyAlignment="1">
      <alignment horizontal="left" wrapText="1"/>
    </xf>
    <xf numFmtId="0" fontId="2" fillId="0" borderId="0" xfId="0" applyFont="1" applyBorder="1" applyAlignment="1">
      <alignment horizontal="left" vertical="center"/>
    </xf>
    <xf numFmtId="2" fontId="0" fillId="0" borderId="0" xfId="0" applyNumberFormat="1" applyBorder="1" applyAlignment="1">
      <alignment horizontal="left" vertical="center"/>
    </xf>
    <xf numFmtId="0" fontId="2" fillId="0" borderId="34" xfId="0" applyFont="1" applyBorder="1" applyAlignment="1">
      <alignment horizontal="left" vertical="center"/>
    </xf>
    <xf numFmtId="0" fontId="2" fillId="0" borderId="39" xfId="0" applyFont="1" applyBorder="1" applyAlignment="1">
      <alignment horizontal="left" vertical="center"/>
    </xf>
    <xf numFmtId="2" fontId="0" fillId="0" borderId="40" xfId="0" applyNumberFormat="1" applyBorder="1" applyAlignment="1">
      <alignment horizontal="left" vertical="center"/>
    </xf>
    <xf numFmtId="0" fontId="2" fillId="0" borderId="33" xfId="0" applyFont="1" applyBorder="1" applyAlignment="1">
      <alignment horizontal="left" vertical="center"/>
    </xf>
    <xf numFmtId="1" fontId="0" fillId="0" borderId="43" xfId="0" applyNumberFormat="1" applyBorder="1" applyAlignment="1">
      <alignment horizontal="left" vertical="center"/>
    </xf>
    <xf numFmtId="1" fontId="0" fillId="0" borderId="44" xfId="0" applyNumberFormat="1" applyBorder="1" applyAlignment="1">
      <alignment horizontal="left" vertical="center"/>
    </xf>
    <xf numFmtId="165" fontId="3" fillId="0" borderId="20" xfId="0" applyNumberFormat="1" applyFont="1" applyBorder="1" applyAlignment="1">
      <alignment wrapText="1"/>
    </xf>
    <xf numFmtId="165" fontId="0" fillId="0" borderId="22" xfId="0" applyNumberFormat="1" applyBorder="1" applyAlignment="1">
      <alignment wrapText="1"/>
    </xf>
    <xf numFmtId="165" fontId="0" fillId="0" borderId="24" xfId="0" applyNumberFormat="1" applyBorder="1" applyAlignment="1">
      <alignment wrapText="1"/>
    </xf>
    <xf numFmtId="165" fontId="3" fillId="0" borderId="29" xfId="0" applyNumberFormat="1" applyFont="1" applyBorder="1" applyAlignment="1">
      <alignment wrapText="1"/>
    </xf>
    <xf numFmtId="165" fontId="2" fillId="0" borderId="29" xfId="0" applyNumberFormat="1" applyFont="1" applyBorder="1" applyAlignment="1">
      <alignment wrapText="1"/>
    </xf>
    <xf numFmtId="165" fontId="2" fillId="0" borderId="30" xfId="0" applyNumberFormat="1" applyFont="1" applyBorder="1" applyAlignment="1">
      <alignment wrapText="1"/>
    </xf>
    <xf numFmtId="169" fontId="0" fillId="0" borderId="20" xfId="0" applyNumberFormat="1" applyBorder="1" applyAlignment="1">
      <alignment wrapText="1"/>
    </xf>
    <xf numFmtId="169" fontId="0" fillId="0" borderId="23" xfId="0" applyNumberFormat="1" applyBorder="1" applyAlignment="1">
      <alignment wrapText="1"/>
    </xf>
    <xf numFmtId="1" fontId="7" fillId="0" borderId="5" xfId="0" applyNumberFormat="1" applyFont="1" applyBorder="1" applyAlignment="1">
      <alignment horizontal="center" vertical="center" textRotation="45" wrapText="1"/>
    </xf>
    <xf numFmtId="165" fontId="7" fillId="0" borderId="5" xfId="0" applyNumberFormat="1" applyFont="1" applyBorder="1" applyAlignment="1">
      <alignment horizontal="center" vertical="center" textRotation="45" wrapText="1"/>
    </xf>
    <xf numFmtId="165" fontId="0" fillId="0" borderId="8" xfId="0" applyNumberFormat="1" applyBorder="1" applyAlignment="1">
      <alignment wrapText="1"/>
    </xf>
    <xf numFmtId="1" fontId="0" fillId="0" borderId="5" xfId="0" applyNumberFormat="1" applyBorder="1" applyAlignment="1">
      <alignment horizontal="center" wrapText="1"/>
    </xf>
    <xf numFmtId="165" fontId="2" fillId="5" borderId="0" xfId="0" applyNumberFormat="1" applyFont="1" applyFill="1" applyAlignment="1">
      <alignment wrapText="1"/>
    </xf>
    <xf numFmtId="1" fontId="0" fillId="6" borderId="42" xfId="0" applyNumberFormat="1" applyFill="1" applyBorder="1" applyAlignment="1">
      <alignment horizontal="left" vertical="center"/>
    </xf>
    <xf numFmtId="1" fontId="0" fillId="6" borderId="43" xfId="0" applyNumberFormat="1" applyFill="1" applyBorder="1" applyAlignment="1">
      <alignment horizontal="left" vertical="center"/>
    </xf>
    <xf numFmtId="1" fontId="7" fillId="0" borderId="4" xfId="0" applyNumberFormat="1" applyFont="1" applyBorder="1" applyAlignment="1">
      <alignment horizontal="center" vertical="center" textRotation="45" wrapText="1"/>
    </xf>
    <xf numFmtId="169" fontId="0" fillId="6" borderId="20" xfId="0" applyNumberFormat="1" applyFill="1" applyBorder="1" applyAlignment="1">
      <alignment wrapText="1"/>
    </xf>
    <xf numFmtId="165" fontId="0" fillId="6" borderId="22" xfId="0" applyNumberFormat="1" applyFill="1" applyBorder="1" applyAlignment="1">
      <alignment wrapText="1"/>
    </xf>
    <xf numFmtId="169" fontId="0" fillId="6" borderId="27" xfId="0" applyNumberFormat="1" applyFill="1" applyBorder="1" applyAlignment="1">
      <alignment wrapText="1"/>
    </xf>
    <xf numFmtId="165" fontId="0" fillId="6" borderId="28" xfId="0" applyNumberFormat="1" applyFill="1" applyBorder="1" applyAlignment="1">
      <alignment wrapText="1"/>
    </xf>
    <xf numFmtId="10" fontId="0" fillId="2" borderId="17" xfId="0" applyNumberFormat="1" applyFill="1" applyBorder="1" applyAlignment="1">
      <alignment horizontal="center" wrapText="1"/>
    </xf>
    <xf numFmtId="165" fontId="2" fillId="0" borderId="0" xfId="0" applyNumberFormat="1" applyFont="1" applyFill="1" applyAlignment="1">
      <alignment wrapText="1"/>
    </xf>
    <xf numFmtId="165" fontId="0" fillId="0" borderId="0" xfId="0" applyNumberFormat="1" applyFill="1" applyAlignment="1">
      <alignment horizontal="center" wrapText="1"/>
    </xf>
    <xf numFmtId="165" fontId="0" fillId="0" borderId="0" xfId="0" applyNumberFormat="1" applyFill="1" applyAlignment="1">
      <alignment wrapText="1"/>
    </xf>
    <xf numFmtId="165" fontId="3" fillId="0" borderId="0" xfId="0" applyNumberFormat="1" applyFont="1" applyAlignment="1"/>
    <xf numFmtId="0" fontId="0" fillId="0" borderId="0" xfId="0" applyAlignment="1"/>
    <xf numFmtId="165" fontId="2" fillId="0" borderId="0" xfId="0" applyNumberFormat="1" applyFont="1" applyAlignment="1"/>
    <xf numFmtId="1" fontId="3" fillId="0" borderId="0" xfId="0" applyNumberFormat="1" applyFont="1" applyAlignment="1">
      <alignment wrapText="1"/>
    </xf>
    <xf numFmtId="164" fontId="2" fillId="0" borderId="9" xfId="0" applyNumberFormat="1" applyFont="1" applyBorder="1" applyAlignment="1">
      <alignment wrapText="1"/>
    </xf>
    <xf numFmtId="167" fontId="2" fillId="0" borderId="11" xfId="0" applyNumberFormat="1" applyFont="1" applyBorder="1" applyAlignment="1">
      <alignment wrapText="1"/>
    </xf>
    <xf numFmtId="1" fontId="10" fillId="0" borderId="0" xfId="0" applyNumberFormat="1" applyFont="1" applyBorder="1" applyAlignment="1"/>
    <xf numFmtId="1" fontId="10" fillId="0" borderId="8" xfId="0" applyNumberFormat="1" applyFont="1" applyBorder="1" applyAlignment="1"/>
    <xf numFmtId="164" fontId="2" fillId="0" borderId="6" xfId="0" applyNumberFormat="1" applyFont="1" applyBorder="1" applyAlignment="1">
      <alignment wrapText="1"/>
    </xf>
    <xf numFmtId="167" fontId="2" fillId="0" borderId="12" xfId="0" applyNumberFormat="1" applyFont="1" applyBorder="1" applyAlignment="1"/>
    <xf numFmtId="167" fontId="2" fillId="0" borderId="6" xfId="0" applyNumberFormat="1" applyFont="1" applyBorder="1" applyAlignment="1"/>
    <xf numFmtId="167" fontId="2" fillId="0" borderId="9" xfId="0" applyNumberFormat="1" applyFont="1" applyBorder="1" applyAlignment="1"/>
    <xf numFmtId="167" fontId="2" fillId="0" borderId="11" xfId="0" applyNumberFormat="1" applyFont="1" applyBorder="1" applyAlignment="1"/>
    <xf numFmtId="2" fontId="0" fillId="0" borderId="35" xfId="0" applyNumberFormat="1" applyBorder="1" applyAlignment="1">
      <alignment horizontal="left" vertical="center"/>
    </xf>
    <xf numFmtId="2" fontId="0" fillId="0" borderId="36" xfId="0" applyNumberFormat="1" applyBorder="1" applyAlignment="1">
      <alignment horizontal="left" vertical="center"/>
    </xf>
    <xf numFmtId="2" fontId="0" fillId="0" borderId="37" xfId="0" applyNumberFormat="1" applyBorder="1" applyAlignment="1">
      <alignment horizontal="left" vertical="center"/>
    </xf>
    <xf numFmtId="0" fontId="3" fillId="0" borderId="0" xfId="0" applyFont="1"/>
    <xf numFmtId="0" fontId="3" fillId="0" borderId="0" xfId="0" applyFont="1" applyAlignment="1">
      <alignment horizontal="right"/>
    </xf>
    <xf numFmtId="0" fontId="3" fillId="0" borderId="10" xfId="0" applyFont="1" applyBorder="1" applyAlignment="1">
      <alignment horizontal="right"/>
    </xf>
    <xf numFmtId="0" fontId="3" fillId="0" borderId="0" xfId="0" applyFont="1" applyBorder="1" applyAlignment="1">
      <alignment horizontal="right"/>
    </xf>
    <xf numFmtId="0" fontId="0" fillId="0" borderId="45" xfId="0" applyBorder="1"/>
    <xf numFmtId="0" fontId="2" fillId="5" borderId="14" xfId="0" applyFont="1" applyFill="1" applyBorder="1"/>
    <xf numFmtId="0" fontId="0" fillId="5" borderId="15" xfId="0" applyFill="1" applyBorder="1"/>
    <xf numFmtId="0" fontId="2" fillId="5" borderId="15" xfId="0" applyFont="1" applyFill="1" applyBorder="1"/>
    <xf numFmtId="0" fontId="0" fillId="5" borderId="18" xfId="0" applyFill="1" applyBorder="1"/>
    <xf numFmtId="0" fontId="0" fillId="0" borderId="14" xfId="0" applyBorder="1"/>
    <xf numFmtId="0" fontId="2" fillId="7" borderId="12" xfId="0" applyFont="1" applyFill="1" applyBorder="1"/>
    <xf numFmtId="0" fontId="2" fillId="0" borderId="13" xfId="0" applyFont="1" applyBorder="1"/>
    <xf numFmtId="0" fontId="0" fillId="0" borderId="4" xfId="0" applyBorder="1"/>
    <xf numFmtId="0" fontId="3" fillId="0" borderId="8" xfId="0" applyFont="1" applyBorder="1" applyAlignment="1">
      <alignment horizontal="right"/>
    </xf>
    <xf numFmtId="0" fontId="3" fillId="0" borderId="46" xfId="0" applyFont="1" applyBorder="1" applyAlignment="1">
      <alignment horizontal="right"/>
    </xf>
    <xf numFmtId="0" fontId="3" fillId="0" borderId="13" xfId="0" applyFont="1" applyBorder="1" applyAlignment="1">
      <alignment horizontal="right"/>
    </xf>
    <xf numFmtId="167" fontId="0" fillId="0" borderId="0" xfId="0" applyNumberFormat="1" applyBorder="1" applyAlignment="1">
      <alignment horizontal="center" wrapText="1"/>
    </xf>
    <xf numFmtId="165" fontId="0" fillId="0" borderId="0" xfId="0" applyNumberFormat="1" applyFill="1" applyBorder="1" applyAlignment="1">
      <alignment wrapText="1"/>
    </xf>
    <xf numFmtId="167" fontId="0" fillId="0" borderId="0" xfId="0" applyNumberFormat="1" applyFill="1" applyBorder="1" applyAlignment="1">
      <alignment wrapText="1"/>
    </xf>
    <xf numFmtId="167" fontId="0" fillId="0" borderId="0" xfId="0" applyNumberFormat="1" applyFill="1" applyBorder="1" applyAlignment="1">
      <alignment horizontal="center" wrapText="1"/>
    </xf>
    <xf numFmtId="1" fontId="0" fillId="0" borderId="0" xfId="0" applyNumberFormat="1" applyFill="1" applyBorder="1" applyAlignment="1">
      <alignment wrapText="1"/>
    </xf>
    <xf numFmtId="167" fontId="2" fillId="0" borderId="0" xfId="0" applyNumberFormat="1" applyFont="1" applyFill="1" applyBorder="1" applyAlignment="1">
      <alignment wrapText="1"/>
    </xf>
    <xf numFmtId="167" fontId="2" fillId="0" borderId="0" xfId="0" applyNumberFormat="1" applyFont="1" applyFill="1" applyBorder="1" applyAlignment="1">
      <alignment horizontal="center" wrapText="1"/>
    </xf>
    <xf numFmtId="1" fontId="0" fillId="0" borderId="0" xfId="0" applyNumberFormat="1" applyFill="1" applyBorder="1" applyAlignment="1">
      <alignment horizontal="center" wrapText="1"/>
    </xf>
    <xf numFmtId="166" fontId="0" fillId="0" borderId="0" xfId="0" applyNumberFormat="1" applyFill="1" applyBorder="1" applyAlignment="1">
      <alignment wrapText="1"/>
    </xf>
    <xf numFmtId="165" fontId="0" fillId="0" borderId="0" xfId="0" applyNumberFormat="1" applyBorder="1" applyAlignment="1"/>
    <xf numFmtId="3" fontId="2" fillId="0" borderId="12" xfId="0" applyNumberFormat="1" applyFont="1" applyBorder="1" applyAlignment="1">
      <alignment wrapText="1"/>
    </xf>
    <xf numFmtId="0" fontId="2" fillId="4" borderId="4" xfId="0" applyFont="1" applyFill="1" applyBorder="1" applyAlignment="1">
      <alignment horizontal="left"/>
    </xf>
    <xf numFmtId="0" fontId="3" fillId="4" borderId="33" xfId="0" applyFont="1" applyFill="1" applyBorder="1" applyAlignment="1">
      <alignment horizontal="left" vertical="center" wrapText="1"/>
    </xf>
    <xf numFmtId="9" fontId="0" fillId="4" borderId="29" xfId="0" applyNumberFormat="1" applyFill="1" applyBorder="1" applyAlignment="1">
      <alignment horizontal="left" vertical="center"/>
    </xf>
    <xf numFmtId="9" fontId="0" fillId="4" borderId="30" xfId="0" applyNumberFormat="1" applyFill="1" applyBorder="1" applyAlignment="1">
      <alignment horizontal="left" vertical="center"/>
    </xf>
    <xf numFmtId="9" fontId="0" fillId="4" borderId="41" xfId="0" applyNumberFormat="1" applyFill="1" applyBorder="1" applyAlignment="1">
      <alignment horizontal="left" vertical="center"/>
    </xf>
    <xf numFmtId="165" fontId="3" fillId="4" borderId="29" xfId="0" applyNumberFormat="1" applyFont="1" applyFill="1" applyBorder="1" applyAlignment="1">
      <alignment wrapText="1"/>
    </xf>
    <xf numFmtId="165" fontId="3" fillId="4" borderId="30" xfId="0" applyNumberFormat="1" applyFont="1" applyFill="1" applyBorder="1" applyAlignment="1">
      <alignment wrapText="1"/>
    </xf>
    <xf numFmtId="165" fontId="3" fillId="4" borderId="4" xfId="0" applyNumberFormat="1" applyFont="1" applyFill="1" applyBorder="1" applyAlignment="1">
      <alignment wrapText="1"/>
    </xf>
    <xf numFmtId="165" fontId="0" fillId="4" borderId="6" xfId="0" applyNumberFormat="1" applyFill="1" applyBorder="1" applyAlignment="1">
      <alignment horizontal="center" wrapText="1"/>
    </xf>
    <xf numFmtId="167" fontId="0" fillId="0" borderId="30" xfId="0" applyNumberFormat="1" applyBorder="1" applyAlignment="1">
      <alignment horizontal="center" wrapText="1"/>
    </xf>
    <xf numFmtId="167" fontId="0" fillId="0" borderId="22" xfId="0" applyNumberFormat="1" applyBorder="1" applyAlignment="1">
      <alignment horizontal="center" wrapText="1"/>
    </xf>
    <xf numFmtId="165" fontId="3" fillId="0" borderId="31" xfId="0" applyNumberFormat="1" applyFont="1" applyBorder="1" applyAlignment="1">
      <alignment wrapText="1"/>
    </xf>
    <xf numFmtId="167" fontId="0" fillId="0" borderId="32" xfId="0" applyNumberFormat="1" applyBorder="1" applyAlignment="1">
      <alignment horizontal="center" wrapText="1"/>
    </xf>
    <xf numFmtId="167" fontId="0" fillId="0" borderId="0" xfId="0" applyNumberFormat="1" applyBorder="1" applyAlignment="1"/>
    <xf numFmtId="0" fontId="2" fillId="0" borderId="14" xfId="0" applyFont="1" applyFill="1" applyBorder="1"/>
    <xf numFmtId="0" fontId="2" fillId="0" borderId="14" xfId="0" applyFont="1" applyFill="1" applyBorder="1" applyAlignment="1">
      <alignment horizontal="right"/>
    </xf>
    <xf numFmtId="167" fontId="2" fillId="7" borderId="12" xfId="0" applyNumberFormat="1" applyFont="1" applyFill="1" applyBorder="1" applyAlignment="1">
      <alignment wrapText="1"/>
    </xf>
    <xf numFmtId="0" fontId="3" fillId="0" borderId="19" xfId="0" applyFont="1" applyBorder="1"/>
    <xf numFmtId="0" fontId="3" fillId="0" borderId="19" xfId="0" applyFont="1" applyBorder="1" applyAlignment="1">
      <alignment horizontal="right"/>
    </xf>
    <xf numFmtId="167" fontId="3" fillId="0" borderId="4" xfId="0" applyNumberFormat="1" applyFont="1" applyBorder="1"/>
    <xf numFmtId="167" fontId="3" fillId="0" borderId="5" xfId="0" applyNumberFormat="1" applyFont="1" applyBorder="1"/>
    <xf numFmtId="0" fontId="10" fillId="0" borderId="0" xfId="0" applyFont="1" applyAlignment="1">
      <alignment vertical="center"/>
    </xf>
    <xf numFmtId="0" fontId="5" fillId="0" borderId="0" xfId="0" applyFont="1" applyAlignment="1">
      <alignment vertical="center"/>
    </xf>
    <xf numFmtId="0" fontId="11" fillId="0" borderId="0" xfId="0" applyFont="1" applyAlignment="1">
      <alignment vertical="center"/>
    </xf>
    <xf numFmtId="0" fontId="2" fillId="0" borderId="0" xfId="0" applyFont="1" applyFill="1" applyBorder="1" applyAlignment="1">
      <alignment horizontal="right"/>
    </xf>
    <xf numFmtId="167" fontId="2" fillId="0" borderId="0" xfId="0" applyNumberFormat="1" applyFont="1" applyFill="1" applyBorder="1"/>
    <xf numFmtId="0" fontId="0" fillId="0" borderId="0" xfId="0" applyFill="1" applyBorder="1"/>
    <xf numFmtId="167" fontId="2" fillId="0" borderId="4" xfId="0" applyNumberFormat="1" applyFont="1" applyBorder="1"/>
    <xf numFmtId="167" fontId="2" fillId="0" borderId="5" xfId="0" applyNumberFormat="1" applyFont="1" applyBorder="1"/>
    <xf numFmtId="167" fontId="2" fillId="3" borderId="20" xfId="0" applyNumberFormat="1" applyFont="1" applyFill="1" applyBorder="1"/>
    <xf numFmtId="167" fontId="3" fillId="0" borderId="8" xfId="0" applyNumberFormat="1" applyFont="1" applyFill="1" applyBorder="1"/>
    <xf numFmtId="0" fontId="0" fillId="0" borderId="0" xfId="0" applyAlignment="1">
      <alignment horizontal="center"/>
    </xf>
    <xf numFmtId="0" fontId="3" fillId="0" borderId="6" xfId="0" applyFont="1" applyBorder="1" applyAlignment="1">
      <alignment horizontal="center"/>
    </xf>
    <xf numFmtId="0" fontId="0" fillId="0" borderId="9" xfId="0" applyBorder="1" applyAlignment="1">
      <alignment horizontal="center"/>
    </xf>
    <xf numFmtId="0" fontId="0" fillId="0" borderId="9" xfId="0" applyFill="1" applyBorder="1" applyAlignment="1">
      <alignment horizontal="center"/>
    </xf>
    <xf numFmtId="0" fontId="2" fillId="0" borderId="6" xfId="0" applyNumberFormat="1" applyFont="1" applyBorder="1" applyAlignment="1">
      <alignment horizontal="center"/>
    </xf>
    <xf numFmtId="0" fontId="0" fillId="0" borderId="11" xfId="0" applyBorder="1" applyAlignment="1">
      <alignment horizontal="center"/>
    </xf>
    <xf numFmtId="0" fontId="0" fillId="0" borderId="0" xfId="0" applyFill="1" applyBorder="1" applyAlignment="1">
      <alignment horizontal="center"/>
    </xf>
    <xf numFmtId="0" fontId="10" fillId="0" borderId="0" xfId="0" applyFont="1" applyAlignment="1">
      <alignment horizontal="center" vertical="center"/>
    </xf>
    <xf numFmtId="165" fontId="2" fillId="0" borderId="0" xfId="0" applyNumberFormat="1" applyFont="1" applyAlignment="1">
      <alignment horizontal="center" wrapText="1"/>
    </xf>
    <xf numFmtId="0" fontId="0" fillId="0" borderId="0" xfId="0" applyAlignment="1">
      <alignment vertical="center"/>
    </xf>
    <xf numFmtId="165" fontId="0" fillId="0" borderId="0" xfId="0" quotePrefix="1" applyNumberFormat="1" applyAlignment="1">
      <alignment horizontal="right" wrapText="1"/>
    </xf>
    <xf numFmtId="166" fontId="0" fillId="0" borderId="0" xfId="0" applyNumberFormat="1"/>
    <xf numFmtId="0" fontId="0" fillId="0" borderId="17" xfId="0" applyBorder="1" applyAlignment="1">
      <alignment horizontal="center" vertical="center"/>
    </xf>
    <xf numFmtId="167" fontId="0" fillId="0" borderId="17" xfId="0" applyNumberFormat="1" applyBorder="1" applyAlignment="1">
      <alignment horizontal="center" vertical="center"/>
    </xf>
    <xf numFmtId="0" fontId="0" fillId="0" borderId="17" xfId="0" applyBorder="1" applyAlignment="1">
      <alignment horizontal="center"/>
    </xf>
    <xf numFmtId="166" fontId="0" fillId="0" borderId="20" xfId="0" applyNumberFormat="1" applyBorder="1" applyAlignment="1">
      <alignment horizontal="center" vertical="center"/>
    </xf>
    <xf numFmtId="0" fontId="0" fillId="0" borderId="22" xfId="0" applyBorder="1" applyAlignment="1">
      <alignment horizontal="center" vertical="center"/>
    </xf>
    <xf numFmtId="166" fontId="0" fillId="0" borderId="23" xfId="0" applyNumberFormat="1" applyBorder="1" applyAlignment="1">
      <alignment horizontal="center"/>
    </xf>
    <xf numFmtId="0" fontId="0" fillId="0" borderId="38" xfId="0" applyBorder="1" applyAlignment="1">
      <alignment horizontal="center"/>
    </xf>
    <xf numFmtId="167" fontId="0" fillId="0" borderId="38" xfId="0" applyNumberFormat="1" applyBorder="1" applyAlignment="1">
      <alignment horizontal="center"/>
    </xf>
    <xf numFmtId="0" fontId="0" fillId="0" borderId="24" xfId="0" applyBorder="1" applyAlignment="1">
      <alignment horizontal="center"/>
    </xf>
    <xf numFmtId="0" fontId="2" fillId="9" borderId="25" xfId="0" applyNumberFormat="1" applyFont="1" applyFill="1" applyBorder="1" applyAlignment="1">
      <alignment horizontal="center" vertical="center" wrapText="1"/>
    </xf>
    <xf numFmtId="0" fontId="2" fillId="9" borderId="40" xfId="0" applyFont="1" applyFill="1" applyBorder="1" applyAlignment="1">
      <alignment horizontal="center" vertical="center" wrapText="1"/>
    </xf>
    <xf numFmtId="0" fontId="2" fillId="9" borderId="26" xfId="0" applyFont="1" applyFill="1" applyBorder="1" applyAlignment="1">
      <alignment horizontal="center" vertical="center" wrapText="1"/>
    </xf>
    <xf numFmtId="167" fontId="0" fillId="7" borderId="17" xfId="0" applyNumberFormat="1" applyFill="1" applyBorder="1" applyAlignment="1">
      <alignment horizontal="center" vertical="center"/>
    </xf>
    <xf numFmtId="0" fontId="0" fillId="0" borderId="20" xfId="0" applyBorder="1" applyAlignment="1">
      <alignment horizontal="left"/>
    </xf>
    <xf numFmtId="0" fontId="0" fillId="0" borderId="22" xfId="0" applyBorder="1" applyAlignment="1">
      <alignment horizontal="center"/>
    </xf>
    <xf numFmtId="0" fontId="0" fillId="0" borderId="23" xfId="0" applyBorder="1" applyAlignment="1">
      <alignment horizontal="left"/>
    </xf>
    <xf numFmtId="1" fontId="2" fillId="0" borderId="47" xfId="0" applyNumberFormat="1" applyFont="1" applyBorder="1" applyAlignment="1">
      <alignment horizontal="center"/>
    </xf>
    <xf numFmtId="1" fontId="2" fillId="0" borderId="48" xfId="0" applyNumberFormat="1" applyFont="1" applyBorder="1" applyAlignment="1">
      <alignment horizontal="center"/>
    </xf>
    <xf numFmtId="0" fontId="3" fillId="0" borderId="49" xfId="0" applyFont="1" applyBorder="1" applyAlignment="1">
      <alignment horizontal="right"/>
    </xf>
    <xf numFmtId="0" fontId="0" fillId="0" borderId="27" xfId="0" applyBorder="1" applyAlignment="1">
      <alignment horizontal="left"/>
    </xf>
    <xf numFmtId="1" fontId="0" fillId="0" borderId="50" xfId="0" applyNumberFormat="1" applyBorder="1" applyAlignment="1">
      <alignment horizontal="center"/>
    </xf>
    <xf numFmtId="1" fontId="0" fillId="0" borderId="28" xfId="0" applyNumberFormat="1" applyBorder="1" applyAlignment="1">
      <alignment horizontal="center"/>
    </xf>
    <xf numFmtId="0" fontId="2" fillId="9" borderId="14" xfId="0" applyFont="1" applyFill="1" applyBorder="1" applyAlignment="1">
      <alignment horizontal="left"/>
    </xf>
    <xf numFmtId="0" fontId="2" fillId="9" borderId="51" xfId="0" applyFont="1" applyFill="1" applyBorder="1" applyAlignment="1">
      <alignment horizontal="center"/>
    </xf>
    <xf numFmtId="0" fontId="2" fillId="9" borderId="30" xfId="0" applyFont="1" applyFill="1" applyBorder="1" applyAlignment="1">
      <alignment horizontal="center"/>
    </xf>
    <xf numFmtId="0" fontId="2" fillId="5" borderId="14" xfId="0" applyFont="1" applyFill="1" applyBorder="1" applyAlignment="1">
      <alignment horizontal="center" wrapText="1"/>
    </xf>
    <xf numFmtId="0" fontId="0" fillId="5" borderId="15" xfId="0" applyFill="1" applyBorder="1" applyAlignment="1">
      <alignment horizontal="center" wrapText="1"/>
    </xf>
    <xf numFmtId="0" fontId="0" fillId="5" borderId="18" xfId="0" applyFill="1" applyBorder="1" applyAlignment="1">
      <alignment horizontal="center" wrapText="1"/>
    </xf>
    <xf numFmtId="0" fontId="2" fillId="8" borderId="14" xfId="0" applyFont="1" applyFill="1" applyBorder="1" applyAlignment="1">
      <alignment horizontal="center" wrapText="1"/>
    </xf>
    <xf numFmtId="0" fontId="0" fillId="8" borderId="15" xfId="0" applyFill="1" applyBorder="1" applyAlignment="1">
      <alignment horizontal="center" wrapText="1"/>
    </xf>
    <xf numFmtId="0" fontId="0" fillId="8" borderId="18" xfId="0" applyFill="1" applyBorder="1" applyAlignment="1">
      <alignment horizontal="center" wrapText="1"/>
    </xf>
    <xf numFmtId="0" fontId="4" fillId="2" borderId="14" xfId="0" applyFont="1" applyFill="1" applyBorder="1" applyAlignment="1">
      <alignment horizontal="center"/>
    </xf>
    <xf numFmtId="0" fontId="0" fillId="2" borderId="15" xfId="0" applyFill="1" applyBorder="1" applyAlignment="1">
      <alignment horizontal="center"/>
    </xf>
    <xf numFmtId="0" fontId="0" fillId="0" borderId="15" xfId="0" applyBorder="1" applyAlignment="1"/>
    <xf numFmtId="0" fontId="0" fillId="0" borderId="18" xfId="0" applyBorder="1" applyAlignment="1"/>
    <xf numFmtId="0" fontId="2" fillId="4" borderId="14" xfId="0" applyFont="1" applyFill="1" applyBorder="1" applyAlignment="1">
      <alignment horizontal="center" wrapText="1"/>
    </xf>
    <xf numFmtId="0" fontId="0" fillId="4" borderId="15" xfId="0" applyFill="1" applyBorder="1" applyAlignment="1">
      <alignment horizontal="center" wrapText="1"/>
    </xf>
    <xf numFmtId="0" fontId="0" fillId="4" borderId="18" xfId="0" applyFill="1" applyBorder="1" applyAlignment="1">
      <alignment horizontal="center" wrapText="1"/>
    </xf>
    <xf numFmtId="0" fontId="7" fillId="0" borderId="20" xfId="0" applyFont="1" applyBorder="1" applyAlignment="1">
      <alignment horizontal="left" vertical="center"/>
    </xf>
    <xf numFmtId="0" fontId="0" fillId="0" borderId="22" xfId="0" applyBorder="1" applyAlignment="1">
      <alignment horizontal="left" vertical="center"/>
    </xf>
    <xf numFmtId="0" fontId="7" fillId="6" borderId="20" xfId="0" applyFont="1" applyFill="1" applyBorder="1" applyAlignment="1">
      <alignment horizontal="left" vertical="center"/>
    </xf>
    <xf numFmtId="0" fontId="7" fillId="0" borderId="23" xfId="0" applyFont="1" applyBorder="1" applyAlignment="1">
      <alignment horizontal="left" vertical="center"/>
    </xf>
    <xf numFmtId="0" fontId="0" fillId="0" borderId="24" xfId="0" applyBorder="1" applyAlignment="1">
      <alignment horizontal="left" vertical="center"/>
    </xf>
    <xf numFmtId="1" fontId="5" fillId="0" borderId="8" xfId="0" applyNumberFormat="1" applyFont="1" applyBorder="1" applyAlignment="1">
      <alignment vertical="center" wrapText="1"/>
    </xf>
    <xf numFmtId="0" fontId="3" fillId="0" borderId="0" xfId="0" applyFont="1" applyAlignment="1">
      <alignment vertical="center" wrapText="1"/>
    </xf>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3" fontId="2" fillId="0" borderId="0" xfId="0" applyNumberFormat="1" applyFont="1" applyBorder="1" applyAlignment="1">
      <alignment wrapText="1"/>
    </xf>
    <xf numFmtId="0" fontId="0" fillId="0" borderId="0" xfId="0" applyBorder="1" applyAlignment="1">
      <alignment wrapText="1"/>
    </xf>
    <xf numFmtId="165" fontId="2" fillId="0" borderId="0" xfId="0" applyNumberFormat="1" applyFont="1" applyBorder="1" applyAlignment="1">
      <alignment wrapText="1"/>
    </xf>
    <xf numFmtId="0" fontId="2" fillId="0" borderId="0" xfId="0" applyFont="1" applyBorder="1" applyAlignment="1">
      <alignment wrapText="1"/>
    </xf>
    <xf numFmtId="3" fontId="2" fillId="0" borderId="10" xfId="0" applyNumberFormat="1" applyFont="1" applyBorder="1" applyAlignment="1">
      <alignment wrapText="1"/>
    </xf>
    <xf numFmtId="0" fontId="0" fillId="0" borderId="10" xfId="0" applyBorder="1" applyAlignment="1">
      <alignment wrapText="1"/>
    </xf>
    <xf numFmtId="0" fontId="2" fillId="0" borderId="25" xfId="0" applyFont="1" applyBorder="1" applyAlignment="1">
      <alignment horizontal="left" vertical="center"/>
    </xf>
    <xf numFmtId="0" fontId="0" fillId="0" borderId="26" xfId="0" applyBorder="1" applyAlignment="1">
      <alignment horizontal="left" vertical="center"/>
    </xf>
    <xf numFmtId="165" fontId="0" fillId="0" borderId="0" xfId="0" applyNumberFormat="1" applyAlignment="1">
      <alignment horizontal="left" wrapText="1"/>
    </xf>
    <xf numFmtId="0" fontId="0" fillId="0" borderId="0" xfId="0" applyAlignment="1">
      <alignment horizontal="left" wrapText="1"/>
    </xf>
    <xf numFmtId="165" fontId="2" fillId="0" borderId="4" xfId="0" applyNumberFormat="1" applyFont="1" applyBorder="1" applyAlignment="1">
      <alignment wrapText="1"/>
    </xf>
    <xf numFmtId="0" fontId="0" fillId="0" borderId="5" xfId="0" applyBorder="1" applyAlignment="1">
      <alignment wrapText="1"/>
    </xf>
    <xf numFmtId="165" fontId="2" fillId="7" borderId="8" xfId="0" applyNumberFormat="1" applyFont="1" applyFill="1" applyBorder="1" applyAlignment="1">
      <alignment horizontal="center" vertical="center" wrapText="1"/>
    </xf>
    <xf numFmtId="0" fontId="2" fillId="7" borderId="0"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0" fillId="7" borderId="8" xfId="0" applyFill="1" applyBorder="1" applyAlignment="1">
      <alignment horizontal="center" vertical="center" wrapText="1"/>
    </xf>
    <xf numFmtId="0" fontId="0" fillId="7" borderId="0" xfId="0" applyFill="1" applyBorder="1" applyAlignment="1">
      <alignment horizontal="center" vertical="center" wrapText="1"/>
    </xf>
    <xf numFmtId="165" fontId="2" fillId="0" borderId="8" xfId="0" applyNumberFormat="1" applyFont="1" applyBorder="1" applyAlignment="1">
      <alignment wrapText="1"/>
    </xf>
    <xf numFmtId="0" fontId="2" fillId="7" borderId="14" xfId="0" applyFont="1" applyFill="1" applyBorder="1" applyAlignment="1">
      <alignment horizontal="center"/>
    </xf>
    <xf numFmtId="0" fontId="2" fillId="7" borderId="15" xfId="0" applyFont="1" applyFill="1" applyBorder="1" applyAlignment="1">
      <alignment horizontal="center"/>
    </xf>
    <xf numFmtId="0" fontId="2" fillId="7" borderId="18"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chartsheet" Target="chartsheets/sheet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5.xml"/><Relationship Id="rId5" Type="http://schemas.openxmlformats.org/officeDocument/2006/relationships/worksheet" Target="worksheets/sheet4.xml"/><Relationship Id="rId10" Type="http://schemas.openxmlformats.org/officeDocument/2006/relationships/calcChain" Target="calcChain.xml"/><Relationship Id="rId4" Type="http://schemas.openxmlformats.org/officeDocument/2006/relationships/worksheet" Target="worksheets/sheet3.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Continuous Duty Watts ADCP</a:t>
            </a:r>
            <a:r>
              <a:rPr lang="en-US" baseline="0"/>
              <a:t> @  Wh Sampling</a:t>
            </a:r>
            <a:endParaRPr lang="en-US"/>
          </a:p>
        </c:rich>
      </c:tx>
      <c:overlay val="0"/>
    </c:title>
    <c:autoTitleDeleted val="0"/>
    <c:plotArea>
      <c:layout/>
      <c:pieChart>
        <c:varyColors val="1"/>
        <c:ser>
          <c:idx val="0"/>
          <c:order val="0"/>
          <c:cat>
            <c:strRef>
              <c:f>(MuceBatteryPower!$A$9,MuceBatteryPower!$A$11,MuceBatteryPower!$A$12,MuceBatteryPower!$A$13,MuceBatteryPower!$A$14,MuceBatteryPower!$A$15,MuceBatteryPower!$A$16,MuceBatteryPower!$A$17,MuceBatteryPower!$A$18,MuceBatteryPower!$A$20)</c:f>
              <c:strCache>
                <c:ptCount val="10"/>
                <c:pt idx="0">
                  <c:v>RDI ADCP 1 min (30Wh) (300kHz)</c:v>
                </c:pt>
                <c:pt idx="1">
                  <c:v>RDI ADCP 1 min (600kHz)</c:v>
                </c:pt>
                <c:pt idx="2">
                  <c:v>RDI ADCP 1 min (1200kHz)</c:v>
                </c:pt>
                <c:pt idx="3">
                  <c:v>Nortek Aquadopp</c:v>
                </c:pt>
                <c:pt idx="4">
                  <c:v>WetLabs Triplet</c:v>
                </c:pt>
                <c:pt idx="5">
                  <c:v>SBE19+ w/pump</c:v>
                </c:pt>
                <c:pt idx="6">
                  <c:v>Transmissometer</c:v>
                </c:pt>
                <c:pt idx="7">
                  <c:v>Seapoint backscatter</c:v>
                </c:pt>
                <c:pt idx="8">
                  <c:v>Anderra O2</c:v>
                </c:pt>
                <c:pt idx="9">
                  <c:v>Data logger (MMC estimate w/o Medusa)</c:v>
                </c:pt>
              </c:strCache>
            </c:strRef>
          </c:cat>
          <c:val>
            <c:numRef>
              <c:f>(MuceBatteryPower!$D$9,MuceBatteryPower!$D$11,MuceBatteryPower!$D$12,MuceBatteryPower!$D$13,MuceBatteryPower!$D$14,MuceBatteryPower!$D$15,MuceBatteryPower!$D$16,MuceBatteryPower!$D$17,MuceBatteryPower!$D$18,MuceBatteryPower!$D$20)</c:f>
              <c:numCache>
                <c:formatCode>0.0000</c:formatCode>
                <c:ptCount val="10"/>
                <c:pt idx="0">
                  <c:v>2</c:v>
                </c:pt>
                <c:pt idx="1">
                  <c:v>2</c:v>
                </c:pt>
                <c:pt idx="2">
                  <c:v>2</c:v>
                </c:pt>
                <c:pt idx="3">
                  <c:v>1.5</c:v>
                </c:pt>
                <c:pt idx="4">
                  <c:v>1.2582</c:v>
                </c:pt>
                <c:pt idx="5">
                  <c:v>3.0756000000000001</c:v>
                </c:pt>
                <c:pt idx="6">
                  <c:v>0.69900000000000007</c:v>
                </c:pt>
                <c:pt idx="7">
                  <c:v>6.9900000000000004E-2</c:v>
                </c:pt>
                <c:pt idx="8">
                  <c:v>0.116034</c:v>
                </c:pt>
                <c:pt idx="9">
                  <c:v>3.5</c:v>
                </c:pt>
              </c:numCache>
            </c:numRef>
          </c:val>
        </c:ser>
        <c:ser>
          <c:idx val="1"/>
          <c:order val="1"/>
          <c:tx>
            <c:strRef>
              <c:f>MuceBatteryPower!$D$1</c:f>
              <c:strCache>
                <c:ptCount val="1"/>
                <c:pt idx="0">
                  <c:v>Continous duty Watts</c:v>
                </c:pt>
              </c:strCache>
            </c:strRef>
          </c:tx>
          <c:cat>
            <c:strRef>
              <c:f>(MuceBatteryPower!$A$9,MuceBatteryPower!$A$11,MuceBatteryPower!$A$12,MuceBatteryPower!$A$13,MuceBatteryPower!$A$14,MuceBatteryPower!$A$15,MuceBatteryPower!$A$16,MuceBatteryPower!$A$17,MuceBatteryPower!$A$18,MuceBatteryPower!$A$20)</c:f>
              <c:strCache>
                <c:ptCount val="10"/>
                <c:pt idx="0">
                  <c:v>RDI ADCP 1 min (30Wh) (300kHz)</c:v>
                </c:pt>
                <c:pt idx="1">
                  <c:v>RDI ADCP 1 min (600kHz)</c:v>
                </c:pt>
                <c:pt idx="2">
                  <c:v>RDI ADCP 1 min (1200kHz)</c:v>
                </c:pt>
                <c:pt idx="3">
                  <c:v>Nortek Aquadopp</c:v>
                </c:pt>
                <c:pt idx="4">
                  <c:v>WetLabs Triplet</c:v>
                </c:pt>
                <c:pt idx="5">
                  <c:v>SBE19+ w/pump</c:v>
                </c:pt>
                <c:pt idx="6">
                  <c:v>Transmissometer</c:v>
                </c:pt>
                <c:pt idx="7">
                  <c:v>Seapoint backscatter</c:v>
                </c:pt>
                <c:pt idx="8">
                  <c:v>Anderra O2</c:v>
                </c:pt>
                <c:pt idx="9">
                  <c:v>Data logger (MMC estimate w/o Medusa)</c:v>
                </c:pt>
              </c:strCache>
            </c:strRef>
          </c:cat>
          <c:val>
            <c:numLit>
              <c:formatCode>General</c:formatCode>
              <c:ptCount val="1"/>
              <c:pt idx="0">
                <c:v>1</c:v>
              </c:pt>
            </c:numLit>
          </c:val>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sheetViews>
    <sheetView zoomScale="153"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55922" cy="628027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P39"/>
  <sheetViews>
    <sheetView workbookViewId="0">
      <selection activeCell="R29" sqref="R29"/>
    </sheetView>
  </sheetViews>
  <sheetFormatPr defaultRowHeight="13.2" x14ac:dyDescent="0.25"/>
  <cols>
    <col min="1" max="1" width="27" customWidth="1"/>
    <col min="2" max="2" width="10.109375" style="42" customWidth="1"/>
    <col min="3" max="3" width="9.88671875" style="42" customWidth="1"/>
    <col min="4" max="4" width="9.77734375" style="186" customWidth="1"/>
    <col min="5" max="5" width="11.88671875" customWidth="1"/>
    <col min="6" max="7" width="11.109375" bestFit="1" customWidth="1"/>
    <col min="8" max="8" width="10.88671875" customWidth="1"/>
    <col min="9" max="9" width="9.33203125" customWidth="1"/>
    <col min="10" max="10" width="11.33203125" customWidth="1"/>
    <col min="11" max="11" width="10.88671875" customWidth="1"/>
    <col min="12" max="12" width="9.33203125" customWidth="1"/>
    <col min="13" max="13" width="11.33203125" customWidth="1"/>
  </cols>
  <sheetData>
    <row r="1" spans="1:16" ht="17.399999999999999" x14ac:dyDescent="0.3">
      <c r="A1" s="50" t="s">
        <v>155</v>
      </c>
    </row>
    <row r="2" spans="1:16" ht="13.8" thickBot="1" x14ac:dyDescent="0.3"/>
    <row r="3" spans="1:16" ht="16.2" thickBot="1" x14ac:dyDescent="0.35">
      <c r="A3" s="229" t="s">
        <v>140</v>
      </c>
      <c r="B3" s="230"/>
      <c r="C3" s="230"/>
      <c r="D3" s="230"/>
      <c r="E3" s="230"/>
      <c r="F3" s="230"/>
      <c r="G3" s="230"/>
      <c r="H3" s="230"/>
      <c r="I3" s="231"/>
      <c r="J3" s="231"/>
      <c r="K3" s="231"/>
      <c r="L3" s="231"/>
      <c r="M3" s="231"/>
      <c r="N3" s="231"/>
      <c r="O3" s="231"/>
      <c r="P3" s="232"/>
    </row>
    <row r="4" spans="1:16" ht="18.600000000000001" customHeight="1" thickBot="1" x14ac:dyDescent="0.3">
      <c r="A4" s="61"/>
      <c r="B4" s="233" t="s">
        <v>141</v>
      </c>
      <c r="C4" s="234"/>
      <c r="D4" s="235"/>
      <c r="E4" s="233" t="s">
        <v>142</v>
      </c>
      <c r="F4" s="234"/>
      <c r="G4" s="235"/>
      <c r="H4" s="223" t="s">
        <v>143</v>
      </c>
      <c r="I4" s="224"/>
      <c r="J4" s="225"/>
      <c r="K4" s="223" t="s">
        <v>144</v>
      </c>
      <c r="L4" s="224"/>
      <c r="M4" s="225"/>
      <c r="N4" s="226" t="s">
        <v>153</v>
      </c>
      <c r="O4" s="227"/>
      <c r="P4" s="228"/>
    </row>
    <row r="5" spans="1:16" x14ac:dyDescent="0.25">
      <c r="A5" s="62"/>
      <c r="B5" s="174" t="s">
        <v>135</v>
      </c>
      <c r="C5" s="175" t="s">
        <v>42</v>
      </c>
      <c r="D5" s="187" t="s">
        <v>145</v>
      </c>
      <c r="E5" s="174" t="s">
        <v>135</v>
      </c>
      <c r="F5" s="175" t="s">
        <v>42</v>
      </c>
      <c r="G5" s="187" t="s">
        <v>145</v>
      </c>
      <c r="H5" s="174" t="s">
        <v>135</v>
      </c>
      <c r="I5" s="175" t="s">
        <v>42</v>
      </c>
      <c r="J5" s="187" t="s">
        <v>145</v>
      </c>
      <c r="K5" s="174" t="s">
        <v>135</v>
      </c>
      <c r="L5" s="175" t="s">
        <v>42</v>
      </c>
      <c r="M5" s="187" t="s">
        <v>145</v>
      </c>
      <c r="N5" s="174" t="s">
        <v>135</v>
      </c>
      <c r="O5" s="175" t="s">
        <v>42</v>
      </c>
      <c r="P5" s="187" t="s">
        <v>145</v>
      </c>
    </row>
    <row r="6" spans="1:16" x14ac:dyDescent="0.25">
      <c r="A6" s="61"/>
      <c r="B6" s="63"/>
      <c r="C6" s="51"/>
      <c r="D6" s="188"/>
      <c r="E6" s="63"/>
      <c r="F6" s="51"/>
      <c r="G6" s="188"/>
      <c r="H6" s="63"/>
      <c r="I6" s="51"/>
      <c r="J6" s="188"/>
      <c r="K6" s="63"/>
      <c r="L6" s="51"/>
      <c r="M6" s="188"/>
      <c r="N6" s="63"/>
      <c r="O6" s="51"/>
      <c r="P6" s="188"/>
    </row>
    <row r="7" spans="1:16" x14ac:dyDescent="0.25">
      <c r="A7" s="172" t="s">
        <v>146</v>
      </c>
      <c r="B7" s="63" t="e">
        <f>#REF!</f>
        <v>#REF!</v>
      </c>
      <c r="C7" s="59" t="e">
        <f>#REF!+#REF!</f>
        <v>#REF!</v>
      </c>
      <c r="D7" s="189">
        <f>ShipTimeCalculation!$D$7</f>
        <v>3</v>
      </c>
      <c r="E7" s="63" t="e">
        <f>#REF!</f>
        <v>#REF!</v>
      </c>
      <c r="F7" s="59" t="e">
        <f>#REF!+#REF!</f>
        <v>#REF!</v>
      </c>
      <c r="G7" s="189">
        <f>ShipTimeCalculation!$D$7</f>
        <v>3</v>
      </c>
      <c r="H7" s="63" t="e">
        <f>#REF!</f>
        <v>#REF!</v>
      </c>
      <c r="I7" s="59" t="e">
        <f>#REF!+#REF!</f>
        <v>#REF!</v>
      </c>
      <c r="J7" s="189">
        <f>ShipTimeCalculation!$D$7</f>
        <v>3</v>
      </c>
      <c r="K7" s="63" t="e">
        <f>#REF!</f>
        <v>#REF!</v>
      </c>
      <c r="L7" s="59" t="e">
        <f>#REF!+#REF!</f>
        <v>#REF!</v>
      </c>
      <c r="M7" s="189">
        <f>ShipTimeCalculation!$D$7</f>
        <v>3</v>
      </c>
      <c r="N7" s="63" t="e">
        <f>#REF!</f>
        <v>#REF!</v>
      </c>
      <c r="O7" s="59" t="e">
        <f>#REF!+#REF!</f>
        <v>#REF!</v>
      </c>
      <c r="P7" s="189">
        <f>ShipTimeCalculation!B7</f>
        <v>3</v>
      </c>
    </row>
    <row r="8" spans="1:16" x14ac:dyDescent="0.25">
      <c r="A8" s="173" t="s">
        <v>148</v>
      </c>
      <c r="B8" s="184" t="e">
        <f>SUM(B7:C7)</f>
        <v>#REF!</v>
      </c>
      <c r="C8" s="59"/>
      <c r="D8" s="189"/>
      <c r="E8" s="184" t="e">
        <f>SUM(E7:F7)</f>
        <v>#REF!</v>
      </c>
      <c r="F8" s="59"/>
      <c r="G8" s="189"/>
      <c r="H8" s="184" t="e">
        <f>SUM(H7:I7)</f>
        <v>#REF!</v>
      </c>
      <c r="I8" s="59"/>
      <c r="J8" s="189"/>
      <c r="K8" s="184" t="e">
        <f>SUM(K7:L7)</f>
        <v>#REF!</v>
      </c>
      <c r="L8" s="59"/>
      <c r="M8" s="189"/>
      <c r="N8" s="184" t="e">
        <f>SUM(N7:O7)</f>
        <v>#REF!</v>
      </c>
      <c r="O8" s="59"/>
      <c r="P8" s="189"/>
    </row>
    <row r="9" spans="1:16" x14ac:dyDescent="0.25">
      <c r="A9" s="172" t="s">
        <v>147</v>
      </c>
      <c r="B9" s="67" t="e">
        <f>#REF!</f>
        <v>#REF!</v>
      </c>
      <c r="C9" s="59" t="e">
        <f>#REF!</f>
        <v>#REF!</v>
      </c>
      <c r="D9" s="189">
        <f>ShipTimeCalculation!$D$18+ShipTimeCalculation!$D$29</f>
        <v>6</v>
      </c>
      <c r="E9" s="67" t="e">
        <f>#REF!</f>
        <v>#REF!</v>
      </c>
      <c r="F9" s="59" t="e">
        <f>#REF!+#REF!</f>
        <v>#REF!</v>
      </c>
      <c r="G9" s="189">
        <f>ShipTimeCalculation!$D$18+ShipTimeCalculation!$D$29</f>
        <v>6</v>
      </c>
      <c r="H9" s="67" t="e">
        <f>#REF!</f>
        <v>#REF!</v>
      </c>
      <c r="I9" s="59" t="e">
        <f>#REF!+#REF!</f>
        <v>#REF!</v>
      </c>
      <c r="J9" s="189">
        <f>ShipTimeCalculation!$D$18+ShipTimeCalculation!$D$29</f>
        <v>6</v>
      </c>
      <c r="K9" s="67" t="e">
        <f>#REF!</f>
        <v>#REF!</v>
      </c>
      <c r="L9" s="59" t="e">
        <f>#REF!+#REF!</f>
        <v>#REF!</v>
      </c>
      <c r="M9" s="189">
        <f>ShipTimeCalculation!$D$18+ShipTimeCalculation!$D$29</f>
        <v>6</v>
      </c>
      <c r="N9" s="67" t="e">
        <f>#REF!</f>
        <v>#REF!</v>
      </c>
      <c r="O9" s="59" t="e">
        <f>#REF!+#REF!</f>
        <v>#REF!</v>
      </c>
      <c r="P9" s="189">
        <f>ShipTimeCalculation!B18+ShipTimeCalculation!B29</f>
        <v>8</v>
      </c>
    </row>
    <row r="10" spans="1:16" x14ac:dyDescent="0.25">
      <c r="A10" s="173" t="s">
        <v>149</v>
      </c>
      <c r="B10" s="184" t="e">
        <f>SUM(B9:C9)</f>
        <v>#REF!</v>
      </c>
      <c r="C10" s="59"/>
      <c r="D10" s="189"/>
      <c r="E10" s="184" t="e">
        <f>SUM(E9:F9)</f>
        <v>#REF!</v>
      </c>
      <c r="F10" s="59"/>
      <c r="G10" s="189"/>
      <c r="H10" s="184" t="e">
        <f>SUM(H9:I9)</f>
        <v>#REF!</v>
      </c>
      <c r="I10" s="59"/>
      <c r="J10" s="189"/>
      <c r="K10" s="184" t="e">
        <f>SUM(K9:L9)</f>
        <v>#REF!</v>
      </c>
      <c r="L10" s="59"/>
      <c r="M10" s="189"/>
      <c r="N10" s="184" t="e">
        <f>SUM(N9:O9)</f>
        <v>#REF!</v>
      </c>
      <c r="O10" s="59"/>
      <c r="P10" s="189"/>
    </row>
    <row r="11" spans="1:16" x14ac:dyDescent="0.25">
      <c r="A11" s="172" t="s">
        <v>152</v>
      </c>
      <c r="B11" s="185">
        <v>0</v>
      </c>
      <c r="C11" s="59">
        <v>0</v>
      </c>
      <c r="D11" s="189">
        <f>ShipTimeCalculation!$D$37</f>
        <v>3</v>
      </c>
      <c r="E11" s="185">
        <v>0</v>
      </c>
      <c r="F11" s="59">
        <v>0</v>
      </c>
      <c r="G11" s="189">
        <f>ShipTimeCalculation!$D$37</f>
        <v>3</v>
      </c>
      <c r="H11" s="185">
        <v>0</v>
      </c>
      <c r="I11" s="59">
        <v>0</v>
      </c>
      <c r="J11" s="189">
        <f>ShipTimeCalculation!$D$37</f>
        <v>3</v>
      </c>
      <c r="K11" s="185">
        <v>0</v>
      </c>
      <c r="L11" s="59">
        <v>0</v>
      </c>
      <c r="M11" s="189">
        <f>ShipTimeCalculation!$D$37</f>
        <v>3</v>
      </c>
      <c r="N11" s="185">
        <v>0</v>
      </c>
      <c r="O11" s="59">
        <v>0</v>
      </c>
      <c r="P11" s="189">
        <f>ShipTimeCalculation!B37</f>
        <v>3</v>
      </c>
    </row>
    <row r="12" spans="1:16" x14ac:dyDescent="0.25">
      <c r="A12" s="173" t="s">
        <v>151</v>
      </c>
      <c r="B12" s="184">
        <f>SUM(B11:C11)</f>
        <v>0</v>
      </c>
      <c r="C12" s="59"/>
      <c r="D12" s="189"/>
      <c r="E12" s="184">
        <f>SUM(E11:F11)</f>
        <v>0</v>
      </c>
      <c r="F12" s="59"/>
      <c r="G12" s="189"/>
      <c r="H12" s="184">
        <f>SUM(H11:I11)</f>
        <v>0</v>
      </c>
      <c r="I12" s="59"/>
      <c r="J12" s="189"/>
      <c r="K12" s="184">
        <f>SUM(K11:L11)</f>
        <v>0</v>
      </c>
      <c r="L12" s="59"/>
      <c r="M12" s="189"/>
      <c r="N12" s="184">
        <f>SUM(N11:O11)</f>
        <v>0</v>
      </c>
      <c r="O12" s="59"/>
      <c r="P12" s="189"/>
    </row>
    <row r="13" spans="1:16" ht="13.8" thickBot="1" x14ac:dyDescent="0.3">
      <c r="A13" s="61"/>
      <c r="B13" s="63"/>
      <c r="C13" s="51"/>
      <c r="D13" s="188"/>
      <c r="E13" s="63"/>
      <c r="F13" s="51"/>
      <c r="G13" s="188"/>
      <c r="H13" s="63"/>
      <c r="I13" s="51"/>
      <c r="J13" s="188"/>
      <c r="K13" s="63"/>
      <c r="L13" s="51"/>
      <c r="M13" s="188"/>
      <c r="N13" s="63"/>
      <c r="O13" s="51"/>
      <c r="P13" s="188"/>
    </row>
    <row r="14" spans="1:16" ht="13.8" thickBot="1" x14ac:dyDescent="0.3">
      <c r="A14" s="61"/>
      <c r="B14" s="182" t="e">
        <f>SUM(B7,B9,B11)</f>
        <v>#REF!</v>
      </c>
      <c r="C14" s="183" t="e">
        <f t="shared" ref="C14:D14" si="0">SUM(C7,C9,C11)</f>
        <v>#REF!</v>
      </c>
      <c r="D14" s="190">
        <f t="shared" si="0"/>
        <v>12</v>
      </c>
      <c r="E14" s="182" t="e">
        <f>SUM(E7,E9,E11)</f>
        <v>#REF!</v>
      </c>
      <c r="F14" s="183" t="e">
        <f t="shared" ref="F14:G14" si="1">SUM(F7,F9,F11)</f>
        <v>#REF!</v>
      </c>
      <c r="G14" s="190">
        <f t="shared" si="1"/>
        <v>12</v>
      </c>
      <c r="H14" s="182" t="e">
        <f>SUM(H7,H9,H11)</f>
        <v>#REF!</v>
      </c>
      <c r="I14" s="183" t="e">
        <f t="shared" ref="I14:J14" si="2">SUM(I7,I9,I11)</f>
        <v>#REF!</v>
      </c>
      <c r="J14" s="190">
        <f t="shared" si="2"/>
        <v>12</v>
      </c>
      <c r="K14" s="182" t="e">
        <f>SUM(K7,K9,K11)</f>
        <v>#REF!</v>
      </c>
      <c r="L14" s="183" t="e">
        <f t="shared" ref="L14:M14" si="3">SUM(L7,L9,L11)</f>
        <v>#REF!</v>
      </c>
      <c r="M14" s="190">
        <f t="shared" si="3"/>
        <v>12</v>
      </c>
      <c r="N14" s="182" t="e">
        <f>SUM(N7,N9,N11)</f>
        <v>#REF!</v>
      </c>
      <c r="O14" s="183" t="e">
        <f t="shared" ref="O14:P14" si="4">SUM(O7,O9,O11)</f>
        <v>#REF!</v>
      </c>
      <c r="P14" s="190">
        <f t="shared" si="4"/>
        <v>14</v>
      </c>
    </row>
    <row r="15" spans="1:16" ht="13.8" thickBot="1" x14ac:dyDescent="0.3">
      <c r="A15" s="53" t="s">
        <v>162</v>
      </c>
      <c r="B15" s="52" t="e">
        <f>B14+C14</f>
        <v>#REF!</v>
      </c>
      <c r="C15" s="66"/>
      <c r="D15" s="191"/>
      <c r="E15" s="52" t="e">
        <f>E14+F14</f>
        <v>#REF!</v>
      </c>
      <c r="F15" s="66"/>
      <c r="G15" s="191"/>
      <c r="H15" s="52" t="e">
        <f>H14+I14</f>
        <v>#REF!</v>
      </c>
      <c r="I15" s="66"/>
      <c r="J15" s="191"/>
      <c r="K15" s="52" t="e">
        <f>K14+L14</f>
        <v>#REF!</v>
      </c>
      <c r="L15" s="66"/>
      <c r="M15" s="191"/>
      <c r="N15" s="52" t="e">
        <f>N14+O14</f>
        <v>#REF!</v>
      </c>
      <c r="O15" s="66"/>
      <c r="P15" s="191"/>
    </row>
    <row r="16" spans="1:16" x14ac:dyDescent="0.25">
      <c r="A16" s="179"/>
      <c r="B16" s="180"/>
      <c r="C16" s="180"/>
      <c r="D16" s="192"/>
      <c r="E16" s="180"/>
      <c r="F16" s="180"/>
      <c r="G16" s="181"/>
      <c r="H16" s="180"/>
      <c r="I16" s="180"/>
      <c r="J16" s="181"/>
      <c r="K16" s="180"/>
      <c r="L16" s="180"/>
      <c r="M16" s="181"/>
    </row>
    <row r="17" spans="1:13" ht="15" x14ac:dyDescent="0.25">
      <c r="A17" s="177" t="s">
        <v>150</v>
      </c>
    </row>
    <row r="18" spans="1:13" ht="20.399999999999999" x14ac:dyDescent="0.25">
      <c r="A18" s="178" t="s">
        <v>136</v>
      </c>
      <c r="B18" s="176"/>
      <c r="C18" s="176"/>
      <c r="D18" s="193"/>
      <c r="E18" s="176"/>
      <c r="F18" s="176"/>
      <c r="G18" s="176"/>
      <c r="H18" s="176"/>
      <c r="I18" s="176"/>
      <c r="J18" s="176"/>
      <c r="K18" s="176"/>
      <c r="L18" s="176"/>
      <c r="M18" s="176"/>
    </row>
    <row r="19" spans="1:13" ht="20.399999999999999" x14ac:dyDescent="0.25">
      <c r="A19" s="178" t="s">
        <v>138</v>
      </c>
      <c r="B19" s="176"/>
      <c r="C19" s="176"/>
      <c r="D19" s="193"/>
      <c r="E19" s="176"/>
      <c r="F19" s="176"/>
      <c r="G19" s="176"/>
      <c r="H19" s="176"/>
      <c r="I19" s="176"/>
      <c r="J19" s="176"/>
      <c r="K19" s="176"/>
      <c r="L19" s="176"/>
      <c r="M19" s="176"/>
    </row>
    <row r="20" spans="1:13" ht="20.399999999999999" x14ac:dyDescent="0.25">
      <c r="A20" s="178"/>
      <c r="B20" s="176"/>
      <c r="C20" s="176"/>
      <c r="D20" s="193"/>
      <c r="E20" s="176"/>
      <c r="F20" s="176"/>
      <c r="G20" s="176"/>
      <c r="H20" s="176"/>
      <c r="I20" s="176"/>
      <c r="J20" s="176"/>
      <c r="K20" s="176"/>
      <c r="L20" s="176"/>
      <c r="M20" s="176"/>
    </row>
    <row r="21" spans="1:13" ht="20.399999999999999" x14ac:dyDescent="0.25">
      <c r="A21" s="177" t="s">
        <v>161</v>
      </c>
      <c r="B21" s="176"/>
      <c r="C21" s="176"/>
      <c r="D21" s="193"/>
      <c r="E21" s="176"/>
      <c r="F21" s="176"/>
      <c r="G21" s="176"/>
      <c r="H21" s="176"/>
      <c r="I21" s="176"/>
      <c r="J21" s="176"/>
      <c r="K21" s="176"/>
      <c r="L21" s="176"/>
      <c r="M21" s="176"/>
    </row>
    <row r="22" spans="1:13" ht="20.399999999999999" x14ac:dyDescent="0.25">
      <c r="A22" s="178" t="s">
        <v>139</v>
      </c>
      <c r="B22" s="176"/>
      <c r="C22" s="176"/>
      <c r="D22" s="193"/>
      <c r="E22" s="176"/>
      <c r="F22" s="176"/>
      <c r="G22" s="176"/>
      <c r="H22" s="176"/>
      <c r="I22" s="176"/>
      <c r="J22" s="176"/>
      <c r="K22" s="176"/>
      <c r="L22" s="176"/>
      <c r="M22" s="176"/>
    </row>
    <row r="23" spans="1:13" ht="20.399999999999999" x14ac:dyDescent="0.25">
      <c r="A23" s="178" t="s">
        <v>137</v>
      </c>
      <c r="B23" s="176"/>
      <c r="C23" s="176"/>
      <c r="D23" s="193"/>
      <c r="E23" s="176"/>
      <c r="F23" s="176"/>
      <c r="G23" s="176"/>
      <c r="H23" s="176"/>
      <c r="I23" s="176"/>
      <c r="J23" s="176"/>
      <c r="K23" s="176"/>
      <c r="L23" s="176"/>
      <c r="M23" s="176"/>
    </row>
    <row r="24" spans="1:13" ht="20.399999999999999" x14ac:dyDescent="0.25">
      <c r="A24" s="176"/>
      <c r="B24" s="176"/>
      <c r="C24" s="176"/>
      <c r="D24" s="193"/>
      <c r="E24" s="176"/>
      <c r="F24" s="176"/>
      <c r="G24" s="176"/>
      <c r="H24" s="176"/>
      <c r="I24" s="176"/>
      <c r="J24" s="176"/>
      <c r="K24" s="176"/>
      <c r="L24" s="176"/>
      <c r="M24" s="176"/>
    </row>
    <row r="25" spans="1:13" ht="20.399999999999999" x14ac:dyDescent="0.25">
      <c r="A25" s="178" t="s">
        <v>154</v>
      </c>
      <c r="B25" s="176"/>
      <c r="C25" s="176"/>
      <c r="D25" s="193"/>
      <c r="E25" s="176"/>
      <c r="F25" s="176"/>
      <c r="G25" s="176"/>
      <c r="H25" s="176"/>
      <c r="I25" s="176"/>
      <c r="J25" s="176"/>
      <c r="K25" s="176"/>
      <c r="L25" s="176"/>
      <c r="M25" s="176"/>
    </row>
    <row r="27" spans="1:13" ht="13.8" x14ac:dyDescent="0.25">
      <c r="A27" s="178" t="s">
        <v>156</v>
      </c>
    </row>
    <row r="28" spans="1:13" ht="13.8" x14ac:dyDescent="0.25">
      <c r="A28" s="178" t="s">
        <v>157</v>
      </c>
    </row>
    <row r="29" spans="1:13" ht="13.8" x14ac:dyDescent="0.25">
      <c r="A29" s="178" t="s">
        <v>158</v>
      </c>
    </row>
    <row r="30" spans="1:13" ht="13.8" x14ac:dyDescent="0.25">
      <c r="A30" s="178" t="s">
        <v>164</v>
      </c>
    </row>
    <row r="31" spans="1:13" ht="13.8" x14ac:dyDescent="0.25">
      <c r="A31" s="178" t="s">
        <v>159</v>
      </c>
    </row>
    <row r="32" spans="1:13" ht="13.8" x14ac:dyDescent="0.25">
      <c r="A32" s="178" t="s">
        <v>160</v>
      </c>
    </row>
    <row r="33" spans="1:3" ht="13.8" x14ac:dyDescent="0.25">
      <c r="A33" s="178" t="s">
        <v>165</v>
      </c>
    </row>
    <row r="35" spans="1:3" ht="13.8" x14ac:dyDescent="0.25">
      <c r="A35" s="178" t="s">
        <v>166</v>
      </c>
    </row>
    <row r="36" spans="1:3" ht="13.8" x14ac:dyDescent="0.25">
      <c r="A36" s="178" t="s">
        <v>167</v>
      </c>
      <c r="B36"/>
      <c r="C36"/>
    </row>
    <row r="37" spans="1:3" x14ac:dyDescent="0.25">
      <c r="B37"/>
      <c r="C37"/>
    </row>
    <row r="38" spans="1:3" x14ac:dyDescent="0.25">
      <c r="A38" s="60"/>
      <c r="B38"/>
      <c r="C38"/>
    </row>
    <row r="39" spans="1:3" x14ac:dyDescent="0.25">
      <c r="B39"/>
      <c r="C39"/>
    </row>
  </sheetData>
  <mergeCells count="6">
    <mergeCell ref="K4:M4"/>
    <mergeCell ref="N4:P4"/>
    <mergeCell ref="A3:P3"/>
    <mergeCell ref="B4:D4"/>
    <mergeCell ref="E4:G4"/>
    <mergeCell ref="H4:J4"/>
  </mergeCells>
  <phoneticPr fontId="1" type="noConversion"/>
  <pageMargins left="0.75" right="0.75" top="1" bottom="1" header="0.5" footer="0.5"/>
  <pageSetup paperSize="17"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AM63"/>
  <sheetViews>
    <sheetView tabSelected="1" zoomScale="75" zoomScaleNormal="75" workbookViewId="0">
      <selection activeCell="M50" sqref="M50"/>
    </sheetView>
  </sheetViews>
  <sheetFormatPr defaultRowHeight="13.2" x14ac:dyDescent="0.25"/>
  <cols>
    <col min="1" max="1" width="32.33203125" style="10" customWidth="1"/>
    <col min="2" max="2" width="9.44140625" style="11" customWidth="1"/>
    <col min="3" max="3" width="8.21875" style="10" customWidth="1"/>
    <col min="4" max="4" width="8.5546875" style="10" bestFit="1" customWidth="1"/>
    <col min="5" max="5" width="8.109375" style="10" customWidth="1"/>
    <col min="6" max="6" width="10.33203125" style="18" customWidth="1"/>
    <col min="7" max="7" width="13.6640625" style="10" customWidth="1"/>
    <col min="8" max="8" width="6.109375" style="10" customWidth="1"/>
    <col min="9" max="9" width="9.21875" style="39" bestFit="1" customWidth="1"/>
    <col min="10" max="10" width="6.44140625" style="39" bestFit="1" customWidth="1"/>
    <col min="11" max="11" width="8.5546875" style="39" bestFit="1" customWidth="1"/>
    <col min="12" max="12" width="8.5546875" style="10" bestFit="1" customWidth="1"/>
    <col min="13" max="13" width="9.109375" style="10" customWidth="1"/>
    <col min="14" max="15" width="6" style="10" customWidth="1"/>
    <col min="16" max="16" width="7.88671875" style="10" customWidth="1"/>
    <col min="17" max="17" width="7.5546875" style="10" customWidth="1"/>
    <col min="18" max="18" width="11.5546875" style="10" bestFit="1" customWidth="1"/>
    <col min="19" max="19" width="10.5546875" style="10" customWidth="1"/>
    <col min="20" max="20" width="9.21875" style="40" bestFit="1" customWidth="1"/>
    <col min="21" max="21" width="6.44140625" style="39" bestFit="1" customWidth="1"/>
    <col min="22" max="22" width="6.5546875" style="39" bestFit="1" customWidth="1"/>
    <col min="23" max="23" width="9.21875" style="10" customWidth="1"/>
    <col min="24" max="24" width="5.21875" style="10" customWidth="1"/>
    <col min="25" max="25" width="6.21875" style="10" customWidth="1"/>
    <col min="26" max="26" width="7.6640625" style="10" customWidth="1"/>
    <col min="27" max="27" width="9.88671875" style="10" customWidth="1"/>
    <col min="28" max="28" width="12" style="10" customWidth="1"/>
    <col min="29" max="29" width="15.21875" style="10" customWidth="1"/>
    <col min="30" max="30" width="9.21875" style="14" bestFit="1" customWidth="1"/>
    <col min="31" max="31" width="9.6640625" style="17" customWidth="1"/>
    <col min="32" max="32" width="11.77734375" style="15" customWidth="1"/>
    <col min="33" max="35" width="9.44140625" style="14" customWidth="1"/>
    <col min="36" max="36" width="10.44140625" style="15" customWidth="1"/>
    <col min="37" max="37" width="13.109375" style="10" customWidth="1"/>
    <col min="38" max="16384" width="8.88671875" style="10"/>
  </cols>
  <sheetData>
    <row r="1" spans="1:37" s="2" customFormat="1" ht="89.25" customHeight="1" x14ac:dyDescent="0.25">
      <c r="A1" s="1"/>
      <c r="B1" s="2" t="s">
        <v>2</v>
      </c>
      <c r="C1" s="2" t="s">
        <v>3</v>
      </c>
      <c r="D1" s="2" t="s">
        <v>4</v>
      </c>
      <c r="E1" s="2" t="s">
        <v>5</v>
      </c>
      <c r="F1" s="3" t="s">
        <v>6</v>
      </c>
      <c r="G1" s="4" t="s">
        <v>7</v>
      </c>
      <c r="H1" s="56" t="s">
        <v>51</v>
      </c>
      <c r="I1" s="103" t="s">
        <v>80</v>
      </c>
      <c r="J1" s="96" t="s">
        <v>78</v>
      </c>
      <c r="K1" s="96" t="s">
        <v>81</v>
      </c>
      <c r="L1" s="97" t="s">
        <v>82</v>
      </c>
      <c r="M1" s="7" t="s">
        <v>46</v>
      </c>
      <c r="N1" s="7" t="s">
        <v>49</v>
      </c>
      <c r="O1" s="7" t="s">
        <v>50</v>
      </c>
      <c r="P1" s="7" t="s">
        <v>8</v>
      </c>
      <c r="Q1" s="7" t="s">
        <v>9</v>
      </c>
      <c r="R1" s="7" t="s">
        <v>10</v>
      </c>
      <c r="S1" s="8" t="s">
        <v>11</v>
      </c>
      <c r="T1" s="6" t="s">
        <v>53</v>
      </c>
      <c r="U1" s="96" t="s">
        <v>78</v>
      </c>
      <c r="V1" s="6" t="s">
        <v>43</v>
      </c>
      <c r="W1" s="97" t="s">
        <v>83</v>
      </c>
      <c r="X1" s="7" t="s">
        <v>46</v>
      </c>
      <c r="Y1" s="7" t="s">
        <v>49</v>
      </c>
      <c r="Z1" s="7" t="s">
        <v>50</v>
      </c>
      <c r="AA1" s="7" t="s">
        <v>8</v>
      </c>
      <c r="AB1" s="7" t="s">
        <v>12</v>
      </c>
      <c r="AC1" s="8" t="s">
        <v>13</v>
      </c>
      <c r="AD1" s="5" t="s">
        <v>14</v>
      </c>
      <c r="AE1" s="57" t="s">
        <v>15</v>
      </c>
      <c r="AF1" s="8" t="s">
        <v>16</v>
      </c>
      <c r="AG1" s="6" t="s">
        <v>17</v>
      </c>
      <c r="AH1" s="57" t="s">
        <v>173</v>
      </c>
      <c r="AI1" s="57" t="s">
        <v>174</v>
      </c>
      <c r="AJ1" s="8" t="s">
        <v>39</v>
      </c>
      <c r="AK1" s="9"/>
    </row>
    <row r="2" spans="1:37" ht="28.2" customHeight="1" x14ac:dyDescent="0.25">
      <c r="A2" s="109" t="s">
        <v>79</v>
      </c>
      <c r="B2" s="110"/>
      <c r="C2" s="111"/>
      <c r="D2" s="111"/>
      <c r="E2" s="111"/>
      <c r="F2" s="12"/>
      <c r="I2" s="13"/>
      <c r="J2" s="14"/>
      <c r="K2" s="14"/>
      <c r="L2" s="15"/>
      <c r="M2" s="15"/>
      <c r="N2" s="15"/>
      <c r="O2" s="15"/>
      <c r="P2" s="15"/>
      <c r="Q2" s="15"/>
      <c r="R2" s="15"/>
      <c r="S2" s="16"/>
      <c r="T2" s="58"/>
      <c r="U2" s="14"/>
      <c r="V2" s="14"/>
      <c r="W2" s="15"/>
      <c r="X2" s="15"/>
      <c r="Y2" s="15"/>
      <c r="Z2" s="15"/>
      <c r="AA2" s="15"/>
      <c r="AB2" s="15"/>
      <c r="AC2" s="16"/>
      <c r="AD2" s="13"/>
      <c r="AF2" s="16"/>
      <c r="AJ2" s="16"/>
    </row>
    <row r="3" spans="1:37" ht="26.4" x14ac:dyDescent="0.25">
      <c r="A3" s="111" t="s">
        <v>18</v>
      </c>
      <c r="B3" s="110"/>
      <c r="C3" s="111"/>
      <c r="D3" s="111">
        <f>B5*C4</f>
        <v>15.238200000000001</v>
      </c>
      <c r="E3" s="111"/>
      <c r="I3" s="13"/>
      <c r="J3" s="14"/>
      <c r="K3" s="14"/>
      <c r="L3" s="15"/>
      <c r="M3" s="15"/>
      <c r="N3" s="48" t="s">
        <v>124</v>
      </c>
      <c r="O3" s="48" t="s">
        <v>125</v>
      </c>
      <c r="P3" s="15"/>
      <c r="Q3" s="15"/>
      <c r="R3" s="15"/>
      <c r="S3" s="16"/>
      <c r="T3" s="58"/>
      <c r="U3" s="14"/>
      <c r="V3" s="14"/>
      <c r="W3" s="15"/>
      <c r="X3" s="15"/>
      <c r="Y3" s="48" t="s">
        <v>124</v>
      </c>
      <c r="Z3" s="48" t="s">
        <v>125</v>
      </c>
      <c r="AA3" s="15"/>
      <c r="AB3" s="15"/>
      <c r="AC3" s="16"/>
      <c r="AD3" s="13"/>
      <c r="AF3" s="16"/>
      <c r="AH3" s="48" t="s">
        <v>124</v>
      </c>
      <c r="AI3" s="48" t="s">
        <v>125</v>
      </c>
      <c r="AJ3" s="16"/>
    </row>
    <row r="4" spans="1:37" ht="20.399999999999999" x14ac:dyDescent="0.35">
      <c r="A4" s="111" t="s">
        <v>19</v>
      </c>
      <c r="B4" s="110"/>
      <c r="C4" s="111">
        <v>13.98</v>
      </c>
      <c r="D4" s="111"/>
      <c r="E4" s="111"/>
      <c r="I4" s="13"/>
      <c r="J4" s="14"/>
      <c r="K4" s="118" t="s">
        <v>99</v>
      </c>
      <c r="L4" s="15"/>
      <c r="M4" s="15"/>
      <c r="N4" s="14">
        <f>N6*2.2</f>
        <v>754.81832483749997</v>
      </c>
      <c r="O4" s="14">
        <f>O6*2.2</f>
        <v>-55.66167516249994</v>
      </c>
      <c r="P4" s="15"/>
      <c r="Q4" s="15"/>
      <c r="R4" s="15"/>
      <c r="S4" s="16"/>
      <c r="T4" s="58"/>
      <c r="U4" s="118" t="s">
        <v>100</v>
      </c>
      <c r="W4" s="15"/>
      <c r="X4" s="15"/>
      <c r="Y4" s="14">
        <f>Y6*2.2</f>
        <v>4094.9834840320004</v>
      </c>
      <c r="Z4" s="14">
        <f>Z6*2.2</f>
        <v>650.44348403200047</v>
      </c>
      <c r="AA4" s="15"/>
      <c r="AB4" s="15"/>
      <c r="AC4" s="16"/>
      <c r="AD4" s="119" t="s">
        <v>101</v>
      </c>
      <c r="AF4" s="16"/>
      <c r="AH4" s="14">
        <f>AH6*2.2</f>
        <v>5763.4082205700015</v>
      </c>
      <c r="AI4" s="14">
        <f>AI6*2.2</f>
        <v>3571.6896014800009</v>
      </c>
      <c r="AJ4" s="16"/>
    </row>
    <row r="5" spans="1:37" ht="13.8" thickBot="1" x14ac:dyDescent="0.3">
      <c r="A5" s="111" t="s">
        <v>20</v>
      </c>
      <c r="B5" s="110">
        <v>1.0900000000000001</v>
      </c>
      <c r="C5" s="111"/>
      <c r="D5" s="111"/>
      <c r="E5" s="111"/>
      <c r="I5" s="13"/>
      <c r="J5" s="14"/>
      <c r="K5" s="14"/>
      <c r="L5" s="15"/>
      <c r="M5" s="15">
        <f>K6/($B$30*$B$31)</f>
        <v>7.9925964421787814</v>
      </c>
      <c r="N5" s="15"/>
      <c r="O5" s="15"/>
      <c r="P5" s="15"/>
      <c r="Q5" s="15"/>
      <c r="R5" s="15"/>
      <c r="S5" s="16"/>
      <c r="T5" s="58"/>
      <c r="U5" s="14"/>
      <c r="V5" s="14"/>
      <c r="W5" s="15"/>
      <c r="X5" s="15"/>
      <c r="Y5" s="15"/>
      <c r="Z5" s="15"/>
      <c r="AA5" s="15"/>
      <c r="AB5" s="15"/>
      <c r="AC5" s="16"/>
      <c r="AD5" s="153" t="s">
        <v>40</v>
      </c>
      <c r="AF5" s="16"/>
      <c r="AJ5" s="16" t="s">
        <v>175</v>
      </c>
    </row>
    <row r="6" spans="1:37" ht="13.8" thickBot="1" x14ac:dyDescent="0.3">
      <c r="I6" s="27">
        <f>$G21/$C$24 * 1.25</f>
        <v>1976.6582062500004</v>
      </c>
      <c r="J6" s="28">
        <f>I6*$G$41</f>
        <v>177.89923856250002</v>
      </c>
      <c r="K6" s="23">
        <f>I6*$F$41</f>
        <v>0.10668222004951877</v>
      </c>
      <c r="L6" s="29">
        <f>I6*$B$24</f>
        <v>55346.429775000011</v>
      </c>
      <c r="M6" s="45">
        <f>ROUNDUP(K6/($B$30*$B$31),0)</f>
        <v>8</v>
      </c>
      <c r="N6" s="45">
        <f>J6+(20.65*M6)</f>
        <v>343.09923856249998</v>
      </c>
      <c r="O6" s="45">
        <f>J6+(M6*-25.4)</f>
        <v>-25.300761437499972</v>
      </c>
      <c r="P6" s="29">
        <f>M6*$B$29</f>
        <v>12576</v>
      </c>
      <c r="Q6" s="29">
        <f>K6*$B$32</f>
        <v>1706.9155207923004</v>
      </c>
      <c r="R6" s="24">
        <f>SUM(L6+P6+Q6)</f>
        <v>69629.345295792315</v>
      </c>
      <c r="S6" s="24">
        <f>L6+Q6</f>
        <v>57053.345295792315</v>
      </c>
      <c r="T6" s="28">
        <f>$G21/$C$25 * 1.25</f>
        <v>8050.3897854545467</v>
      </c>
      <c r="U6" s="28">
        <f>T6*$G$39</f>
        <v>1159.2561291054546</v>
      </c>
      <c r="V6" s="23">
        <f>T6*$F$39</f>
        <v>0.44840671104981822</v>
      </c>
      <c r="W6" s="29">
        <f>T6*$B$25</f>
        <v>23507.138173527277</v>
      </c>
      <c r="X6" s="45">
        <f>ROUNDUP(V6/($B$30*$B$31),0)</f>
        <v>34</v>
      </c>
      <c r="Y6" s="45">
        <f>U6+(20.65*X6)</f>
        <v>1861.3561291054546</v>
      </c>
      <c r="Z6" s="45">
        <f>U6+(X6*-25.4)</f>
        <v>295.65612910545474</v>
      </c>
      <c r="AA6" s="29">
        <f>X6*$B$29</f>
        <v>53448</v>
      </c>
      <c r="AB6" s="24">
        <f>SUM(W6,AA6)</f>
        <v>76955.138173527273</v>
      </c>
      <c r="AC6" s="24">
        <f>W6</f>
        <v>23507.138173527277</v>
      </c>
      <c r="AD6" s="27">
        <f>G21/3456000</f>
        <v>73.79523970000001</v>
      </c>
      <c r="AE6" s="30">
        <f>AD6*49</f>
        <v>3615.9667453000006</v>
      </c>
      <c r="AF6" s="24">
        <f>AD6*3395</f>
        <v>250534.83878150003</v>
      </c>
      <c r="AG6" s="28">
        <f>G21/3456000</f>
        <v>73.79523970000001</v>
      </c>
      <c r="AH6" s="28">
        <f>AG6*35.5</f>
        <v>2619.7310093500005</v>
      </c>
      <c r="AI6" s="28">
        <f>AG6*22</f>
        <v>1623.4952734000003</v>
      </c>
      <c r="AJ6" s="121">
        <f>AG6*1033</f>
        <v>76230.482610100007</v>
      </c>
    </row>
    <row r="7" spans="1:37" ht="26.4" x14ac:dyDescent="0.25">
      <c r="A7" s="100" t="s">
        <v>104</v>
      </c>
      <c r="D7" s="194" t="s">
        <v>171</v>
      </c>
      <c r="I7" s="13"/>
      <c r="J7" s="14"/>
      <c r="K7" s="15"/>
      <c r="L7" s="19"/>
      <c r="M7" s="46"/>
      <c r="N7" s="46"/>
      <c r="O7" s="46"/>
      <c r="P7" s="19"/>
      <c r="Q7" s="19"/>
      <c r="R7" s="20"/>
      <c r="S7" s="116"/>
      <c r="T7" s="14"/>
      <c r="U7" s="15"/>
      <c r="V7" s="19"/>
      <c r="W7" s="46"/>
      <c r="X7" s="46"/>
      <c r="Y7" s="46"/>
      <c r="Z7" s="19"/>
      <c r="AA7" s="19"/>
      <c r="AB7" s="20"/>
      <c r="AC7" s="116"/>
      <c r="AD7" s="31"/>
      <c r="AE7" s="35"/>
      <c r="AF7" s="120"/>
      <c r="AG7" s="35"/>
      <c r="AH7" s="35"/>
      <c r="AI7" s="35"/>
      <c r="AJ7" s="122"/>
    </row>
    <row r="8" spans="1:37" ht="13.8" thickBot="1" x14ac:dyDescent="0.3">
      <c r="A8" s="10" t="s">
        <v>21</v>
      </c>
      <c r="I8" s="98"/>
      <c r="J8" s="15"/>
      <c r="K8" s="250" t="s">
        <v>91</v>
      </c>
      <c r="L8" s="251"/>
      <c r="M8" s="248" t="s">
        <v>92</v>
      </c>
      <c r="N8" s="249"/>
      <c r="O8" s="249"/>
      <c r="P8" s="249"/>
      <c r="Q8" s="249"/>
      <c r="R8" s="249"/>
      <c r="S8" s="21">
        <f>R6</f>
        <v>69629.345295792315</v>
      </c>
      <c r="T8" s="15"/>
      <c r="U8" s="250" t="s">
        <v>91</v>
      </c>
      <c r="V8" s="251"/>
      <c r="W8" s="248" t="s">
        <v>92</v>
      </c>
      <c r="X8" s="249"/>
      <c r="Y8" s="249"/>
      <c r="Z8" s="249"/>
      <c r="AA8" s="249"/>
      <c r="AB8" s="249"/>
      <c r="AC8" s="21">
        <f>AB6</f>
        <v>76955.138173527273</v>
      </c>
      <c r="AD8" s="98"/>
      <c r="AE8" s="15"/>
      <c r="AF8" s="21">
        <f>AF6</f>
        <v>250534.83878150003</v>
      </c>
      <c r="AG8" s="15"/>
      <c r="AH8" s="15"/>
      <c r="AI8" s="15"/>
      <c r="AJ8" s="123">
        <f>AJ6</f>
        <v>76230.482610100007</v>
      </c>
    </row>
    <row r="9" spans="1:37" ht="13.8" thickBot="1" x14ac:dyDescent="0.3">
      <c r="A9" s="49" t="s">
        <v>85</v>
      </c>
      <c r="C9" s="10">
        <v>13.98</v>
      </c>
      <c r="D9" s="71">
        <v>2</v>
      </c>
      <c r="E9" s="10">
        <v>1.02</v>
      </c>
      <c r="G9" s="154"/>
      <c r="I9" s="98"/>
      <c r="J9" s="15"/>
      <c r="K9" s="251"/>
      <c r="L9" s="251"/>
      <c r="M9" s="248" t="s">
        <v>93</v>
      </c>
      <c r="N9" s="249"/>
      <c r="O9" s="249"/>
      <c r="P9" s="249"/>
      <c r="Q9" s="249"/>
      <c r="R9" s="249"/>
      <c r="S9" s="117">
        <f>2*S6</f>
        <v>114106.69059158463</v>
      </c>
      <c r="T9" s="15"/>
      <c r="U9" s="251"/>
      <c r="V9" s="251"/>
      <c r="W9" s="248" t="s">
        <v>93</v>
      </c>
      <c r="X9" s="249"/>
      <c r="Y9" s="249"/>
      <c r="Z9" s="249"/>
      <c r="AA9" s="249"/>
      <c r="AB9" s="249"/>
      <c r="AC9" s="117">
        <f>2*AC6</f>
        <v>47014.276347054554</v>
      </c>
      <c r="AD9" s="98"/>
      <c r="AE9" s="15"/>
      <c r="AF9" s="117">
        <v>0</v>
      </c>
      <c r="AG9" s="15"/>
      <c r="AH9" s="15"/>
      <c r="AI9" s="15"/>
      <c r="AJ9" s="124">
        <v>0</v>
      </c>
    </row>
    <row r="10" spans="1:37" ht="13.8" thickBot="1" x14ac:dyDescent="0.3">
      <c r="A10" s="49" t="s">
        <v>86</v>
      </c>
      <c r="C10" s="10">
        <v>13.98</v>
      </c>
      <c r="D10" s="196" t="s">
        <v>22</v>
      </c>
      <c r="E10" s="22">
        <v>3.59</v>
      </c>
      <c r="I10" s="98"/>
      <c r="J10" s="15"/>
      <c r="K10" s="249"/>
      <c r="L10" s="249"/>
      <c r="M10" s="248" t="s">
        <v>94</v>
      </c>
      <c r="N10" s="249"/>
      <c r="O10" s="249"/>
      <c r="P10" s="249"/>
      <c r="Q10" s="249"/>
      <c r="R10" s="249"/>
      <c r="S10" s="24">
        <f>SUM(S8:S9)</f>
        <v>183736.03588737693</v>
      </c>
      <c r="T10" s="15"/>
      <c r="U10" s="249"/>
      <c r="V10" s="249"/>
      <c r="W10" s="248" t="s">
        <v>94</v>
      </c>
      <c r="X10" s="249"/>
      <c r="Y10" s="249"/>
      <c r="Z10" s="249"/>
      <c r="AA10" s="249"/>
      <c r="AB10" s="249"/>
      <c r="AC10" s="24">
        <f>SUM(AC8:AC9)</f>
        <v>123969.41452058183</v>
      </c>
      <c r="AD10" s="98"/>
      <c r="AE10" s="15"/>
      <c r="AF10" s="24">
        <f>SUM(AF8:AF9)</f>
        <v>250534.83878150003</v>
      </c>
      <c r="AG10" s="15"/>
      <c r="AH10" s="15"/>
      <c r="AI10" s="15"/>
      <c r="AJ10" s="121">
        <f>SUM(AJ8:AJ9)</f>
        <v>76230.482610100007</v>
      </c>
    </row>
    <row r="11" spans="1:37" s="71" customFormat="1" x14ac:dyDescent="0.25">
      <c r="A11" s="49" t="s">
        <v>87</v>
      </c>
      <c r="B11" s="11"/>
      <c r="C11" s="71">
        <v>13.98</v>
      </c>
      <c r="D11" s="71">
        <v>2</v>
      </c>
      <c r="E11" s="22"/>
      <c r="F11" s="18"/>
      <c r="I11" s="13"/>
      <c r="J11" s="14"/>
      <c r="K11" s="15"/>
      <c r="L11" s="15"/>
      <c r="M11" s="46"/>
      <c r="N11" s="46"/>
      <c r="O11" s="46"/>
      <c r="P11" s="19"/>
      <c r="Q11" s="19"/>
      <c r="R11" s="20"/>
      <c r="S11" s="21"/>
      <c r="T11" s="14"/>
      <c r="U11" s="15"/>
      <c r="V11" s="15"/>
      <c r="W11" s="46"/>
      <c r="X11" s="46"/>
      <c r="Y11" s="46"/>
      <c r="Z11" s="19"/>
      <c r="AA11" s="19"/>
      <c r="AB11" s="20"/>
      <c r="AC11" s="21"/>
      <c r="AD11" s="13"/>
      <c r="AE11" s="17"/>
      <c r="AF11" s="21"/>
      <c r="AG11" s="17"/>
      <c r="AH11" s="17"/>
      <c r="AI11" s="17"/>
      <c r="AJ11" s="123"/>
    </row>
    <row r="12" spans="1:37" s="71" customFormat="1" x14ac:dyDescent="0.25">
      <c r="A12" s="49" t="s">
        <v>88</v>
      </c>
      <c r="B12" s="11"/>
      <c r="C12" s="71">
        <v>13.98</v>
      </c>
      <c r="D12" s="71">
        <v>2</v>
      </c>
      <c r="E12" s="22"/>
      <c r="F12" s="18"/>
      <c r="I12" s="13"/>
      <c r="J12" s="14"/>
      <c r="K12" s="250" t="s">
        <v>96</v>
      </c>
      <c r="L12" s="251"/>
      <c r="M12" s="248" t="s">
        <v>92</v>
      </c>
      <c r="N12" s="249"/>
      <c r="O12" s="249"/>
      <c r="P12" s="249"/>
      <c r="Q12" s="249"/>
      <c r="R12" s="249"/>
      <c r="S12" s="21">
        <f>2*R6</f>
        <v>139258.69059158463</v>
      </c>
      <c r="T12" s="14"/>
      <c r="U12" s="250" t="s">
        <v>96</v>
      </c>
      <c r="V12" s="251"/>
      <c r="W12" s="248" t="s">
        <v>92</v>
      </c>
      <c r="X12" s="249"/>
      <c r="Y12" s="249"/>
      <c r="Z12" s="249"/>
      <c r="AA12" s="249"/>
      <c r="AB12" s="249"/>
      <c r="AC12" s="21">
        <f>2*AB6</f>
        <v>153910.27634705455</v>
      </c>
      <c r="AD12" s="13"/>
      <c r="AE12" s="17"/>
      <c r="AF12" s="116">
        <f>2*AF6</f>
        <v>501069.67756300006</v>
      </c>
      <c r="AG12" s="17"/>
      <c r="AH12" s="17"/>
      <c r="AI12" s="17"/>
      <c r="AJ12" s="123">
        <f>2*AJ6</f>
        <v>152460.96522020001</v>
      </c>
    </row>
    <row r="13" spans="1:37" ht="13.8" thickBot="1" x14ac:dyDescent="0.3">
      <c r="A13" s="10" t="s">
        <v>23</v>
      </c>
      <c r="D13" s="10">
        <v>1.5</v>
      </c>
      <c r="I13" s="13"/>
      <c r="J13" s="14"/>
      <c r="K13" s="251"/>
      <c r="L13" s="251"/>
      <c r="M13" s="248" t="s">
        <v>93</v>
      </c>
      <c r="N13" s="249"/>
      <c r="O13" s="249"/>
      <c r="P13" s="249"/>
      <c r="Q13" s="249"/>
      <c r="R13" s="249"/>
      <c r="S13" s="117">
        <f>S6</f>
        <v>57053.345295792315</v>
      </c>
      <c r="T13" s="14"/>
      <c r="U13" s="251"/>
      <c r="V13" s="251"/>
      <c r="W13" s="248" t="s">
        <v>93</v>
      </c>
      <c r="X13" s="249"/>
      <c r="Y13" s="249"/>
      <c r="Z13" s="249"/>
      <c r="AA13" s="249"/>
      <c r="AB13" s="249"/>
      <c r="AC13" s="117">
        <f>AC6</f>
        <v>23507.138173527277</v>
      </c>
      <c r="AD13" s="13"/>
      <c r="AF13" s="117">
        <v>0</v>
      </c>
      <c r="AG13" s="17"/>
      <c r="AH13" s="17"/>
      <c r="AI13" s="17"/>
      <c r="AJ13" s="124">
        <v>0</v>
      </c>
    </row>
    <row r="14" spans="1:37" ht="13.8" thickBot="1" x14ac:dyDescent="0.3">
      <c r="A14" s="10" t="s">
        <v>24</v>
      </c>
      <c r="B14" s="11">
        <v>0.09</v>
      </c>
      <c r="C14" s="10">
        <v>13.98</v>
      </c>
      <c r="D14" s="10">
        <f>B14*C14</f>
        <v>1.2582</v>
      </c>
      <c r="I14" s="13"/>
      <c r="J14" s="14"/>
      <c r="K14" s="249"/>
      <c r="L14" s="249"/>
      <c r="M14" s="248" t="s">
        <v>94</v>
      </c>
      <c r="N14" s="249"/>
      <c r="O14" s="249"/>
      <c r="P14" s="249"/>
      <c r="Q14" s="249"/>
      <c r="R14" s="249"/>
      <c r="S14" s="171">
        <f>SUM(S12:S13)</f>
        <v>196312.03588737693</v>
      </c>
      <c r="T14" s="14"/>
      <c r="U14" s="249"/>
      <c r="V14" s="249"/>
      <c r="W14" s="248" t="s">
        <v>94</v>
      </c>
      <c r="X14" s="249"/>
      <c r="Y14" s="249"/>
      <c r="Z14" s="249"/>
      <c r="AA14" s="249"/>
      <c r="AB14" s="249"/>
      <c r="AC14" s="24">
        <f>SUM(AC12:AC13)</f>
        <v>177417.41452058183</v>
      </c>
      <c r="AD14" s="13"/>
      <c r="AF14" s="24">
        <f>SUM(AF12:AF13)</f>
        <v>501069.67756300006</v>
      </c>
      <c r="AG14" s="17"/>
      <c r="AH14" s="17"/>
      <c r="AI14" s="17"/>
      <c r="AJ14" s="121">
        <f>SUM(AJ12:AJ13)</f>
        <v>152460.96522020001</v>
      </c>
    </row>
    <row r="15" spans="1:37" ht="13.8" thickBot="1" x14ac:dyDescent="0.3">
      <c r="A15" s="10" t="s">
        <v>25</v>
      </c>
      <c r="B15" s="11">
        <v>0.22</v>
      </c>
      <c r="C15" s="10">
        <v>13.98</v>
      </c>
      <c r="D15" s="10">
        <f>B15*C15</f>
        <v>3.0756000000000001</v>
      </c>
      <c r="I15" s="13"/>
      <c r="J15" s="14"/>
      <c r="K15" s="14"/>
      <c r="L15" s="15"/>
      <c r="M15" s="15"/>
      <c r="N15" s="15"/>
      <c r="O15" s="15"/>
      <c r="P15" s="15"/>
      <c r="Q15" s="15"/>
      <c r="R15" s="15"/>
      <c r="S15" s="21"/>
      <c r="T15" s="14"/>
      <c r="U15" s="14"/>
      <c r="V15" s="15"/>
      <c r="W15" s="15"/>
      <c r="X15" s="15"/>
      <c r="Y15" s="15"/>
      <c r="Z15" s="15"/>
      <c r="AA15" s="15"/>
      <c r="AB15" s="15"/>
      <c r="AC15" s="21"/>
      <c r="AD15" s="13"/>
      <c r="AF15" s="21"/>
      <c r="AG15" s="17"/>
      <c r="AH15" s="17"/>
      <c r="AI15" s="17"/>
      <c r="AJ15" s="123"/>
    </row>
    <row r="16" spans="1:37" ht="13.8" thickBot="1" x14ac:dyDescent="0.3">
      <c r="A16" s="10" t="s">
        <v>26</v>
      </c>
      <c r="B16" s="11">
        <v>0.05</v>
      </c>
      <c r="C16" s="10">
        <v>13.98</v>
      </c>
      <c r="D16" s="10">
        <f>B16*C16</f>
        <v>0.69900000000000007</v>
      </c>
      <c r="G16" s="71"/>
      <c r="H16" s="71"/>
      <c r="I16" s="27"/>
      <c r="J16" s="28"/>
      <c r="K16" s="28"/>
      <c r="L16" s="23"/>
      <c r="M16" s="252" t="s">
        <v>97</v>
      </c>
      <c r="N16" s="253"/>
      <c r="O16" s="253"/>
      <c r="P16" s="253"/>
      <c r="Q16" s="253"/>
      <c r="R16" s="253"/>
      <c r="S16" s="24">
        <f>S14+S6</f>
        <v>253365.38118316926</v>
      </c>
      <c r="T16" s="28"/>
      <c r="U16" s="28"/>
      <c r="V16" s="23"/>
      <c r="W16" s="252" t="s">
        <v>97</v>
      </c>
      <c r="X16" s="253"/>
      <c r="Y16" s="253"/>
      <c r="Z16" s="253"/>
      <c r="AA16" s="253"/>
      <c r="AB16" s="253"/>
      <c r="AC16" s="24">
        <f>AC14+AC6</f>
        <v>200924.55269410912</v>
      </c>
      <c r="AD16" s="27"/>
      <c r="AE16" s="30"/>
      <c r="AF16" s="24">
        <f>AF14</f>
        <v>501069.67756300006</v>
      </c>
      <c r="AG16" s="30"/>
      <c r="AH16" s="30"/>
      <c r="AI16" s="30"/>
      <c r="AJ16" s="121">
        <f>AJ14</f>
        <v>152460.96522020001</v>
      </c>
    </row>
    <row r="17" spans="1:39" ht="13.8" thickBot="1" x14ac:dyDescent="0.3">
      <c r="A17" s="10" t="s">
        <v>27</v>
      </c>
      <c r="B17" s="11">
        <v>5.0000000000000001E-3</v>
      </c>
      <c r="C17" s="10">
        <v>13.98</v>
      </c>
      <c r="D17" s="10">
        <f>B17*C17</f>
        <v>6.9900000000000004E-2</v>
      </c>
      <c r="G17" s="71"/>
      <c r="H17" s="71"/>
    </row>
    <row r="18" spans="1:39" ht="13.8" thickBot="1" x14ac:dyDescent="0.3">
      <c r="A18" s="10" t="s">
        <v>28</v>
      </c>
      <c r="B18" s="11">
        <v>8.3000000000000001E-3</v>
      </c>
      <c r="C18" s="10">
        <v>13.98</v>
      </c>
      <c r="D18" s="23">
        <f>B18*C18</f>
        <v>0.116034</v>
      </c>
      <c r="E18" s="15"/>
      <c r="G18" s="26" t="s">
        <v>33</v>
      </c>
      <c r="H18" s="71"/>
      <c r="I18" s="115" t="s">
        <v>95</v>
      </c>
      <c r="J18" s="112" t="s">
        <v>98</v>
      </c>
      <c r="AM18" s="10" t="s">
        <v>1</v>
      </c>
    </row>
    <row r="19" spans="1:39" x14ac:dyDescent="0.25">
      <c r="A19" s="10" t="s">
        <v>29</v>
      </c>
      <c r="C19" s="10" t="s">
        <v>30</v>
      </c>
      <c r="D19" s="10">
        <f>SUM(D9:D18)</f>
        <v>12.718734000000001</v>
      </c>
      <c r="F19" s="18">
        <f>D19*3600*24*7</f>
        <v>7692290.3232000014</v>
      </c>
      <c r="G19" s="71"/>
      <c r="H19" s="71"/>
      <c r="I19" s="115" t="s">
        <v>102</v>
      </c>
      <c r="J19" s="112" t="s">
        <v>103</v>
      </c>
      <c r="S19" s="49" t="s">
        <v>1</v>
      </c>
    </row>
    <row r="20" spans="1:39" ht="13.8" thickBot="1" x14ac:dyDescent="0.3">
      <c r="A20" s="256" t="s">
        <v>31</v>
      </c>
      <c r="B20" s="257"/>
      <c r="D20" s="10">
        <v>3.5</v>
      </c>
      <c r="H20" s="38"/>
      <c r="I20" s="14"/>
      <c r="J20" s="14"/>
      <c r="K20" s="14"/>
      <c r="L20" s="15"/>
      <c r="M20" s="15"/>
      <c r="N20" s="15"/>
      <c r="O20" s="15"/>
      <c r="P20" s="15"/>
      <c r="Q20" s="15"/>
      <c r="R20" s="15"/>
      <c r="S20" s="15"/>
      <c r="T20" s="58"/>
      <c r="U20" s="14"/>
      <c r="V20" s="14"/>
      <c r="W20" s="15"/>
      <c r="X20" s="15"/>
      <c r="Y20" s="15"/>
      <c r="Z20" s="15"/>
      <c r="AA20" s="15"/>
      <c r="AB20" s="15"/>
      <c r="AC20" s="15"/>
    </row>
    <row r="21" spans="1:39" ht="13.8" thickBot="1" x14ac:dyDescent="0.3">
      <c r="A21" s="10" t="s">
        <v>32</v>
      </c>
      <c r="C21" s="10" t="s">
        <v>30</v>
      </c>
      <c r="D21" s="26">
        <f>SUM(D19:D20)</f>
        <v>16.218734000000001</v>
      </c>
      <c r="F21" s="18">
        <f>D21*3600*24*7</f>
        <v>9809090.3232000023</v>
      </c>
      <c r="G21" s="154">
        <f>$F$21*26</f>
        <v>255036348.40320006</v>
      </c>
      <c r="H21" s="154">
        <f>G21/3600/1000</f>
        <v>70.843430112000021</v>
      </c>
    </row>
    <row r="22" spans="1:39" x14ac:dyDescent="0.25">
      <c r="K22" s="258" t="s">
        <v>163</v>
      </c>
      <c r="L22" s="259"/>
      <c r="M22" s="259"/>
      <c r="N22" s="259"/>
      <c r="O22" s="259"/>
      <c r="P22" s="259"/>
      <c r="Q22" s="259"/>
      <c r="R22" s="259"/>
      <c r="S22" s="33"/>
      <c r="T22" s="99"/>
      <c r="U22" s="32"/>
      <c r="V22" s="32"/>
      <c r="W22" s="33"/>
      <c r="X22" s="33"/>
      <c r="Y22" s="33"/>
      <c r="Z22" s="33"/>
      <c r="AA22" s="33"/>
      <c r="AB22" s="33"/>
      <c r="AC22" s="33"/>
      <c r="AD22" s="32"/>
      <c r="AE22" s="35"/>
      <c r="AF22" s="33"/>
      <c r="AG22" s="32"/>
      <c r="AH22" s="32"/>
      <c r="AI22" s="32"/>
      <c r="AJ22" s="34"/>
    </row>
    <row r="23" spans="1:39" ht="32.4" customHeight="1" thickBot="1" x14ac:dyDescent="0.3">
      <c r="A23" s="36" t="s">
        <v>89</v>
      </c>
      <c r="C23" s="114" t="s">
        <v>90</v>
      </c>
      <c r="D23" s="113"/>
      <c r="E23" s="71"/>
      <c r="K23" s="260" t="s">
        <v>91</v>
      </c>
      <c r="L23" s="261"/>
      <c r="M23" s="248" t="s">
        <v>92</v>
      </c>
      <c r="N23" s="249"/>
      <c r="O23" s="249"/>
      <c r="P23" s="249"/>
      <c r="Q23" s="249"/>
      <c r="R23" s="249"/>
      <c r="S23" s="20">
        <f>S8</f>
        <v>69629.345295792315</v>
      </c>
      <c r="T23" s="58"/>
      <c r="U23" s="14"/>
      <c r="V23" s="14"/>
      <c r="W23" s="15"/>
      <c r="X23" s="15"/>
      <c r="Y23" s="15"/>
      <c r="Z23" s="15"/>
      <c r="AA23" s="15"/>
      <c r="AB23" s="15"/>
      <c r="AC23" s="20">
        <f>AC8</f>
        <v>76955.138173527273</v>
      </c>
      <c r="AF23" s="20">
        <f>AF8</f>
        <v>250534.83878150003</v>
      </c>
      <c r="AJ23" s="21">
        <f>AJ8</f>
        <v>76230.482610100007</v>
      </c>
    </row>
    <row r="24" spans="1:39" ht="13.8" customHeight="1" x14ac:dyDescent="0.25">
      <c r="A24" s="10" t="s">
        <v>38</v>
      </c>
      <c r="B24" s="44">
        <v>28</v>
      </c>
      <c r="C24" s="39">
        <f>E41</f>
        <v>161280</v>
      </c>
      <c r="K24" s="262"/>
      <c r="L24" s="261"/>
      <c r="M24" s="248" t="s">
        <v>93</v>
      </c>
      <c r="N24" s="249"/>
      <c r="O24" s="249"/>
      <c r="P24" s="249"/>
      <c r="Q24" s="249"/>
      <c r="R24" s="249"/>
      <c r="S24" s="20">
        <f>S9</f>
        <v>114106.69059158463</v>
      </c>
      <c r="T24" s="58"/>
      <c r="U24" s="14"/>
      <c r="V24" s="14"/>
      <c r="W24" s="15"/>
      <c r="X24" s="15"/>
      <c r="Y24" s="15"/>
      <c r="Z24" s="15"/>
      <c r="AA24" s="15"/>
      <c r="AB24" s="15"/>
      <c r="AC24" s="20">
        <f>AC9</f>
        <v>47014.276347054554</v>
      </c>
      <c r="AF24" s="20">
        <f>AF9</f>
        <v>0</v>
      </c>
      <c r="AJ24" s="21">
        <f>AJ9</f>
        <v>0</v>
      </c>
    </row>
    <row r="25" spans="1:39" ht="13.8" customHeight="1" x14ac:dyDescent="0.25">
      <c r="A25" s="10" t="s">
        <v>52</v>
      </c>
      <c r="B25" s="44">
        <v>2.92</v>
      </c>
      <c r="C25" s="39">
        <f>E39</f>
        <v>39600</v>
      </c>
      <c r="K25" s="263"/>
      <c r="L25" s="264"/>
      <c r="M25" s="248" t="s">
        <v>94</v>
      </c>
      <c r="N25" s="249"/>
      <c r="O25" s="249"/>
      <c r="P25" s="249"/>
      <c r="Q25" s="249"/>
      <c r="R25" s="249"/>
      <c r="S25" s="20">
        <f>SUM(S23:S24)</f>
        <v>183736.03588737693</v>
      </c>
      <c r="T25" s="58"/>
      <c r="U25" s="14"/>
      <c r="V25" s="14"/>
      <c r="W25" s="15"/>
      <c r="X25" s="15"/>
      <c r="Y25" s="15"/>
      <c r="Z25" s="15"/>
      <c r="AA25" s="15"/>
      <c r="AB25" s="15"/>
      <c r="AC25" s="20">
        <f>SUM(AC23:AC24)</f>
        <v>123969.41452058183</v>
      </c>
      <c r="AF25" s="20">
        <f>SUM(AF23:AF24)</f>
        <v>250534.83878150003</v>
      </c>
      <c r="AJ25" s="21">
        <f>SUM(AJ23:AJ24)</f>
        <v>76230.482610100007</v>
      </c>
    </row>
    <row r="26" spans="1:39" s="71" customFormat="1" x14ac:dyDescent="0.25">
      <c r="B26" s="44"/>
      <c r="C26" s="39"/>
      <c r="F26" s="18"/>
      <c r="G26" s="18" t="s">
        <v>1</v>
      </c>
      <c r="H26" s="18"/>
      <c r="K26" s="263"/>
      <c r="L26" s="264"/>
      <c r="M26" s="248" t="s">
        <v>120</v>
      </c>
      <c r="N26" s="249"/>
      <c r="O26" s="249"/>
      <c r="P26" s="249"/>
      <c r="Q26" s="249"/>
      <c r="R26" s="249"/>
      <c r="S26" s="20">
        <f>$B$34*ShipTimeCalculation!$B$7</f>
        <v>87600</v>
      </c>
      <c r="T26" s="15"/>
      <c r="U26" s="15"/>
      <c r="V26" s="15"/>
      <c r="W26" s="15"/>
      <c r="X26" s="15"/>
      <c r="Y26" s="15"/>
      <c r="Z26" s="15"/>
      <c r="AA26" s="15"/>
      <c r="AB26" s="15"/>
      <c r="AC26" s="20">
        <f>$B$34*ShipTimeCalculation!$B$7</f>
        <v>87600</v>
      </c>
      <c r="AD26" s="15"/>
      <c r="AE26" s="15"/>
      <c r="AF26" s="20">
        <f>$B$34*ShipTimeCalculation!$B$7</f>
        <v>87600</v>
      </c>
      <c r="AG26" s="15"/>
      <c r="AH26" s="15"/>
      <c r="AI26" s="15"/>
      <c r="AJ26" s="21">
        <f>$B$34*ShipTimeCalculation!$B$7</f>
        <v>87600</v>
      </c>
    </row>
    <row r="27" spans="1:39" ht="13.2" customHeight="1" x14ac:dyDescent="0.25">
      <c r="A27" s="10" t="s">
        <v>44</v>
      </c>
      <c r="B27" s="37">
        <v>500000</v>
      </c>
      <c r="G27" s="38"/>
      <c r="H27" s="38"/>
      <c r="K27" s="263"/>
      <c r="L27" s="264"/>
      <c r="M27" s="248" t="s">
        <v>121</v>
      </c>
      <c r="N27" s="249"/>
      <c r="O27" s="249"/>
      <c r="P27" s="249"/>
      <c r="Q27" s="249"/>
      <c r="R27" s="249"/>
      <c r="S27" s="20">
        <f>$B$34*(ShipTimeCalculation!$B$18+ShipTimeCalculation!$B$29+ShipTimeCalculation!$B$37)</f>
        <v>321200</v>
      </c>
      <c r="T27" s="58"/>
      <c r="U27" s="14"/>
      <c r="V27" s="14"/>
      <c r="W27" s="15"/>
      <c r="X27" s="15"/>
      <c r="Y27" s="15"/>
      <c r="Z27" s="15"/>
      <c r="AA27" s="15"/>
      <c r="AB27" s="15"/>
      <c r="AC27" s="20">
        <f>$B$34*(ShipTimeCalculation!$B$18+ShipTimeCalculation!$B$29+ShipTimeCalculation!$B$37)</f>
        <v>321200</v>
      </c>
      <c r="AF27" s="20">
        <f>$B$34*(ShipTimeCalculation!$B$18+ShipTimeCalculation!$B$29+ShipTimeCalculation!$B$37)</f>
        <v>321200</v>
      </c>
      <c r="AJ27" s="21">
        <f>$B$34*(ShipTimeCalculation!$B$18+ShipTimeCalculation!$B$29+ShipTimeCalculation!$B$37)</f>
        <v>321200</v>
      </c>
    </row>
    <row r="28" spans="1:39" ht="13.8" customHeight="1" thickBot="1" x14ac:dyDescent="0.3">
      <c r="A28" s="10" t="s">
        <v>45</v>
      </c>
      <c r="B28" s="54">
        <v>29000</v>
      </c>
      <c r="K28" s="263"/>
      <c r="L28" s="264"/>
      <c r="M28" s="248" t="s">
        <v>122</v>
      </c>
      <c r="N28" s="249"/>
      <c r="O28" s="249"/>
      <c r="P28" s="249"/>
      <c r="Q28" s="249"/>
      <c r="R28" s="249"/>
      <c r="S28" s="20">
        <f>SUM(S26:S27)</f>
        <v>408800</v>
      </c>
      <c r="T28" s="58"/>
      <c r="U28" s="14"/>
      <c r="V28" s="14"/>
      <c r="W28" s="15"/>
      <c r="X28" s="15"/>
      <c r="Y28" s="15"/>
      <c r="Z28" s="15"/>
      <c r="AA28" s="15"/>
      <c r="AB28" s="38" t="s">
        <v>134</v>
      </c>
      <c r="AC28" s="20">
        <f>SUM(AC26:AC27)</f>
        <v>408800</v>
      </c>
      <c r="AF28" s="20">
        <f>SUM(AF26:AF27)</f>
        <v>408800</v>
      </c>
      <c r="AJ28" s="21">
        <f>SUM(AJ26:AJ27)</f>
        <v>408800</v>
      </c>
    </row>
    <row r="29" spans="1:39" ht="13.8" customHeight="1" thickBot="1" x14ac:dyDescent="0.3">
      <c r="A29" s="10" t="s">
        <v>48</v>
      </c>
      <c r="B29" s="54">
        <f>B50</f>
        <v>1572</v>
      </c>
      <c r="K29" s="263"/>
      <c r="L29" s="264"/>
      <c r="M29" s="248" t="s">
        <v>126</v>
      </c>
      <c r="N29" s="249"/>
      <c r="O29" s="249"/>
      <c r="P29" s="249"/>
      <c r="Q29" s="249"/>
      <c r="R29" s="249"/>
      <c r="S29" s="24">
        <f>S25+S28</f>
        <v>592536.03588737687</v>
      </c>
      <c r="T29" s="58"/>
      <c r="U29" s="14"/>
      <c r="V29" s="14"/>
      <c r="W29" s="15"/>
      <c r="X29" s="15"/>
      <c r="Y29" s="15"/>
      <c r="Z29" s="15"/>
      <c r="AA29" s="15"/>
      <c r="AB29" s="168">
        <f>S29-AC29</f>
        <v>59766.621366795036</v>
      </c>
      <c r="AC29" s="24">
        <f>AC25+AC28</f>
        <v>532769.41452058183</v>
      </c>
      <c r="AF29" s="24">
        <f>AF25+AF28</f>
        <v>659334.8387815</v>
      </c>
      <c r="AJ29" s="24">
        <f>AJ25+AJ28</f>
        <v>485030.48261010001</v>
      </c>
    </row>
    <row r="30" spans="1:39" ht="15.6" customHeight="1" x14ac:dyDescent="0.25">
      <c r="A30" s="10" t="s">
        <v>47</v>
      </c>
      <c r="B30" s="108">
        <v>0.38700000000000001</v>
      </c>
      <c r="K30" s="13"/>
      <c r="L30" s="15"/>
      <c r="M30" s="15"/>
      <c r="N30" s="15"/>
      <c r="O30" s="15"/>
      <c r="P30" s="15"/>
      <c r="Q30" s="15"/>
      <c r="R30" s="15"/>
      <c r="S30" s="15"/>
      <c r="T30" s="58"/>
      <c r="U30" s="14"/>
      <c r="V30" s="14"/>
      <c r="W30" s="15"/>
      <c r="X30" s="15"/>
      <c r="Y30" s="15"/>
      <c r="Z30" s="15"/>
      <c r="AA30" s="15"/>
      <c r="AB30" s="15"/>
      <c r="AC30" s="15"/>
      <c r="AJ30" s="16"/>
    </row>
    <row r="31" spans="1:39" ht="13.8" customHeight="1" x14ac:dyDescent="0.25">
      <c r="A31" s="10" t="s">
        <v>54</v>
      </c>
      <c r="B31" s="55">
        <v>3.449E-2</v>
      </c>
      <c r="K31" s="265" t="s">
        <v>55</v>
      </c>
      <c r="L31" s="249"/>
      <c r="M31" s="249"/>
      <c r="N31" s="249"/>
      <c r="O31" s="249"/>
      <c r="P31" s="249"/>
      <c r="Q31" s="249"/>
      <c r="R31" s="249"/>
      <c r="S31" s="15"/>
      <c r="T31" s="58"/>
      <c r="U31" s="14"/>
      <c r="V31" s="14"/>
      <c r="W31" s="15"/>
      <c r="X31" s="15"/>
      <c r="Y31" s="15"/>
      <c r="Z31" s="15"/>
      <c r="AA31" s="15"/>
      <c r="AB31" s="15"/>
      <c r="AC31" s="15"/>
      <c r="AJ31" s="16"/>
    </row>
    <row r="32" spans="1:39" x14ac:dyDescent="0.25">
      <c r="A32" s="10" t="s">
        <v>34</v>
      </c>
      <c r="B32" s="37">
        <v>16000</v>
      </c>
      <c r="K32" s="260" t="s">
        <v>96</v>
      </c>
      <c r="L32" s="261"/>
      <c r="M32" s="248" t="s">
        <v>92</v>
      </c>
      <c r="N32" s="249"/>
      <c r="O32" s="249"/>
      <c r="P32" s="249"/>
      <c r="Q32" s="249"/>
      <c r="R32" s="249"/>
      <c r="S32" s="20">
        <f>S12</f>
        <v>139258.69059158463</v>
      </c>
      <c r="T32" s="58"/>
      <c r="U32" s="14"/>
      <c r="V32" s="14"/>
      <c r="W32" s="15"/>
      <c r="X32" s="15"/>
      <c r="Y32" s="15"/>
      <c r="Z32" s="15"/>
      <c r="AA32" s="15"/>
      <c r="AB32" s="168">
        <f t="shared" ref="AB32:AB34" si="0">S32-AC32</f>
        <v>-14651.585755469918</v>
      </c>
      <c r="AC32" s="20">
        <f>AC12</f>
        <v>153910.27634705455</v>
      </c>
      <c r="AF32" s="20">
        <f>AF12</f>
        <v>501069.67756300006</v>
      </c>
      <c r="AJ32" s="21">
        <f>AJ12</f>
        <v>152460.96522020001</v>
      </c>
    </row>
    <row r="33" spans="1:38" x14ac:dyDescent="0.25">
      <c r="A33" s="43" t="s">
        <v>35</v>
      </c>
      <c r="B33" s="37">
        <v>15600</v>
      </c>
      <c r="K33" s="262"/>
      <c r="L33" s="261"/>
      <c r="M33" s="248" t="s">
        <v>93</v>
      </c>
      <c r="N33" s="249"/>
      <c r="O33" s="249"/>
      <c r="P33" s="249"/>
      <c r="Q33" s="249"/>
      <c r="R33" s="249"/>
      <c r="S33" s="20">
        <f>S13</f>
        <v>57053.345295792315</v>
      </c>
      <c r="T33" s="58"/>
      <c r="U33" s="14"/>
      <c r="V33" s="14"/>
      <c r="W33" s="15"/>
      <c r="X33" s="15"/>
      <c r="Y33" s="15"/>
      <c r="Z33" s="15"/>
      <c r="AA33" s="15"/>
      <c r="AB33" s="168">
        <f t="shared" si="0"/>
        <v>33546.207122265041</v>
      </c>
      <c r="AC33" s="20">
        <f>AC13</f>
        <v>23507.138173527277</v>
      </c>
      <c r="AF33" s="20">
        <f>AF13</f>
        <v>0</v>
      </c>
      <c r="AJ33" s="21">
        <f>AJ13</f>
        <v>0</v>
      </c>
    </row>
    <row r="34" spans="1:38" x14ac:dyDescent="0.25">
      <c r="A34" s="43" t="s">
        <v>36</v>
      </c>
      <c r="B34" s="37">
        <v>29200</v>
      </c>
      <c r="G34" s="73"/>
      <c r="H34" s="71"/>
      <c r="K34" s="263"/>
      <c r="L34" s="264"/>
      <c r="M34" s="248" t="s">
        <v>94</v>
      </c>
      <c r="N34" s="249"/>
      <c r="O34" s="249"/>
      <c r="P34" s="249"/>
      <c r="Q34" s="249"/>
      <c r="R34" s="249"/>
      <c r="S34" s="20">
        <f>SUM(S32:S33)</f>
        <v>196312.03588737693</v>
      </c>
      <c r="T34" s="58"/>
      <c r="U34" s="14"/>
      <c r="V34" s="14"/>
      <c r="W34" s="15"/>
      <c r="X34" s="15"/>
      <c r="Y34" s="15"/>
      <c r="Z34" s="15"/>
      <c r="AA34" s="15"/>
      <c r="AB34" s="168">
        <f t="shared" si="0"/>
        <v>18894.621366795094</v>
      </c>
      <c r="AC34" s="20">
        <f>SUM(AC32:AC33)</f>
        <v>177417.41452058183</v>
      </c>
      <c r="AF34" s="20">
        <f>SUM(AF32:AF33)</f>
        <v>501069.67756300006</v>
      </c>
      <c r="AJ34" s="21">
        <f>SUM(AJ32:AJ33)</f>
        <v>152460.96522020001</v>
      </c>
    </row>
    <row r="35" spans="1:38" x14ac:dyDescent="0.25">
      <c r="A35" s="10" t="s">
        <v>37</v>
      </c>
      <c r="B35" s="37">
        <v>13500</v>
      </c>
      <c r="D35" s="72"/>
      <c r="E35" s="72"/>
      <c r="F35" s="74"/>
      <c r="G35" s="75"/>
      <c r="H35" s="72"/>
      <c r="I35" s="76"/>
      <c r="J35" s="72"/>
      <c r="K35" s="263"/>
      <c r="L35" s="264"/>
      <c r="M35" s="248" t="s">
        <v>120</v>
      </c>
      <c r="N35" s="249"/>
      <c r="O35" s="249"/>
      <c r="P35" s="249"/>
      <c r="Q35" s="249"/>
      <c r="R35" s="249"/>
      <c r="S35" s="20">
        <f>$B$34*ShipTimeCalculation!$D$7</f>
        <v>87600</v>
      </c>
      <c r="T35" s="58"/>
      <c r="U35" s="14"/>
      <c r="V35" s="14"/>
      <c r="W35" s="15"/>
      <c r="X35" s="15"/>
      <c r="Y35" s="15"/>
      <c r="Z35" s="15"/>
      <c r="AA35" s="15"/>
      <c r="AB35" s="168"/>
      <c r="AC35" s="20">
        <f>$B$34*ShipTimeCalculation!$D$7</f>
        <v>87600</v>
      </c>
      <c r="AF35" s="20">
        <f>$B$34*ShipTimeCalculation!$D$7</f>
        <v>87600</v>
      </c>
      <c r="AJ35" s="21">
        <f>$B$34*ShipTimeCalculation!$D$7</f>
        <v>87600</v>
      </c>
    </row>
    <row r="36" spans="1:38" ht="13.8" thickBot="1" x14ac:dyDescent="0.3">
      <c r="B36" s="37"/>
      <c r="K36" s="263"/>
      <c r="L36" s="264"/>
      <c r="M36" s="248" t="s">
        <v>121</v>
      </c>
      <c r="N36" s="249"/>
      <c r="O36" s="249"/>
      <c r="P36" s="249"/>
      <c r="Q36" s="249"/>
      <c r="R36" s="249"/>
      <c r="S36" s="20">
        <f>$B$34*(ShipTimeCalculation!$D$18+ShipTimeCalculation!$D$29+ShipTimeCalculation!$D$37)</f>
        <v>262800</v>
      </c>
      <c r="T36" s="58"/>
      <c r="U36" s="14"/>
      <c r="V36" s="14"/>
      <c r="W36" s="15"/>
      <c r="X36" s="15"/>
      <c r="Y36" s="15"/>
      <c r="Z36" s="15"/>
      <c r="AA36" s="15"/>
      <c r="AB36" s="15"/>
      <c r="AC36" s="20">
        <f>$B$34*(ShipTimeCalculation!$D$18+ShipTimeCalculation!$D$29+ShipTimeCalculation!$D$37)</f>
        <v>262800</v>
      </c>
      <c r="AF36" s="20">
        <f>$B$34*(ShipTimeCalculation!$D$18+ShipTimeCalculation!$D$29+ShipTimeCalculation!$D$37)</f>
        <v>262800</v>
      </c>
      <c r="AJ36" s="21">
        <f>$B$34*(ShipTimeCalculation!$D$18+ShipTimeCalculation!$D$29+ShipTimeCalculation!$D$37)</f>
        <v>262800</v>
      </c>
    </row>
    <row r="37" spans="1:38" ht="20.399999999999999" customHeight="1" thickBot="1" x14ac:dyDescent="0.3">
      <c r="A37" s="155" t="s">
        <v>72</v>
      </c>
      <c r="B37" s="156" t="s">
        <v>69</v>
      </c>
      <c r="C37" s="157" t="s">
        <v>66</v>
      </c>
      <c r="D37" s="158" t="s">
        <v>67</v>
      </c>
      <c r="E37" s="159" t="s">
        <v>67</v>
      </c>
      <c r="F37" s="160" t="s">
        <v>74</v>
      </c>
      <c r="G37" s="161" t="s">
        <v>76</v>
      </c>
      <c r="K37" s="263"/>
      <c r="L37" s="264"/>
      <c r="M37" s="248" t="s">
        <v>122</v>
      </c>
      <c r="N37" s="249"/>
      <c r="O37" s="249"/>
      <c r="P37" s="249"/>
      <c r="Q37" s="249"/>
      <c r="R37" s="249"/>
      <c r="S37" s="20">
        <f>SUM(S35:S36)</f>
        <v>350400</v>
      </c>
      <c r="T37" s="58"/>
      <c r="U37" s="14"/>
      <c r="V37" s="14"/>
      <c r="W37" s="48"/>
      <c r="X37" s="48"/>
      <c r="Y37" s="48"/>
      <c r="Z37" s="48"/>
      <c r="AA37" s="48"/>
      <c r="AB37" s="38" t="s">
        <v>134</v>
      </c>
      <c r="AC37" s="20">
        <f>SUM(AC35:AC36)</f>
        <v>350400</v>
      </c>
      <c r="AD37" s="48"/>
      <c r="AE37" s="48"/>
      <c r="AF37" s="20">
        <f>SUM(AF35:AF36)</f>
        <v>350400</v>
      </c>
      <c r="AG37" s="48"/>
      <c r="AH37" s="48"/>
      <c r="AI37" s="48"/>
      <c r="AJ37" s="21">
        <f>SUM(AJ35:AJ36)</f>
        <v>350400</v>
      </c>
    </row>
    <row r="38" spans="1:38" ht="13.8" thickBot="1" x14ac:dyDescent="0.3">
      <c r="A38" s="254" t="s">
        <v>64</v>
      </c>
      <c r="B38" s="255"/>
      <c r="C38" s="82" t="s">
        <v>68</v>
      </c>
      <c r="D38" s="83" t="s">
        <v>68</v>
      </c>
      <c r="E38" s="85" t="s">
        <v>73</v>
      </c>
      <c r="F38" s="92" t="s">
        <v>77</v>
      </c>
      <c r="G38" s="93" t="s">
        <v>75</v>
      </c>
      <c r="K38" s="263"/>
      <c r="L38" s="264"/>
      <c r="M38" s="248" t="s">
        <v>123</v>
      </c>
      <c r="N38" s="249"/>
      <c r="O38" s="249"/>
      <c r="P38" s="249"/>
      <c r="Q38" s="249"/>
      <c r="R38" s="249"/>
      <c r="S38" s="24">
        <f>S34+S37</f>
        <v>546712.03588737687</v>
      </c>
      <c r="T38" s="58"/>
      <c r="U38" s="14"/>
      <c r="V38" s="14"/>
      <c r="W38" s="14"/>
      <c r="X38" s="14"/>
      <c r="Y38" s="14"/>
      <c r="Z38" s="14"/>
      <c r="AA38" s="14"/>
      <c r="AB38" s="168">
        <f>S38-AC38</f>
        <v>18894.621366795036</v>
      </c>
      <c r="AC38" s="24">
        <f>AC34+AC37</f>
        <v>527817.41452058183</v>
      </c>
      <c r="AE38" s="14"/>
      <c r="AF38" s="24">
        <f>AF34+AF37</f>
        <v>851469.677563</v>
      </c>
      <c r="AJ38" s="24">
        <f>AJ34+AJ37</f>
        <v>502860.96522020001</v>
      </c>
    </row>
    <row r="39" spans="1:38" x14ac:dyDescent="0.25">
      <c r="A39" s="238" t="s">
        <v>84</v>
      </c>
      <c r="B39" s="237"/>
      <c r="C39" s="125">
        <v>13.7</v>
      </c>
      <c r="D39" s="84">
        <v>11</v>
      </c>
      <c r="E39" s="101">
        <f>D39*3600</f>
        <v>39600</v>
      </c>
      <c r="F39" s="106">
        <v>5.5699999999999999E-5</v>
      </c>
      <c r="G39" s="107">
        <v>0.14399999999999999</v>
      </c>
      <c r="K39" s="13"/>
      <c r="L39" s="15"/>
      <c r="M39" s="15"/>
      <c r="N39" s="15"/>
      <c r="O39" s="15"/>
      <c r="P39" s="15"/>
      <c r="Q39" s="15"/>
      <c r="R39" s="15"/>
      <c r="S39" s="15"/>
      <c r="T39" s="144"/>
      <c r="U39" s="19"/>
      <c r="V39" s="19"/>
      <c r="W39" s="19"/>
      <c r="X39" s="19"/>
      <c r="Y39" s="19"/>
      <c r="Z39" s="19"/>
      <c r="AA39" s="19"/>
      <c r="AB39" s="19"/>
      <c r="AC39" s="19"/>
      <c r="AD39" s="19"/>
      <c r="AE39" s="19"/>
      <c r="AF39" s="19"/>
      <c r="AG39" s="19"/>
      <c r="AH39" s="19"/>
      <c r="AI39" s="19"/>
      <c r="AJ39" s="25"/>
    </row>
    <row r="40" spans="1:38" x14ac:dyDescent="0.25">
      <c r="A40" s="236" t="s">
        <v>65</v>
      </c>
      <c r="B40" s="237"/>
      <c r="C40" s="126">
        <v>45.5</v>
      </c>
      <c r="D40" s="77">
        <v>40</v>
      </c>
      <c r="E40" s="86">
        <f t="shared" ref="E40:E42" si="1">D40*3600</f>
        <v>144000</v>
      </c>
      <c r="F40" s="94">
        <v>5.3971000000000002E-5</v>
      </c>
      <c r="G40" s="89">
        <v>0.1</v>
      </c>
      <c r="K40" s="241" t="s">
        <v>133</v>
      </c>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3"/>
    </row>
    <row r="41" spans="1:38" ht="13.2" customHeight="1" x14ac:dyDescent="0.25">
      <c r="A41" s="238" t="s">
        <v>70</v>
      </c>
      <c r="B41" s="237"/>
      <c r="C41" s="126">
        <v>51</v>
      </c>
      <c r="D41" s="77">
        <v>44.8</v>
      </c>
      <c r="E41" s="102">
        <f t="shared" si="1"/>
        <v>161280</v>
      </c>
      <c r="F41" s="104">
        <v>5.3971000000000002E-5</v>
      </c>
      <c r="G41" s="105">
        <v>0.09</v>
      </c>
      <c r="K41" s="244"/>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3"/>
    </row>
    <row r="42" spans="1:38" ht="13.8" thickBot="1" x14ac:dyDescent="0.3">
      <c r="A42" s="239" t="s">
        <v>71</v>
      </c>
      <c r="B42" s="240"/>
      <c r="C42" s="127">
        <v>92</v>
      </c>
      <c r="D42" s="78">
        <v>73</v>
      </c>
      <c r="E42" s="87">
        <f t="shared" si="1"/>
        <v>262800</v>
      </c>
      <c r="F42" s="95">
        <v>1.88677E-4</v>
      </c>
      <c r="G42" s="90">
        <v>0.35499999999999998</v>
      </c>
      <c r="J42" s="80"/>
      <c r="K42" s="245"/>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7"/>
      <c r="AK42" s="145"/>
      <c r="AL42" s="145"/>
    </row>
    <row r="43" spans="1:38" ht="13.8" thickBot="1" x14ac:dyDescent="0.3">
      <c r="D43" s="72"/>
      <c r="E43" s="79"/>
      <c r="F43" s="75"/>
      <c r="G43" s="75"/>
      <c r="H43" s="75"/>
      <c r="I43" s="75"/>
      <c r="J43" s="81"/>
      <c r="T43" s="147"/>
      <c r="U43" s="146"/>
      <c r="V43" s="146"/>
      <c r="W43" s="148"/>
      <c r="X43" s="148"/>
      <c r="Y43" s="148"/>
      <c r="Z43" s="148"/>
      <c r="AA43" s="148"/>
      <c r="AB43" s="146"/>
      <c r="AC43" s="146"/>
      <c r="AD43" s="148"/>
      <c r="AE43" s="148"/>
      <c r="AF43" s="146"/>
      <c r="AG43" s="148"/>
      <c r="AH43" s="148"/>
      <c r="AI43" s="148"/>
      <c r="AJ43" s="146"/>
      <c r="AK43" s="145"/>
      <c r="AL43" s="145"/>
    </row>
    <row r="44" spans="1:38" x14ac:dyDescent="0.25">
      <c r="A44" s="162" t="s">
        <v>127</v>
      </c>
      <c r="B44" s="163"/>
      <c r="D44" s="72"/>
      <c r="E44" s="79"/>
      <c r="F44" s="75"/>
      <c r="G44" s="75"/>
      <c r="H44" s="75"/>
      <c r="I44" s="75"/>
      <c r="J44" s="81"/>
      <c r="T44" s="147"/>
      <c r="U44" s="146"/>
      <c r="V44" s="146"/>
      <c r="W44" s="146"/>
      <c r="X44" s="146"/>
      <c r="Y44" s="146"/>
      <c r="Z44" s="146"/>
      <c r="AA44" s="146"/>
      <c r="AB44" s="146"/>
      <c r="AC44" s="146"/>
      <c r="AD44" s="146"/>
      <c r="AE44" s="146"/>
      <c r="AF44" s="146"/>
      <c r="AG44" s="146"/>
      <c r="AH44" s="146"/>
      <c r="AI44" s="146"/>
      <c r="AJ44" s="146"/>
      <c r="AK44" s="145"/>
      <c r="AL44" s="145"/>
    </row>
    <row r="45" spans="1:38" x14ac:dyDescent="0.25">
      <c r="A45" s="88" t="s">
        <v>128</v>
      </c>
      <c r="B45" s="165">
        <v>650</v>
      </c>
      <c r="D45" s="72"/>
      <c r="E45" s="79"/>
      <c r="F45" s="75"/>
      <c r="G45" s="75"/>
      <c r="H45" s="75"/>
      <c r="I45" s="75"/>
      <c r="J45" s="81"/>
      <c r="K45" s="81"/>
      <c r="L45" s="15"/>
      <c r="N45" s="145"/>
      <c r="O45" s="145"/>
      <c r="P45" s="145"/>
      <c r="Q45" s="145"/>
      <c r="R45" s="149"/>
      <c r="S45" s="149"/>
      <c r="T45" s="150"/>
      <c r="U45" s="149"/>
      <c r="V45" s="149"/>
      <c r="W45" s="149"/>
      <c r="X45" s="149"/>
      <c r="Y45" s="149"/>
      <c r="Z45" s="149"/>
      <c r="AA45" s="149"/>
      <c r="AB45" s="149"/>
      <c r="AC45" s="149"/>
      <c r="AD45" s="149"/>
      <c r="AE45" s="149"/>
      <c r="AF45" s="149"/>
      <c r="AG45" s="149"/>
      <c r="AH45" s="149"/>
      <c r="AI45" s="149"/>
      <c r="AJ45" s="149"/>
      <c r="AK45" s="145"/>
      <c r="AL45" s="145"/>
    </row>
    <row r="46" spans="1:38" x14ac:dyDescent="0.25">
      <c r="A46" s="88" t="s">
        <v>129</v>
      </c>
      <c r="B46" s="165">
        <v>200</v>
      </c>
      <c r="E46" s="15"/>
      <c r="F46" s="46"/>
      <c r="G46" s="15"/>
      <c r="H46" s="15"/>
      <c r="I46" s="14"/>
      <c r="J46" s="14"/>
      <c r="K46" s="14"/>
      <c r="L46" s="15"/>
      <c r="N46" s="145"/>
      <c r="O46" s="145"/>
      <c r="P46" s="145"/>
      <c r="Q46" s="145"/>
      <c r="R46" s="145"/>
      <c r="S46" s="145"/>
      <c r="T46" s="151"/>
      <c r="U46" s="148"/>
      <c r="V46" s="148"/>
      <c r="W46" s="145"/>
      <c r="X46" s="145"/>
      <c r="Y46" s="145"/>
      <c r="Z46" s="145"/>
      <c r="AA46" s="145"/>
      <c r="AB46" s="145"/>
      <c r="AC46" s="145"/>
      <c r="AD46" s="148"/>
      <c r="AE46" s="152"/>
      <c r="AF46" s="145"/>
      <c r="AG46" s="148"/>
      <c r="AH46" s="148"/>
      <c r="AI46" s="148"/>
      <c r="AJ46" s="145"/>
      <c r="AK46" s="145"/>
      <c r="AL46" s="145"/>
    </row>
    <row r="47" spans="1:38" s="71" customFormat="1" x14ac:dyDescent="0.25">
      <c r="A47" s="88" t="s">
        <v>132</v>
      </c>
      <c r="B47" s="165">
        <v>142</v>
      </c>
      <c r="E47" s="15"/>
      <c r="F47" s="46"/>
      <c r="G47" s="15"/>
      <c r="H47" s="15"/>
      <c r="I47" s="14"/>
      <c r="J47" s="14"/>
      <c r="K47" s="14"/>
      <c r="L47" s="15"/>
      <c r="N47" s="145"/>
      <c r="O47" s="145"/>
      <c r="P47" s="145"/>
      <c r="Q47" s="145"/>
      <c r="R47" s="145"/>
      <c r="S47" s="145"/>
      <c r="T47" s="151"/>
      <c r="U47" s="148"/>
      <c r="V47" s="148"/>
      <c r="W47" s="145"/>
      <c r="X47" s="145"/>
      <c r="Y47" s="145"/>
      <c r="Z47" s="145"/>
      <c r="AA47" s="145"/>
      <c r="AB47" s="145"/>
      <c r="AC47" s="145"/>
      <c r="AD47" s="148"/>
      <c r="AE47" s="152"/>
      <c r="AF47" s="145"/>
      <c r="AG47" s="148"/>
      <c r="AH47" s="148"/>
      <c r="AI47" s="148"/>
      <c r="AJ47" s="145"/>
      <c r="AK47" s="145"/>
      <c r="AL47" s="145"/>
    </row>
    <row r="48" spans="1:38" x14ac:dyDescent="0.25">
      <c r="A48" s="88" t="s">
        <v>131</v>
      </c>
      <c r="B48" s="165">
        <v>280</v>
      </c>
      <c r="E48" s="71">
        <v>1.41</v>
      </c>
    </row>
    <row r="49" spans="1:35" ht="13.8" thickBot="1" x14ac:dyDescent="0.3">
      <c r="A49" s="166" t="s">
        <v>130</v>
      </c>
      <c r="B49" s="167">
        <v>300</v>
      </c>
      <c r="E49" s="196" t="s">
        <v>22</v>
      </c>
    </row>
    <row r="50" spans="1:35" ht="13.8" thickBot="1" x14ac:dyDescent="0.3">
      <c r="A50" s="91" t="s">
        <v>0</v>
      </c>
      <c r="B50" s="164">
        <f>SUM(B45:B49)</f>
        <v>1572</v>
      </c>
      <c r="E50" s="71">
        <v>0.93</v>
      </c>
      <c r="I50" s="39" t="s">
        <v>1</v>
      </c>
    </row>
    <row r="51" spans="1:35" x14ac:dyDescent="0.25">
      <c r="E51" s="71">
        <v>0.62</v>
      </c>
    </row>
    <row r="52" spans="1:35" x14ac:dyDescent="0.25">
      <c r="L52" s="71"/>
      <c r="M52" s="71"/>
      <c r="N52" s="71"/>
      <c r="O52" s="71"/>
      <c r="P52" s="71"/>
      <c r="Q52" s="71"/>
      <c r="R52" s="71"/>
      <c r="T52" s="10"/>
      <c r="U52" s="40"/>
      <c r="W52" s="39"/>
      <c r="AD52" s="10"/>
      <c r="AE52" s="14"/>
      <c r="AF52" s="17"/>
      <c r="AG52" s="71"/>
      <c r="AH52" s="10"/>
      <c r="AI52" s="71"/>
    </row>
    <row r="53" spans="1:35" x14ac:dyDescent="0.25">
      <c r="L53" s="71"/>
      <c r="M53" s="71"/>
      <c r="N53" s="71"/>
      <c r="O53" s="71"/>
      <c r="P53" s="71"/>
      <c r="Q53" s="71"/>
      <c r="R53" s="71"/>
      <c r="S53" s="20"/>
      <c r="T53" s="58"/>
      <c r="U53" s="14"/>
    </row>
    <row r="54" spans="1:35" x14ac:dyDescent="0.25">
      <c r="L54" s="71"/>
      <c r="M54" s="71"/>
      <c r="N54" s="71"/>
      <c r="O54" s="71"/>
      <c r="P54" s="71"/>
      <c r="Q54" s="71"/>
      <c r="R54" s="71"/>
      <c r="S54" s="20"/>
      <c r="T54" s="58"/>
      <c r="U54" s="14"/>
    </row>
    <row r="55" spans="1:35" x14ac:dyDescent="0.25">
      <c r="L55" s="71"/>
      <c r="M55" s="71"/>
      <c r="N55" s="71"/>
      <c r="O55" s="71"/>
      <c r="P55" s="71"/>
      <c r="Q55" s="71"/>
      <c r="R55" s="71"/>
      <c r="S55" s="20"/>
      <c r="T55" s="58"/>
      <c r="U55" s="14"/>
    </row>
    <row r="56" spans="1:35" x14ac:dyDescent="0.25">
      <c r="L56" s="71"/>
      <c r="M56" s="71"/>
      <c r="N56" s="71"/>
      <c r="O56" s="71"/>
      <c r="P56" s="71"/>
      <c r="Q56" s="71"/>
      <c r="R56" s="71"/>
    </row>
    <row r="57" spans="1:35" x14ac:dyDescent="0.25">
      <c r="L57" s="71"/>
      <c r="M57" s="71"/>
      <c r="N57" s="71"/>
      <c r="O57" s="71"/>
      <c r="P57" s="71"/>
      <c r="Q57" s="71"/>
      <c r="R57" s="71"/>
    </row>
    <row r="58" spans="1:35" x14ac:dyDescent="0.25">
      <c r="L58" s="71"/>
      <c r="M58" s="71"/>
      <c r="N58" s="71"/>
      <c r="O58" s="71"/>
      <c r="P58" s="71"/>
      <c r="Q58" s="71"/>
      <c r="R58" s="71"/>
    </row>
    <row r="59" spans="1:35" x14ac:dyDescent="0.25">
      <c r="L59" s="71"/>
      <c r="M59" s="71"/>
      <c r="N59" s="71"/>
      <c r="O59" s="71"/>
      <c r="P59" s="71"/>
      <c r="Q59" s="71"/>
      <c r="R59" s="71"/>
    </row>
    <row r="60" spans="1:35" x14ac:dyDescent="0.25">
      <c r="L60" s="71"/>
      <c r="M60" s="71"/>
      <c r="N60" s="71"/>
      <c r="O60" s="71"/>
      <c r="P60" s="71"/>
      <c r="Q60" s="71"/>
      <c r="R60" s="71"/>
    </row>
    <row r="61" spans="1:35" x14ac:dyDescent="0.25">
      <c r="L61" s="71"/>
      <c r="M61" s="71"/>
      <c r="N61" s="71"/>
      <c r="O61" s="71"/>
      <c r="P61" s="71"/>
      <c r="Q61" s="71"/>
      <c r="R61" s="71"/>
    </row>
    <row r="62" spans="1:35" x14ac:dyDescent="0.25">
      <c r="L62" s="71"/>
      <c r="M62" s="71"/>
      <c r="N62" s="71"/>
      <c r="O62" s="71"/>
      <c r="P62" s="71"/>
      <c r="Q62" s="71"/>
      <c r="R62" s="71"/>
    </row>
    <row r="63" spans="1:35" x14ac:dyDescent="0.25">
      <c r="L63" s="71"/>
      <c r="M63" s="71"/>
      <c r="N63" s="71"/>
      <c r="O63" s="71"/>
      <c r="P63" s="71"/>
      <c r="Q63" s="71"/>
      <c r="R63" s="71"/>
    </row>
  </sheetData>
  <mergeCells count="43">
    <mergeCell ref="M16:R16"/>
    <mergeCell ref="A20:B20"/>
    <mergeCell ref="K22:R22"/>
    <mergeCell ref="M26:R26"/>
    <mergeCell ref="M27:R27"/>
    <mergeCell ref="K23:L29"/>
    <mergeCell ref="A38:B38"/>
    <mergeCell ref="A39:B39"/>
    <mergeCell ref="M37:R37"/>
    <mergeCell ref="M23:R23"/>
    <mergeCell ref="M24:R24"/>
    <mergeCell ref="M25:R25"/>
    <mergeCell ref="M38:R38"/>
    <mergeCell ref="M28:R28"/>
    <mergeCell ref="M29:R29"/>
    <mergeCell ref="K31:R31"/>
    <mergeCell ref="K32:L38"/>
    <mergeCell ref="M32:R32"/>
    <mergeCell ref="M33:R33"/>
    <mergeCell ref="M34:R34"/>
    <mergeCell ref="M35:R35"/>
    <mergeCell ref="M36:R36"/>
    <mergeCell ref="U12:V14"/>
    <mergeCell ref="W12:AB12"/>
    <mergeCell ref="W13:AB13"/>
    <mergeCell ref="W14:AB14"/>
    <mergeCell ref="W16:AB16"/>
    <mergeCell ref="A40:B40"/>
    <mergeCell ref="A41:B41"/>
    <mergeCell ref="A42:B42"/>
    <mergeCell ref="K40:AJ42"/>
    <mergeCell ref="M9:R9"/>
    <mergeCell ref="K8:L10"/>
    <mergeCell ref="M10:R10"/>
    <mergeCell ref="K12:L14"/>
    <mergeCell ref="M12:R12"/>
    <mergeCell ref="M13:R13"/>
    <mergeCell ref="M14:R14"/>
    <mergeCell ref="M8:R8"/>
    <mergeCell ref="U8:V10"/>
    <mergeCell ref="W8:AB8"/>
    <mergeCell ref="W9:AB9"/>
    <mergeCell ref="W10:AB10"/>
  </mergeCells>
  <phoneticPr fontId="1" type="noConversion"/>
  <pageMargins left="0.75" right="0.75" top="1" bottom="1" header="0.5" footer="0.5"/>
  <pageSetup paperSize="17" scale="55"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39"/>
  <sheetViews>
    <sheetView workbookViewId="0">
      <selection activeCell="D7" sqref="D7"/>
    </sheetView>
  </sheetViews>
  <sheetFormatPr defaultRowHeight="13.2" x14ac:dyDescent="0.25"/>
  <cols>
    <col min="1" max="1" width="67" customWidth="1"/>
    <col min="2" max="2" width="11.33203125" customWidth="1"/>
    <col min="3" max="3" width="74" customWidth="1"/>
    <col min="4" max="4" width="11.33203125" customWidth="1"/>
  </cols>
  <sheetData>
    <row r="1" spans="1:4" ht="13.8" thickBot="1" x14ac:dyDescent="0.3">
      <c r="A1" s="266" t="s">
        <v>105</v>
      </c>
      <c r="B1" s="267"/>
      <c r="C1" s="266" t="s">
        <v>106</v>
      </c>
      <c r="D1" s="268"/>
    </row>
    <row r="2" spans="1:4" ht="13.8" thickBot="1" x14ac:dyDescent="0.3">
      <c r="A2" s="135" t="s">
        <v>116</v>
      </c>
      <c r="B2" s="139" t="s">
        <v>58</v>
      </c>
      <c r="C2" s="133"/>
      <c r="D2" s="68" t="s">
        <v>58</v>
      </c>
    </row>
    <row r="3" spans="1:4" x14ac:dyDescent="0.25">
      <c r="A3" t="s">
        <v>56</v>
      </c>
      <c r="B3">
        <v>0.5</v>
      </c>
      <c r="C3" s="69" t="s">
        <v>56</v>
      </c>
      <c r="D3" s="64">
        <v>0.5</v>
      </c>
    </row>
    <row r="4" spans="1:4" x14ac:dyDescent="0.25">
      <c r="A4" t="s">
        <v>57</v>
      </c>
      <c r="B4">
        <v>1</v>
      </c>
      <c r="C4" s="69" t="s">
        <v>57</v>
      </c>
      <c r="D4" s="64">
        <v>1</v>
      </c>
    </row>
    <row r="5" spans="1:4" x14ac:dyDescent="0.25">
      <c r="A5" s="128" t="s">
        <v>111</v>
      </c>
      <c r="B5">
        <v>1</v>
      </c>
      <c r="C5" s="70" t="s">
        <v>111</v>
      </c>
      <c r="D5" s="64">
        <v>1</v>
      </c>
    </row>
    <row r="6" spans="1:4" ht="13.8" thickBot="1" x14ac:dyDescent="0.3">
      <c r="A6" t="s">
        <v>56</v>
      </c>
      <c r="B6">
        <v>0.5</v>
      </c>
      <c r="C6" s="69" t="s">
        <v>56</v>
      </c>
      <c r="D6" s="64">
        <v>0.5</v>
      </c>
    </row>
    <row r="7" spans="1:4" ht="13.8" thickBot="1" x14ac:dyDescent="0.3">
      <c r="A7" s="129" t="s">
        <v>41</v>
      </c>
      <c r="B7" s="140">
        <f>SUM(B3:B6)</f>
        <v>3</v>
      </c>
      <c r="C7" s="141" t="s">
        <v>41</v>
      </c>
      <c r="D7" s="132">
        <f>SUM(D3:D6)</f>
        <v>3</v>
      </c>
    </row>
    <row r="8" spans="1:4" ht="13.8" thickBot="1" x14ac:dyDescent="0.3">
      <c r="A8" s="133" t="s">
        <v>117</v>
      </c>
      <c r="B8" s="134"/>
      <c r="C8" s="133"/>
      <c r="D8" s="136"/>
    </row>
    <row r="9" spans="1:4" x14ac:dyDescent="0.25">
      <c r="A9" t="s">
        <v>56</v>
      </c>
      <c r="B9">
        <v>0.5</v>
      </c>
      <c r="C9" s="69" t="s">
        <v>56</v>
      </c>
      <c r="D9" s="64">
        <v>0.5</v>
      </c>
    </row>
    <row r="10" spans="1:4" x14ac:dyDescent="0.25">
      <c r="A10" s="128" t="s">
        <v>107</v>
      </c>
      <c r="B10">
        <v>0.5</v>
      </c>
      <c r="C10" s="69" t="s">
        <v>63</v>
      </c>
      <c r="D10" s="64">
        <v>0.5</v>
      </c>
    </row>
    <row r="11" spans="1:4" x14ac:dyDescent="0.25">
      <c r="A11" t="s">
        <v>59</v>
      </c>
      <c r="B11">
        <v>0.5</v>
      </c>
      <c r="C11" s="70" t="s">
        <v>110</v>
      </c>
      <c r="D11" s="64">
        <v>1</v>
      </c>
    </row>
    <row r="12" spans="1:4" x14ac:dyDescent="0.25">
      <c r="A12" t="s">
        <v>56</v>
      </c>
      <c r="B12">
        <v>0.5</v>
      </c>
      <c r="C12" s="70" t="s">
        <v>109</v>
      </c>
      <c r="D12" s="64">
        <v>0.5</v>
      </c>
    </row>
    <row r="13" spans="1:4" x14ac:dyDescent="0.25">
      <c r="A13" s="128" t="s">
        <v>108</v>
      </c>
      <c r="C13" s="69" t="s">
        <v>56</v>
      </c>
      <c r="D13" s="64">
        <v>0.5</v>
      </c>
    </row>
    <row r="14" spans="1:4" x14ac:dyDescent="0.25">
      <c r="A14" t="s">
        <v>56</v>
      </c>
      <c r="B14">
        <v>0.5</v>
      </c>
      <c r="C14" s="69"/>
      <c r="D14" s="64"/>
    </row>
    <row r="15" spans="1:4" x14ac:dyDescent="0.25">
      <c r="A15" t="s">
        <v>60</v>
      </c>
      <c r="B15">
        <v>0.5</v>
      </c>
      <c r="C15" s="69"/>
      <c r="D15" s="64"/>
    </row>
    <row r="16" spans="1:4" x14ac:dyDescent="0.25">
      <c r="A16" t="s">
        <v>61</v>
      </c>
      <c r="B16">
        <v>0.5</v>
      </c>
      <c r="C16" s="69"/>
      <c r="D16" s="64"/>
    </row>
    <row r="17" spans="1:4" ht="13.8" thickBot="1" x14ac:dyDescent="0.3">
      <c r="A17" t="s">
        <v>56</v>
      </c>
      <c r="B17">
        <v>0.5</v>
      </c>
      <c r="C17" s="69"/>
      <c r="D17" s="64"/>
    </row>
    <row r="18" spans="1:4" ht="13.8" thickBot="1" x14ac:dyDescent="0.3">
      <c r="A18" s="129" t="s">
        <v>41</v>
      </c>
      <c r="B18" s="140">
        <f>SUM(B9:B17)</f>
        <v>4</v>
      </c>
      <c r="C18" s="141" t="s">
        <v>41</v>
      </c>
      <c r="D18" s="132">
        <f>SUM(D9:D17)</f>
        <v>3</v>
      </c>
    </row>
    <row r="19" spans="1:4" ht="13.8" thickBot="1" x14ac:dyDescent="0.3">
      <c r="A19" s="133" t="s">
        <v>118</v>
      </c>
      <c r="B19" s="134"/>
      <c r="C19" s="133"/>
      <c r="D19" s="136"/>
    </row>
    <row r="20" spans="1:4" x14ac:dyDescent="0.25">
      <c r="A20" t="s">
        <v>56</v>
      </c>
      <c r="B20">
        <v>0.5</v>
      </c>
      <c r="C20" s="69" t="s">
        <v>56</v>
      </c>
      <c r="D20" s="64">
        <v>0.5</v>
      </c>
    </row>
    <row r="21" spans="1:4" x14ac:dyDescent="0.25">
      <c r="A21" s="128" t="s">
        <v>107</v>
      </c>
      <c r="B21">
        <v>0.5</v>
      </c>
      <c r="C21" s="69" t="s">
        <v>63</v>
      </c>
      <c r="D21" s="64">
        <v>0.5</v>
      </c>
    </row>
    <row r="22" spans="1:4" x14ac:dyDescent="0.25">
      <c r="A22" t="s">
        <v>59</v>
      </c>
      <c r="B22">
        <v>0.5</v>
      </c>
      <c r="C22" s="70" t="s">
        <v>110</v>
      </c>
      <c r="D22" s="64">
        <v>1</v>
      </c>
    </row>
    <row r="23" spans="1:4" x14ac:dyDescent="0.25">
      <c r="A23" t="s">
        <v>56</v>
      </c>
      <c r="B23">
        <v>0.5</v>
      </c>
      <c r="C23" s="70" t="s">
        <v>109</v>
      </c>
      <c r="D23" s="64">
        <v>0.5</v>
      </c>
    </row>
    <row r="24" spans="1:4" x14ac:dyDescent="0.25">
      <c r="A24" s="128" t="s">
        <v>108</v>
      </c>
      <c r="C24" s="69" t="s">
        <v>56</v>
      </c>
      <c r="D24" s="64">
        <v>0.5</v>
      </c>
    </row>
    <row r="25" spans="1:4" x14ac:dyDescent="0.25">
      <c r="A25" t="s">
        <v>56</v>
      </c>
      <c r="B25">
        <v>0.5</v>
      </c>
      <c r="C25" s="69"/>
      <c r="D25" s="64"/>
    </row>
    <row r="26" spans="1:4" x14ac:dyDescent="0.25">
      <c r="A26" t="s">
        <v>60</v>
      </c>
      <c r="B26">
        <v>0.5</v>
      </c>
      <c r="C26" s="69"/>
      <c r="D26" s="64"/>
    </row>
    <row r="27" spans="1:4" x14ac:dyDescent="0.25">
      <c r="A27" t="s">
        <v>61</v>
      </c>
      <c r="B27">
        <v>0.5</v>
      </c>
      <c r="C27" s="69"/>
      <c r="D27" s="64"/>
    </row>
    <row r="28" spans="1:4" ht="13.8" thickBot="1" x14ac:dyDescent="0.3">
      <c r="A28" t="s">
        <v>56</v>
      </c>
      <c r="B28">
        <v>0.5</v>
      </c>
      <c r="C28" s="69"/>
      <c r="D28" s="64"/>
    </row>
    <row r="29" spans="1:4" ht="13.8" thickBot="1" x14ac:dyDescent="0.3">
      <c r="A29" s="129" t="s">
        <v>41</v>
      </c>
      <c r="B29" s="140">
        <f>SUM(B20:B28)</f>
        <v>4</v>
      </c>
      <c r="C29" s="141" t="s">
        <v>41</v>
      </c>
      <c r="D29" s="132">
        <f>SUM(D20:D28)</f>
        <v>3</v>
      </c>
    </row>
    <row r="30" spans="1:4" ht="13.8" thickBot="1" x14ac:dyDescent="0.3">
      <c r="A30" s="133" t="s">
        <v>119</v>
      </c>
      <c r="B30" s="134"/>
      <c r="C30" s="133"/>
      <c r="D30" s="136"/>
    </row>
    <row r="31" spans="1:4" x14ac:dyDescent="0.25">
      <c r="A31" t="s">
        <v>56</v>
      </c>
      <c r="B31">
        <v>0.5</v>
      </c>
      <c r="C31" s="69" t="s">
        <v>56</v>
      </c>
      <c r="D31" s="64">
        <v>0.5</v>
      </c>
    </row>
    <row r="32" spans="1:4" x14ac:dyDescent="0.25">
      <c r="A32" s="128" t="s">
        <v>112</v>
      </c>
      <c r="B32">
        <v>0.5</v>
      </c>
      <c r="C32" s="70" t="s">
        <v>112</v>
      </c>
      <c r="D32" s="64">
        <v>0.5</v>
      </c>
    </row>
    <row r="33" spans="1:4" x14ac:dyDescent="0.25">
      <c r="A33" s="128" t="s">
        <v>113</v>
      </c>
      <c r="B33">
        <v>0.5</v>
      </c>
      <c r="C33" s="70" t="s">
        <v>113</v>
      </c>
      <c r="D33" s="64">
        <v>0.5</v>
      </c>
    </row>
    <row r="34" spans="1:4" x14ac:dyDescent="0.25">
      <c r="A34" s="128" t="s">
        <v>114</v>
      </c>
      <c r="B34">
        <v>0.5</v>
      </c>
      <c r="C34" s="70" t="s">
        <v>114</v>
      </c>
      <c r="D34" s="64">
        <v>0.5</v>
      </c>
    </row>
    <row r="35" spans="1:4" x14ac:dyDescent="0.25">
      <c r="A35" s="128" t="s">
        <v>115</v>
      </c>
      <c r="B35">
        <v>0.5</v>
      </c>
      <c r="C35" s="70" t="s">
        <v>115</v>
      </c>
      <c r="D35" s="64">
        <v>0.5</v>
      </c>
    </row>
    <row r="36" spans="1:4" ht="13.8" thickBot="1" x14ac:dyDescent="0.3">
      <c r="A36" t="s">
        <v>56</v>
      </c>
      <c r="B36">
        <v>0.5</v>
      </c>
      <c r="C36" s="69" t="s">
        <v>56</v>
      </c>
      <c r="D36" s="64">
        <v>0.5</v>
      </c>
    </row>
    <row r="37" spans="1:4" ht="13.8" thickBot="1" x14ac:dyDescent="0.3">
      <c r="A37" s="131" t="s">
        <v>41</v>
      </c>
      <c r="B37" s="137">
        <f>SUM(B31:B36)</f>
        <v>3</v>
      </c>
      <c r="C37" s="142" t="s">
        <v>41</v>
      </c>
      <c r="D37" s="47">
        <f>SUM(D31:D36)</f>
        <v>3</v>
      </c>
    </row>
    <row r="38" spans="1:4" ht="13.8" thickBot="1" x14ac:dyDescent="0.3">
      <c r="A38" s="130"/>
      <c r="B38" s="41"/>
      <c r="C38" s="143"/>
      <c r="D38" s="65"/>
    </row>
    <row r="39" spans="1:4" ht="13.8" thickBot="1" x14ac:dyDescent="0.3">
      <c r="A39" s="170" t="s">
        <v>62</v>
      </c>
      <c r="B39" s="169">
        <f>SUM(B7,B18,B29,B37)</f>
        <v>14</v>
      </c>
      <c r="C39" s="170" t="s">
        <v>62</v>
      </c>
      <c r="D39" s="138">
        <f>SUM(D7,D18,D29,D37)</f>
        <v>12</v>
      </c>
    </row>
  </sheetData>
  <mergeCells count="2">
    <mergeCell ref="A1:B1"/>
    <mergeCell ref="C1:D1"/>
  </mergeCells>
  <phoneticPr fontId="1" type="noConversion"/>
  <pageMargins left="0.75" right="0.75" top="1" bottom="1" header="0.5" footer="0.5"/>
  <pageSetup paperSize="17"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6"/>
  <sheetViews>
    <sheetView workbookViewId="0">
      <selection activeCell="M44" sqref="M43:M44"/>
    </sheetView>
  </sheetViews>
  <sheetFormatPr defaultRowHeight="13.2" x14ac:dyDescent="0.25"/>
  <cols>
    <col min="2" max="2" width="22.6640625" customWidth="1"/>
  </cols>
  <sheetData>
    <row r="1" spans="2:4" ht="13.8" thickBot="1" x14ac:dyDescent="0.3">
      <c r="C1" s="186"/>
      <c r="D1" s="186"/>
    </row>
    <row r="2" spans="2:4" ht="13.8" thickBot="1" x14ac:dyDescent="0.3">
      <c r="B2" s="220" t="s">
        <v>172</v>
      </c>
      <c r="C2" s="221" t="s">
        <v>181</v>
      </c>
      <c r="D2" s="222" t="s">
        <v>182</v>
      </c>
    </row>
    <row r="3" spans="2:4" x14ac:dyDescent="0.25">
      <c r="B3" s="217" t="s">
        <v>168</v>
      </c>
      <c r="C3" s="218">
        <f>MuceBatteryPower!N4</f>
        <v>754.81832483749997</v>
      </c>
      <c r="D3" s="219">
        <f>MuceBatteryPower!O4</f>
        <v>-55.66167516249994</v>
      </c>
    </row>
    <row r="4" spans="2:4" x14ac:dyDescent="0.25">
      <c r="B4" s="211" t="s">
        <v>169</v>
      </c>
      <c r="C4" s="200">
        <v>906</v>
      </c>
      <c r="D4" s="212">
        <v>783</v>
      </c>
    </row>
    <row r="5" spans="2:4" ht="13.8" thickBot="1" x14ac:dyDescent="0.3">
      <c r="B5" s="213" t="s">
        <v>170</v>
      </c>
      <c r="C5" s="204">
        <v>309</v>
      </c>
      <c r="D5" s="206">
        <v>98</v>
      </c>
    </row>
    <row r="6" spans="2:4" ht="13.8" thickBot="1" x14ac:dyDescent="0.3">
      <c r="B6" s="216" t="s">
        <v>0</v>
      </c>
      <c r="C6" s="214">
        <f>SUM(C3:C5)</f>
        <v>1969.8183248374999</v>
      </c>
      <c r="D6" s="215">
        <f>SUM(D3:D5)</f>
        <v>825.33832483750007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
  <sheetViews>
    <sheetView workbookViewId="0">
      <selection activeCell="K22" sqref="K22"/>
    </sheetView>
  </sheetViews>
  <sheetFormatPr defaultRowHeight="13.2" x14ac:dyDescent="0.25"/>
  <cols>
    <col min="2" max="2" width="11.6640625" customWidth="1"/>
    <col min="3" max="3" width="12.33203125" customWidth="1"/>
    <col min="4" max="4" width="14.77734375" customWidth="1"/>
    <col min="5" max="5" width="13.5546875" customWidth="1"/>
  </cols>
  <sheetData>
    <row r="1" spans="2:5" x14ac:dyDescent="0.25">
      <c r="B1" t="s">
        <v>176</v>
      </c>
    </row>
    <row r="2" spans="2:5" ht="13.8" thickBot="1" x14ac:dyDescent="0.3"/>
    <row r="3" spans="2:5" s="195" customFormat="1" ht="98.4" customHeight="1" x14ac:dyDescent="0.25">
      <c r="B3" s="207" t="s">
        <v>179</v>
      </c>
      <c r="C3" s="208" t="s">
        <v>177</v>
      </c>
      <c r="D3" s="208" t="s">
        <v>180</v>
      </c>
      <c r="E3" s="209" t="s">
        <v>178</v>
      </c>
    </row>
    <row r="4" spans="2:5" x14ac:dyDescent="0.25">
      <c r="B4" s="201">
        <v>1</v>
      </c>
      <c r="C4" s="198">
        <v>7</v>
      </c>
      <c r="D4" s="210">
        <v>162000</v>
      </c>
      <c r="E4" s="202">
        <v>1852</v>
      </c>
    </row>
    <row r="5" spans="2:5" x14ac:dyDescent="0.25">
      <c r="B5" s="201">
        <v>1.3</v>
      </c>
      <c r="C5" s="198">
        <v>7</v>
      </c>
      <c r="D5" s="199">
        <v>171000</v>
      </c>
      <c r="E5" s="202">
        <v>1874</v>
      </c>
    </row>
    <row r="6" spans="2:5" x14ac:dyDescent="0.25">
      <c r="B6" s="201">
        <v>2</v>
      </c>
      <c r="C6" s="198">
        <v>8</v>
      </c>
      <c r="D6" s="199">
        <v>196000</v>
      </c>
      <c r="E6" s="202">
        <v>1970</v>
      </c>
    </row>
    <row r="7" spans="2:5" ht="13.8" thickBot="1" x14ac:dyDescent="0.3">
      <c r="B7" s="203">
        <v>2.2000000000000002</v>
      </c>
      <c r="C7" s="204">
        <v>9</v>
      </c>
      <c r="D7" s="205">
        <v>206000</v>
      </c>
      <c r="E7" s="206">
        <v>2030</v>
      </c>
    </row>
    <row r="8" spans="2:5" x14ac:dyDescent="0.25">
      <c r="B8" s="197"/>
    </row>
    <row r="9" spans="2:5" x14ac:dyDescent="0.25">
      <c r="B9" s="197"/>
    </row>
    <row r="10" spans="2:5" x14ac:dyDescent="0.25">
      <c r="B10" s="19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Charts</vt:lpstr>
      </vt:variant>
      <vt:variant>
        <vt:i4>1</vt:i4>
      </vt:variant>
    </vt:vector>
  </HeadingPairs>
  <TitlesOfParts>
    <vt:vector size="6" baseType="lpstr">
      <vt:lpstr>MOOSCostSummary</vt:lpstr>
      <vt:lpstr>MuceBatteryPower</vt:lpstr>
      <vt:lpstr>ShipTimeCalculation</vt:lpstr>
      <vt:lpstr>EstimatedWeight</vt:lpstr>
      <vt:lpstr>Illustrations</vt:lpstr>
      <vt:lpstr>BatteryPowerChart</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chma</dc:creator>
  <cp:lastModifiedBy>chma</cp:lastModifiedBy>
  <cp:lastPrinted>2014-01-15T20:21:29Z</cp:lastPrinted>
  <dcterms:created xsi:type="dcterms:W3CDTF">2011-05-03T22:41:56Z</dcterms:created>
  <dcterms:modified xsi:type="dcterms:W3CDTF">2014-07-31T03:51:35Z</dcterms:modified>
</cp:coreProperties>
</file>