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64" windowWidth="17340" windowHeight="13320" tabRatio="832"/>
  </bookViews>
  <sheets>
    <sheet name="MuceBatteryPower" sheetId="3" r:id="rId1"/>
    <sheet name="BatteryPakData" sheetId="18" r:id="rId2"/>
    <sheet name="BatteryPwrChartByInst" sheetId="15" r:id="rId3"/>
    <sheet name="BatteryPwrChartByVoltage" sheetId="19" r:id="rId4"/>
    <sheet name="BatteryPwrChartByVoltage (2)" sheetId="20" r:id="rId5"/>
    <sheet name="EstimatedWeight" sheetId="16" r:id="rId6"/>
    <sheet name="Illustrations" sheetId="17" r:id="rId7"/>
    <sheet name="SystemVoltages" sheetId="21" r:id="rId8"/>
    <sheet name="EnergyMarginIllus" sheetId="22" r:id="rId9"/>
  </sheets>
  <calcPr calcId="145621"/>
</workbook>
</file>

<file path=xl/calcChain.xml><?xml version="1.0" encoding="utf-8"?>
<calcChain xmlns="http://schemas.openxmlformats.org/spreadsheetml/2006/main">
  <c r="F13" i="3" l="1"/>
  <c r="F22" i="3"/>
  <c r="H6" i="3" l="1"/>
  <c r="H7" i="3" s="1"/>
  <c r="G9" i="3"/>
  <c r="E35" i="3"/>
  <c r="G13" i="3"/>
  <c r="H13" i="3" s="1"/>
  <c r="I13" i="3" s="1"/>
  <c r="I14" i="3" s="1"/>
  <c r="B81" i="3"/>
  <c r="B79" i="3"/>
  <c r="D81" i="3"/>
  <c r="B45" i="3"/>
  <c r="B44" i="3"/>
  <c r="B43" i="3"/>
  <c r="B46" i="3"/>
  <c r="D20" i="3"/>
  <c r="F21" i="3"/>
  <c r="F71" i="3"/>
  <c r="C33" i="3"/>
  <c r="F70" i="3"/>
  <c r="F23" i="3"/>
  <c r="F27" i="3" s="1"/>
  <c r="F28" i="3" s="1"/>
  <c r="G28" i="3" s="1"/>
  <c r="H28" i="3" s="1"/>
  <c r="J6" i="3" s="1"/>
  <c r="G22" i="3"/>
  <c r="H22" i="3"/>
  <c r="I22" i="3" s="1"/>
  <c r="I23" i="3" s="1"/>
  <c r="C31" i="3"/>
  <c r="C32" i="3"/>
  <c r="N12" i="18"/>
  <c r="N11" i="18"/>
  <c r="Q9" i="18"/>
  <c r="Q8" i="18"/>
  <c r="Q7" i="18"/>
  <c r="Q6" i="18"/>
  <c r="N9" i="18"/>
  <c r="N8" i="18"/>
  <c r="N7" i="18"/>
  <c r="N6" i="18"/>
  <c r="B56" i="3"/>
  <c r="F68" i="3"/>
  <c r="F67" i="3"/>
  <c r="C34" i="3"/>
  <c r="F66" i="3"/>
  <c r="D14" i="3"/>
  <c r="D15" i="3"/>
  <c r="D16" i="3"/>
  <c r="D17" i="3"/>
  <c r="D18" i="3"/>
  <c r="D3" i="3"/>
  <c r="D19" i="3"/>
  <c r="D28" i="3"/>
  <c r="H9" i="3" l="1"/>
  <c r="I9" i="3" s="1"/>
  <c r="I10" i="3" s="1"/>
  <c r="I28" i="3"/>
  <c r="N5" i="3"/>
  <c r="N6" i="3" s="1"/>
  <c r="Q6" i="3" s="1"/>
  <c r="K6" i="3"/>
  <c r="P6" i="3" s="1"/>
  <c r="P4" i="3" s="1"/>
  <c r="D3" i="16" s="1"/>
  <c r="D8" i="16" s="1"/>
  <c r="M6" i="3"/>
  <c r="I26" i="3"/>
  <c r="D32" i="3"/>
  <c r="F32" i="3" s="1"/>
  <c r="D34" i="3"/>
  <c r="F34" i="3" s="1"/>
  <c r="L6" i="3"/>
  <c r="R6" i="3" s="1"/>
  <c r="O6" i="3" l="1"/>
  <c r="O4" i="3" s="1"/>
  <c r="C3" i="16" s="1"/>
  <c r="C8" i="16" s="1"/>
  <c r="D33" i="3"/>
  <c r="F33" i="3" s="1"/>
  <c r="D31" i="3"/>
  <c r="F31" i="3" s="1"/>
  <c r="S6" i="3"/>
  <c r="T12" i="3" s="1"/>
  <c r="T6" i="3"/>
  <c r="T8" i="3" l="1"/>
  <c r="T9" i="3"/>
  <c r="T10" i="3" s="1"/>
  <c r="T13" i="3"/>
  <c r="T14" i="3"/>
  <c r="T16" i="3" s="1"/>
</calcChain>
</file>

<file path=xl/comments1.xml><?xml version="1.0" encoding="utf-8"?>
<comments xmlns="http://schemas.openxmlformats.org/spreadsheetml/2006/main">
  <authors>
    <author>chma</author>
  </authors>
  <commentList>
    <comment ref="H5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Using Ocean Batteries Li cells @ $750 ea.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Note: redid calculation based on actual cell -pack density.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Roberto calculation is 1.41 Wh. I had 1.25 Wh from ??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Measured all 3 units running w current probe 0.2A @ PS 36V. Divided by 3 = 2.4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All ADCP loads running at 44 volts measured w/ 5 minute integration.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Used these values.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Measured all 12 Volt loads except modem.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Orginal estimate.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Actual measured value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SCPI battery pak quote = $28 per battery (D)
ElectroChem = $75 per battery (DD). Benthic R. $71.</t>
        </r>
      </text>
    </comment>
    <comment ref="A42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Assume 15 seconds for 1 kByte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40% is 248 cells per sphere. 38.7% (240 cells) is a proven number w/equal size packs. NOTE: changed calculation from packing factor to use 112 DD cells per sphere - an existing pak size.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Number from Paul from Benthic Rover testing. Old number I had was 82Wh from unknown derating.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Estimated from Paul's use of FAWM-8-PENT-R/A on MOBB</t>
        </r>
      </text>
    </comment>
  </commentList>
</comments>
</file>

<file path=xl/comments2.xml><?xml version="1.0" encoding="utf-8"?>
<comments xmlns="http://schemas.openxmlformats.org/spreadsheetml/2006/main">
  <authors>
    <author>chma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from: http://www.candlepowerforums.com/vb/showthread.php?64660-Alkaline-Battery-Shoot-Out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At low discharge rates the temperature effect on capacity is minimized.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Optimised for low discharge (4mA)</t>
        </r>
      </text>
    </comment>
  </commentList>
</comments>
</file>

<file path=xl/sharedStrings.xml><?xml version="1.0" encoding="utf-8"?>
<sst xmlns="http://schemas.openxmlformats.org/spreadsheetml/2006/main" count="253" uniqueCount="203">
  <si>
    <t>Total</t>
  </si>
  <si>
    <t xml:space="preserve"> </t>
  </si>
  <si>
    <t>Continous duty current (A)</t>
  </si>
  <si>
    <t>Nominal Voltage</t>
  </si>
  <si>
    <t>Continous duty Watts</t>
  </si>
  <si>
    <t>Joules per week</t>
  </si>
  <si>
    <t>Joules per period</t>
  </si>
  <si>
    <t>Cost of housing (see B30)</t>
  </si>
  <si>
    <t>Lithium disposal cost</t>
  </si>
  <si>
    <t>Lithium initial cost</t>
  </si>
  <si>
    <t>Lithium recurring cost</t>
  </si>
  <si>
    <t>MUCE BIN total power</t>
  </si>
  <si>
    <t>ADC 10 (Volts)</t>
  </si>
  <si>
    <t>ADC 11 (Amps)</t>
  </si>
  <si>
    <t>Instruments</t>
  </si>
  <si>
    <t>Nortek Aquadopp</t>
  </si>
  <si>
    <t>WetLabs Triplet</t>
  </si>
  <si>
    <t>SBE19+ w/pump</t>
  </si>
  <si>
    <t>Transmissometer</t>
  </si>
  <si>
    <t>Seapoint backscatter</t>
  </si>
  <si>
    <t>Anderra O2</t>
  </si>
  <si>
    <t>Instruments alone</t>
  </si>
  <si>
    <t>total</t>
  </si>
  <si>
    <t>Instruments + data logger</t>
  </si>
  <si>
    <t>Lithium disposal cost m^3</t>
  </si>
  <si>
    <t>Pt. Sur day rate</t>
  </si>
  <si>
    <t>Western Flyer/Tiburon day rate</t>
  </si>
  <si>
    <t>Pt. Lobos/Ventana day rate</t>
  </si>
  <si>
    <t>cost of Al housing per m^3</t>
  </si>
  <si>
    <t>cost of glass housing m^3</t>
  </si>
  <si>
    <t>Number of Benthos glass spheres</t>
  </si>
  <si>
    <t>Glass sphere packing factor</t>
  </si>
  <si>
    <t>cost of glass housing ea.</t>
  </si>
  <si>
    <t>Air weight of batteries and spheres kg</t>
  </si>
  <si>
    <t>Water weight of batteries and spheres kg</t>
  </si>
  <si>
    <t>kW Hours per period</t>
  </si>
  <si>
    <t>Glass sphere volume ^m</t>
  </si>
  <si>
    <t>Battery Type</t>
  </si>
  <si>
    <t>Lithium D Cell - Primary, SAFT LSH20</t>
  </si>
  <si>
    <t>25 C</t>
  </si>
  <si>
    <t>0 C</t>
  </si>
  <si>
    <t>Wh</t>
  </si>
  <si>
    <t>Temp. derate</t>
  </si>
  <si>
    <t>Lithium DD Cell - Primary, SAFT M 62 (Li-MnO2)</t>
  </si>
  <si>
    <t>Battery energy @ ~ 30mA rate</t>
  </si>
  <si>
    <t>Joules</t>
  </si>
  <si>
    <t>Volume</t>
  </si>
  <si>
    <t>in kg</t>
  </si>
  <si>
    <t>Mass each</t>
  </si>
  <si>
    <t>m^3</t>
  </si>
  <si>
    <t>Weight of cells in kg</t>
  </si>
  <si>
    <t>Estimate based on BIN power readings</t>
  </si>
  <si>
    <t>Total volume of Lithium cells m^3 in pak</t>
  </si>
  <si>
    <t>Cost of Lithium cells (in pak).</t>
  </si>
  <si>
    <t>RDI ADCP 1 min (30Wh) (300kHz)</t>
  </si>
  <si>
    <t>Other Major Variables</t>
  </si>
  <si>
    <t>No Spare Battery Pack</t>
  </si>
  <si>
    <t>Battery cost for year 1 (deployment)</t>
  </si>
  <si>
    <t>Battery cost for year 2 (service 1&amp;2)</t>
  </si>
  <si>
    <t>Battery cost total</t>
  </si>
  <si>
    <t>With Partial Spare Battery Pack (note 1)</t>
  </si>
  <si>
    <t>Battery cost with full spares (note 1) total</t>
  </si>
  <si>
    <t>Lithium Batteries</t>
  </si>
  <si>
    <t>Energy estimate based on individual power readings</t>
  </si>
  <si>
    <t>lbs. air</t>
  </si>
  <si>
    <t>lbs. water</t>
  </si>
  <si>
    <t>Glass balls</t>
  </si>
  <si>
    <t>Hard hat</t>
  </si>
  <si>
    <t>penetrator and cable whip</t>
  </si>
  <si>
    <t>Ti vacuum port</t>
  </si>
  <si>
    <t>Penetrator drilling and flat</t>
  </si>
  <si>
    <t>Battery and housing weight</t>
  </si>
  <si>
    <t>BIN weight</t>
  </si>
  <si>
    <t>Watts</t>
  </si>
  <si>
    <t>Estimated weight in Lbs.</t>
  </si>
  <si>
    <t>Presentation Material</t>
  </si>
  <si>
    <t>Number of Battery Spheres Necessary</t>
  </si>
  <si>
    <t>Estimated Total Deployment Weight (lbs.)</t>
  </si>
  <si>
    <t>Workhorse ADCP Power Levels in Wh (each of 3 units)</t>
  </si>
  <si>
    <t>Total System Battery Cost (3 X 6 months)</t>
  </si>
  <si>
    <t>Air</t>
  </si>
  <si>
    <t>Water</t>
  </si>
  <si>
    <t>Specific Energy Density @ 0 C</t>
  </si>
  <si>
    <t>cc per Wh</t>
  </si>
  <si>
    <t>Cost Each</t>
  </si>
  <si>
    <t>PN</t>
  </si>
  <si>
    <t>D</t>
  </si>
  <si>
    <t>DD</t>
  </si>
  <si>
    <t>Nominal Size</t>
  </si>
  <si>
    <t>Length</t>
  </si>
  <si>
    <t>Diameter</t>
  </si>
  <si>
    <t>RayOVac MAX 813FT or equivalent</t>
  </si>
  <si>
    <t>Alkaline</t>
  </si>
  <si>
    <t>SAFT LSH20</t>
  </si>
  <si>
    <t>SAFT LS33600</t>
  </si>
  <si>
    <t>SAFT M 62</t>
  </si>
  <si>
    <t>Rated Discharge Current</t>
  </si>
  <si>
    <t>Cost per 60 unit pack*</t>
  </si>
  <si>
    <t xml:space="preserve">* Purchase schedule = 4 packs (2 packs DD) in 2014, 60 packs (30 packs DD) in 2015 and 32 packs (16 packs DD) in 2016 </t>
  </si>
  <si>
    <t>3B0036-PH</t>
  </si>
  <si>
    <t>Open Circuit Voltage</t>
  </si>
  <si>
    <t>Volts</t>
  </si>
  <si>
    <t>Amperes</t>
  </si>
  <si>
    <t>Rated Capacity</t>
  </si>
  <si>
    <t>Ah</t>
  </si>
  <si>
    <t>Electro-Chem spiral wound CSC93DD</t>
  </si>
  <si>
    <t>SAFT Lithium Bobbin wound Li-SOCl2</t>
  </si>
  <si>
    <t>SAFT Lithium spiral wound Li-SOCl2</t>
  </si>
  <si>
    <t>SAFT Lithium Li-MnO2</t>
  </si>
  <si>
    <t>TL-4930</t>
  </si>
  <si>
    <t>TL-5930</t>
  </si>
  <si>
    <t>Tadiran Bobbin wound Li-SOCl2</t>
  </si>
  <si>
    <t>Max. Cont. Current</t>
  </si>
  <si>
    <t>TL-5937</t>
  </si>
  <si>
    <t>Temp. derate 0 C Ah @ 10.0 mA</t>
  </si>
  <si>
    <t>26 @ 0.25A</t>
  </si>
  <si>
    <t>Joules per cell</t>
  </si>
  <si>
    <t>Joules per Sphere</t>
  </si>
  <si>
    <t>Wh per Sphere</t>
  </si>
  <si>
    <t>2</t>
  </si>
  <si>
    <t>Lithium battery cost in pak (estimate)</t>
  </si>
  <si>
    <t>Lithium DD Cell - Electro-Chem 3B0036 (Electrochem)</t>
  </si>
  <si>
    <t>Lithium DD Cell - Electro-Chem 3B0076 (BatterySpecialties)</t>
  </si>
  <si>
    <t>Lithium battery cost in pak (Eletrochem/BatSpec)</t>
  </si>
  <si>
    <t>Lithium battery cost in pak (Saft/BatSpec)</t>
  </si>
  <si>
    <t>Lithium D Cell - SAFT LS33600 (Li-SOCl2) (Battery Specialties)</t>
  </si>
  <si>
    <t>Wh measured value (using power meter, 5 min. integration x 12)</t>
  </si>
  <si>
    <t>Number of Lithium cells</t>
  </si>
  <si>
    <t>Schedule margin, weeks</t>
  </si>
  <si>
    <t>Engineering capacity design margin (%)</t>
  </si>
  <si>
    <t>Planned deployment period, weeks</t>
  </si>
  <si>
    <t>36 to 12 Volt conversion efficency (%)</t>
  </si>
  <si>
    <t>36 to 12 Volt after conversion loss</t>
  </si>
  <si>
    <t>Benthos modem</t>
  </si>
  <si>
    <t>Acoustic modem xmit power Watts</t>
  </si>
  <si>
    <t>Acoustic modem power interval (hours)</t>
  </si>
  <si>
    <t>Acoustic modem power on time (minutes)</t>
  </si>
  <si>
    <t>Acoustic modem power transmit time (minutes per week)</t>
  </si>
  <si>
    <t>Acoustic modem weekly average power Watts</t>
  </si>
  <si>
    <t>Subtotal standby time per week minutes</t>
  </si>
  <si>
    <t>Subtotal average standby power per week Watts</t>
  </si>
  <si>
    <t>Subtotal average transmit power per week Watts</t>
  </si>
  <si>
    <t>Battery Cells per sphere (DD)</t>
  </si>
  <si>
    <t>Lithium DD Cell - Tadiran TL-5137</t>
  </si>
  <si>
    <t>Hard Hat, Super Ribbed Octagonal, 17-inch</t>
  </si>
  <si>
    <t>Glass Instrument Housing, 17-inch</t>
  </si>
  <si>
    <t>QTY</t>
  </si>
  <si>
    <t>ITEM</t>
  </si>
  <si>
    <t>Titanium Vacuum Port, Drilled &amp; Installed</t>
  </si>
  <si>
    <t>Glass Hole Drilling, with flat, Bulkhead 7/16" Brass (0.453 inch dia.)</t>
  </si>
  <si>
    <t>Benthos housing cost detail (Fall 2014 PO's)</t>
  </si>
  <si>
    <t>Lithium battery cost in pak (Eletrochem quote)</t>
  </si>
  <si>
    <t>Battery cost (112 x $65.35)</t>
  </si>
  <si>
    <t>Total for empty housing</t>
  </si>
  <si>
    <t>MMC</t>
  </si>
  <si>
    <t>All 36 Volt Loads</t>
  </si>
  <si>
    <t>All 12 Volt Loads</t>
  </si>
  <si>
    <t>All 12 Volt Loads except modem</t>
  </si>
  <si>
    <t>12V Conversion Loss</t>
  </si>
  <si>
    <t>Number of 3PD1489 battery packs</t>
  </si>
  <si>
    <t>Lithium battery number in pak (Electrochem 3PD1489)</t>
  </si>
  <si>
    <t>Joules per pack</t>
  </si>
  <si>
    <t>Total Packs</t>
  </si>
  <si>
    <t>capacity margin</t>
  </si>
  <si>
    <t>must be divisible by 3</t>
  </si>
  <si>
    <t>Battery Packs</t>
  </si>
  <si>
    <t>Including ADCP Packs</t>
  </si>
  <si>
    <t>ADCP internal battery pack capacity</t>
  </si>
  <si>
    <t>Each unit</t>
  </si>
  <si>
    <t>Whrs</t>
  </si>
  <si>
    <t>Acoustic modem "low" power Watts</t>
  </si>
  <si>
    <t>Acoustic modem receive active power Watts</t>
  </si>
  <si>
    <t>Frame weight</t>
  </si>
  <si>
    <t>Battery frame weight (est.)</t>
  </si>
  <si>
    <t>Additional ADCP weight 2x</t>
  </si>
  <si>
    <t>Mooring Controller (MMC)</t>
  </si>
  <si>
    <t>Specified Voltage</t>
  </si>
  <si>
    <t>9 - 28 VDC</t>
  </si>
  <si>
    <t>SBE 16+ V2</t>
  </si>
  <si>
    <t>20 to 50 VDC</t>
  </si>
  <si>
    <t>RDI Workhorse</t>
  </si>
  <si>
    <t>7–15 VDC</t>
  </si>
  <si>
    <t>9–16VDC</t>
  </si>
  <si>
    <t>10.5 - 15 VDC</t>
  </si>
  <si>
    <t>5 - 14VDC</t>
  </si>
  <si>
    <t>Verified Voltage</t>
  </si>
  <si>
    <t>10.5 - 16 VDC</t>
  </si>
  <si>
    <t>Instrument Bus 12 to 14.4 VDC (open circuit 15.5)</t>
  </si>
  <si>
    <t>Wetlabs ECO BB2F TRIPLETT</t>
  </si>
  <si>
    <t>Aquadopp HR PROFILER</t>
  </si>
  <si>
    <t>ADCP Bus Voltage 36-46.8 VDC</t>
  </si>
  <si>
    <t>TBD</t>
  </si>
  <si>
    <t>OK</t>
  </si>
  <si>
    <t>Instruments &amp; Bus Operating Voltages</t>
  </si>
  <si>
    <t>RDI ADCP 10 sec (53Wh)  (300kHz)</t>
  </si>
  <si>
    <t>RDI ADCP 10 sec. (600kHz)</t>
  </si>
  <si>
    <t>RDI ADCP 10 sec. (1200kHz)</t>
  </si>
  <si>
    <t>Aanderra O2 Sensor</t>
  </si>
  <si>
    <t>Internal pack Joules</t>
  </si>
  <si>
    <t>Diode loss</t>
  </si>
  <si>
    <t>diode loss</t>
  </si>
  <si>
    <t>Ideal diode loss</t>
  </si>
  <si>
    <t>Without ADCP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</si>
</sst>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$&quot;#,##0.00_);[Red]\(&quot;$&quot;#,##0.00\)"/>
    <numFmt numFmtId="164" formatCode="&quot;$&quot;#,##0.00"/>
    <numFmt numFmtId="165" formatCode="0.0000"/>
    <numFmt numFmtId="166" formatCode="0.0"/>
    <numFmt numFmtId="167" formatCode="&quot;$&quot;#,##0"/>
    <numFmt numFmtId="168" formatCode="0.00000"/>
    <numFmt numFmtId="169" formatCode="0.0000000"/>
    <numFmt numFmtId="170" formatCode="0.000"/>
    <numFmt numFmtId="171" formatCode="#,##0.0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6" fontId="0" fillId="0" borderId="0" xfId="0" applyNumberFormat="1"/>
    <xf numFmtId="0" fontId="0" fillId="0" borderId="10" xfId="0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16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6" fontId="0" fillId="0" borderId="14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167" fontId="0" fillId="0" borderId="2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8" borderId="16" xfId="0" applyNumberFormat="1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167" fontId="0" fillId="7" borderId="10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1" fontId="2" fillId="0" borderId="34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center"/>
    </xf>
    <xf numFmtId="0" fontId="3" fillId="0" borderId="36" xfId="0" applyFont="1" applyBorder="1" applyAlignment="1">
      <alignment horizontal="right"/>
    </xf>
    <xf numFmtId="0" fontId="0" fillId="0" borderId="18" xfId="0" applyBorder="1" applyAlignment="1">
      <alignment horizontal="left"/>
    </xf>
    <xf numFmtId="1" fontId="0" fillId="0" borderId="37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2" fillId="8" borderId="9" xfId="0" applyFont="1" applyFill="1" applyBorder="1" applyAlignment="1">
      <alignment horizontal="left"/>
    </xf>
    <xf numFmtId="0" fontId="2" fillId="8" borderId="38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vertical="center" wrapText="1"/>
    </xf>
    <xf numFmtId="9" fontId="0" fillId="4" borderId="29" xfId="0" applyNumberFormat="1" applyFill="1" applyBorder="1" applyAlignment="1">
      <alignment horizontal="center" vertical="center" wrapText="1"/>
    </xf>
    <xf numFmtId="165" fontId="3" fillId="4" borderId="29" xfId="0" applyNumberFormat="1" applyFont="1" applyFill="1" applyBorder="1" applyAlignment="1">
      <alignment horizontal="center" wrapText="1"/>
    </xf>
    <xf numFmtId="9" fontId="3" fillId="4" borderId="31" xfId="0" applyNumberFormat="1" applyFont="1" applyFill="1" applyBorder="1" applyAlignment="1">
      <alignment horizontal="center" vertical="center" wrapText="1"/>
    </xf>
    <xf numFmtId="9" fontId="3" fillId="4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9" fontId="0" fillId="6" borderId="10" xfId="0" applyNumberFormat="1" applyFill="1" applyBorder="1" applyAlignment="1">
      <alignment horizontal="center" wrapText="1"/>
    </xf>
    <xf numFmtId="165" fontId="0" fillId="6" borderId="10" xfId="0" applyNumberFormat="1" applyFill="1" applyBorder="1" applyAlignment="1">
      <alignment horizontal="center" wrapText="1"/>
    </xf>
    <xf numFmtId="169" fontId="0" fillId="0" borderId="10" xfId="0" applyNumberFormat="1" applyBorder="1" applyAlignment="1">
      <alignment horizontal="center" wrapText="1"/>
    </xf>
    <xf numFmtId="165" fontId="0" fillId="0" borderId="10" xfId="0" applyNumberFormat="1" applyBorder="1" applyAlignment="1">
      <alignment horizontal="center" wrapText="1"/>
    </xf>
    <xf numFmtId="169" fontId="0" fillId="0" borderId="27" xfId="0" applyNumberFormat="1" applyBorder="1" applyAlignment="1">
      <alignment horizontal="center" wrapText="1"/>
    </xf>
    <xf numFmtId="165" fontId="0" fillId="0" borderId="27" xfId="0" applyNumberForma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6" borderId="12" xfId="0" applyNumberFormat="1" applyFont="1" applyFill="1" applyBorder="1" applyAlignment="1">
      <alignment horizontal="center" vertical="center" wrapText="1"/>
    </xf>
    <xf numFmtId="0" fontId="1" fillId="6" borderId="25" xfId="0" applyNumberFormat="1" applyFont="1" applyFill="1" applyBorder="1" applyAlignment="1">
      <alignment horizontal="center" vertical="center" wrapText="1"/>
    </xf>
    <xf numFmtId="2" fontId="1" fillId="6" borderId="25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4" borderId="10" xfId="0" applyNumberForma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wrapText="1"/>
    </xf>
    <xf numFmtId="2" fontId="0" fillId="0" borderId="32" xfId="0" applyNumberForma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1" fontId="0" fillId="4" borderId="27" xfId="0" applyNumberFormat="1" applyFill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wrapText="1"/>
    </xf>
    <xf numFmtId="2" fontId="0" fillId="0" borderId="33" xfId="0" applyNumberForma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70" fontId="0" fillId="0" borderId="0" xfId="0" applyNumberFormat="1" applyAlignment="1">
      <alignment horizontal="center" wrapText="1"/>
    </xf>
    <xf numFmtId="170" fontId="2" fillId="4" borderId="24" xfId="0" applyNumberFormat="1" applyFont="1" applyFill="1" applyBorder="1" applyAlignment="1">
      <alignment horizontal="center" wrapText="1"/>
    </xf>
    <xf numFmtId="170" fontId="2" fillId="0" borderId="25" xfId="0" applyNumberFormat="1" applyFont="1" applyBorder="1" applyAlignment="1">
      <alignment horizontal="center" vertical="center" wrapText="1"/>
    </xf>
    <xf numFmtId="170" fontId="1" fillId="6" borderId="25" xfId="0" applyNumberFormat="1" applyFont="1" applyFill="1" applyBorder="1" applyAlignment="1">
      <alignment horizontal="center" vertical="center" wrapText="1"/>
    </xf>
    <xf numFmtId="170" fontId="1" fillId="0" borderId="25" xfId="0" applyNumberFormat="1" applyFont="1" applyBorder="1" applyAlignment="1">
      <alignment horizontal="center" vertical="center" wrapText="1"/>
    </xf>
    <xf numFmtId="170" fontId="1" fillId="0" borderId="26" xfId="0" applyNumberFormat="1" applyFont="1" applyBorder="1" applyAlignment="1">
      <alignment horizontal="center" vertical="center" wrapText="1"/>
    </xf>
    <xf numFmtId="170" fontId="9" fillId="0" borderId="0" xfId="0" applyNumberFormat="1" applyFont="1" applyAlignment="1">
      <alignment horizontal="center" wrapText="1"/>
    </xf>
    <xf numFmtId="170" fontId="3" fillId="0" borderId="0" xfId="0" applyNumberFormat="1" applyFont="1" applyAlignment="1">
      <alignment horizontal="center" wrapText="1"/>
    </xf>
    <xf numFmtId="165" fontId="2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7" fontId="0" fillId="0" borderId="0" xfId="0" applyNumberForma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167" fontId="2" fillId="0" borderId="0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7" fontId="2" fillId="0" borderId="4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quotePrefix="1" applyNumberFormat="1" applyFont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 wrapText="1"/>
    </xf>
    <xf numFmtId="165" fontId="0" fillId="5" borderId="0" xfId="0" quotePrefix="1" applyNumberFormat="1" applyFill="1" applyAlignment="1">
      <alignment horizontal="center" vertical="center" wrapText="1"/>
    </xf>
    <xf numFmtId="165" fontId="0" fillId="0" borderId="0" xfId="0" quotePrefix="1" applyNumberFormat="1" applyAlignment="1">
      <alignment horizontal="center" vertical="center" wrapText="1"/>
    </xf>
    <xf numFmtId="165" fontId="0" fillId="5" borderId="0" xfId="0" applyNumberFormat="1" applyFill="1" applyAlignment="1">
      <alignment horizontal="center" vertical="center" wrapText="1"/>
    </xf>
    <xf numFmtId="167" fontId="2" fillId="7" borderId="7" xfId="0" applyNumberFormat="1" applyFont="1" applyFill="1" applyBorder="1" applyAlignment="1">
      <alignment horizontal="center" vertical="center" wrapText="1"/>
    </xf>
    <xf numFmtId="165" fontId="0" fillId="5" borderId="5" xfId="0" applyNumberForma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7" fontId="0" fillId="2" borderId="10" xfId="0" applyNumberFormat="1" applyFill="1" applyBorder="1" applyAlignment="1">
      <alignment horizontal="center" vertical="center" wrapText="1"/>
    </xf>
    <xf numFmtId="10" fontId="0" fillId="2" borderId="10" xfId="0" applyNumberForma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/>
    </xf>
    <xf numFmtId="9" fontId="0" fillId="4" borderId="21" xfId="0" applyNumberFormat="1" applyFill="1" applyBorder="1" applyAlignment="1">
      <alignment horizontal="center" vertical="center"/>
    </xf>
    <xf numFmtId="9" fontId="0" fillId="4" borderId="30" xfId="0" applyNumberFormat="1" applyFill="1" applyBorder="1" applyAlignment="1">
      <alignment horizontal="center" vertical="center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1" fontId="0" fillId="6" borderId="32" xfId="0" applyNumberFormat="1" applyFill="1" applyBorder="1" applyAlignment="1">
      <alignment horizontal="center" vertical="center"/>
    </xf>
    <xf numFmtId="169" fontId="0" fillId="6" borderId="12" xfId="0" applyNumberFormat="1" applyFill="1" applyBorder="1" applyAlignment="1">
      <alignment horizontal="center" vertical="center" wrapText="1"/>
    </xf>
    <xf numFmtId="165" fontId="0" fillId="6" borderId="13" xfId="0" applyNumberFormat="1" applyFill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169" fontId="0" fillId="0" borderId="14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7" fontId="0" fillId="0" borderId="13" xfId="0" applyNumberFormat="1" applyBorder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/>
    </xf>
    <xf numFmtId="165" fontId="2" fillId="5" borderId="7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7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 wrapText="1"/>
    </xf>
    <xf numFmtId="167" fontId="0" fillId="0" borderId="0" xfId="0" applyNumberForma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 wrapText="1"/>
    </xf>
    <xf numFmtId="167" fontId="0" fillId="0" borderId="35" xfId="0" applyNumberFormat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167" fontId="0" fillId="0" borderId="17" xfId="0" applyNumberForma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165" fontId="2" fillId="9" borderId="7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165" fontId="2" fillId="9" borderId="45" xfId="0" applyNumberFormat="1" applyFont="1" applyFill="1" applyBorder="1" applyAlignment="1">
      <alignment horizontal="center" vertical="center" wrapText="1"/>
    </xf>
    <xf numFmtId="166" fontId="0" fillId="9" borderId="7" xfId="0" applyNumberForma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165" fontId="0" fillId="9" borderId="7" xfId="0" applyNumberForma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10" borderId="10" xfId="0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" fontId="2" fillId="0" borderId="49" xfId="0" applyNumberFormat="1" applyFont="1" applyBorder="1" applyAlignment="1">
      <alignment horizontal="center" vertical="center" wrapText="1"/>
    </xf>
    <xf numFmtId="171" fontId="2" fillId="0" borderId="7" xfId="0" applyNumberFormat="1" applyFont="1" applyBorder="1" applyAlignment="1">
      <alignment horizontal="center" vertical="center" wrapText="1"/>
    </xf>
    <xf numFmtId="165" fontId="2" fillId="9" borderId="10" xfId="0" applyNumberFormat="1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47" xfId="0" applyNumberForma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47" xfId="0" quotePrefix="1" applyNumberFormat="1" applyFont="1" applyBorder="1" applyAlignment="1">
      <alignment horizontal="center" vertical="center" wrapText="1"/>
    </xf>
    <xf numFmtId="165" fontId="0" fillId="9" borderId="47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Continuous Duty Watts per Instrument</a:t>
            </a:r>
          </a:p>
        </c:rich>
      </c:tx>
      <c:layout>
        <c:manualLayout>
          <c:xMode val="edge"/>
          <c:yMode val="edge"/>
          <c:x val="0.24795411911720783"/>
          <c:y val="4.0473837090256176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7"/>
              <c:layout>
                <c:manualLayout>
                  <c:x val="3.2324026403951628E-3"/>
                  <c:y val="2.129760968646958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(MuceBatteryPower!$A$10,MuceBatteryPower!$A$11,MuceBatteryPower!$A$12,MuceBatteryPower!$A$13,MuceBatteryPower!$A$14,MuceBatteryPower!$A$15,MuceBatteryPower!$A$16,MuceBatteryPower!$A$17,MuceBatteryPower!$A$18,MuceBatteryPower!$A$20,MuceBatteryPower!$A$22)</c:f>
              <c:strCache>
                <c:ptCount val="11"/>
                <c:pt idx="0">
                  <c:v>RDI ADCP 10 sec (53Wh)  (300kHz)</c:v>
                </c:pt>
                <c:pt idx="1">
                  <c:v>RDI ADCP 10 sec. (600kHz)</c:v>
                </c:pt>
                <c:pt idx="2">
                  <c:v>RDI ADCP 10 sec. (1200kHz)</c:v>
                </c:pt>
                <c:pt idx="3">
                  <c:v>Nortek Aquadopp</c:v>
                </c:pt>
                <c:pt idx="4">
                  <c:v>WetLabs Triplet</c:v>
                </c:pt>
                <c:pt idx="5">
                  <c:v>SBE19+ w/pump</c:v>
                </c:pt>
                <c:pt idx="6">
                  <c:v>Transmissometer</c:v>
                </c:pt>
                <c:pt idx="7">
                  <c:v>Seapoint backscatter</c:v>
                </c:pt>
                <c:pt idx="8">
                  <c:v>Anderra O2</c:v>
                </c:pt>
                <c:pt idx="9">
                  <c:v>Benthos modem</c:v>
                </c:pt>
                <c:pt idx="10">
                  <c:v>MMC</c:v>
                </c:pt>
              </c:strCache>
            </c:strRef>
          </c:cat>
          <c:val>
            <c:numRef>
              <c:f>(MuceBatteryPower!$D$10,MuceBatteryPower!$D$11,MuceBatteryPower!$D$12,MuceBatteryPower!$D$13,MuceBatteryPower!$D$14,MuceBatteryPower!$D$15,MuceBatteryPower!$D$16,MuceBatteryPower!$D$17,MuceBatteryPower!$D$18,MuceBatteryPower!$D$20,MuceBatteryPower!$D$22)</c:f>
              <c:numCache>
                <c:formatCode>0.0000</c:formatCode>
                <c:ptCount val="11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1.5</c:v>
                </c:pt>
                <c:pt idx="4">
                  <c:v>1.2582</c:v>
                </c:pt>
                <c:pt idx="5">
                  <c:v>3.0756000000000001</c:v>
                </c:pt>
                <c:pt idx="6">
                  <c:v>0.69900000000000007</c:v>
                </c:pt>
                <c:pt idx="7">
                  <c:v>6.9900000000000004E-2</c:v>
                </c:pt>
                <c:pt idx="8">
                  <c:v>0.116034</c:v>
                </c:pt>
                <c:pt idx="9">
                  <c:v>6.1603174603174597E-2</c:v>
                </c:pt>
                <c:pt idx="10">
                  <c:v>3.5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8351238100960354"/>
          <c:y val="0.27138647909327129"/>
          <c:w val="0.22990923308281103"/>
          <c:h val="0.40253668977234103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Continuous Duty Watts By Voltage - No 36V - 12V Conversion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Watts</c:v>
          </c:tx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92D050"/>
              </a:solidFill>
            </c:spPr>
          </c:dPt>
          <c:dPt>
            <c:idx val="2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layout>
                <c:manualLayout>
                  <c:x val="-0.19231227704282025"/>
                  <c:y val="5.895550761040421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20698072836798462"/>
                  <c:y val="-5.2909421381383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(MuceBatteryPower!$E$13,MuceBatteryPower!$E$22)</c:f>
              <c:strCache>
                <c:ptCount val="2"/>
                <c:pt idx="0">
                  <c:v>All 36 Volt Loads</c:v>
                </c:pt>
                <c:pt idx="1">
                  <c:v>All 12 Volt Loads</c:v>
                </c:pt>
              </c:strCache>
            </c:strRef>
          </c:cat>
          <c:val>
            <c:numRef>
              <c:f>(MuceBatteryPower!$F$12,MuceBatteryPower!$F$22)</c:f>
              <c:numCache>
                <c:formatCode>0.0000</c:formatCode>
                <c:ptCount val="2"/>
                <c:pt idx="0">
                  <c:v>5.2919999999999998</c:v>
                </c:pt>
                <c:pt idx="1">
                  <c:v>7.089603174603174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Continuous Duty Watts By Voltage - With 36V - 12V Conversion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Watts</c:v>
          </c:tx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0.22054528031905776"/>
                  <c:y val="0.1135264051369532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23404445536882967"/>
                  <c:y val="-9.904100679088588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23450301773308E-3"/>
                  <c:y val="2.85926676384074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6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(MuceBatteryPower!$E$13,MuceBatteryPower!$E$22,MuceBatteryPower!$E$23)</c:f>
              <c:strCache>
                <c:ptCount val="3"/>
                <c:pt idx="0">
                  <c:v>All 36 Volt Loads</c:v>
                </c:pt>
                <c:pt idx="1">
                  <c:v>All 12 Volt Loads</c:v>
                </c:pt>
                <c:pt idx="2">
                  <c:v>12V Conversion Loss</c:v>
                </c:pt>
              </c:strCache>
            </c:strRef>
          </c:cat>
          <c:val>
            <c:numRef>
              <c:f>(MuceBatteryPower!$F$12,MuceBatteryPower!$F$22,MuceBatteryPower!$F$23)</c:f>
              <c:numCache>
                <c:formatCode>0.0000</c:formatCode>
                <c:ptCount val="3"/>
                <c:pt idx="0">
                  <c:v>5.2919999999999998</c:v>
                </c:pt>
                <c:pt idx="1">
                  <c:v>7.089603174603174</c:v>
                </c:pt>
                <c:pt idx="2">
                  <c:v>0.78773368606701943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53" workbookViewId="0" zoomToFit="1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5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585" cy="62756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5922" cy="62802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5922" cy="62802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81"/>
  <sheetViews>
    <sheetView tabSelected="1" zoomScale="75" zoomScaleNormal="75" workbookViewId="0">
      <selection activeCell="I51" sqref="I51"/>
    </sheetView>
  </sheetViews>
  <sheetFormatPr defaultRowHeight="13.2" x14ac:dyDescent="0.25"/>
  <cols>
    <col min="1" max="1" width="44.77734375" style="88" customWidth="1"/>
    <col min="2" max="2" width="9.44140625" style="88" customWidth="1"/>
    <col min="3" max="3" width="8.33203125" style="88" customWidth="1"/>
    <col min="4" max="4" width="13.44140625" style="88" customWidth="1"/>
    <col min="5" max="5" width="30.21875" style="88" customWidth="1"/>
    <col min="6" max="6" width="10.33203125" style="88" customWidth="1"/>
    <col min="7" max="7" width="10.33203125" style="87" customWidth="1"/>
    <col min="8" max="8" width="12" style="88" customWidth="1"/>
    <col min="9" max="9" width="19" style="88" customWidth="1"/>
    <col min="10" max="10" width="9.21875" style="96" bestFit="1" customWidth="1"/>
    <col min="11" max="11" width="6.44140625" style="96" bestFit="1" customWidth="1"/>
    <col min="12" max="12" width="8.5546875" style="96" bestFit="1" customWidth="1"/>
    <col min="13" max="13" width="8.5546875" style="88" bestFit="1" customWidth="1"/>
    <col min="14" max="14" width="9.109375" style="88" customWidth="1"/>
    <col min="15" max="16" width="6" style="88" customWidth="1"/>
    <col min="17" max="17" width="7.88671875" style="88" customWidth="1"/>
    <col min="18" max="18" width="7.5546875" style="88" customWidth="1"/>
    <col min="19" max="19" width="11.5546875" style="88" bestFit="1" customWidth="1"/>
    <col min="20" max="20" width="10.5546875" style="88" customWidth="1"/>
    <col min="21" max="21" width="9.21875" style="96" bestFit="1" customWidth="1"/>
    <col min="22" max="22" width="6.44140625" style="96" bestFit="1" customWidth="1"/>
    <col min="23" max="23" width="6.5546875" style="96" bestFit="1" customWidth="1"/>
    <col min="24" max="24" width="9.21875" style="88" customWidth="1"/>
    <col min="25" max="25" width="5.21875" style="88" customWidth="1"/>
    <col min="26" max="26" width="6.21875" style="88" customWidth="1"/>
    <col min="27" max="27" width="7.6640625" style="88" customWidth="1"/>
    <col min="28" max="28" width="9.88671875" style="88" customWidth="1"/>
    <col min="29" max="29" width="12" style="88" customWidth="1"/>
    <col min="30" max="30" width="15.21875" style="88" customWidth="1"/>
    <col min="31" max="31" width="9.21875" style="90" bestFit="1" customWidth="1"/>
    <col min="32" max="32" width="9.6640625" style="93" customWidth="1"/>
    <col min="33" max="33" width="11.77734375" style="91" customWidth="1"/>
    <col min="34" max="36" width="9.44140625" style="90" customWidth="1"/>
    <col min="37" max="37" width="10.44140625" style="91" customWidth="1"/>
    <col min="38" max="38" width="13.109375" style="88" customWidth="1"/>
    <col min="39" max="16384" width="8.88671875" style="88"/>
  </cols>
  <sheetData>
    <row r="1" spans="1:50" s="200" customFormat="1" ht="71.400000000000006" x14ac:dyDescent="0.25">
      <c r="B1" s="205" t="s">
        <v>2</v>
      </c>
      <c r="C1" s="205" t="s">
        <v>3</v>
      </c>
      <c r="D1" s="205" t="s">
        <v>4</v>
      </c>
      <c r="E1" s="205"/>
      <c r="F1" s="205" t="s">
        <v>126</v>
      </c>
      <c r="G1" s="199" t="s">
        <v>5</v>
      </c>
      <c r="H1" s="194" t="s">
        <v>6</v>
      </c>
      <c r="I1" s="206" t="s">
        <v>159</v>
      </c>
      <c r="J1" s="207" t="s">
        <v>127</v>
      </c>
      <c r="K1" s="208" t="s">
        <v>50</v>
      </c>
      <c r="L1" s="208" t="s">
        <v>52</v>
      </c>
      <c r="M1" s="209" t="s">
        <v>53</v>
      </c>
      <c r="N1" s="205" t="s">
        <v>30</v>
      </c>
      <c r="O1" s="205" t="s">
        <v>33</v>
      </c>
      <c r="P1" s="205" t="s">
        <v>34</v>
      </c>
      <c r="Q1" s="205" t="s">
        <v>7</v>
      </c>
      <c r="R1" s="205" t="s">
        <v>8</v>
      </c>
      <c r="S1" s="205" t="s">
        <v>9</v>
      </c>
      <c r="T1" s="205" t="s">
        <v>10</v>
      </c>
      <c r="U1" s="201"/>
      <c r="V1" s="202"/>
      <c r="W1" s="201"/>
      <c r="X1" s="203"/>
      <c r="AE1" s="201"/>
      <c r="AF1" s="204"/>
      <c r="AH1" s="201"/>
      <c r="AI1" s="204"/>
      <c r="AJ1" s="204"/>
    </row>
    <row r="2" spans="1:50" x14ac:dyDescent="0.25">
      <c r="A2" s="85" t="s">
        <v>51</v>
      </c>
      <c r="B2" s="86"/>
      <c r="C2" s="86"/>
      <c r="D2" s="86"/>
      <c r="E2" s="86"/>
      <c r="F2" s="86"/>
      <c r="J2" s="89"/>
      <c r="K2" s="90"/>
      <c r="L2" s="90"/>
      <c r="M2" s="91"/>
      <c r="N2" s="91"/>
      <c r="O2" s="91"/>
      <c r="P2" s="91"/>
      <c r="Q2" s="91"/>
      <c r="R2" s="91"/>
      <c r="S2" s="91"/>
      <c r="T2" s="92"/>
      <c r="U2" s="90"/>
      <c r="V2" s="90"/>
      <c r="W2" s="90"/>
      <c r="X2" s="91"/>
      <c r="Y2" s="91"/>
      <c r="Z2" s="91"/>
      <c r="AA2" s="91"/>
      <c r="AB2" s="91"/>
      <c r="AC2" s="91"/>
      <c r="AD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</row>
    <row r="3" spans="1:50" ht="26.4" x14ac:dyDescent="0.25">
      <c r="A3" s="86" t="s">
        <v>11</v>
      </c>
      <c r="B3" s="86"/>
      <c r="C3" s="86"/>
      <c r="D3" s="86">
        <f>B5*C4</f>
        <v>15.238200000000001</v>
      </c>
      <c r="E3" s="86"/>
      <c r="F3" s="86"/>
      <c r="J3" s="89"/>
      <c r="K3" s="90"/>
      <c r="L3" s="90"/>
      <c r="M3" s="91"/>
      <c r="N3" s="91"/>
      <c r="O3" s="94" t="s">
        <v>64</v>
      </c>
      <c r="P3" s="94" t="s">
        <v>65</v>
      </c>
      <c r="Q3" s="91"/>
      <c r="R3" s="91"/>
      <c r="S3" s="91"/>
      <c r="T3" s="92"/>
      <c r="U3" s="90"/>
      <c r="V3" s="90"/>
      <c r="W3" s="90"/>
      <c r="X3" s="91"/>
      <c r="Y3" s="91"/>
      <c r="Z3" s="94"/>
      <c r="AA3" s="94"/>
      <c r="AB3" s="91"/>
      <c r="AC3" s="91"/>
      <c r="AD3" s="91"/>
      <c r="AI3" s="94"/>
      <c r="AJ3" s="94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</row>
    <row r="4" spans="1:50" ht="20.399999999999999" x14ac:dyDescent="0.25">
      <c r="A4" s="86" t="s">
        <v>12</v>
      </c>
      <c r="B4" s="86"/>
      <c r="C4" s="86">
        <v>13.98</v>
      </c>
      <c r="D4" s="86"/>
      <c r="E4" s="86"/>
      <c r="F4" s="86"/>
      <c r="G4" s="240" t="s">
        <v>167</v>
      </c>
      <c r="H4" s="241"/>
      <c r="I4" s="242"/>
      <c r="J4" s="89"/>
      <c r="K4" s="90"/>
      <c r="L4" s="95" t="s">
        <v>62</v>
      </c>
      <c r="M4" s="91"/>
      <c r="N4" s="91"/>
      <c r="O4" s="90">
        <f>O6*2.2</f>
        <v>730.91148660661725</v>
      </c>
      <c r="P4" s="90">
        <f>P6*2.2</f>
        <v>-79.568513393382744</v>
      </c>
      <c r="Q4" s="91"/>
      <c r="R4" s="91"/>
      <c r="S4" s="91"/>
      <c r="T4" s="92"/>
      <c r="U4" s="90"/>
      <c r="V4" s="95"/>
      <c r="W4" s="90"/>
      <c r="X4" s="91"/>
      <c r="Y4" s="91"/>
      <c r="Z4" s="90"/>
      <c r="AA4" s="90"/>
      <c r="AB4" s="91"/>
      <c r="AC4" s="91"/>
      <c r="AD4" s="91"/>
      <c r="AE4" s="95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</row>
    <row r="5" spans="1:50" ht="13.8" thickBot="1" x14ac:dyDescent="0.3">
      <c r="A5" s="86" t="s">
        <v>13</v>
      </c>
      <c r="B5" s="86">
        <v>1.0900000000000001</v>
      </c>
      <c r="C5" s="86"/>
      <c r="D5" s="86"/>
      <c r="E5" s="86"/>
      <c r="F5" s="86"/>
      <c r="G5" s="199" t="s">
        <v>168</v>
      </c>
      <c r="H5" s="96">
        <v>1350</v>
      </c>
      <c r="I5" s="194" t="s">
        <v>169</v>
      </c>
      <c r="J5" s="89"/>
      <c r="K5" s="90"/>
      <c r="L5" s="90"/>
      <c r="M5" s="91"/>
      <c r="N5" s="97">
        <f>J6/B53</f>
        <v>7.0016974309229862</v>
      </c>
      <c r="O5" s="91"/>
      <c r="P5" s="91"/>
      <c r="Q5" s="91"/>
      <c r="R5" s="91"/>
      <c r="S5" s="91"/>
      <c r="T5" s="92"/>
      <c r="U5" s="90"/>
      <c r="V5" s="90"/>
      <c r="W5" s="90"/>
      <c r="X5" s="91"/>
      <c r="Y5" s="91"/>
      <c r="Z5" s="91"/>
      <c r="AA5" s="91"/>
      <c r="AB5" s="91"/>
      <c r="AC5" s="91"/>
      <c r="AD5" s="91"/>
      <c r="AE5" s="98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</row>
    <row r="6" spans="1:50" ht="13.8" thickBot="1" x14ac:dyDescent="0.3">
      <c r="G6" s="199" t="s">
        <v>0</v>
      </c>
      <c r="H6" s="96">
        <f>H5*3</f>
        <v>4050</v>
      </c>
      <c r="I6" s="194" t="s">
        <v>169</v>
      </c>
      <c r="J6" s="99">
        <f>($H28*(1+$B$49))/$C$32</f>
        <v>784.19011226337443</v>
      </c>
      <c r="K6" s="100">
        <f>J6*$H$70</f>
        <v>167.03249391209874</v>
      </c>
      <c r="L6" s="101">
        <f>J6*$G$70</f>
        <v>8.6467938538608721E-2</v>
      </c>
      <c r="M6" s="102">
        <f>J6*$B$32</f>
        <v>51783.994063311926</v>
      </c>
      <c r="N6" s="103">
        <f>ROUNDUP(N5,0)</f>
        <v>8</v>
      </c>
      <c r="O6" s="103">
        <f>K6+(20.65*N6)</f>
        <v>332.23249391209873</v>
      </c>
      <c r="P6" s="103">
        <f>K6+(N6*-25.4)</f>
        <v>-36.167506087901245</v>
      </c>
      <c r="Q6" s="102">
        <f>N6*$B$79</f>
        <v>13136</v>
      </c>
      <c r="R6" s="102">
        <f>L6*$B$59</f>
        <v>1383.4870166177395</v>
      </c>
      <c r="S6" s="104">
        <f>SUM(M6+Q6+R6)</f>
        <v>66303.481079929668</v>
      </c>
      <c r="T6" s="104">
        <f>M6+R6</f>
        <v>53167.481079929668</v>
      </c>
      <c r="U6" s="90"/>
      <c r="V6" s="90"/>
      <c r="W6" s="91"/>
      <c r="X6" s="107"/>
      <c r="Y6" s="108"/>
      <c r="Z6" s="108"/>
      <c r="AA6" s="108"/>
      <c r="AB6" s="107"/>
      <c r="AC6" s="109"/>
      <c r="AD6" s="109"/>
      <c r="AG6" s="109"/>
      <c r="AK6" s="173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</row>
    <row r="7" spans="1:50" ht="39.6" x14ac:dyDescent="0.25">
      <c r="A7" s="105" t="s">
        <v>63</v>
      </c>
      <c r="D7" s="106" t="s">
        <v>73</v>
      </c>
      <c r="E7" s="106"/>
      <c r="G7" s="199" t="s">
        <v>198</v>
      </c>
      <c r="H7" s="96">
        <f>H6*3600</f>
        <v>14580000</v>
      </c>
      <c r="J7" s="89"/>
      <c r="K7" s="90"/>
      <c r="L7" s="91"/>
      <c r="M7" s="107"/>
      <c r="N7" s="108"/>
      <c r="O7" s="108"/>
      <c r="P7" s="108"/>
      <c r="Q7" s="107"/>
      <c r="R7" s="107"/>
      <c r="S7" s="109"/>
      <c r="T7" s="110"/>
      <c r="U7" s="90"/>
      <c r="V7" s="91"/>
      <c r="W7" s="107"/>
      <c r="X7" s="108"/>
      <c r="Y7" s="108"/>
      <c r="Z7" s="108"/>
      <c r="AA7" s="107"/>
      <c r="AB7" s="107"/>
      <c r="AC7" s="109"/>
      <c r="AD7" s="172"/>
      <c r="AG7" s="172"/>
      <c r="AH7" s="93"/>
      <c r="AI7" s="93"/>
      <c r="AJ7" s="93"/>
      <c r="AK7" s="173"/>
      <c r="AL7" s="91"/>
      <c r="AM7" s="91"/>
      <c r="AN7" s="91"/>
    </row>
    <row r="8" spans="1:50" ht="13.8" thickBot="1" x14ac:dyDescent="0.3">
      <c r="A8" s="88" t="s">
        <v>14</v>
      </c>
      <c r="G8" s="238" t="s">
        <v>166</v>
      </c>
      <c r="H8" s="239"/>
      <c r="I8" s="106" t="s">
        <v>165</v>
      </c>
      <c r="J8" s="111"/>
      <c r="K8" s="91"/>
      <c r="L8" s="245" t="s">
        <v>56</v>
      </c>
      <c r="M8" s="246"/>
      <c r="N8" s="243" t="s">
        <v>57</v>
      </c>
      <c r="O8" s="244"/>
      <c r="P8" s="244"/>
      <c r="Q8" s="244"/>
      <c r="R8" s="244"/>
      <c r="S8" s="244"/>
      <c r="T8" s="112">
        <f>S6</f>
        <v>66303.481079929668</v>
      </c>
      <c r="U8" s="91"/>
      <c r="V8" s="245"/>
      <c r="W8" s="246"/>
      <c r="X8" s="243"/>
      <c r="Y8" s="244"/>
      <c r="Z8" s="244"/>
      <c r="AA8" s="244"/>
      <c r="AB8" s="244"/>
      <c r="AC8" s="244"/>
      <c r="AD8" s="109"/>
      <c r="AE8" s="91"/>
      <c r="AF8" s="91"/>
      <c r="AG8" s="109"/>
      <c r="AH8" s="91"/>
      <c r="AI8" s="91"/>
      <c r="AJ8" s="91"/>
      <c r="AK8" s="173"/>
      <c r="AL8" s="91"/>
      <c r="AM8" s="91"/>
      <c r="AN8" s="91"/>
    </row>
    <row r="9" spans="1:50" ht="13.8" thickBot="1" x14ac:dyDescent="0.3">
      <c r="A9" s="113" t="s">
        <v>54</v>
      </c>
      <c r="C9" s="88">
        <v>36</v>
      </c>
      <c r="D9" s="114" t="s">
        <v>119</v>
      </c>
      <c r="E9" s="114"/>
      <c r="G9" s="115">
        <f>F12*3600*24*7</f>
        <v>3200601.6000000006</v>
      </c>
      <c r="H9" s="211">
        <f>(G9*($B$50+$B$51))-H7</f>
        <v>78237446.400000021</v>
      </c>
      <c r="I9" s="264">
        <f>(H9*(1+$B$49+H10))/$E$35</f>
        <v>11.987439428571433</v>
      </c>
      <c r="J9" s="111"/>
      <c r="K9" s="91"/>
      <c r="L9" s="246"/>
      <c r="M9" s="246"/>
      <c r="N9" s="243" t="s">
        <v>58</v>
      </c>
      <c r="O9" s="244"/>
      <c r="P9" s="244"/>
      <c r="Q9" s="244"/>
      <c r="R9" s="244"/>
      <c r="S9" s="244"/>
      <c r="T9" s="116">
        <f>2*T6</f>
        <v>106334.96215985934</v>
      </c>
      <c r="U9" s="91"/>
      <c r="V9" s="246"/>
      <c r="W9" s="246"/>
      <c r="X9" s="243"/>
      <c r="Y9" s="244"/>
      <c r="Z9" s="244"/>
      <c r="AA9" s="244"/>
      <c r="AB9" s="244"/>
      <c r="AC9" s="244"/>
      <c r="AD9" s="109"/>
      <c r="AE9" s="91"/>
      <c r="AF9" s="91"/>
      <c r="AG9" s="109"/>
      <c r="AH9" s="91"/>
      <c r="AI9" s="91"/>
      <c r="AJ9" s="91"/>
      <c r="AK9" s="173"/>
      <c r="AL9" s="91"/>
      <c r="AM9" s="91"/>
      <c r="AN9" s="91"/>
    </row>
    <row r="10" spans="1:50" ht="27" thickBot="1" x14ac:dyDescent="0.3">
      <c r="A10" s="113" t="s">
        <v>194</v>
      </c>
      <c r="C10" s="88">
        <v>36</v>
      </c>
      <c r="D10" s="117">
        <v>2.4</v>
      </c>
      <c r="E10" s="194"/>
      <c r="F10" s="114" t="s">
        <v>200</v>
      </c>
      <c r="G10" s="199" t="s">
        <v>163</v>
      </c>
      <c r="H10" s="171">
        <v>0.28999999999999998</v>
      </c>
      <c r="I10" s="212">
        <f>ROUNDUP(I9,0)</f>
        <v>12</v>
      </c>
      <c r="J10" s="111"/>
      <c r="K10" s="91"/>
      <c r="L10" s="244"/>
      <c r="M10" s="244"/>
      <c r="N10" s="243" t="s">
        <v>59</v>
      </c>
      <c r="O10" s="244"/>
      <c r="P10" s="244"/>
      <c r="Q10" s="244"/>
      <c r="R10" s="244"/>
      <c r="S10" s="244"/>
      <c r="T10" s="104">
        <f>SUM(T8:T9)</f>
        <v>172638.44323978899</v>
      </c>
      <c r="U10" s="91"/>
      <c r="V10" s="244"/>
      <c r="W10" s="244"/>
      <c r="X10" s="243"/>
      <c r="Y10" s="244"/>
      <c r="Z10" s="244"/>
      <c r="AA10" s="244"/>
      <c r="AB10" s="244"/>
      <c r="AC10" s="244"/>
      <c r="AD10" s="109"/>
      <c r="AE10" s="91"/>
      <c r="AF10" s="91"/>
      <c r="AG10" s="109"/>
      <c r="AH10" s="91"/>
      <c r="AI10" s="91"/>
      <c r="AJ10" s="91"/>
      <c r="AK10" s="173"/>
      <c r="AL10" s="91"/>
      <c r="AM10" s="91"/>
      <c r="AN10" s="91"/>
    </row>
    <row r="11" spans="1:50" ht="26.4" x14ac:dyDescent="0.25">
      <c r="A11" s="113" t="s">
        <v>195</v>
      </c>
      <c r="C11" s="88">
        <v>36</v>
      </c>
      <c r="D11" s="119">
        <v>2.4</v>
      </c>
      <c r="E11" s="194"/>
      <c r="F11" s="265">
        <v>0.06</v>
      </c>
      <c r="G11" s="237" t="s">
        <v>201</v>
      </c>
      <c r="I11" s="194" t="s">
        <v>164</v>
      </c>
      <c r="J11" s="89"/>
      <c r="K11" s="90"/>
      <c r="L11" s="91"/>
      <c r="M11" s="91"/>
      <c r="N11" s="108"/>
      <c r="O11" s="108"/>
      <c r="P11" s="108"/>
      <c r="Q11" s="107"/>
      <c r="R11" s="107"/>
      <c r="S11" s="109"/>
      <c r="T11" s="112"/>
      <c r="U11" s="90"/>
      <c r="V11" s="91"/>
      <c r="W11" s="91"/>
      <c r="X11" s="108"/>
      <c r="Y11" s="108"/>
      <c r="Z11" s="108"/>
      <c r="AA11" s="107"/>
      <c r="AB11" s="107"/>
      <c r="AC11" s="109"/>
      <c r="AD11" s="109"/>
      <c r="AG11" s="109"/>
      <c r="AH11" s="93"/>
      <c r="AI11" s="93"/>
      <c r="AJ11" s="93"/>
      <c r="AK11" s="173"/>
      <c r="AL11" s="91"/>
      <c r="AM11" s="91"/>
      <c r="AN11" s="91"/>
    </row>
    <row r="12" spans="1:50" ht="13.8" thickBot="1" x14ac:dyDescent="0.3">
      <c r="A12" s="113" t="s">
        <v>196</v>
      </c>
      <c r="C12" s="88">
        <v>36</v>
      </c>
      <c r="D12" s="119">
        <v>2.4</v>
      </c>
      <c r="E12" s="194"/>
      <c r="F12" s="268">
        <v>5.2919999999999998</v>
      </c>
      <c r="G12" s="238" t="s">
        <v>202</v>
      </c>
      <c r="H12" s="239"/>
      <c r="I12" s="106" t="s">
        <v>165</v>
      </c>
      <c r="J12" s="89"/>
      <c r="K12" s="90"/>
      <c r="L12" s="245" t="s">
        <v>60</v>
      </c>
      <c r="M12" s="246"/>
      <c r="N12" s="243" t="s">
        <v>57</v>
      </c>
      <c r="O12" s="244"/>
      <c r="P12" s="244"/>
      <c r="Q12" s="244"/>
      <c r="R12" s="244"/>
      <c r="S12" s="244"/>
      <c r="T12" s="112">
        <f>2*S6</f>
        <v>132606.96215985934</v>
      </c>
      <c r="U12" s="90"/>
      <c r="V12" s="245"/>
      <c r="W12" s="246"/>
      <c r="X12" s="243"/>
      <c r="Y12" s="244"/>
      <c r="Z12" s="244"/>
      <c r="AA12" s="244"/>
      <c r="AB12" s="244"/>
      <c r="AC12" s="244"/>
      <c r="AD12" s="109"/>
      <c r="AG12" s="172"/>
      <c r="AH12" s="93"/>
      <c r="AI12" s="93"/>
      <c r="AJ12" s="93"/>
      <c r="AK12" s="173"/>
      <c r="AL12" s="91"/>
      <c r="AM12" s="91"/>
      <c r="AN12" s="91"/>
    </row>
    <row r="13" spans="1:50" ht="13.8" thickBot="1" x14ac:dyDescent="0.3">
      <c r="A13" s="88" t="s">
        <v>15</v>
      </c>
      <c r="D13" s="119">
        <v>1.5</v>
      </c>
      <c r="E13" s="106" t="s">
        <v>155</v>
      </c>
      <c r="F13" s="267">
        <f>SUM(F11:F12)</f>
        <v>5.3519999999999994</v>
      </c>
      <c r="G13" s="115">
        <f>F12*3600*24*7</f>
        <v>3200601.6000000006</v>
      </c>
      <c r="H13" s="211">
        <f>(G13*($B$50+$B$51))</f>
        <v>92817446.400000021</v>
      </c>
      <c r="I13" s="264">
        <f>(H13*(1+$B$49+H14))/$E$35</f>
        <v>11.970504000000004</v>
      </c>
      <c r="J13" s="90"/>
      <c r="K13" s="90"/>
      <c r="L13" s="246"/>
      <c r="M13" s="246"/>
      <c r="N13" s="243" t="s">
        <v>58</v>
      </c>
      <c r="O13" s="244"/>
      <c r="P13" s="244"/>
      <c r="Q13" s="244"/>
      <c r="R13" s="244"/>
      <c r="S13" s="244"/>
      <c r="T13" s="116">
        <f>T6</f>
        <v>53167.481079929668</v>
      </c>
      <c r="U13" s="90"/>
      <c r="V13" s="246"/>
      <c r="W13" s="246"/>
      <c r="X13" s="243"/>
      <c r="Y13" s="244"/>
      <c r="Z13" s="244"/>
      <c r="AA13" s="244"/>
      <c r="AB13" s="244"/>
      <c r="AC13" s="244"/>
      <c r="AD13" s="109"/>
      <c r="AG13" s="109"/>
      <c r="AH13" s="93"/>
      <c r="AI13" s="93"/>
      <c r="AJ13" s="93"/>
      <c r="AK13" s="173"/>
      <c r="AL13" s="91"/>
      <c r="AM13" s="91"/>
      <c r="AN13" s="91"/>
    </row>
    <row r="14" spans="1:50" ht="27" thickBot="1" x14ac:dyDescent="0.3">
      <c r="A14" s="88" t="s">
        <v>16</v>
      </c>
      <c r="B14" s="88">
        <v>0.09</v>
      </c>
      <c r="C14" s="88">
        <v>13.98</v>
      </c>
      <c r="D14" s="119">
        <f>B14*C14</f>
        <v>1.2582</v>
      </c>
      <c r="E14" s="88" t="s">
        <v>16</v>
      </c>
      <c r="G14" s="199" t="s">
        <v>163</v>
      </c>
      <c r="H14" s="171">
        <v>7.0000000000000007E-2</v>
      </c>
      <c r="I14" s="212">
        <f>ROUNDUP(I13,0)</f>
        <v>12</v>
      </c>
      <c r="J14" s="89"/>
      <c r="K14" s="90"/>
      <c r="L14" s="244"/>
      <c r="M14" s="244"/>
      <c r="N14" s="243" t="s">
        <v>59</v>
      </c>
      <c r="O14" s="244"/>
      <c r="P14" s="244"/>
      <c r="Q14" s="244"/>
      <c r="R14" s="244"/>
      <c r="S14" s="244"/>
      <c r="T14" s="120">
        <f>SUM(T12:T13)</f>
        <v>185774.44323978899</v>
      </c>
      <c r="U14" s="90"/>
      <c r="V14" s="244"/>
      <c r="W14" s="244"/>
      <c r="X14" s="243"/>
      <c r="Y14" s="244"/>
      <c r="Z14" s="244"/>
      <c r="AA14" s="244"/>
      <c r="AB14" s="244"/>
      <c r="AC14" s="244"/>
      <c r="AD14" s="109"/>
      <c r="AG14" s="109"/>
      <c r="AH14" s="93"/>
      <c r="AI14" s="93"/>
      <c r="AJ14" s="93"/>
      <c r="AK14" s="173"/>
      <c r="AL14" s="91"/>
      <c r="AM14" s="91"/>
      <c r="AN14" s="91"/>
    </row>
    <row r="15" spans="1:50" ht="13.8" thickBot="1" x14ac:dyDescent="0.3">
      <c r="A15" s="88" t="s">
        <v>17</v>
      </c>
      <c r="B15" s="88">
        <v>0.22</v>
      </c>
      <c r="C15" s="88">
        <v>13.98</v>
      </c>
      <c r="D15" s="119">
        <f>B15*C15</f>
        <v>3.0756000000000001</v>
      </c>
      <c r="E15" s="88" t="s">
        <v>17</v>
      </c>
      <c r="I15" s="194" t="s">
        <v>164</v>
      </c>
      <c r="J15" s="89"/>
      <c r="K15" s="90"/>
      <c r="L15" s="90"/>
      <c r="M15" s="91"/>
      <c r="N15" s="91"/>
      <c r="O15" s="91"/>
      <c r="P15" s="91"/>
      <c r="Q15" s="91"/>
      <c r="R15" s="91"/>
      <c r="S15" s="91"/>
      <c r="T15" s="112"/>
      <c r="U15" s="90"/>
      <c r="V15" s="90"/>
      <c r="W15" s="91"/>
      <c r="X15" s="91"/>
      <c r="Y15" s="91"/>
      <c r="Z15" s="91"/>
      <c r="AA15" s="91"/>
      <c r="AB15" s="91"/>
      <c r="AC15" s="91"/>
      <c r="AD15" s="109"/>
      <c r="AG15" s="109"/>
      <c r="AH15" s="93"/>
      <c r="AI15" s="93"/>
      <c r="AJ15" s="93"/>
      <c r="AK15" s="173"/>
      <c r="AL15" s="91"/>
      <c r="AM15" s="91"/>
      <c r="AN15" s="91"/>
    </row>
    <row r="16" spans="1:50" ht="13.8" thickBot="1" x14ac:dyDescent="0.3">
      <c r="A16" s="88" t="s">
        <v>18</v>
      </c>
      <c r="B16" s="88">
        <v>0.05</v>
      </c>
      <c r="C16" s="88">
        <v>13.98</v>
      </c>
      <c r="D16" s="119">
        <f>B16*C16</f>
        <v>0.69900000000000007</v>
      </c>
      <c r="E16" s="88" t="s">
        <v>18</v>
      </c>
      <c r="J16" s="99"/>
      <c r="K16" s="100"/>
      <c r="L16" s="100"/>
      <c r="M16" s="101"/>
      <c r="N16" s="249" t="s">
        <v>61</v>
      </c>
      <c r="O16" s="239"/>
      <c r="P16" s="239"/>
      <c r="Q16" s="239"/>
      <c r="R16" s="239"/>
      <c r="S16" s="239"/>
      <c r="T16" s="104">
        <f>T14+T6</f>
        <v>238941.92431971867</v>
      </c>
      <c r="U16" s="90"/>
      <c r="V16" s="90"/>
      <c r="W16" s="91"/>
      <c r="X16" s="243"/>
      <c r="Y16" s="244"/>
      <c r="Z16" s="244"/>
      <c r="AA16" s="244"/>
      <c r="AB16" s="244"/>
      <c r="AC16" s="244"/>
      <c r="AD16" s="109"/>
      <c r="AG16" s="109"/>
      <c r="AH16" s="93"/>
      <c r="AI16" s="93"/>
      <c r="AJ16" s="93"/>
      <c r="AK16" s="173"/>
      <c r="AL16" s="91"/>
      <c r="AM16" s="91"/>
      <c r="AN16" s="91"/>
    </row>
    <row r="17" spans="1:40" x14ac:dyDescent="0.25">
      <c r="A17" s="88" t="s">
        <v>19</v>
      </c>
      <c r="B17" s="88">
        <v>5.0000000000000001E-3</v>
      </c>
      <c r="C17" s="88">
        <v>13.98</v>
      </c>
      <c r="D17" s="119">
        <f>B17*C17</f>
        <v>6.9900000000000004E-2</v>
      </c>
      <c r="E17" s="88" t="s">
        <v>19</v>
      </c>
      <c r="U17" s="90"/>
      <c r="V17" s="90"/>
      <c r="W17" s="90"/>
      <c r="X17" s="91"/>
      <c r="Y17" s="91"/>
      <c r="Z17" s="91"/>
      <c r="AA17" s="91"/>
      <c r="AB17" s="91"/>
      <c r="AC17" s="91"/>
      <c r="AD17" s="91"/>
      <c r="AL17" s="91"/>
      <c r="AM17" s="91"/>
      <c r="AN17" s="91"/>
    </row>
    <row r="18" spans="1:40" ht="13.8" thickBot="1" x14ac:dyDescent="0.3">
      <c r="A18" s="88" t="s">
        <v>20</v>
      </c>
      <c r="B18" s="88">
        <v>8.3000000000000001E-3</v>
      </c>
      <c r="C18" s="88">
        <v>13.98</v>
      </c>
      <c r="D18" s="121">
        <f>B18*C18</f>
        <v>0.116034</v>
      </c>
      <c r="E18" s="88" t="s">
        <v>20</v>
      </c>
      <c r="F18" s="91"/>
      <c r="H18" s="124"/>
      <c r="J18" s="122"/>
      <c r="K18" s="169"/>
      <c r="U18" s="90"/>
      <c r="V18" s="90"/>
      <c r="W18" s="90"/>
      <c r="X18" s="91"/>
      <c r="Y18" s="91"/>
      <c r="Z18" s="91"/>
      <c r="AA18" s="91"/>
      <c r="AB18" s="91"/>
      <c r="AC18" s="91"/>
      <c r="AD18" s="91"/>
      <c r="AL18" s="91"/>
      <c r="AM18" s="91"/>
      <c r="AN18" s="91"/>
    </row>
    <row r="19" spans="1:40" x14ac:dyDescent="0.25">
      <c r="A19" s="88" t="s">
        <v>21</v>
      </c>
      <c r="C19" s="88" t="s">
        <v>22</v>
      </c>
      <c r="D19" s="88">
        <f>SUM(D9:D18)</f>
        <v>13.918734000000001</v>
      </c>
      <c r="E19" s="88" t="s">
        <v>21</v>
      </c>
      <c r="F19" s="265">
        <v>0.05</v>
      </c>
      <c r="G19" s="237" t="s">
        <v>199</v>
      </c>
      <c r="J19" s="122"/>
      <c r="K19" s="169"/>
      <c r="T19" s="113"/>
      <c r="U19" s="90"/>
      <c r="V19" s="90"/>
      <c r="W19" s="90"/>
      <c r="X19" s="91"/>
      <c r="Y19" s="91"/>
      <c r="Z19" s="91"/>
      <c r="AA19" s="91"/>
      <c r="AB19" s="91"/>
      <c r="AC19" s="91"/>
      <c r="AD19" s="91"/>
      <c r="AL19" s="91"/>
      <c r="AM19" s="91"/>
      <c r="AN19" s="91"/>
    </row>
    <row r="20" spans="1:40" x14ac:dyDescent="0.25">
      <c r="A20" s="88" t="s">
        <v>133</v>
      </c>
      <c r="D20" s="88">
        <f>B46</f>
        <v>6.1603174603174597E-2</v>
      </c>
      <c r="E20" s="194" t="s">
        <v>157</v>
      </c>
      <c r="F20" s="265">
        <v>6.9779999999999998</v>
      </c>
      <c r="G20" s="193"/>
      <c r="H20" s="193"/>
      <c r="J20" s="122"/>
      <c r="K20" s="169"/>
      <c r="T20" s="113"/>
      <c r="U20" s="90"/>
      <c r="V20" s="90"/>
      <c r="W20" s="90"/>
      <c r="X20" s="91"/>
      <c r="Y20" s="91"/>
      <c r="Z20" s="91"/>
      <c r="AA20" s="91"/>
      <c r="AB20" s="91"/>
      <c r="AC20" s="91"/>
      <c r="AD20" s="91"/>
      <c r="AL20" s="91"/>
      <c r="AM20" s="91"/>
      <c r="AN20" s="91"/>
    </row>
    <row r="21" spans="1:40" ht="13.8" thickBot="1" x14ac:dyDescent="0.3">
      <c r="E21" s="88" t="s">
        <v>133</v>
      </c>
      <c r="F21" s="266">
        <f>B46</f>
        <v>6.1603174603174597E-2</v>
      </c>
      <c r="G21" s="199"/>
      <c r="I21" s="194" t="s">
        <v>165</v>
      </c>
      <c r="J21" s="122"/>
      <c r="K21" s="169"/>
      <c r="T21" s="194"/>
      <c r="U21" s="90"/>
      <c r="V21" s="90"/>
      <c r="W21" s="90"/>
      <c r="X21" s="91"/>
      <c r="Y21" s="91"/>
      <c r="Z21" s="91"/>
      <c r="AA21" s="91"/>
      <c r="AB21" s="91"/>
      <c r="AC21" s="91"/>
      <c r="AD21" s="91"/>
      <c r="AL21" s="91"/>
      <c r="AM21" s="91"/>
      <c r="AN21" s="91"/>
    </row>
    <row r="22" spans="1:40" ht="13.8" thickBot="1" x14ac:dyDescent="0.3">
      <c r="A22" s="194" t="s">
        <v>154</v>
      </c>
      <c r="B22" s="195"/>
      <c r="D22" s="123">
        <v>3.5</v>
      </c>
      <c r="E22" s="106" t="s">
        <v>156</v>
      </c>
      <c r="F22" s="267">
        <f>SUM(F19:F21)</f>
        <v>7.089603174603174</v>
      </c>
      <c r="G22" s="115">
        <f>F22*3600*24*7</f>
        <v>4287792</v>
      </c>
      <c r="H22" s="211">
        <f>(G22*($B$50+$B$51))</f>
        <v>124345968</v>
      </c>
      <c r="I22" s="269">
        <f>(H22*(1+$B$49+H23))/$E$35</f>
        <v>19.874520899470902</v>
      </c>
      <c r="J22" s="90"/>
      <c r="K22" s="90"/>
      <c r="L22" s="90"/>
      <c r="M22" s="91"/>
      <c r="N22" s="91"/>
      <c r="O22" s="91"/>
      <c r="P22" s="91"/>
      <c r="Q22" s="91"/>
      <c r="R22" s="91"/>
      <c r="S22" s="91"/>
      <c r="T22" s="91"/>
      <c r="U22" s="90"/>
      <c r="V22" s="90"/>
      <c r="W22" s="90"/>
      <c r="X22" s="91"/>
      <c r="Y22" s="91"/>
      <c r="Z22" s="91"/>
      <c r="AA22" s="91"/>
      <c r="AB22" s="91"/>
      <c r="AC22" s="91"/>
      <c r="AD22" s="91"/>
      <c r="AL22" s="91"/>
      <c r="AM22" s="91"/>
      <c r="AN22" s="91"/>
    </row>
    <row r="23" spans="1:40" ht="27" thickBot="1" x14ac:dyDescent="0.3">
      <c r="A23" s="194"/>
      <c r="B23" s="195"/>
      <c r="D23" s="123"/>
      <c r="E23" s="194" t="s">
        <v>158</v>
      </c>
      <c r="F23" s="88">
        <f>(F22/B48)-F22</f>
        <v>0.78773368606701943</v>
      </c>
      <c r="G23" s="199" t="s">
        <v>163</v>
      </c>
      <c r="H23" s="171">
        <v>0.35</v>
      </c>
      <c r="I23" s="210">
        <f>ROUNDUP(I22,0)</f>
        <v>20</v>
      </c>
      <c r="J23" s="90"/>
      <c r="K23" s="90"/>
      <c r="L23" s="90"/>
      <c r="M23" s="91"/>
      <c r="N23" s="91"/>
      <c r="O23" s="91"/>
      <c r="P23" s="91"/>
      <c r="Q23" s="91"/>
      <c r="R23" s="91"/>
      <c r="S23" s="91"/>
      <c r="T23" s="91"/>
      <c r="U23" s="90"/>
      <c r="V23" s="90"/>
      <c r="W23" s="90"/>
      <c r="X23" s="91"/>
      <c r="Y23" s="91"/>
      <c r="Z23" s="91"/>
      <c r="AA23" s="91"/>
      <c r="AB23" s="91"/>
      <c r="AC23" s="91"/>
      <c r="AD23" s="91"/>
      <c r="AL23" s="91"/>
      <c r="AM23" s="91"/>
      <c r="AN23" s="91"/>
    </row>
    <row r="24" spans="1:40" x14ac:dyDescent="0.25">
      <c r="A24" s="194"/>
      <c r="B24" s="195"/>
      <c r="D24" s="123"/>
      <c r="E24" s="194"/>
      <c r="G24" s="199"/>
      <c r="H24" s="171"/>
      <c r="I24" s="174"/>
      <c r="J24" s="90"/>
      <c r="K24" s="90"/>
      <c r="L24" s="90"/>
      <c r="M24" s="91"/>
      <c r="N24" s="91"/>
      <c r="O24" s="91"/>
      <c r="P24" s="91"/>
      <c r="Q24" s="91"/>
      <c r="R24" s="91"/>
      <c r="S24" s="91"/>
      <c r="T24" s="91"/>
      <c r="U24" s="90"/>
      <c r="V24" s="90"/>
      <c r="W24" s="90"/>
      <c r="X24" s="91"/>
      <c r="Y24" s="91"/>
      <c r="Z24" s="91"/>
      <c r="AA24" s="91"/>
      <c r="AB24" s="91"/>
      <c r="AC24" s="91"/>
      <c r="AD24" s="91"/>
      <c r="AL24" s="91"/>
      <c r="AM24" s="91"/>
      <c r="AN24" s="91"/>
    </row>
    <row r="25" spans="1:40" ht="13.8" thickBot="1" x14ac:dyDescent="0.3">
      <c r="A25" s="194"/>
      <c r="B25" s="195"/>
      <c r="D25" s="123"/>
      <c r="E25" s="194"/>
      <c r="J25" s="90"/>
      <c r="K25" s="90"/>
      <c r="L25" s="90"/>
      <c r="M25" s="91"/>
      <c r="N25" s="91"/>
      <c r="O25" s="91"/>
      <c r="P25" s="91"/>
      <c r="Q25" s="91"/>
      <c r="R25" s="91"/>
      <c r="S25" s="91"/>
      <c r="T25" s="91"/>
      <c r="U25" s="90"/>
      <c r="V25" s="90"/>
      <c r="W25" s="90"/>
      <c r="X25" s="91"/>
      <c r="Y25" s="91"/>
      <c r="Z25" s="91"/>
      <c r="AA25" s="91"/>
      <c r="AB25" s="91"/>
      <c r="AC25" s="91"/>
      <c r="AD25" s="91"/>
      <c r="AL25" s="91"/>
      <c r="AM25" s="91"/>
      <c r="AN25" s="91"/>
    </row>
    <row r="26" spans="1:40" ht="13.8" thickBot="1" x14ac:dyDescent="0.3">
      <c r="A26" s="194"/>
      <c r="B26" s="195"/>
      <c r="D26" s="123"/>
      <c r="E26" s="194"/>
      <c r="H26" s="194" t="s">
        <v>162</v>
      </c>
      <c r="I26" s="210">
        <f>I14+I23</f>
        <v>32</v>
      </c>
      <c r="J26" s="90"/>
      <c r="K26" s="90"/>
      <c r="L26" s="90"/>
      <c r="M26" s="91"/>
      <c r="N26" s="91"/>
      <c r="O26" s="91"/>
      <c r="P26" s="91"/>
      <c r="Q26" s="91"/>
      <c r="R26" s="91"/>
      <c r="S26" s="91"/>
      <c r="T26" s="91"/>
      <c r="U26" s="90"/>
      <c r="V26" s="90"/>
      <c r="W26" s="90"/>
      <c r="X26" s="91"/>
      <c r="Y26" s="91"/>
      <c r="Z26" s="91"/>
      <c r="AA26" s="91"/>
      <c r="AB26" s="91"/>
      <c r="AC26" s="91"/>
      <c r="AD26" s="91"/>
      <c r="AL26" s="91"/>
      <c r="AM26" s="91"/>
      <c r="AN26" s="91"/>
    </row>
    <row r="27" spans="1:40" ht="27" thickBot="1" x14ac:dyDescent="0.3">
      <c r="A27" s="113"/>
      <c r="B27" s="132"/>
      <c r="D27" s="123"/>
      <c r="E27" s="194" t="s">
        <v>132</v>
      </c>
      <c r="F27" s="88">
        <f>F22+F23</f>
        <v>7.8773368606701935</v>
      </c>
      <c r="G27" s="199" t="s">
        <v>5</v>
      </c>
      <c r="H27" s="194" t="s">
        <v>6</v>
      </c>
      <c r="I27" s="94" t="s">
        <v>35</v>
      </c>
      <c r="J27" s="90"/>
      <c r="K27" s="90"/>
      <c r="L27" s="90"/>
      <c r="M27" s="91"/>
      <c r="N27" s="91"/>
      <c r="O27" s="91"/>
      <c r="P27" s="91"/>
      <c r="Q27" s="91"/>
      <c r="R27" s="91"/>
      <c r="S27" s="91"/>
      <c r="T27" s="91"/>
      <c r="U27" s="90"/>
      <c r="V27" s="90"/>
      <c r="W27" s="90"/>
      <c r="X27" s="91"/>
      <c r="Y27" s="91"/>
      <c r="Z27" s="91"/>
      <c r="AA27" s="91"/>
      <c r="AB27" s="91"/>
      <c r="AC27" s="91"/>
      <c r="AD27" s="91"/>
      <c r="AL27" s="91"/>
      <c r="AM27" s="91"/>
      <c r="AN27" s="91"/>
    </row>
    <row r="28" spans="1:40" ht="13.8" thickBot="1" x14ac:dyDescent="0.3">
      <c r="A28" s="88" t="s">
        <v>23</v>
      </c>
      <c r="C28" s="88" t="s">
        <v>22</v>
      </c>
      <c r="D28" s="125">
        <f>SUM(D19:D22)</f>
        <v>17.480337174603175</v>
      </c>
      <c r="E28" s="88" t="s">
        <v>23</v>
      </c>
      <c r="F28" s="170">
        <f>SUM(F12,F27)</f>
        <v>13.169336860670192</v>
      </c>
      <c r="G28" s="115">
        <f>F28*3600*24*7</f>
        <v>7964814.9333333327</v>
      </c>
      <c r="H28" s="115">
        <f>($G$28*($B$50+$B$51))</f>
        <v>230979633.06666663</v>
      </c>
      <c r="I28" s="115">
        <f>H28/3600/1000</f>
        <v>64.161009185185179</v>
      </c>
      <c r="K28" s="136"/>
      <c r="L28" s="136"/>
      <c r="M28" s="133"/>
      <c r="N28" s="133"/>
      <c r="O28" s="133"/>
      <c r="P28" s="133"/>
      <c r="Q28" s="133"/>
      <c r="R28" s="133"/>
      <c r="S28" s="133"/>
      <c r="T28" s="133"/>
      <c r="U28" s="136"/>
      <c r="V28" s="136"/>
      <c r="W28" s="136"/>
      <c r="X28" s="133"/>
      <c r="Y28" s="133"/>
      <c r="Z28" s="133"/>
      <c r="AA28" s="133"/>
      <c r="AB28" s="133"/>
      <c r="AC28" s="133"/>
      <c r="AD28" s="133"/>
      <c r="AE28" s="136"/>
      <c r="AF28" s="151"/>
      <c r="AG28" s="133"/>
      <c r="AH28" s="136"/>
      <c r="AI28" s="136"/>
      <c r="AJ28" s="136"/>
      <c r="AK28" s="133"/>
    </row>
    <row r="29" spans="1:40" x14ac:dyDescent="0.25">
      <c r="K29" s="136"/>
      <c r="L29" s="174"/>
      <c r="M29" s="179"/>
      <c r="N29" s="179"/>
      <c r="O29" s="179"/>
      <c r="P29" s="179"/>
      <c r="Q29" s="179"/>
      <c r="R29" s="179"/>
      <c r="S29" s="179"/>
      <c r="T29" s="133"/>
      <c r="U29" s="136"/>
      <c r="V29" s="136"/>
      <c r="W29" s="136"/>
      <c r="X29" s="133"/>
      <c r="Y29" s="133"/>
      <c r="Z29" s="133"/>
      <c r="AA29" s="133"/>
      <c r="AB29" s="133"/>
      <c r="AC29" s="133"/>
      <c r="AD29" s="133"/>
      <c r="AE29" s="136"/>
      <c r="AF29" s="151"/>
      <c r="AG29" s="133"/>
      <c r="AH29" s="136"/>
      <c r="AI29" s="136"/>
      <c r="AJ29" s="136"/>
      <c r="AK29" s="133"/>
    </row>
    <row r="30" spans="1:40" ht="27" thickBot="1" x14ac:dyDescent="0.3">
      <c r="A30" s="126" t="s">
        <v>55</v>
      </c>
      <c r="C30" s="106" t="s">
        <v>116</v>
      </c>
      <c r="D30" s="106" t="s">
        <v>117</v>
      </c>
      <c r="E30" s="106"/>
      <c r="F30" s="106" t="s">
        <v>118</v>
      </c>
      <c r="K30" s="136"/>
      <c r="L30" s="174"/>
      <c r="M30" s="180"/>
      <c r="N30" s="181"/>
      <c r="O30" s="179"/>
      <c r="P30" s="179"/>
      <c r="Q30" s="179"/>
      <c r="R30" s="179"/>
      <c r="S30" s="179"/>
      <c r="T30" s="150"/>
      <c r="U30" s="136"/>
      <c r="V30" s="136"/>
      <c r="W30" s="136"/>
      <c r="X30" s="133"/>
      <c r="Y30" s="133"/>
      <c r="Z30" s="133"/>
      <c r="AA30" s="133"/>
      <c r="AB30" s="133"/>
      <c r="AC30" s="133"/>
      <c r="AD30" s="150"/>
      <c r="AE30" s="136"/>
      <c r="AF30" s="151"/>
      <c r="AG30" s="150"/>
      <c r="AH30" s="136"/>
      <c r="AI30" s="136"/>
      <c r="AJ30" s="136"/>
      <c r="AK30" s="150"/>
    </row>
    <row r="31" spans="1:40" ht="13.8" thickBot="1" x14ac:dyDescent="0.3">
      <c r="A31" s="113" t="s">
        <v>120</v>
      </c>
      <c r="B31" s="127">
        <v>71</v>
      </c>
      <c r="C31" s="96">
        <f>F70</f>
        <v>324000</v>
      </c>
      <c r="D31" s="96">
        <f>($J$6/$N$6)*C31</f>
        <v>31759699.546666663</v>
      </c>
      <c r="E31" s="96"/>
      <c r="F31" s="88">
        <f>D31/3600</f>
        <v>8822.1387629629626</v>
      </c>
      <c r="K31" s="136"/>
      <c r="L31" s="180"/>
      <c r="M31" s="180"/>
      <c r="N31" s="181"/>
      <c r="O31" s="179"/>
      <c r="P31" s="179"/>
      <c r="Q31" s="179"/>
      <c r="R31" s="179"/>
      <c r="S31" s="179"/>
      <c r="T31" s="150"/>
      <c r="U31" s="136"/>
      <c r="V31" s="136"/>
      <c r="W31" s="136"/>
      <c r="X31" s="133"/>
      <c r="Y31" s="133"/>
      <c r="Z31" s="133"/>
      <c r="AA31" s="133"/>
      <c r="AB31" s="133"/>
      <c r="AC31" s="133"/>
      <c r="AD31" s="150"/>
      <c r="AE31" s="136"/>
      <c r="AF31" s="151"/>
      <c r="AG31" s="150"/>
      <c r="AH31" s="136"/>
      <c r="AI31" s="136"/>
      <c r="AJ31" s="136"/>
      <c r="AK31" s="150"/>
    </row>
    <row r="32" spans="1:40" ht="13.8" thickBot="1" x14ac:dyDescent="0.3">
      <c r="A32" s="113" t="s">
        <v>151</v>
      </c>
      <c r="B32" s="196">
        <v>66.034999999999997</v>
      </c>
      <c r="C32" s="122">
        <f>F70</f>
        <v>324000</v>
      </c>
      <c r="D32" s="96">
        <f>($J$6/$N$6)*C32</f>
        <v>31759699.546666663</v>
      </c>
      <c r="E32" s="96"/>
      <c r="F32" s="88">
        <f>D32/3600</f>
        <v>8822.1387629629626</v>
      </c>
      <c r="K32" s="136"/>
      <c r="L32" s="179"/>
      <c r="M32" s="179"/>
      <c r="N32" s="181"/>
      <c r="O32" s="179"/>
      <c r="P32" s="179"/>
      <c r="Q32" s="179"/>
      <c r="R32" s="179"/>
      <c r="S32" s="179"/>
      <c r="T32" s="150"/>
      <c r="U32" s="136"/>
      <c r="V32" s="136"/>
      <c r="W32" s="136"/>
      <c r="X32" s="133"/>
      <c r="Y32" s="133"/>
      <c r="Z32" s="133"/>
      <c r="AA32" s="133"/>
      <c r="AB32" s="133"/>
      <c r="AC32" s="133"/>
      <c r="AD32" s="150"/>
      <c r="AE32" s="136"/>
      <c r="AF32" s="151"/>
      <c r="AG32" s="150"/>
      <c r="AH32" s="136"/>
      <c r="AI32" s="136"/>
      <c r="AJ32" s="136"/>
      <c r="AK32" s="150"/>
    </row>
    <row r="33" spans="1:37" ht="13.8" thickBot="1" x14ac:dyDescent="0.3">
      <c r="A33" s="113" t="s">
        <v>123</v>
      </c>
      <c r="B33" s="127">
        <v>66.67</v>
      </c>
      <c r="C33" s="96">
        <f>F71</f>
        <v>324000</v>
      </c>
      <c r="D33" s="96">
        <f>($J$6/$N$6)*C33</f>
        <v>31759699.546666663</v>
      </c>
      <c r="E33" s="96"/>
      <c r="F33" s="88">
        <f>D33/3600</f>
        <v>8822.1387629629626</v>
      </c>
      <c r="G33" s="88"/>
      <c r="H33" s="87" t="s">
        <v>1</v>
      </c>
      <c r="I33" s="87"/>
      <c r="J33" s="88"/>
      <c r="K33" s="133"/>
      <c r="L33" s="179"/>
      <c r="M33" s="179"/>
      <c r="N33" s="181"/>
      <c r="O33" s="179"/>
      <c r="P33" s="179"/>
      <c r="Q33" s="179"/>
      <c r="R33" s="179"/>
      <c r="S33" s="179"/>
      <c r="T33" s="150"/>
      <c r="U33" s="133"/>
      <c r="V33" s="133"/>
      <c r="W33" s="133"/>
      <c r="X33" s="133"/>
      <c r="Y33" s="133"/>
      <c r="Z33" s="133"/>
      <c r="AA33" s="133"/>
      <c r="AB33" s="133"/>
      <c r="AC33" s="133"/>
      <c r="AD33" s="150"/>
      <c r="AE33" s="133"/>
      <c r="AF33" s="133"/>
      <c r="AG33" s="150"/>
      <c r="AH33" s="133"/>
      <c r="AI33" s="133"/>
      <c r="AJ33" s="133"/>
      <c r="AK33" s="150"/>
    </row>
    <row r="34" spans="1:37" ht="13.8" thickBot="1" x14ac:dyDescent="0.3">
      <c r="A34" s="113" t="s">
        <v>124</v>
      </c>
      <c r="B34" s="127">
        <v>16</v>
      </c>
      <c r="C34" s="96">
        <f>F67</f>
        <v>161280</v>
      </c>
      <c r="D34" s="96">
        <f>($J$6/$N$6)*C34</f>
        <v>15809272.663229629</v>
      </c>
      <c r="E34" s="262" t="s">
        <v>161</v>
      </c>
      <c r="F34" s="88">
        <f>D34/3600</f>
        <v>4391.4646286748966</v>
      </c>
      <c r="H34" s="124"/>
      <c r="I34" s="124"/>
      <c r="K34" s="136"/>
      <c r="L34" s="179"/>
      <c r="M34" s="179"/>
      <c r="N34" s="181"/>
      <c r="O34" s="179"/>
      <c r="P34" s="179"/>
      <c r="Q34" s="179"/>
      <c r="R34" s="179"/>
      <c r="S34" s="179"/>
      <c r="T34" s="150"/>
      <c r="U34" s="136"/>
      <c r="V34" s="136"/>
      <c r="W34" s="136"/>
      <c r="X34" s="133"/>
      <c r="Y34" s="133"/>
      <c r="Z34" s="133"/>
      <c r="AA34" s="133"/>
      <c r="AB34" s="133"/>
      <c r="AC34" s="133"/>
      <c r="AD34" s="150"/>
      <c r="AE34" s="136"/>
      <c r="AF34" s="151"/>
      <c r="AG34" s="150"/>
      <c r="AH34" s="136"/>
      <c r="AI34" s="136"/>
      <c r="AJ34" s="136"/>
      <c r="AK34" s="150"/>
    </row>
    <row r="35" spans="1:37" ht="27" thickBot="1" x14ac:dyDescent="0.3">
      <c r="A35" s="194" t="s">
        <v>160</v>
      </c>
      <c r="B35" s="261">
        <v>28</v>
      </c>
      <c r="E35" s="263">
        <f>B35*C32</f>
        <v>9072000</v>
      </c>
      <c r="K35" s="136"/>
      <c r="L35" s="179"/>
      <c r="M35" s="179"/>
      <c r="N35" s="181"/>
      <c r="O35" s="179"/>
      <c r="P35" s="179"/>
      <c r="Q35" s="179"/>
      <c r="R35" s="179"/>
      <c r="S35" s="179"/>
      <c r="T35" s="150"/>
      <c r="U35" s="136"/>
      <c r="V35" s="136"/>
      <c r="W35" s="136"/>
      <c r="X35" s="133"/>
      <c r="Y35" s="133"/>
      <c r="Z35" s="133"/>
      <c r="AA35" s="133"/>
      <c r="AB35" s="133"/>
      <c r="AC35" s="175"/>
      <c r="AD35" s="150"/>
      <c r="AE35" s="136"/>
      <c r="AF35" s="151"/>
      <c r="AG35" s="150"/>
      <c r="AH35" s="136"/>
      <c r="AI35" s="136"/>
      <c r="AJ35" s="136"/>
      <c r="AK35" s="150"/>
    </row>
    <row r="36" spans="1:37" x14ac:dyDescent="0.25">
      <c r="K36" s="136"/>
      <c r="L36" s="179"/>
      <c r="M36" s="179"/>
      <c r="N36" s="181"/>
      <c r="O36" s="179"/>
      <c r="P36" s="179"/>
      <c r="Q36" s="179"/>
      <c r="R36" s="179"/>
      <c r="S36" s="179"/>
      <c r="T36" s="150"/>
      <c r="U36" s="136"/>
      <c r="V36" s="136"/>
      <c r="W36" s="136"/>
      <c r="X36" s="133"/>
      <c r="Y36" s="133"/>
      <c r="Z36" s="133"/>
      <c r="AA36" s="133"/>
      <c r="AB36" s="133"/>
      <c r="AC36" s="175"/>
      <c r="AD36" s="150"/>
      <c r="AE36" s="136"/>
      <c r="AF36" s="151"/>
      <c r="AG36" s="150"/>
      <c r="AH36" s="136"/>
      <c r="AI36" s="136"/>
      <c r="AJ36" s="136"/>
      <c r="AK36" s="150"/>
    </row>
    <row r="37" spans="1:37" x14ac:dyDescent="0.25">
      <c r="A37" s="88" t="s">
        <v>170</v>
      </c>
      <c r="B37" s="88">
        <v>1.2E-2</v>
      </c>
      <c r="K37" s="136"/>
      <c r="L37" s="179"/>
      <c r="M37" s="179"/>
      <c r="N37" s="181"/>
      <c r="O37" s="179"/>
      <c r="P37" s="179"/>
      <c r="Q37" s="179"/>
      <c r="R37" s="179"/>
      <c r="S37" s="179"/>
      <c r="T37" s="150"/>
      <c r="U37" s="136"/>
      <c r="V37" s="136"/>
      <c r="W37" s="136"/>
      <c r="X37" s="133"/>
      <c r="Y37" s="133"/>
      <c r="Z37" s="133"/>
      <c r="AA37" s="133"/>
      <c r="AB37" s="133"/>
      <c r="AC37" s="175"/>
      <c r="AD37" s="150"/>
      <c r="AE37" s="136"/>
      <c r="AF37" s="151"/>
      <c r="AG37" s="150"/>
      <c r="AH37" s="136"/>
      <c r="AI37" s="136"/>
      <c r="AJ37" s="136"/>
      <c r="AK37" s="150"/>
    </row>
    <row r="38" spans="1:37" x14ac:dyDescent="0.25">
      <c r="A38" s="88" t="s">
        <v>171</v>
      </c>
      <c r="B38" s="216">
        <v>0.72</v>
      </c>
      <c r="K38" s="136"/>
      <c r="L38" s="179"/>
      <c r="M38" s="179"/>
      <c r="N38" s="181"/>
      <c r="O38" s="179"/>
      <c r="P38" s="179"/>
      <c r="Q38" s="179"/>
      <c r="R38" s="179"/>
      <c r="S38" s="179"/>
      <c r="T38" s="150"/>
      <c r="U38" s="136"/>
      <c r="V38" s="136"/>
      <c r="W38" s="136"/>
      <c r="X38" s="133"/>
      <c r="Y38" s="133"/>
      <c r="Z38" s="133"/>
      <c r="AA38" s="133"/>
      <c r="AB38" s="133"/>
      <c r="AC38" s="175"/>
      <c r="AD38" s="150"/>
      <c r="AE38" s="136"/>
      <c r="AF38" s="151"/>
      <c r="AG38" s="150"/>
      <c r="AH38" s="136"/>
      <c r="AI38" s="136"/>
      <c r="AJ38" s="136"/>
      <c r="AK38" s="150"/>
    </row>
    <row r="39" spans="1:37" x14ac:dyDescent="0.25">
      <c r="A39" s="88" t="s">
        <v>134</v>
      </c>
      <c r="B39" s="185">
        <v>25</v>
      </c>
      <c r="K39" s="136"/>
      <c r="L39" s="179"/>
      <c r="M39" s="179"/>
      <c r="N39" s="181"/>
      <c r="O39" s="179"/>
      <c r="P39" s="179"/>
      <c r="Q39" s="179"/>
      <c r="R39" s="179"/>
      <c r="S39" s="179"/>
      <c r="T39" s="150"/>
      <c r="U39" s="136"/>
      <c r="V39" s="136"/>
      <c r="W39" s="136"/>
      <c r="X39" s="133"/>
      <c r="Y39" s="133"/>
      <c r="Z39" s="133"/>
      <c r="AA39" s="133"/>
      <c r="AB39" s="133"/>
      <c r="AC39" s="175"/>
      <c r="AD39" s="150"/>
      <c r="AE39" s="136"/>
      <c r="AF39" s="151"/>
      <c r="AG39" s="150"/>
      <c r="AH39" s="136"/>
      <c r="AI39" s="136"/>
      <c r="AJ39" s="136"/>
      <c r="AK39" s="150"/>
    </row>
    <row r="40" spans="1:37" x14ac:dyDescent="0.25">
      <c r="A40" s="88" t="s">
        <v>135</v>
      </c>
      <c r="B40" s="185">
        <v>1</v>
      </c>
      <c r="K40" s="136"/>
      <c r="L40" s="179"/>
      <c r="M40" s="179"/>
      <c r="N40" s="181"/>
      <c r="O40" s="179"/>
      <c r="P40" s="179"/>
      <c r="Q40" s="179"/>
      <c r="R40" s="179"/>
      <c r="S40" s="179"/>
      <c r="T40" s="150"/>
      <c r="U40" s="136"/>
      <c r="V40" s="136"/>
      <c r="W40" s="136"/>
      <c r="X40" s="133"/>
      <c r="Y40" s="133"/>
      <c r="Z40" s="133"/>
      <c r="AA40" s="133"/>
      <c r="AB40" s="133"/>
      <c r="AC40" s="175"/>
      <c r="AD40" s="150"/>
      <c r="AE40" s="136"/>
      <c r="AF40" s="151"/>
      <c r="AG40" s="150"/>
      <c r="AH40" s="136"/>
      <c r="AI40" s="136"/>
      <c r="AJ40" s="136"/>
      <c r="AK40" s="150"/>
    </row>
    <row r="41" spans="1:37" x14ac:dyDescent="0.25">
      <c r="A41" s="88" t="s">
        <v>136</v>
      </c>
      <c r="B41" s="185">
        <v>1</v>
      </c>
      <c r="K41" s="136"/>
      <c r="L41" s="179"/>
      <c r="M41" s="179"/>
      <c r="N41" s="181"/>
      <c r="O41" s="179"/>
      <c r="P41" s="179"/>
      <c r="Q41" s="179"/>
      <c r="R41" s="179"/>
      <c r="S41" s="179"/>
      <c r="T41" s="150"/>
      <c r="U41" s="136"/>
      <c r="V41" s="136"/>
      <c r="W41" s="136"/>
      <c r="X41" s="133"/>
      <c r="Y41" s="133"/>
      <c r="Z41" s="133"/>
      <c r="AA41" s="133"/>
      <c r="AB41" s="133"/>
      <c r="AC41" s="175"/>
      <c r="AD41" s="150"/>
      <c r="AE41" s="136"/>
      <c r="AF41" s="151"/>
      <c r="AG41" s="150"/>
      <c r="AH41" s="136"/>
      <c r="AI41" s="136"/>
      <c r="AJ41" s="136"/>
      <c r="AK41" s="150"/>
    </row>
    <row r="42" spans="1:37" ht="27" thickBot="1" x14ac:dyDescent="0.3">
      <c r="A42" s="88" t="s">
        <v>137</v>
      </c>
      <c r="B42" s="185">
        <v>20</v>
      </c>
      <c r="K42" s="136"/>
      <c r="L42" s="179"/>
      <c r="M42" s="179"/>
      <c r="N42" s="181"/>
      <c r="O42" s="179"/>
      <c r="P42" s="179"/>
      <c r="Q42" s="179"/>
      <c r="R42" s="179"/>
      <c r="S42" s="179"/>
      <c r="T42" s="150"/>
      <c r="U42" s="136"/>
      <c r="V42" s="136"/>
      <c r="W42" s="136"/>
      <c r="X42" s="133"/>
      <c r="Y42" s="133"/>
      <c r="Z42" s="133"/>
      <c r="AA42" s="133"/>
      <c r="AB42" s="133"/>
      <c r="AC42" s="175"/>
      <c r="AD42" s="150"/>
      <c r="AE42" s="136"/>
      <c r="AF42" s="151"/>
      <c r="AG42" s="150"/>
      <c r="AH42" s="136"/>
      <c r="AI42" s="136"/>
      <c r="AJ42" s="136"/>
      <c r="AK42" s="150"/>
    </row>
    <row r="43" spans="1:37" ht="13.8" thickBot="1" x14ac:dyDescent="0.3">
      <c r="A43" s="184" t="s">
        <v>139</v>
      </c>
      <c r="B43" s="213">
        <f>(24/B40)*7*B41</f>
        <v>168</v>
      </c>
      <c r="K43" s="136"/>
      <c r="L43" s="179"/>
      <c r="M43" s="179"/>
      <c r="N43" s="181"/>
      <c r="O43" s="179"/>
      <c r="P43" s="179"/>
      <c r="Q43" s="179"/>
      <c r="R43" s="179"/>
      <c r="S43" s="179"/>
      <c r="T43" s="150"/>
      <c r="U43" s="136"/>
      <c r="V43" s="136"/>
      <c r="W43" s="136"/>
      <c r="X43" s="133"/>
      <c r="Y43" s="133"/>
      <c r="Z43" s="133"/>
      <c r="AA43" s="133"/>
      <c r="AB43" s="133"/>
      <c r="AC43" s="175"/>
      <c r="AD43" s="150"/>
      <c r="AE43" s="136"/>
      <c r="AF43" s="151"/>
      <c r="AG43" s="150"/>
      <c r="AH43" s="136"/>
      <c r="AI43" s="136"/>
      <c r="AJ43" s="136"/>
      <c r="AK43" s="150"/>
    </row>
    <row r="44" spans="1:37" ht="13.8" thickBot="1" x14ac:dyDescent="0.3">
      <c r="A44" s="184" t="s">
        <v>140</v>
      </c>
      <c r="B44" s="214">
        <f>(B38*B43)/10080</f>
        <v>1.1999999999999999E-2</v>
      </c>
      <c r="K44" s="136"/>
      <c r="L44" s="179"/>
      <c r="M44" s="179"/>
      <c r="N44" s="181"/>
      <c r="O44" s="179"/>
      <c r="P44" s="179"/>
      <c r="Q44" s="179"/>
      <c r="R44" s="179"/>
      <c r="S44" s="179"/>
      <c r="T44" s="150"/>
      <c r="U44" s="136"/>
      <c r="V44" s="136"/>
      <c r="W44" s="136"/>
      <c r="X44" s="133"/>
      <c r="Y44" s="133"/>
      <c r="Z44" s="133"/>
      <c r="AA44" s="133"/>
      <c r="AB44" s="133"/>
      <c r="AC44" s="175"/>
      <c r="AD44" s="150"/>
      <c r="AE44" s="136"/>
      <c r="AF44" s="151"/>
      <c r="AG44" s="150"/>
      <c r="AH44" s="136"/>
      <c r="AI44" s="136"/>
      <c r="AJ44" s="136"/>
      <c r="AK44" s="150"/>
    </row>
    <row r="45" spans="1:37" ht="13.8" thickBot="1" x14ac:dyDescent="0.3">
      <c r="A45" s="184" t="s">
        <v>141</v>
      </c>
      <c r="B45" s="215">
        <f>(B39*B42)/10080</f>
        <v>4.96031746031746E-2</v>
      </c>
      <c r="K45" s="136"/>
      <c r="L45" s="179"/>
      <c r="M45" s="179"/>
      <c r="N45" s="181"/>
      <c r="O45" s="179"/>
      <c r="P45" s="179"/>
      <c r="Q45" s="179"/>
      <c r="R45" s="179"/>
      <c r="S45" s="179"/>
      <c r="T45" s="150"/>
      <c r="U45" s="136"/>
      <c r="V45" s="136"/>
      <c r="W45" s="136"/>
      <c r="X45" s="133"/>
      <c r="Y45" s="133"/>
      <c r="Z45" s="133"/>
      <c r="AA45" s="133"/>
      <c r="AB45" s="133"/>
      <c r="AC45" s="175"/>
      <c r="AD45" s="150"/>
      <c r="AE45" s="136"/>
      <c r="AF45" s="151"/>
      <c r="AG45" s="150"/>
      <c r="AH45" s="136"/>
      <c r="AI45" s="136"/>
      <c r="AJ45" s="136"/>
      <c r="AK45" s="150"/>
    </row>
    <row r="46" spans="1:37" ht="13.8" thickBot="1" x14ac:dyDescent="0.3">
      <c r="A46" s="184" t="s">
        <v>138</v>
      </c>
      <c r="B46" s="215">
        <f>B45+B44</f>
        <v>6.1603174603174597E-2</v>
      </c>
      <c r="K46" s="136"/>
      <c r="L46" s="179"/>
      <c r="M46" s="179"/>
      <c r="N46" s="181"/>
      <c r="O46" s="179"/>
      <c r="P46" s="179"/>
      <c r="Q46" s="179"/>
      <c r="R46" s="179"/>
      <c r="S46" s="179"/>
      <c r="T46" s="150"/>
      <c r="U46" s="136"/>
      <c r="V46" s="136"/>
      <c r="W46" s="136"/>
      <c r="X46" s="133"/>
      <c r="Y46" s="133"/>
      <c r="Z46" s="133"/>
      <c r="AA46" s="133"/>
      <c r="AB46" s="133"/>
      <c r="AC46" s="175"/>
      <c r="AD46" s="150"/>
      <c r="AE46" s="136"/>
      <c r="AF46" s="151"/>
      <c r="AG46" s="150"/>
      <c r="AH46" s="136"/>
      <c r="AI46" s="136"/>
      <c r="AJ46" s="136"/>
      <c r="AK46" s="150"/>
    </row>
    <row r="47" spans="1:37" x14ac:dyDescent="0.25">
      <c r="K47" s="136"/>
      <c r="L47" s="136"/>
      <c r="M47" s="133"/>
      <c r="N47" s="133"/>
      <c r="O47" s="133"/>
      <c r="P47" s="133"/>
      <c r="Q47" s="133"/>
      <c r="R47" s="133"/>
      <c r="S47" s="133"/>
      <c r="T47" s="133"/>
      <c r="U47" s="136"/>
      <c r="V47" s="136"/>
      <c r="W47" s="136"/>
      <c r="X47" s="133"/>
      <c r="Y47" s="133"/>
      <c r="Z47" s="133"/>
      <c r="AA47" s="133"/>
      <c r="AB47" s="133"/>
      <c r="AC47" s="133"/>
      <c r="AD47" s="133"/>
      <c r="AE47" s="136"/>
      <c r="AF47" s="151"/>
      <c r="AG47" s="133"/>
      <c r="AH47" s="136"/>
      <c r="AI47" s="136"/>
      <c r="AJ47" s="136"/>
      <c r="AK47" s="133"/>
    </row>
    <row r="48" spans="1:37" x14ac:dyDescent="0.25">
      <c r="A48" s="113" t="s">
        <v>131</v>
      </c>
      <c r="B48" s="171">
        <v>0.9</v>
      </c>
      <c r="K48" s="136"/>
      <c r="L48" s="174"/>
      <c r="M48" s="179"/>
      <c r="N48" s="179"/>
      <c r="O48" s="179"/>
      <c r="P48" s="179"/>
      <c r="Q48" s="179"/>
      <c r="R48" s="179"/>
      <c r="S48" s="179"/>
      <c r="T48" s="133"/>
      <c r="U48" s="136"/>
      <c r="V48" s="136"/>
      <c r="W48" s="136"/>
      <c r="X48" s="133"/>
      <c r="Y48" s="133"/>
      <c r="Z48" s="133"/>
      <c r="AA48" s="133"/>
      <c r="AB48" s="133"/>
      <c r="AC48" s="133"/>
      <c r="AD48" s="133"/>
      <c r="AE48" s="136"/>
      <c r="AF48" s="151"/>
      <c r="AG48" s="133"/>
      <c r="AH48" s="136"/>
      <c r="AI48" s="136"/>
      <c r="AJ48" s="136"/>
      <c r="AK48" s="133"/>
    </row>
    <row r="49" spans="1:39" x14ac:dyDescent="0.25">
      <c r="A49" s="113" t="s">
        <v>129</v>
      </c>
      <c r="B49" s="171">
        <v>0.1</v>
      </c>
      <c r="C49" s="96"/>
      <c r="K49" s="136"/>
      <c r="L49" s="174"/>
      <c r="M49" s="180"/>
      <c r="N49" s="181"/>
      <c r="O49" s="179"/>
      <c r="P49" s="179"/>
      <c r="Q49" s="179"/>
      <c r="R49" s="179"/>
      <c r="S49" s="179"/>
      <c r="T49" s="150"/>
      <c r="U49" s="136"/>
      <c r="V49" s="136"/>
      <c r="W49" s="136"/>
      <c r="X49" s="133"/>
      <c r="Y49" s="133"/>
      <c r="Z49" s="133"/>
      <c r="AA49" s="133"/>
      <c r="AB49" s="133"/>
      <c r="AC49" s="175"/>
      <c r="AD49" s="150"/>
      <c r="AE49" s="136"/>
      <c r="AF49" s="151"/>
      <c r="AG49" s="150"/>
      <c r="AH49" s="136"/>
      <c r="AI49" s="136"/>
      <c r="AJ49" s="136"/>
      <c r="AK49" s="150"/>
    </row>
    <row r="50" spans="1:39" x14ac:dyDescent="0.25">
      <c r="A50" s="113" t="s">
        <v>130</v>
      </c>
      <c r="B50" s="96">
        <v>26</v>
      </c>
      <c r="C50" s="96"/>
      <c r="K50" s="136"/>
      <c r="L50" s="174"/>
      <c r="M50" s="180"/>
      <c r="N50" s="181"/>
      <c r="O50" s="179"/>
      <c r="P50" s="179"/>
      <c r="Q50" s="179"/>
      <c r="R50" s="179"/>
      <c r="S50" s="179"/>
      <c r="T50" s="150"/>
      <c r="U50" s="136"/>
      <c r="V50" s="136"/>
      <c r="W50" s="136"/>
      <c r="X50" s="133"/>
      <c r="Y50" s="133"/>
      <c r="Z50" s="133"/>
      <c r="AA50" s="133"/>
      <c r="AB50" s="133"/>
      <c r="AC50" s="175"/>
      <c r="AD50" s="150"/>
      <c r="AE50" s="136"/>
      <c r="AF50" s="151"/>
      <c r="AG50" s="150"/>
      <c r="AH50" s="136"/>
      <c r="AI50" s="136"/>
      <c r="AJ50" s="136"/>
      <c r="AK50" s="150"/>
    </row>
    <row r="51" spans="1:39" x14ac:dyDescent="0.25">
      <c r="A51" s="113" t="s">
        <v>128</v>
      </c>
      <c r="B51" s="96">
        <v>3</v>
      </c>
      <c r="C51" s="96"/>
      <c r="K51" s="136"/>
      <c r="L51" s="174"/>
      <c r="M51" s="180"/>
      <c r="N51" s="181"/>
      <c r="O51" s="179"/>
      <c r="P51" s="179"/>
      <c r="Q51" s="179"/>
      <c r="R51" s="179"/>
      <c r="S51" s="179"/>
      <c r="T51" s="150"/>
      <c r="U51" s="136"/>
      <c r="V51" s="136"/>
      <c r="W51" s="136"/>
      <c r="X51" s="133"/>
      <c r="Y51" s="133"/>
      <c r="Z51" s="133"/>
      <c r="AA51" s="133"/>
      <c r="AB51" s="133"/>
      <c r="AC51" s="175"/>
      <c r="AD51" s="150"/>
      <c r="AE51" s="136"/>
      <c r="AF51" s="151"/>
      <c r="AG51" s="150"/>
      <c r="AH51" s="136"/>
      <c r="AI51" s="136"/>
      <c r="AJ51" s="136"/>
      <c r="AK51" s="150"/>
    </row>
    <row r="52" spans="1:39" x14ac:dyDescent="0.25">
      <c r="A52" s="184"/>
      <c r="B52" s="96"/>
      <c r="C52" s="96"/>
      <c r="K52" s="136"/>
      <c r="L52" s="174"/>
      <c r="M52" s="180"/>
      <c r="N52" s="181"/>
      <c r="O52" s="179"/>
      <c r="P52" s="179"/>
      <c r="Q52" s="179"/>
      <c r="R52" s="179"/>
      <c r="S52" s="179"/>
      <c r="T52" s="150"/>
      <c r="U52" s="136"/>
      <c r="V52" s="136"/>
      <c r="W52" s="136"/>
      <c r="X52" s="133"/>
      <c r="Y52" s="133"/>
      <c r="Z52" s="133"/>
      <c r="AA52" s="133"/>
      <c r="AB52" s="133"/>
      <c r="AC52" s="175"/>
      <c r="AD52" s="150"/>
      <c r="AE52" s="136"/>
      <c r="AF52" s="151"/>
      <c r="AG52" s="150"/>
      <c r="AH52" s="136"/>
      <c r="AI52" s="136"/>
      <c r="AJ52" s="136"/>
      <c r="AK52" s="150"/>
    </row>
    <row r="53" spans="1:39" x14ac:dyDescent="0.25">
      <c r="A53" s="184" t="s">
        <v>142</v>
      </c>
      <c r="B53" s="96">
        <v>112</v>
      </c>
      <c r="K53" s="136"/>
      <c r="L53" s="180"/>
      <c r="M53" s="180"/>
      <c r="N53" s="181"/>
      <c r="O53" s="179"/>
      <c r="P53" s="179"/>
      <c r="Q53" s="179"/>
      <c r="R53" s="179"/>
      <c r="S53" s="179"/>
      <c r="T53" s="150"/>
      <c r="U53" s="136"/>
      <c r="V53" s="136"/>
      <c r="W53" s="136"/>
      <c r="X53" s="133"/>
      <c r="Y53" s="133"/>
      <c r="Z53" s="133"/>
      <c r="AA53" s="133"/>
      <c r="AB53" s="133"/>
      <c r="AC53" s="175"/>
      <c r="AD53" s="150"/>
      <c r="AE53" s="136"/>
      <c r="AF53" s="151"/>
      <c r="AG53" s="150"/>
      <c r="AH53" s="136"/>
      <c r="AI53" s="136"/>
      <c r="AJ53" s="136"/>
      <c r="AK53" s="150"/>
    </row>
    <row r="54" spans="1:39" x14ac:dyDescent="0.25">
      <c r="A54" s="88" t="s">
        <v>28</v>
      </c>
      <c r="B54" s="128">
        <v>500000</v>
      </c>
      <c r="H54" s="1"/>
      <c r="K54" s="136"/>
      <c r="L54" s="179"/>
      <c r="M54" s="179"/>
      <c r="N54" s="181"/>
      <c r="O54" s="179"/>
      <c r="P54" s="179"/>
      <c r="Q54" s="179"/>
      <c r="R54" s="179"/>
      <c r="S54" s="179"/>
      <c r="T54" s="150"/>
      <c r="U54" s="136"/>
      <c r="V54" s="136"/>
      <c r="W54" s="136"/>
      <c r="X54" s="133"/>
      <c r="Y54" s="133"/>
      <c r="Z54" s="133"/>
      <c r="AA54" s="133"/>
      <c r="AB54" s="133"/>
      <c r="AC54" s="175"/>
      <c r="AD54" s="150"/>
      <c r="AE54" s="136"/>
      <c r="AF54" s="151"/>
      <c r="AG54" s="150"/>
      <c r="AH54" s="136"/>
      <c r="AI54" s="136"/>
      <c r="AJ54" s="136"/>
      <c r="AK54" s="150"/>
    </row>
    <row r="55" spans="1:39" x14ac:dyDescent="0.25">
      <c r="A55" s="88" t="s">
        <v>29</v>
      </c>
      <c r="B55" s="129">
        <v>29000</v>
      </c>
      <c r="H55" s="1"/>
      <c r="K55" s="133"/>
      <c r="L55" s="179"/>
      <c r="M55" s="179"/>
      <c r="N55" s="181"/>
      <c r="O55" s="179"/>
      <c r="P55" s="179"/>
      <c r="Q55" s="179"/>
      <c r="R55" s="179"/>
      <c r="S55" s="179"/>
      <c r="T55" s="150"/>
      <c r="U55" s="136"/>
      <c r="V55" s="136"/>
      <c r="W55" s="136"/>
      <c r="X55" s="133"/>
      <c r="Y55" s="133"/>
      <c r="Z55" s="133"/>
      <c r="AA55" s="133"/>
      <c r="AB55" s="133"/>
      <c r="AC55" s="175"/>
      <c r="AD55" s="150"/>
      <c r="AE55" s="136"/>
      <c r="AF55" s="151"/>
      <c r="AG55" s="150"/>
      <c r="AH55" s="136"/>
      <c r="AI55" s="136"/>
      <c r="AJ55" s="136"/>
      <c r="AK55" s="150"/>
    </row>
    <row r="56" spans="1:39" x14ac:dyDescent="0.25">
      <c r="A56" s="88" t="s">
        <v>32</v>
      </c>
      <c r="B56" s="129">
        <f>B81</f>
        <v>9038</v>
      </c>
      <c r="K56" s="136"/>
      <c r="L56" s="179"/>
      <c r="M56" s="179"/>
      <c r="N56" s="181"/>
      <c r="O56" s="179"/>
      <c r="P56" s="179"/>
      <c r="Q56" s="179"/>
      <c r="R56" s="179"/>
      <c r="S56" s="179"/>
      <c r="T56" s="150"/>
      <c r="U56" s="136"/>
      <c r="V56" s="136"/>
      <c r="W56" s="136"/>
      <c r="X56" s="133"/>
      <c r="Y56" s="133"/>
      <c r="Z56" s="133"/>
      <c r="AA56" s="133"/>
      <c r="AB56" s="133"/>
      <c r="AC56" s="133"/>
      <c r="AD56" s="150"/>
      <c r="AE56" s="136"/>
      <c r="AF56" s="151"/>
      <c r="AG56" s="150"/>
      <c r="AH56" s="136"/>
      <c r="AI56" s="136"/>
      <c r="AJ56" s="136"/>
      <c r="AK56" s="150"/>
    </row>
    <row r="57" spans="1:39" x14ac:dyDescent="0.25">
      <c r="A57" s="88" t="s">
        <v>31</v>
      </c>
      <c r="B57" s="130">
        <v>0.38700000000000001</v>
      </c>
      <c r="K57" s="136"/>
      <c r="L57" s="179"/>
      <c r="M57" s="179"/>
      <c r="N57" s="181"/>
      <c r="O57" s="179"/>
      <c r="P57" s="179"/>
      <c r="Q57" s="179"/>
      <c r="R57" s="179"/>
      <c r="S57" s="179"/>
      <c r="T57" s="150"/>
      <c r="U57" s="136"/>
      <c r="V57" s="136"/>
      <c r="W57" s="136"/>
      <c r="X57" s="176"/>
      <c r="Y57" s="176"/>
      <c r="Z57" s="176"/>
      <c r="AA57" s="176"/>
      <c r="AB57" s="176"/>
      <c r="AC57" s="174"/>
      <c r="AD57" s="150"/>
      <c r="AE57" s="176"/>
      <c r="AF57" s="176"/>
      <c r="AG57" s="150"/>
      <c r="AH57" s="176"/>
      <c r="AI57" s="176"/>
      <c r="AJ57" s="176"/>
      <c r="AK57" s="150"/>
    </row>
    <row r="58" spans="1:39" x14ac:dyDescent="0.25">
      <c r="A58" s="88" t="s">
        <v>36</v>
      </c>
      <c r="B58" s="131">
        <v>3.449E-2</v>
      </c>
      <c r="K58" s="136"/>
      <c r="L58" s="179"/>
      <c r="M58" s="179"/>
      <c r="N58" s="181"/>
      <c r="O58" s="179"/>
      <c r="P58" s="179"/>
      <c r="Q58" s="179"/>
      <c r="R58" s="179"/>
      <c r="S58" s="179"/>
      <c r="T58" s="150"/>
      <c r="U58" s="136"/>
      <c r="V58" s="136"/>
      <c r="W58" s="136"/>
      <c r="X58" s="136"/>
      <c r="Y58" s="136"/>
      <c r="Z58" s="136"/>
      <c r="AA58" s="136"/>
      <c r="AB58" s="136"/>
      <c r="AC58" s="175"/>
      <c r="AD58" s="150"/>
      <c r="AE58" s="136"/>
      <c r="AF58" s="136"/>
      <c r="AG58" s="150"/>
      <c r="AH58" s="136"/>
      <c r="AI58" s="136"/>
      <c r="AJ58" s="136"/>
      <c r="AK58" s="150"/>
    </row>
    <row r="59" spans="1:39" x14ac:dyDescent="0.25">
      <c r="A59" s="88" t="s">
        <v>24</v>
      </c>
      <c r="B59" s="128">
        <v>16000</v>
      </c>
      <c r="K59" s="136"/>
      <c r="L59" s="136"/>
      <c r="M59" s="133"/>
      <c r="N59" s="133"/>
      <c r="O59" s="133"/>
      <c r="P59" s="133"/>
      <c r="Q59" s="133"/>
      <c r="R59" s="133"/>
      <c r="S59" s="133"/>
      <c r="T59" s="133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</row>
    <row r="60" spans="1:39" ht="15" x14ac:dyDescent="0.25">
      <c r="A60" s="132" t="s">
        <v>25</v>
      </c>
      <c r="B60" s="128">
        <v>15600</v>
      </c>
      <c r="K60" s="136"/>
      <c r="L60" s="182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</row>
    <row r="61" spans="1:39" x14ac:dyDescent="0.25">
      <c r="A61" s="132" t="s">
        <v>26</v>
      </c>
      <c r="B61" s="128">
        <v>29200</v>
      </c>
      <c r="K61" s="136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</row>
    <row r="62" spans="1:39" x14ac:dyDescent="0.25">
      <c r="A62" s="88" t="s">
        <v>27</v>
      </c>
      <c r="B62" s="128">
        <v>13500</v>
      </c>
      <c r="K62" s="177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33"/>
      <c r="AM62" s="133"/>
    </row>
    <row r="63" spans="1:39" ht="13.8" thickBot="1" x14ac:dyDescent="0.3">
      <c r="I63" s="1"/>
      <c r="J63" s="1"/>
      <c r="K63" s="178"/>
      <c r="L63" s="136"/>
      <c r="M63" s="133"/>
      <c r="N63" s="133"/>
      <c r="O63" s="133"/>
      <c r="P63" s="133"/>
      <c r="Q63" s="133"/>
      <c r="R63" s="133"/>
      <c r="S63" s="133"/>
      <c r="T63" s="133"/>
      <c r="U63" s="135"/>
      <c r="V63" s="135"/>
      <c r="W63" s="135"/>
      <c r="X63" s="136"/>
      <c r="Y63" s="136"/>
      <c r="Z63" s="136"/>
      <c r="AA63" s="136"/>
      <c r="AB63" s="136"/>
      <c r="AC63" s="135"/>
      <c r="AD63" s="135"/>
      <c r="AE63" s="136"/>
      <c r="AF63" s="136"/>
      <c r="AG63" s="135"/>
      <c r="AH63" s="136"/>
      <c r="AI63" s="136"/>
      <c r="AJ63" s="136"/>
      <c r="AK63" s="135"/>
      <c r="AL63" s="133"/>
      <c r="AM63" s="133"/>
    </row>
    <row r="64" spans="1:39" ht="27" thickBot="1" x14ac:dyDescent="0.3">
      <c r="A64" s="137" t="s">
        <v>44</v>
      </c>
      <c r="B64" s="138" t="s">
        <v>42</v>
      </c>
      <c r="C64" s="139" t="s">
        <v>39</v>
      </c>
      <c r="D64" s="140" t="s">
        <v>40</v>
      </c>
      <c r="E64" s="141"/>
      <c r="F64" s="141" t="s">
        <v>40</v>
      </c>
      <c r="G64" s="142" t="s">
        <v>46</v>
      </c>
      <c r="H64" s="143" t="s">
        <v>48</v>
      </c>
      <c r="I64" s="144"/>
      <c r="J64" s="1"/>
      <c r="K64" s="134"/>
      <c r="L64" s="90"/>
      <c r="M64" s="91"/>
      <c r="N64" s="91"/>
      <c r="O64" s="91"/>
      <c r="P64" s="91"/>
      <c r="Q64" s="91"/>
      <c r="R64" s="91"/>
      <c r="S64" s="91"/>
      <c r="T64" s="91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3"/>
      <c r="AM64" s="133"/>
    </row>
    <row r="65" spans="1:39" ht="13.8" thickBot="1" x14ac:dyDescent="0.3">
      <c r="A65" s="250" t="s">
        <v>37</v>
      </c>
      <c r="B65" s="251"/>
      <c r="C65" s="145" t="s">
        <v>41</v>
      </c>
      <c r="D65" s="146" t="s">
        <v>41</v>
      </c>
      <c r="E65" s="147"/>
      <c r="F65" s="147" t="s">
        <v>45</v>
      </c>
      <c r="G65" s="148" t="s">
        <v>49</v>
      </c>
      <c r="H65" s="149" t="s">
        <v>47</v>
      </c>
      <c r="I65" s="1"/>
      <c r="J65" s="1"/>
      <c r="K65" s="134"/>
      <c r="L65" s="134"/>
      <c r="M65" s="91"/>
      <c r="O65" s="133"/>
      <c r="P65" s="133"/>
      <c r="Q65" s="133"/>
      <c r="R65" s="133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33"/>
      <c r="AM65" s="133"/>
    </row>
    <row r="66" spans="1:39" x14ac:dyDescent="0.25">
      <c r="A66" s="252" t="s">
        <v>38</v>
      </c>
      <c r="B66" s="253"/>
      <c r="C66" s="152">
        <v>45.5</v>
      </c>
      <c r="D66" s="153">
        <v>40</v>
      </c>
      <c r="E66" s="197"/>
      <c r="F66" s="154">
        <f t="shared" ref="F66:F71" si="0">D66*3600</f>
        <v>144000</v>
      </c>
      <c r="G66" s="155">
        <v>5.3971000000000002E-5</v>
      </c>
      <c r="H66" s="156">
        <v>0.1</v>
      </c>
      <c r="J66" s="90"/>
      <c r="K66" s="90"/>
      <c r="L66" s="90"/>
      <c r="M66" s="91"/>
      <c r="O66" s="133"/>
      <c r="P66" s="133"/>
      <c r="Q66" s="133"/>
      <c r="R66" s="133"/>
      <c r="S66" s="133"/>
      <c r="T66" s="133"/>
      <c r="U66" s="136"/>
      <c r="V66" s="136"/>
      <c r="W66" s="136"/>
      <c r="X66" s="133"/>
      <c r="Y66" s="133"/>
      <c r="Z66" s="133"/>
      <c r="AA66" s="133"/>
      <c r="AB66" s="133"/>
      <c r="AC66" s="133"/>
      <c r="AD66" s="133"/>
      <c r="AE66" s="136"/>
      <c r="AF66" s="151"/>
      <c r="AG66" s="133"/>
      <c r="AH66" s="136"/>
      <c r="AI66" s="136"/>
      <c r="AJ66" s="136"/>
      <c r="AK66" s="133"/>
      <c r="AL66" s="133"/>
      <c r="AM66" s="133"/>
    </row>
    <row r="67" spans="1:39" x14ac:dyDescent="0.25">
      <c r="A67" s="254" t="s">
        <v>125</v>
      </c>
      <c r="B67" s="255"/>
      <c r="C67" s="152">
        <v>51</v>
      </c>
      <c r="D67" s="153">
        <v>44.8</v>
      </c>
      <c r="E67" s="197"/>
      <c r="F67" s="157">
        <f t="shared" si="0"/>
        <v>161280</v>
      </c>
      <c r="G67" s="158">
        <v>5.3971000000000002E-5</v>
      </c>
      <c r="H67" s="159">
        <v>0.09</v>
      </c>
    </row>
    <row r="68" spans="1:39" ht="13.8" thickBot="1" x14ac:dyDescent="0.3">
      <c r="A68" s="256" t="s">
        <v>43</v>
      </c>
      <c r="B68" s="257"/>
      <c r="C68" s="160">
        <v>92</v>
      </c>
      <c r="D68" s="161">
        <v>73</v>
      </c>
      <c r="E68" s="198"/>
      <c r="F68" s="162">
        <f t="shared" si="0"/>
        <v>262800</v>
      </c>
      <c r="G68" s="163">
        <v>1.88677E-4</v>
      </c>
      <c r="H68" s="164">
        <v>0.35499999999999998</v>
      </c>
    </row>
    <row r="69" spans="1:39" ht="13.8" thickBot="1" x14ac:dyDescent="0.3">
      <c r="A69" s="247" t="s">
        <v>143</v>
      </c>
      <c r="B69" s="248"/>
      <c r="C69" s="160"/>
      <c r="D69" s="161"/>
      <c r="E69" s="198"/>
      <c r="F69" s="162"/>
      <c r="G69" s="163"/>
      <c r="H69" s="164"/>
    </row>
    <row r="70" spans="1:39" ht="13.8" thickBot="1" x14ac:dyDescent="0.3">
      <c r="A70" s="247" t="s">
        <v>121</v>
      </c>
      <c r="B70" s="248"/>
      <c r="C70" s="160">
        <v>100</v>
      </c>
      <c r="D70" s="161">
        <v>90</v>
      </c>
      <c r="E70" s="198"/>
      <c r="F70" s="162">
        <f t="shared" si="0"/>
        <v>324000</v>
      </c>
      <c r="G70" s="163">
        <v>1.10264E-4</v>
      </c>
      <c r="H70" s="164">
        <v>0.21299999999999999</v>
      </c>
      <c r="J70" s="96" t="s">
        <v>1</v>
      </c>
    </row>
    <row r="71" spans="1:39" ht="13.8" thickBot="1" x14ac:dyDescent="0.3">
      <c r="A71" s="247" t="s">
        <v>122</v>
      </c>
      <c r="B71" s="248"/>
      <c r="C71" s="160">
        <v>105</v>
      </c>
      <c r="D71" s="161">
        <v>90</v>
      </c>
      <c r="E71" s="198"/>
      <c r="F71" s="162">
        <f t="shared" si="0"/>
        <v>324000</v>
      </c>
      <c r="G71" s="163">
        <v>1.10264E-4</v>
      </c>
      <c r="H71" s="164">
        <v>0.21299999999999999</v>
      </c>
    </row>
    <row r="72" spans="1:39" ht="13.8" thickBot="1" x14ac:dyDescent="0.3">
      <c r="U72" s="88"/>
      <c r="X72" s="96"/>
      <c r="AE72" s="88"/>
      <c r="AF72" s="90"/>
      <c r="AG72" s="93"/>
      <c r="AH72" s="88"/>
      <c r="AI72" s="88"/>
      <c r="AJ72" s="88"/>
    </row>
    <row r="73" spans="1:39" ht="13.8" thickBot="1" x14ac:dyDescent="0.3">
      <c r="A73" s="165" t="s">
        <v>150</v>
      </c>
      <c r="B73" s="166"/>
      <c r="F73" s="91"/>
      <c r="G73" s="1"/>
      <c r="H73" s="1"/>
      <c r="I73" s="91"/>
      <c r="T73" s="109"/>
      <c r="U73" s="90"/>
      <c r="V73" s="90"/>
    </row>
    <row r="74" spans="1:39" x14ac:dyDescent="0.25">
      <c r="A74" s="191" t="s">
        <v>66</v>
      </c>
      <c r="B74" s="192">
        <v>650</v>
      </c>
      <c r="F74" s="91"/>
      <c r="G74" s="1"/>
      <c r="H74" s="1"/>
      <c r="I74" s="91"/>
      <c r="T74" s="109"/>
      <c r="U74" s="90"/>
      <c r="V74" s="90"/>
    </row>
    <row r="75" spans="1:39" x14ac:dyDescent="0.25">
      <c r="A75" s="167" t="s">
        <v>67</v>
      </c>
      <c r="B75" s="168">
        <v>250</v>
      </c>
      <c r="F75" s="91"/>
      <c r="G75" s="108"/>
      <c r="H75" s="91"/>
      <c r="T75" s="109"/>
      <c r="U75" s="90"/>
      <c r="V75" s="90"/>
    </row>
    <row r="76" spans="1:39" x14ac:dyDescent="0.25">
      <c r="A76" s="167" t="s">
        <v>70</v>
      </c>
      <c r="B76" s="168">
        <v>142</v>
      </c>
      <c r="F76" s="91"/>
      <c r="G76" s="108"/>
      <c r="H76" s="91"/>
    </row>
    <row r="77" spans="1:39" x14ac:dyDescent="0.25">
      <c r="A77" s="167" t="s">
        <v>69</v>
      </c>
      <c r="B77" s="168">
        <v>300</v>
      </c>
    </row>
    <row r="78" spans="1:39" x14ac:dyDescent="0.25">
      <c r="A78" s="167" t="s">
        <v>68</v>
      </c>
      <c r="B78" s="168">
        <v>300</v>
      </c>
      <c r="F78" s="118"/>
    </row>
    <row r="79" spans="1:39" x14ac:dyDescent="0.25">
      <c r="A79" s="167" t="s">
        <v>153</v>
      </c>
      <c r="B79" s="168">
        <f>SUM(B74:B78)</f>
        <v>1642</v>
      </c>
      <c r="F79" s="118"/>
    </row>
    <row r="80" spans="1:39" x14ac:dyDescent="0.25">
      <c r="A80" s="167" t="s">
        <v>152</v>
      </c>
      <c r="B80" s="168">
        <v>7396</v>
      </c>
      <c r="F80" s="118"/>
    </row>
    <row r="81" spans="1:4" ht="13.8" thickBot="1" x14ac:dyDescent="0.3">
      <c r="A81" s="189" t="s">
        <v>0</v>
      </c>
      <c r="B81" s="190">
        <f>SUM(B79:B80)</f>
        <v>9038</v>
      </c>
      <c r="D81" s="88">
        <f>(B81*2)+B80</f>
        <v>25472</v>
      </c>
    </row>
  </sheetData>
  <mergeCells count="28">
    <mergeCell ref="X16:AC16"/>
    <mergeCell ref="A70:B70"/>
    <mergeCell ref="A71:B71"/>
    <mergeCell ref="N16:S16"/>
    <mergeCell ref="A65:B65"/>
    <mergeCell ref="A69:B69"/>
    <mergeCell ref="A66:B66"/>
    <mergeCell ref="A67:B67"/>
    <mergeCell ref="A68:B68"/>
    <mergeCell ref="V8:W10"/>
    <mergeCell ref="X8:AC8"/>
    <mergeCell ref="X9:AC9"/>
    <mergeCell ref="X10:AC10"/>
    <mergeCell ref="V12:W14"/>
    <mergeCell ref="X12:AC12"/>
    <mergeCell ref="X13:AC13"/>
    <mergeCell ref="X14:AC14"/>
    <mergeCell ref="G12:H12"/>
    <mergeCell ref="G8:H8"/>
    <mergeCell ref="G4:I4"/>
    <mergeCell ref="N9:S9"/>
    <mergeCell ref="L8:M10"/>
    <mergeCell ref="N10:S10"/>
    <mergeCell ref="L12:M14"/>
    <mergeCell ref="N12:S12"/>
    <mergeCell ref="N13:S13"/>
    <mergeCell ref="N14:S14"/>
    <mergeCell ref="N8:S8"/>
  </mergeCells>
  <phoneticPr fontId="1" type="noConversion"/>
  <pageMargins left="0.25" right="0.25" top="0.75" bottom="0.75" header="0.3" footer="0.3"/>
  <pageSetup paperSize="17" scale="5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4"/>
  <sheetViews>
    <sheetView workbookViewId="0">
      <selection activeCell="D28" sqref="D28"/>
    </sheetView>
  </sheetViews>
  <sheetFormatPr defaultRowHeight="13.2" x14ac:dyDescent="0.25"/>
  <cols>
    <col min="1" max="1" width="18.88671875" style="39" customWidth="1"/>
    <col min="2" max="2" width="20" style="39" customWidth="1"/>
    <col min="3" max="3" width="12.21875" style="39" customWidth="1"/>
    <col min="4" max="4" width="10.77734375" style="39" customWidth="1"/>
    <col min="5" max="5" width="8.6640625" style="39" customWidth="1"/>
    <col min="6" max="6" width="13.6640625" style="77" customWidth="1"/>
    <col min="7" max="7" width="10.109375" style="39" customWidth="1"/>
    <col min="8" max="9" width="8.109375" style="39" customWidth="1"/>
    <col min="10" max="10" width="9" style="39" customWidth="1"/>
    <col min="11" max="11" width="16.5546875" style="39" customWidth="1"/>
    <col min="12" max="14" width="8.88671875" style="39"/>
    <col min="15" max="15" width="13.44140625" style="39" customWidth="1"/>
    <col min="16" max="16" width="10.33203125" style="39" customWidth="1"/>
    <col min="17" max="17" width="19.77734375" style="39" customWidth="1"/>
    <col min="18" max="18" width="14" style="39" customWidth="1"/>
    <col min="19" max="19" width="10.5546875" style="39" customWidth="1"/>
    <col min="20" max="16384" width="8.88671875" style="39"/>
  </cols>
  <sheetData>
    <row r="2" spans="1:19" ht="13.8" thickBot="1" x14ac:dyDescent="0.3"/>
    <row r="3" spans="1:19" ht="13.8" hidden="1" thickBot="1" x14ac:dyDescent="0.3"/>
    <row r="4" spans="1:19" ht="39.6" x14ac:dyDescent="0.25">
      <c r="A4" s="32" t="s">
        <v>44</v>
      </c>
      <c r="B4" s="33" t="s">
        <v>85</v>
      </c>
      <c r="C4" s="33" t="s">
        <v>3</v>
      </c>
      <c r="D4" s="33" t="s">
        <v>100</v>
      </c>
      <c r="E4" s="33" t="s">
        <v>112</v>
      </c>
      <c r="F4" s="78" t="s">
        <v>96</v>
      </c>
      <c r="G4" s="33" t="s">
        <v>103</v>
      </c>
      <c r="H4" s="33" t="s">
        <v>88</v>
      </c>
      <c r="I4" s="33" t="s">
        <v>89</v>
      </c>
      <c r="J4" s="33" t="s">
        <v>90</v>
      </c>
      <c r="K4" s="34" t="s">
        <v>114</v>
      </c>
      <c r="L4" s="35" t="s">
        <v>39</v>
      </c>
      <c r="M4" s="35" t="s">
        <v>40</v>
      </c>
      <c r="N4" s="35" t="s">
        <v>40</v>
      </c>
      <c r="O4" s="36" t="s">
        <v>46</v>
      </c>
      <c r="P4" s="36" t="s">
        <v>48</v>
      </c>
      <c r="Q4" s="35" t="s">
        <v>82</v>
      </c>
      <c r="R4" s="37" t="s">
        <v>97</v>
      </c>
      <c r="S4" s="38" t="s">
        <v>84</v>
      </c>
    </row>
    <row r="5" spans="1:19" x14ac:dyDescent="0.25">
      <c r="A5" s="46" t="s">
        <v>37</v>
      </c>
      <c r="B5" s="47"/>
      <c r="C5" s="47" t="s">
        <v>101</v>
      </c>
      <c r="D5" s="47" t="s">
        <v>101</v>
      </c>
      <c r="E5" s="47"/>
      <c r="F5" s="79" t="s">
        <v>102</v>
      </c>
      <c r="G5" s="47" t="s">
        <v>104</v>
      </c>
      <c r="H5" s="47"/>
      <c r="I5" s="47"/>
      <c r="J5" s="47"/>
      <c r="K5" s="48"/>
      <c r="L5" s="49" t="s">
        <v>41</v>
      </c>
      <c r="M5" s="49" t="s">
        <v>41</v>
      </c>
      <c r="N5" s="49" t="s">
        <v>45</v>
      </c>
      <c r="O5" s="31" t="s">
        <v>49</v>
      </c>
      <c r="P5" s="31" t="s">
        <v>47</v>
      </c>
      <c r="Q5" s="50" t="s">
        <v>83</v>
      </c>
      <c r="R5" s="51"/>
      <c r="S5" s="52"/>
    </row>
    <row r="6" spans="1:19" ht="20.399999999999999" x14ac:dyDescent="0.25">
      <c r="A6" s="53" t="s">
        <v>92</v>
      </c>
      <c r="B6" s="54" t="s">
        <v>91</v>
      </c>
      <c r="C6" s="55"/>
      <c r="D6" s="54"/>
      <c r="E6" s="54"/>
      <c r="F6" s="80"/>
      <c r="G6" s="54"/>
      <c r="H6" s="54" t="s">
        <v>86</v>
      </c>
      <c r="I6" s="54"/>
      <c r="J6" s="54"/>
      <c r="K6" s="56"/>
      <c r="L6" s="57">
        <v>13.7</v>
      </c>
      <c r="M6" s="57">
        <v>11</v>
      </c>
      <c r="N6" s="58">
        <f>M6*3600</f>
        <v>39600</v>
      </c>
      <c r="O6" s="40">
        <v>5.5699999999999999E-5</v>
      </c>
      <c r="P6" s="41">
        <v>0.14399999999999999</v>
      </c>
      <c r="Q6" s="59">
        <f>(O6/M6)*1000000</f>
        <v>5.0636363636363635</v>
      </c>
      <c r="R6" s="60"/>
      <c r="S6" s="52"/>
    </row>
    <row r="7" spans="1:19" ht="20.399999999999999" x14ac:dyDescent="0.25">
      <c r="A7" s="61" t="s">
        <v>107</v>
      </c>
      <c r="B7" s="62" t="s">
        <v>93</v>
      </c>
      <c r="C7" s="63">
        <v>3.6</v>
      </c>
      <c r="D7" s="62">
        <v>3.67</v>
      </c>
      <c r="E7" s="62"/>
      <c r="F7" s="81">
        <v>1.8</v>
      </c>
      <c r="G7" s="62">
        <v>13</v>
      </c>
      <c r="H7" s="62" t="s">
        <v>86</v>
      </c>
      <c r="I7" s="62">
        <v>2.42</v>
      </c>
      <c r="J7" s="62">
        <v>1.32</v>
      </c>
      <c r="K7" s="48"/>
      <c r="L7" s="57">
        <v>45.5</v>
      </c>
      <c r="M7" s="57">
        <v>40</v>
      </c>
      <c r="N7" s="58">
        <f t="shared" ref="N7:N12" si="0">M7*3600</f>
        <v>144000</v>
      </c>
      <c r="O7" s="42">
        <v>5.3971000000000002E-5</v>
      </c>
      <c r="P7" s="43">
        <v>0.1</v>
      </c>
      <c r="Q7" s="59">
        <f>(O7/M7)*1000000</f>
        <v>1.349275</v>
      </c>
      <c r="R7" s="60"/>
      <c r="S7" s="52"/>
    </row>
    <row r="8" spans="1:19" ht="20.399999999999999" x14ac:dyDescent="0.25">
      <c r="A8" s="64" t="s">
        <v>106</v>
      </c>
      <c r="B8" s="65" t="s">
        <v>94</v>
      </c>
      <c r="C8" s="55">
        <v>3.6</v>
      </c>
      <c r="D8" s="65">
        <v>3.67</v>
      </c>
      <c r="E8" s="65"/>
      <c r="F8" s="80">
        <v>0.25</v>
      </c>
      <c r="G8" s="65">
        <v>17</v>
      </c>
      <c r="H8" s="65" t="s">
        <v>86</v>
      </c>
      <c r="I8" s="65">
        <v>2.42</v>
      </c>
      <c r="J8" s="65">
        <v>1.32</v>
      </c>
      <c r="K8" s="48"/>
      <c r="L8" s="57">
        <v>51</v>
      </c>
      <c r="M8" s="57">
        <v>44.8</v>
      </c>
      <c r="N8" s="58">
        <f t="shared" si="0"/>
        <v>161280</v>
      </c>
      <c r="O8" s="40">
        <v>5.3971000000000002E-5</v>
      </c>
      <c r="P8" s="41">
        <v>0.09</v>
      </c>
      <c r="Q8" s="59">
        <f>(O8/M8)*1000000</f>
        <v>1.2047098214285716</v>
      </c>
      <c r="R8" s="60"/>
      <c r="S8" s="52"/>
    </row>
    <row r="9" spans="1:19" ht="13.8" thickBot="1" x14ac:dyDescent="0.3">
      <c r="A9" s="66" t="s">
        <v>108</v>
      </c>
      <c r="B9" s="67" t="s">
        <v>95</v>
      </c>
      <c r="C9" s="68">
        <v>3</v>
      </c>
      <c r="D9" s="67"/>
      <c r="E9" s="67"/>
      <c r="F9" s="82">
        <v>6</v>
      </c>
      <c r="G9" s="67">
        <v>33</v>
      </c>
      <c r="H9" s="67" t="s">
        <v>87</v>
      </c>
      <c r="I9" s="67">
        <v>5.24</v>
      </c>
      <c r="J9" s="67">
        <v>1.67</v>
      </c>
      <c r="K9" s="69"/>
      <c r="L9" s="70">
        <v>92</v>
      </c>
      <c r="M9" s="70">
        <v>73</v>
      </c>
      <c r="N9" s="71">
        <f t="shared" si="0"/>
        <v>262800</v>
      </c>
      <c r="O9" s="44">
        <v>1.88677E-4</v>
      </c>
      <c r="P9" s="45">
        <v>0.35499999999999998</v>
      </c>
      <c r="Q9" s="72">
        <f>(O9/M9)*1000000</f>
        <v>2.5846164383561643</v>
      </c>
      <c r="R9" s="73"/>
      <c r="S9" s="74"/>
    </row>
    <row r="10" spans="1:19" ht="23.4" x14ac:dyDescent="0.25">
      <c r="A10" s="75" t="s">
        <v>105</v>
      </c>
      <c r="B10" s="75" t="s">
        <v>99</v>
      </c>
      <c r="C10" s="75">
        <v>3.6</v>
      </c>
      <c r="D10" s="75">
        <v>3.9</v>
      </c>
      <c r="E10" s="83">
        <v>4</v>
      </c>
      <c r="F10" s="83">
        <v>1</v>
      </c>
      <c r="G10" s="75">
        <v>30</v>
      </c>
      <c r="H10" s="75" t="s">
        <v>87</v>
      </c>
      <c r="I10" s="75">
        <v>4.3899999999999997</v>
      </c>
      <c r="J10" s="75">
        <v>1.32</v>
      </c>
      <c r="K10" s="76" t="s">
        <v>115</v>
      </c>
    </row>
    <row r="11" spans="1:19" ht="26.4" x14ac:dyDescent="0.25">
      <c r="A11" s="76" t="s">
        <v>111</v>
      </c>
      <c r="B11" s="75" t="s">
        <v>110</v>
      </c>
      <c r="C11" s="75">
        <v>3.6</v>
      </c>
      <c r="D11" s="75"/>
      <c r="E11" s="83">
        <v>0.23</v>
      </c>
      <c r="F11" s="83">
        <v>4.0000000000000001E-3</v>
      </c>
      <c r="G11" s="75">
        <v>19</v>
      </c>
      <c r="H11" s="75" t="s">
        <v>86</v>
      </c>
      <c r="I11" s="75">
        <v>2.4209999999999998</v>
      </c>
      <c r="J11" s="75">
        <v>1.2949999999999999</v>
      </c>
      <c r="K11" s="39">
        <v>14</v>
      </c>
      <c r="M11" s="39">
        <v>47</v>
      </c>
      <c r="N11" s="58">
        <f t="shared" si="0"/>
        <v>169200</v>
      </c>
    </row>
    <row r="12" spans="1:19" ht="26.4" x14ac:dyDescent="0.25">
      <c r="A12" s="76" t="s">
        <v>111</v>
      </c>
      <c r="B12" s="75" t="s">
        <v>113</v>
      </c>
      <c r="C12" s="75">
        <v>3.6</v>
      </c>
      <c r="D12" s="75"/>
      <c r="E12" s="83">
        <v>0.45</v>
      </c>
      <c r="F12" s="83">
        <v>0.01</v>
      </c>
      <c r="G12" s="75">
        <v>35</v>
      </c>
      <c r="H12" s="75" t="s">
        <v>87</v>
      </c>
      <c r="I12" s="75">
        <v>4.9020000000000001</v>
      </c>
      <c r="J12" s="75">
        <v>1.2949999999999999</v>
      </c>
      <c r="K12" s="39">
        <v>27</v>
      </c>
      <c r="L12" s="39">
        <v>122.5</v>
      </c>
      <c r="M12" s="39">
        <v>89</v>
      </c>
      <c r="N12" s="58">
        <f t="shared" si="0"/>
        <v>320400</v>
      </c>
    </row>
    <row r="13" spans="1:19" ht="26.4" x14ac:dyDescent="0.25">
      <c r="A13" s="76" t="s">
        <v>111</v>
      </c>
      <c r="B13" s="75" t="s">
        <v>109</v>
      </c>
      <c r="C13" s="75">
        <v>3.6</v>
      </c>
      <c r="D13" s="75"/>
      <c r="E13" s="83"/>
      <c r="F13" s="83">
        <v>0.1</v>
      </c>
      <c r="G13" s="75">
        <v>19</v>
      </c>
      <c r="H13" s="75" t="s">
        <v>86</v>
      </c>
      <c r="I13" s="75">
        <v>2.4209999999999998</v>
      </c>
      <c r="J13" s="75">
        <v>1.2949999999999999</v>
      </c>
    </row>
    <row r="14" spans="1:19" ht="79.2" x14ac:dyDescent="0.25">
      <c r="B14" s="76" t="s">
        <v>98</v>
      </c>
      <c r="C14" s="76"/>
      <c r="D14" s="76"/>
      <c r="E14" s="76"/>
      <c r="F14" s="84"/>
      <c r="G14" s="76"/>
      <c r="H14" s="76"/>
      <c r="I14" s="76"/>
      <c r="J14" s="76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topLeftCell="B1" workbookViewId="0">
      <selection activeCell="D14" sqref="D14"/>
    </sheetView>
  </sheetViews>
  <sheetFormatPr defaultRowHeight="13.2" x14ac:dyDescent="0.25"/>
  <cols>
    <col min="2" max="2" width="22.6640625" customWidth="1"/>
    <col min="11" max="11" width="58.88671875" customWidth="1"/>
    <col min="12" max="12" width="12.88671875" customWidth="1"/>
  </cols>
  <sheetData>
    <row r="1" spans="2:16" ht="13.8" thickBot="1" x14ac:dyDescent="0.3">
      <c r="C1" s="3"/>
      <c r="D1" s="3"/>
    </row>
    <row r="2" spans="2:16" ht="13.8" thickBot="1" x14ac:dyDescent="0.3">
      <c r="B2" s="28" t="s">
        <v>74</v>
      </c>
      <c r="C2" s="29" t="s">
        <v>80</v>
      </c>
      <c r="D2" s="30" t="s">
        <v>81</v>
      </c>
    </row>
    <row r="3" spans="2:16" x14ac:dyDescent="0.25">
      <c r="B3" s="25" t="s">
        <v>71</v>
      </c>
      <c r="C3" s="26">
        <f>MuceBatteryPower!O4</f>
        <v>730.91148660661725</v>
      </c>
      <c r="D3" s="27">
        <f>MuceBatteryPower!P4</f>
        <v>-79.568513393382744</v>
      </c>
    </row>
    <row r="4" spans="2:16" x14ac:dyDescent="0.25">
      <c r="B4" s="19" t="s">
        <v>172</v>
      </c>
      <c r="C4" s="8">
        <v>906</v>
      </c>
      <c r="D4" s="20">
        <v>783</v>
      </c>
    </row>
    <row r="5" spans="2:16" x14ac:dyDescent="0.25">
      <c r="B5" s="217" t="s">
        <v>173</v>
      </c>
      <c r="C5" s="218">
        <v>100</v>
      </c>
      <c r="D5" s="219">
        <v>80</v>
      </c>
    </row>
    <row r="6" spans="2:16" x14ac:dyDescent="0.25">
      <c r="B6" s="217" t="s">
        <v>174</v>
      </c>
      <c r="C6" s="218">
        <v>57.2</v>
      </c>
      <c r="D6" s="219">
        <v>20</v>
      </c>
    </row>
    <row r="7" spans="2:16" ht="13.8" thickBot="1" x14ac:dyDescent="0.3">
      <c r="B7" s="21" t="s">
        <v>72</v>
      </c>
      <c r="C7" s="12">
        <v>309</v>
      </c>
      <c r="D7" s="14">
        <v>98</v>
      </c>
    </row>
    <row r="8" spans="2:16" ht="13.8" thickBot="1" x14ac:dyDescent="0.3">
      <c r="B8" s="24" t="s">
        <v>0</v>
      </c>
      <c r="C8" s="22">
        <f>SUM(C3:C7)</f>
        <v>2103.1114866066173</v>
      </c>
      <c r="D8" s="23">
        <f>SUM(D3:D7)</f>
        <v>901.43148660661723</v>
      </c>
    </row>
    <row r="14" spans="2:16" x14ac:dyDescent="0.25">
      <c r="J14" s="187" t="s">
        <v>146</v>
      </c>
      <c r="K14" s="2" t="s">
        <v>147</v>
      </c>
      <c r="L14" s="2"/>
    </row>
    <row r="15" spans="2:16" x14ac:dyDescent="0.25">
      <c r="J15" s="188">
        <v>14</v>
      </c>
      <c r="K15" s="2" t="s">
        <v>145</v>
      </c>
      <c r="O15" s="186"/>
      <c r="P15" s="186"/>
    </row>
    <row r="16" spans="2:16" x14ac:dyDescent="0.25">
      <c r="J16" s="188">
        <v>14</v>
      </c>
      <c r="K16" t="s">
        <v>144</v>
      </c>
      <c r="O16" s="186"/>
      <c r="P16" s="186"/>
    </row>
    <row r="17" spans="10:16" x14ac:dyDescent="0.25">
      <c r="J17" s="188">
        <v>14</v>
      </c>
      <c r="K17" s="2" t="s">
        <v>148</v>
      </c>
      <c r="O17" s="186"/>
      <c r="P17" s="186"/>
    </row>
    <row r="18" spans="10:16" x14ac:dyDescent="0.25">
      <c r="J18" s="188">
        <v>14</v>
      </c>
      <c r="K18" s="2" t="s">
        <v>149</v>
      </c>
      <c r="O18" s="186"/>
      <c r="P18" s="18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B14" sqref="B14"/>
    </sheetView>
  </sheetViews>
  <sheetFormatPr defaultRowHeight="13.2" x14ac:dyDescent="0.25"/>
  <cols>
    <col min="2" max="2" width="11.6640625" customWidth="1"/>
    <col min="3" max="3" width="12.33203125" customWidth="1"/>
    <col min="4" max="4" width="14.77734375" customWidth="1"/>
    <col min="5" max="5" width="13.5546875" customWidth="1"/>
  </cols>
  <sheetData>
    <row r="1" spans="2:5" x14ac:dyDescent="0.25">
      <c r="B1" t="s">
        <v>75</v>
      </c>
    </row>
    <row r="2" spans="2:5" ht="13.8" thickBot="1" x14ac:dyDescent="0.3"/>
    <row r="3" spans="2:5" s="4" customFormat="1" ht="98.4" customHeight="1" x14ac:dyDescent="0.25">
      <c r="B3" s="15" t="s">
        <v>78</v>
      </c>
      <c r="C3" s="16" t="s">
        <v>76</v>
      </c>
      <c r="D3" s="16" t="s">
        <v>79</v>
      </c>
      <c r="E3" s="17" t="s">
        <v>77</v>
      </c>
    </row>
    <row r="4" spans="2:5" x14ac:dyDescent="0.25">
      <c r="B4" s="9">
        <v>1</v>
      </c>
      <c r="C4" s="6">
        <v>7</v>
      </c>
      <c r="D4" s="18">
        <v>162000</v>
      </c>
      <c r="E4" s="10">
        <v>1852</v>
      </c>
    </row>
    <row r="5" spans="2:5" x14ac:dyDescent="0.25">
      <c r="B5" s="9">
        <v>1.3</v>
      </c>
      <c r="C5" s="6">
        <v>7</v>
      </c>
      <c r="D5" s="7">
        <v>171000</v>
      </c>
      <c r="E5" s="10">
        <v>1874</v>
      </c>
    </row>
    <row r="6" spans="2:5" x14ac:dyDescent="0.25">
      <c r="B6" s="9">
        <v>2</v>
      </c>
      <c r="C6" s="6">
        <v>8</v>
      </c>
      <c r="D6" s="7">
        <v>196000</v>
      </c>
      <c r="E6" s="10">
        <v>1970</v>
      </c>
    </row>
    <row r="7" spans="2:5" ht="13.8" thickBot="1" x14ac:dyDescent="0.3">
      <c r="B7" s="11">
        <v>2.2000000000000002</v>
      </c>
      <c r="C7" s="12">
        <v>9</v>
      </c>
      <c r="D7" s="13">
        <v>206000</v>
      </c>
      <c r="E7" s="14">
        <v>2030</v>
      </c>
    </row>
    <row r="8" spans="2:5" x14ac:dyDescent="0.25">
      <c r="B8" s="5"/>
    </row>
    <row r="9" spans="2:5" x14ac:dyDescent="0.25">
      <c r="B9" s="5"/>
    </row>
    <row r="10" spans="2:5" x14ac:dyDescent="0.25">
      <c r="B10" s="5"/>
    </row>
    <row r="14" spans="2:5" x14ac:dyDescent="0.25">
      <c r="B1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8" sqref="B28"/>
    </sheetView>
  </sheetViews>
  <sheetFormatPr defaultRowHeight="13.2" x14ac:dyDescent="0.25"/>
  <cols>
    <col min="1" max="1" width="30.44140625" style="188" customWidth="1"/>
    <col min="2" max="2" width="16.88671875" style="188" customWidth="1"/>
    <col min="3" max="3" width="15.44140625" style="188" customWidth="1"/>
    <col min="4" max="16384" width="8.88671875" style="188"/>
  </cols>
  <sheetData>
    <row r="1" spans="1:3" s="233" customFormat="1" ht="17.399999999999999" x14ac:dyDescent="0.25">
      <c r="A1" s="258" t="s">
        <v>193</v>
      </c>
      <c r="B1" s="259"/>
      <c r="C1" s="260"/>
    </row>
    <row r="2" spans="1:3" s="233" customFormat="1" ht="26.4" x14ac:dyDescent="0.25">
      <c r="A2" s="224" t="s">
        <v>187</v>
      </c>
      <c r="B2" s="221" t="s">
        <v>176</v>
      </c>
      <c r="C2" s="225" t="s">
        <v>185</v>
      </c>
    </row>
    <row r="3" spans="1:3" x14ac:dyDescent="0.25">
      <c r="A3" s="226" t="s">
        <v>175</v>
      </c>
      <c r="B3" s="223" t="s">
        <v>183</v>
      </c>
      <c r="C3" s="227" t="s">
        <v>186</v>
      </c>
    </row>
    <row r="4" spans="1:3" x14ac:dyDescent="0.25">
      <c r="A4" s="226" t="s">
        <v>178</v>
      </c>
      <c r="B4" s="222" t="s">
        <v>177</v>
      </c>
      <c r="C4" s="228" t="s">
        <v>192</v>
      </c>
    </row>
    <row r="5" spans="1:3" x14ac:dyDescent="0.25">
      <c r="A5" s="236" t="s">
        <v>197</v>
      </c>
      <c r="B5" s="223" t="s">
        <v>184</v>
      </c>
      <c r="C5" s="234" t="s">
        <v>191</v>
      </c>
    </row>
    <row r="6" spans="1:3" x14ac:dyDescent="0.25">
      <c r="A6" s="229" t="s">
        <v>188</v>
      </c>
      <c r="B6" s="223" t="s">
        <v>181</v>
      </c>
      <c r="C6" s="234" t="s">
        <v>191</v>
      </c>
    </row>
    <row r="7" spans="1:3" x14ac:dyDescent="0.25">
      <c r="A7" s="229" t="s">
        <v>189</v>
      </c>
      <c r="B7" s="222" t="s">
        <v>182</v>
      </c>
      <c r="C7" s="228" t="s">
        <v>192</v>
      </c>
    </row>
    <row r="8" spans="1:3" x14ac:dyDescent="0.25">
      <c r="A8" s="224" t="s">
        <v>190</v>
      </c>
      <c r="B8" s="220"/>
      <c r="C8" s="230"/>
    </row>
    <row r="9" spans="1:3" ht="13.8" thickBot="1" x14ac:dyDescent="0.3">
      <c r="A9" s="231" t="s">
        <v>180</v>
      </c>
      <c r="B9" s="235" t="s">
        <v>179</v>
      </c>
      <c r="C9" s="232" t="s">
        <v>192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41" sqref="O41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3</vt:i4>
      </vt:variant>
    </vt:vector>
  </HeadingPairs>
  <TitlesOfParts>
    <vt:vector size="9" baseType="lpstr">
      <vt:lpstr>MuceBatteryPower</vt:lpstr>
      <vt:lpstr>BatteryPakData</vt:lpstr>
      <vt:lpstr>EstimatedWeight</vt:lpstr>
      <vt:lpstr>Illustrations</vt:lpstr>
      <vt:lpstr>SystemVoltages</vt:lpstr>
      <vt:lpstr>EnergyMarginIllus</vt:lpstr>
      <vt:lpstr>BatteryPwrChartByInst</vt:lpstr>
      <vt:lpstr>BatteryPwrChartByVoltage</vt:lpstr>
      <vt:lpstr>BatteryPwrChartByVoltage (2)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2015-08-31T21:00:31Z</cp:lastPrinted>
  <dcterms:created xsi:type="dcterms:W3CDTF">2011-05-03T22:41:56Z</dcterms:created>
  <dcterms:modified xsi:type="dcterms:W3CDTF">2015-09-03T17:40:02Z</dcterms:modified>
</cp:coreProperties>
</file>