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_New\LASS AUV Scoping 2025\"/>
    </mc:Choice>
  </mc:AlternateContent>
  <xr:revisionPtr revIDLastSave="0" documentId="13_ncr:1_{E39B050C-F4E2-4F9F-BB07-B231B07B5AC4}" xr6:coauthVersionLast="36" xr6:coauthVersionMax="36" xr10:uidLastSave="{00000000-0000-0000-0000-000000000000}"/>
  <bookViews>
    <workbookView xWindow="0" yWindow="0" windowWidth="23655" windowHeight="15495" tabRatio="859" activeTab="4" xr2:uid="{BF488253-F88E-4664-97E3-316F89180F2D}"/>
  </bookViews>
  <sheets>
    <sheet name="Energy Usage vs Batteries" sheetId="8" r:id="rId1"/>
    <sheet name="Payload Energy Usage" sheetId="1" r:id="rId2"/>
    <sheet name="Thruster Energy Usage" sheetId="6" r:id="rId3"/>
    <sheet name="Drag Force Calcs" sheetId="12" r:id="rId4"/>
    <sheet name="Batteries" sheetId="7" r:id="rId5"/>
    <sheet name="Computers" sheetId="9" r:id="rId6"/>
    <sheet name="Telemetry" sheetId="3" r:id="rId7"/>
    <sheet name="1004B Plot" sheetId="4" r:id="rId8"/>
    <sheet name="MiniROV Plot" sheetId="5" r:id="rId9"/>
    <sheet name="TD27A Plot" sheetId="10" r:id="rId10"/>
    <sheet name="Chart2" sheetId="11" r:id="rId11"/>
    <sheet name="Thruster Comparison" sheetId="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2" i="6" l="1"/>
  <c r="J41" i="6"/>
  <c r="J40" i="6"/>
  <c r="J39" i="6"/>
  <c r="I42" i="6"/>
  <c r="I41" i="6"/>
  <c r="I40" i="6"/>
  <c r="I39" i="6"/>
  <c r="J34" i="6"/>
  <c r="J33" i="6"/>
  <c r="J32" i="6"/>
  <c r="J31" i="6"/>
  <c r="I34" i="6"/>
  <c r="I33" i="6"/>
  <c r="I32" i="6"/>
  <c r="I31" i="6"/>
  <c r="K39" i="6"/>
  <c r="K42" i="6"/>
  <c r="F34" i="6" l="1"/>
  <c r="F31" i="6"/>
  <c r="K34" i="6"/>
  <c r="K31" i="6"/>
  <c r="C15" i="6"/>
  <c r="G34" i="6"/>
  <c r="G31" i="6"/>
  <c r="H42" i="6"/>
  <c r="H39" i="6"/>
  <c r="G42" i="6"/>
  <c r="G39" i="6"/>
  <c r="F42" i="6"/>
  <c r="F39" i="6"/>
  <c r="H34" i="6"/>
  <c r="H31" i="6"/>
  <c r="E33" i="12" l="1"/>
  <c r="D33" i="12"/>
  <c r="C33" i="12"/>
  <c r="E32" i="12"/>
  <c r="D32" i="12"/>
  <c r="C32" i="12"/>
  <c r="E31" i="12"/>
  <c r="D31" i="12"/>
  <c r="C31" i="12"/>
  <c r="G36" i="12"/>
  <c r="G35" i="12"/>
  <c r="G34" i="12"/>
  <c r="G33" i="12"/>
  <c r="G32" i="12"/>
  <c r="E30" i="12" l="1"/>
  <c r="E29" i="12"/>
  <c r="E28" i="12"/>
  <c r="E27" i="12"/>
  <c r="E26" i="12"/>
  <c r="D30" i="12"/>
  <c r="D29" i="12"/>
  <c r="D28" i="12"/>
  <c r="D27" i="12"/>
  <c r="D26" i="12"/>
  <c r="C30" i="12"/>
  <c r="C29" i="12"/>
  <c r="C28" i="12"/>
  <c r="C27" i="12"/>
  <c r="C26" i="12"/>
  <c r="E25" i="12"/>
  <c r="E24" i="12"/>
  <c r="E23" i="12"/>
  <c r="E22" i="12"/>
  <c r="E21" i="12"/>
  <c r="D25" i="12"/>
  <c r="D24" i="12"/>
  <c r="D23" i="12"/>
  <c r="D22" i="12"/>
  <c r="D21" i="12"/>
  <c r="C25" i="12"/>
  <c r="C24" i="12"/>
  <c r="C23" i="12"/>
  <c r="C22" i="12"/>
  <c r="C21" i="12"/>
  <c r="G31" i="12"/>
  <c r="G30" i="12"/>
  <c r="G29" i="12"/>
  <c r="G28" i="12"/>
  <c r="G27" i="12"/>
  <c r="G26" i="12"/>
  <c r="G25" i="12"/>
  <c r="G24" i="12"/>
  <c r="G23" i="12"/>
  <c r="G22" i="12"/>
  <c r="G21" i="12"/>
  <c r="U46" i="6" l="1"/>
  <c r="U45" i="6"/>
  <c r="U44" i="6"/>
  <c r="U43" i="6"/>
  <c r="U42" i="6"/>
  <c r="U41" i="6"/>
  <c r="U40" i="6"/>
  <c r="U39" i="6"/>
  <c r="U38" i="6"/>
  <c r="U37" i="6"/>
  <c r="U36" i="6"/>
  <c r="U35" i="6"/>
  <c r="U34" i="6"/>
  <c r="U33" i="6"/>
  <c r="V25" i="6"/>
  <c r="V24" i="6"/>
  <c r="V23" i="6"/>
  <c r="V22" i="6"/>
  <c r="V21" i="6"/>
  <c r="V20" i="6"/>
  <c r="V19" i="6"/>
  <c r="V18" i="6"/>
  <c r="V17" i="6"/>
  <c r="V16" i="6"/>
  <c r="V15" i="6"/>
  <c r="V14" i="6"/>
  <c r="V13" i="6"/>
  <c r="V12" i="6"/>
  <c r="V11" i="6"/>
  <c r="H17" i="12" l="1"/>
  <c r="H16" i="12"/>
  <c r="H15" i="12"/>
  <c r="H14" i="12"/>
  <c r="H13" i="12"/>
  <c r="H12" i="12"/>
  <c r="G17" i="12"/>
  <c r="G16" i="12"/>
  <c r="G15" i="12"/>
  <c r="G14" i="12"/>
  <c r="G13" i="12"/>
  <c r="G12" i="12"/>
  <c r="F13" i="12"/>
  <c r="F17" i="12"/>
  <c r="F16" i="12"/>
  <c r="F15" i="12"/>
  <c r="F14" i="12"/>
  <c r="F12" i="12"/>
  <c r="F22" i="1"/>
  <c r="F20" i="1"/>
  <c r="F19" i="1"/>
  <c r="C18" i="6"/>
  <c r="C20" i="6"/>
  <c r="C17" i="6"/>
  <c r="Q33" i="6"/>
  <c r="R33" i="6"/>
  <c r="S33" i="6"/>
  <c r="Q34" i="6"/>
  <c r="R34" i="6"/>
  <c r="S34" i="6"/>
  <c r="Q35" i="6"/>
  <c r="R35" i="6"/>
  <c r="S35" i="6"/>
  <c r="Q36" i="6"/>
  <c r="R36" i="6"/>
  <c r="S36" i="6"/>
  <c r="E32" i="8" l="1"/>
  <c r="N48" i="8" s="1"/>
  <c r="E31" i="8"/>
  <c r="N23" i="8" s="1"/>
  <c r="E30" i="8"/>
  <c r="N46" i="8" s="1"/>
  <c r="E29" i="8"/>
  <c r="N21" i="8" s="1"/>
  <c r="B32" i="8"/>
  <c r="H24" i="8" s="1"/>
  <c r="B31" i="8"/>
  <c r="H23" i="8" s="1"/>
  <c r="B30" i="8"/>
  <c r="H22" i="8" s="1"/>
  <c r="B29" i="8"/>
  <c r="H21" i="8" s="1"/>
  <c r="Q48" i="8"/>
  <c r="P48" i="8"/>
  <c r="Q47" i="8"/>
  <c r="P47" i="8"/>
  <c r="Q46" i="8"/>
  <c r="P46" i="8"/>
  <c r="Q45" i="8"/>
  <c r="P45" i="8"/>
  <c r="Q40" i="8"/>
  <c r="P40" i="8"/>
  <c r="Q39" i="8"/>
  <c r="P39" i="8"/>
  <c r="Q38" i="8"/>
  <c r="P38" i="8"/>
  <c r="Q37" i="8"/>
  <c r="P37" i="8"/>
  <c r="Q32" i="8"/>
  <c r="P32" i="8"/>
  <c r="Q31" i="8"/>
  <c r="P31" i="8"/>
  <c r="Q30" i="8"/>
  <c r="P30" i="8"/>
  <c r="Q29" i="8"/>
  <c r="P29" i="8"/>
  <c r="Q24" i="8"/>
  <c r="P24" i="8"/>
  <c r="Q23" i="8"/>
  <c r="P23" i="8"/>
  <c r="Q22" i="8"/>
  <c r="P22" i="8"/>
  <c r="Q21" i="8"/>
  <c r="P21" i="8"/>
  <c r="K24" i="8"/>
  <c r="J24" i="8"/>
  <c r="K23" i="8"/>
  <c r="J23" i="8"/>
  <c r="K22" i="8"/>
  <c r="J22" i="8"/>
  <c r="K21" i="8"/>
  <c r="J21" i="8"/>
  <c r="S46" i="6"/>
  <c r="S45" i="6"/>
  <c r="S44" i="6"/>
  <c r="S43" i="6"/>
  <c r="S42" i="6"/>
  <c r="S41" i="6"/>
  <c r="S40" i="6"/>
  <c r="S39" i="6"/>
  <c r="S38" i="6"/>
  <c r="S37" i="6"/>
  <c r="R46" i="6"/>
  <c r="Q46" i="6"/>
  <c r="R45" i="6"/>
  <c r="Q45" i="6"/>
  <c r="R44" i="6"/>
  <c r="Q44" i="6"/>
  <c r="R43" i="6"/>
  <c r="Q43" i="6"/>
  <c r="R42" i="6"/>
  <c r="Q42" i="6"/>
  <c r="R41" i="6"/>
  <c r="Q41" i="6"/>
  <c r="R40" i="6"/>
  <c r="Q40" i="6"/>
  <c r="R39" i="6"/>
  <c r="Q39" i="6"/>
  <c r="R38" i="6"/>
  <c r="Q38" i="6"/>
  <c r="R37" i="6"/>
  <c r="Q37" i="6"/>
  <c r="N22" i="8" l="1"/>
  <c r="N38" i="8"/>
  <c r="N29" i="8"/>
  <c r="N45" i="8"/>
  <c r="N37" i="8"/>
  <c r="N24" i="8"/>
  <c r="N30" i="8"/>
  <c r="N39" i="8"/>
  <c r="N31" i="8"/>
  <c r="N47" i="8"/>
  <c r="N40" i="8"/>
  <c r="N32" i="8"/>
  <c r="V32" i="2"/>
  <c r="V31" i="2"/>
  <c r="V30" i="2"/>
  <c r="V29" i="2"/>
  <c r="V28" i="2"/>
  <c r="V27" i="2"/>
  <c r="V26" i="2"/>
  <c r="V25" i="2"/>
  <c r="V24" i="2"/>
  <c r="U25" i="2"/>
  <c r="S32" i="2"/>
  <c r="U32" i="2" s="1"/>
  <c r="S31" i="2"/>
  <c r="U31" i="2" s="1"/>
  <c r="S30" i="2"/>
  <c r="U30" i="2" s="1"/>
  <c r="S29" i="2"/>
  <c r="U29" i="2" s="1"/>
  <c r="S28" i="2"/>
  <c r="U28" i="2" s="1"/>
  <c r="S27" i="2"/>
  <c r="U27" i="2" s="1"/>
  <c r="S26" i="2"/>
  <c r="U26" i="2" s="1"/>
  <c r="S25" i="2"/>
  <c r="S24" i="2"/>
  <c r="U24" i="2" s="1"/>
  <c r="K48" i="8" l="1"/>
  <c r="K47" i="8"/>
  <c r="K46" i="8"/>
  <c r="K45" i="8"/>
  <c r="J48" i="8"/>
  <c r="J47" i="8"/>
  <c r="J46" i="8"/>
  <c r="J45" i="8"/>
  <c r="N7" i="7"/>
  <c r="N14" i="7"/>
  <c r="N11" i="7"/>
  <c r="O18" i="7"/>
  <c r="O17" i="7"/>
  <c r="J18" i="7"/>
  <c r="J17" i="7"/>
  <c r="J14" i="7" l="1"/>
  <c r="O14" i="7"/>
  <c r="K40" i="8"/>
  <c r="K39" i="8"/>
  <c r="K38" i="8"/>
  <c r="K37" i="8"/>
  <c r="J40" i="8"/>
  <c r="J39" i="8"/>
  <c r="J38" i="8"/>
  <c r="J37" i="8"/>
  <c r="H14" i="7"/>
  <c r="H13" i="7"/>
  <c r="H5" i="7" l="1"/>
  <c r="K32" i="8" l="1"/>
  <c r="K31" i="8"/>
  <c r="K30" i="8"/>
  <c r="K29" i="8"/>
  <c r="J32" i="8"/>
  <c r="J31" i="8"/>
  <c r="J30" i="8"/>
  <c r="J29" i="8"/>
  <c r="H32" i="8"/>
  <c r="H31" i="8"/>
  <c r="O11" i="7"/>
  <c r="J11" i="7"/>
  <c r="J7" i="7"/>
  <c r="O7" i="7"/>
  <c r="H10" i="7"/>
  <c r="H48" i="8" l="1"/>
  <c r="H40" i="8"/>
  <c r="H47" i="8"/>
  <c r="H39" i="8"/>
  <c r="H30" i="8"/>
  <c r="H46" i="8"/>
  <c r="H38" i="8"/>
  <c r="H45" i="8"/>
  <c r="H37" i="8"/>
  <c r="H29" i="8"/>
  <c r="C19" i="6"/>
  <c r="F17" i="1" l="1"/>
  <c r="F21" i="1" s="1"/>
  <c r="U25" i="6" l="1"/>
  <c r="U24" i="6"/>
  <c r="U23" i="6"/>
  <c r="U22" i="6"/>
  <c r="U21" i="6"/>
  <c r="U20" i="6"/>
  <c r="U19" i="6"/>
  <c r="U18" i="6"/>
  <c r="U17" i="6"/>
  <c r="U16" i="6"/>
  <c r="U15" i="6"/>
  <c r="U14" i="6"/>
  <c r="U13" i="6"/>
  <c r="U12" i="6"/>
  <c r="U11" i="6"/>
  <c r="Q25" i="6"/>
  <c r="Q24" i="6"/>
  <c r="Q23" i="6"/>
  <c r="Q22" i="6"/>
  <c r="Q21" i="6"/>
  <c r="Q20" i="6"/>
  <c r="Q19" i="6"/>
  <c r="Q18" i="6"/>
  <c r="Q17" i="6"/>
  <c r="Q16" i="6"/>
  <c r="Q15" i="6"/>
  <c r="Q14" i="6"/>
  <c r="Q13" i="6"/>
  <c r="Q12" i="6"/>
  <c r="Q11" i="6"/>
  <c r="C24" i="6"/>
  <c r="C25" i="6" s="1"/>
  <c r="C22" i="6"/>
  <c r="C23" i="6" s="1"/>
  <c r="M16" i="2"/>
  <c r="M17" i="2" s="1"/>
  <c r="C42" i="2"/>
  <c r="C41" i="2"/>
  <c r="C40" i="2"/>
  <c r="C39" i="2"/>
  <c r="G24" i="6" l="1"/>
  <c r="F24" i="6"/>
  <c r="K24" i="6"/>
  <c r="J24" i="6"/>
  <c r="I24" i="6"/>
  <c r="H24" i="6"/>
  <c r="I25" i="6"/>
  <c r="H25" i="6"/>
  <c r="G25" i="6"/>
  <c r="F25" i="6"/>
  <c r="K25" i="6"/>
  <c r="K40" i="6" s="1"/>
  <c r="J25" i="6"/>
  <c r="K27" i="6"/>
  <c r="J27" i="6"/>
  <c r="I27" i="6"/>
  <c r="H27" i="6"/>
  <c r="G27" i="6"/>
  <c r="F27" i="6"/>
  <c r="G26" i="6"/>
  <c r="G33" i="6" s="1"/>
  <c r="J26" i="6"/>
  <c r="I26" i="6"/>
  <c r="F26" i="6"/>
  <c r="F33" i="6" s="1"/>
  <c r="K26" i="6"/>
  <c r="K41" i="6" s="1"/>
  <c r="H26" i="6"/>
  <c r="C27" i="6"/>
  <c r="C28" i="6"/>
  <c r="C30" i="6"/>
  <c r="C31" i="6" s="1"/>
  <c r="C44" i="2"/>
  <c r="C45" i="2" s="1"/>
  <c r="H40" i="6" l="1"/>
  <c r="H32" i="6"/>
  <c r="K32" i="6"/>
  <c r="F40" i="6"/>
  <c r="F32" i="6"/>
  <c r="G40" i="6"/>
  <c r="G32" i="6"/>
  <c r="K33" i="6"/>
  <c r="F41" i="6"/>
  <c r="H41" i="6"/>
  <c r="H33" i="6"/>
  <c r="G41" i="6"/>
  <c r="N19" i="1"/>
  <c r="L19" i="1"/>
  <c r="K19" i="1"/>
  <c r="H43" i="6" l="1"/>
  <c r="G43" i="6"/>
  <c r="L34" i="1"/>
  <c r="L26" i="1"/>
  <c r="L33" i="1"/>
  <c r="L25" i="1"/>
  <c r="L24" i="1"/>
  <c r="L39" i="1"/>
  <c r="L31" i="1"/>
  <c r="L23" i="1"/>
  <c r="L38" i="1"/>
  <c r="L22" i="1"/>
  <c r="L37" i="1"/>
  <c r="L21" i="1"/>
  <c r="L36" i="1"/>
  <c r="L27" i="1"/>
  <c r="L32" i="1"/>
  <c r="L30" i="1"/>
  <c r="L29" i="1"/>
  <c r="L28" i="1"/>
  <c r="L35" i="1"/>
  <c r="N37" i="1"/>
  <c r="N29" i="1"/>
  <c r="N21" i="1"/>
  <c r="N35" i="1"/>
  <c r="N34" i="1"/>
  <c r="N31" i="1"/>
  <c r="N38" i="1"/>
  <c r="N36" i="1"/>
  <c r="N28" i="1"/>
  <c r="N27" i="1"/>
  <c r="N26" i="1"/>
  <c r="N23" i="1"/>
  <c r="N30" i="1"/>
  <c r="N33" i="1"/>
  <c r="N25" i="1"/>
  <c r="N32" i="1"/>
  <c r="N24" i="1"/>
  <c r="N39" i="1"/>
  <c r="N22" i="1"/>
  <c r="K38" i="1"/>
  <c r="K30" i="1"/>
  <c r="K22" i="1"/>
  <c r="K37" i="1"/>
  <c r="K29" i="1"/>
  <c r="K21" i="1"/>
  <c r="K36" i="1"/>
  <c r="K28" i="1"/>
  <c r="K27" i="1"/>
  <c r="K34" i="1"/>
  <c r="K26" i="1"/>
  <c r="K33" i="1"/>
  <c r="K32" i="1"/>
  <c r="K24" i="1"/>
  <c r="K39" i="1"/>
  <c r="K23" i="1"/>
  <c r="K35" i="1"/>
  <c r="K25" i="1"/>
  <c r="K31" i="1"/>
  <c r="K35" i="6"/>
  <c r="K43" i="6"/>
  <c r="J35" i="6"/>
  <c r="L31" i="6"/>
  <c r="L42" i="6"/>
  <c r="J43" i="6"/>
  <c r="I43" i="6"/>
  <c r="L34" i="6"/>
  <c r="L39" i="6"/>
  <c r="H35" i="6"/>
  <c r="I35" i="6"/>
  <c r="L32" i="6"/>
  <c r="F35" i="6"/>
  <c r="L40" i="6"/>
  <c r="L33" i="6"/>
  <c r="G35" i="6"/>
  <c r="L35" i="6" l="1"/>
  <c r="L41" i="6"/>
  <c r="L43" i="6" s="1"/>
  <c r="F43" i="6"/>
  <c r="L41" i="1"/>
  <c r="N41" i="1"/>
  <c r="K41" i="1"/>
  <c r="F24" i="1"/>
  <c r="F25" i="1" s="1"/>
  <c r="M19" i="1" l="1"/>
  <c r="M32" i="1" l="1"/>
  <c r="M24" i="1"/>
  <c r="M39" i="1"/>
  <c r="M31" i="1"/>
  <c r="M23" i="1"/>
  <c r="M30" i="1"/>
  <c r="M22" i="1"/>
  <c r="M37" i="1"/>
  <c r="M29" i="1"/>
  <c r="M21" i="1"/>
  <c r="M36" i="1"/>
  <c r="M35" i="1"/>
  <c r="M27" i="1"/>
  <c r="M38" i="1"/>
  <c r="M28" i="1"/>
  <c r="M34" i="1"/>
  <c r="M26" i="1"/>
  <c r="M33" i="1"/>
  <c r="M25" i="1"/>
  <c r="M41" i="1" l="1"/>
  <c r="O41" i="1" s="1"/>
</calcChain>
</file>

<file path=xl/sharedStrings.xml><?xml version="1.0" encoding="utf-8"?>
<sst xmlns="http://schemas.openxmlformats.org/spreadsheetml/2006/main" count="656" uniqueCount="258">
  <si>
    <t>On</t>
  </si>
  <si>
    <t>Firing/Active</t>
  </si>
  <si>
    <t>Strobes</t>
  </si>
  <si>
    <t>T-50S*</t>
  </si>
  <si>
    <t>Cameras</t>
  </si>
  <si>
    <t>Lidar G2 **</t>
  </si>
  <si>
    <t>SVP</t>
  </si>
  <si>
    <t>SBE49</t>
  </si>
  <si>
    <t>ParoSci</t>
  </si>
  <si>
    <t>Phins INS</t>
  </si>
  <si>
    <t>Tasman DVL</t>
  </si>
  <si>
    <t>Rotators</t>
  </si>
  <si>
    <t>Norbit</t>
  </si>
  <si>
    <t>Valve Pack</t>
  </si>
  <si>
    <t>Power Can</t>
  </si>
  <si>
    <t>Payload in Watts</t>
  </si>
  <si>
    <t>Mission Depth</t>
  </si>
  <si>
    <t>meters</t>
  </si>
  <si>
    <t>Descent Velocity</t>
  </si>
  <si>
    <t>meter/sec</t>
  </si>
  <si>
    <t>Transit to mission start</t>
  </si>
  <si>
    <t>Transit Velocity</t>
  </si>
  <si>
    <t>Survey X Distance</t>
  </si>
  <si>
    <t>Survey X Velocity</t>
  </si>
  <si>
    <t>Rotate to Y</t>
  </si>
  <si>
    <t>Survey Y Distance</t>
  </si>
  <si>
    <t>Survey Y Velocity</t>
  </si>
  <si>
    <t>Rotate to X</t>
  </si>
  <si>
    <t>Ascent Velocity</t>
  </si>
  <si>
    <t># of X passes</t>
  </si>
  <si>
    <t>Y moves</t>
  </si>
  <si>
    <t>Descent Time</t>
  </si>
  <si>
    <t>Seconds</t>
  </si>
  <si>
    <t>Seonds</t>
  </si>
  <si>
    <t>Survey Time</t>
  </si>
  <si>
    <t>Ascent Time</t>
  </si>
  <si>
    <t>Mission Time</t>
  </si>
  <si>
    <t>Descent</t>
  </si>
  <si>
    <t>Transit</t>
  </si>
  <si>
    <t>Survey</t>
  </si>
  <si>
    <t>Ascent</t>
  </si>
  <si>
    <t>Act</t>
  </si>
  <si>
    <t>On/Act</t>
  </si>
  <si>
    <t>kWH</t>
  </si>
  <si>
    <t>Hours</t>
  </si>
  <si>
    <t>U: Pitch</t>
  </si>
  <si>
    <t>V: Roll</t>
  </si>
  <si>
    <t>W: Yaw</t>
  </si>
  <si>
    <t>X: Left/Right</t>
  </si>
  <si>
    <t>Y: Forward/Back</t>
  </si>
  <si>
    <t>Z: Up/Down</t>
  </si>
  <si>
    <t>Yes</t>
  </si>
  <si>
    <t>Minor</t>
  </si>
  <si>
    <t>Transit Time</t>
  </si>
  <si>
    <t>Avtrak USBL Acoustic Modem/Tracking Beacon</t>
  </si>
  <si>
    <t>Sonardyne</t>
  </si>
  <si>
    <t>Marker6 (Homer replacement)</t>
  </si>
  <si>
    <t>Strobe/Iridium Beacons (x2)</t>
  </si>
  <si>
    <t>Xeos</t>
  </si>
  <si>
    <t>RF Beacon</t>
  </si>
  <si>
    <t>OE Converter/Optical Modem</t>
  </si>
  <si>
    <t>GPS</t>
  </si>
  <si>
    <t>Managed Ethernet Switches</t>
  </si>
  <si>
    <t>Planet</t>
  </si>
  <si>
    <t>Custom MBARI</t>
  </si>
  <si>
    <t>Innerspace</t>
  </si>
  <si>
    <t>Model #</t>
  </si>
  <si>
    <t>Company</t>
  </si>
  <si>
    <t>Description</t>
  </si>
  <si>
    <t>8326-7511</t>
  </si>
  <si>
    <t>8220-7212</t>
  </si>
  <si>
    <t>Apollo X1</t>
  </si>
  <si>
    <t>XMB-11k</t>
  </si>
  <si>
    <t>8220-7216</t>
  </si>
  <si>
    <t>8220 Avtrak 6 HP</t>
  </si>
  <si>
    <t>Depth</t>
  </si>
  <si>
    <t>Power Type</t>
  </si>
  <si>
    <t>7000m</t>
  </si>
  <si>
    <t>6000m</t>
  </si>
  <si>
    <t>External</t>
  </si>
  <si>
    <t>Voltage</t>
  </si>
  <si>
    <t>24V or 48V</t>
  </si>
  <si>
    <t>5000m and 7000m</t>
  </si>
  <si>
    <t>Internal</t>
  </si>
  <si>
    <t>Alk or Lith</t>
  </si>
  <si>
    <t>7500m</t>
  </si>
  <si>
    <t>D-Cell</t>
  </si>
  <si>
    <t>Apollo X Remote Head</t>
  </si>
  <si>
    <t>6-28Vdc</t>
  </si>
  <si>
    <t>11000m</t>
  </si>
  <si>
    <t>options</t>
  </si>
  <si>
    <t>Video Camera (for R&amp;D phase)</t>
  </si>
  <si>
    <t>Video Cam Lighting (for R&amp;D phase)</t>
  </si>
  <si>
    <t>DSP&amp;L</t>
  </si>
  <si>
    <t>HD Multi SeaCam</t>
  </si>
  <si>
    <t>10-36Vdc</t>
  </si>
  <si>
    <t>Notes</t>
  </si>
  <si>
    <t>IP Camera, 6 FoV models</t>
  </si>
  <si>
    <t>LSL-2025</t>
  </si>
  <si>
    <t>6000m and 11000m</t>
  </si>
  <si>
    <t>10-48Vdc</t>
  </si>
  <si>
    <t>LSL-2050</t>
  </si>
  <si>
    <t>12,000 Lumens</t>
  </si>
  <si>
    <t>Mulitpe Lumens Outputs available</t>
  </si>
  <si>
    <t>Model</t>
  </si>
  <si>
    <t>1004B-3048R-SMC</t>
  </si>
  <si>
    <t>Sleep: 650mW, Listening: 1W, Charging: 6W, Transmit: 50W</t>
  </si>
  <si>
    <t>Quiescent: &lt;2W, Transmit: 80W</t>
  </si>
  <si>
    <t>Quiescent: 270uW, iridium Tx Power: 1.2W</t>
  </si>
  <si>
    <t>Power not listed</t>
  </si>
  <si>
    <t>Acoust Modem</t>
  </si>
  <si>
    <t>Elmo MC+Maxon Motor</t>
  </si>
  <si>
    <t>Lbf (for)</t>
  </si>
  <si>
    <t>Innerspace 1004B</t>
  </si>
  <si>
    <t>Pwr In</t>
  </si>
  <si>
    <t>RPM</t>
  </si>
  <si>
    <t>MiniROV Elmo + 0.65 Thruster</t>
  </si>
  <si>
    <t>(values in Lbf)</t>
  </si>
  <si>
    <t>Seawater Density</t>
  </si>
  <si>
    <t>Vehicle Drag Coeff</t>
  </si>
  <si>
    <t>Vehicle Velocity</t>
  </si>
  <si>
    <t>Vehicle Area</t>
  </si>
  <si>
    <t>kg/m^3</t>
  </si>
  <si>
    <t>m/s</t>
  </si>
  <si>
    <t>m^2</t>
  </si>
  <si>
    <t>Fdrag</t>
  </si>
  <si>
    <t>N</t>
  </si>
  <si>
    <t>lbf</t>
  </si>
  <si>
    <t>Total Survey Distance</t>
  </si>
  <si>
    <t>Total Survery Time</t>
  </si>
  <si>
    <t>Total Survey X Distance</t>
  </si>
  <si>
    <t>Total Survey Y Distance</t>
  </si>
  <si>
    <t>Total Survey X Time</t>
  </si>
  <si>
    <t>Total Survery Y Time</t>
  </si>
  <si>
    <t>Total Mission Time</t>
  </si>
  <si>
    <t xml:space="preserve">Prop Eff </t>
  </si>
  <si>
    <t>Total Eff</t>
  </si>
  <si>
    <t>Mot Eff</t>
  </si>
  <si>
    <t>Manuf</t>
  </si>
  <si>
    <t>WH</t>
  </si>
  <si>
    <t>AH</t>
  </si>
  <si>
    <t>Chemistry</t>
  </si>
  <si>
    <t>Cell Arrangement</t>
  </si>
  <si>
    <t>WHOI</t>
  </si>
  <si>
    <t>Li-Ion</t>
  </si>
  <si>
    <t>Volt/Cell</t>
  </si>
  <si>
    <t>MBARI</t>
  </si>
  <si>
    <t>Inspired Energy</t>
  </si>
  <si>
    <t>PH2059HD31</t>
  </si>
  <si>
    <t>18650 Cells</t>
  </si>
  <si>
    <t>Dry Weight (kg)</t>
  </si>
  <si>
    <t>Wet Weight (kg)</t>
  </si>
  <si>
    <t>12S, 28P</t>
  </si>
  <si>
    <t>8S, 1P</t>
  </si>
  <si>
    <t>8S, 55P</t>
  </si>
  <si>
    <t>Length (m)</t>
  </si>
  <si>
    <t>Diameter (m)</t>
  </si>
  <si>
    <t>Volume (m^3)</t>
  </si>
  <si>
    <t>Energy Density (WH/kg)</t>
  </si>
  <si>
    <t>Energy Density (WH/m^3)</t>
  </si>
  <si>
    <t>Payload Usage</t>
  </si>
  <si>
    <t>WHOI Tube</t>
  </si>
  <si>
    <t># needed</t>
  </si>
  <si>
    <t># Housings</t>
  </si>
  <si>
    <t>Estimated 35 Lbs for Ti Housing Weight</t>
  </si>
  <si>
    <t>Weight for batteries only</t>
  </si>
  <si>
    <t>One Pack</t>
  </si>
  <si>
    <t>12S, 1P</t>
  </si>
  <si>
    <t>12S, 140P</t>
  </si>
  <si>
    <t>One Bucket</t>
  </si>
  <si>
    <t>Tube (5 Buckets)</t>
  </si>
  <si>
    <t>Data Storage</t>
  </si>
  <si>
    <t>Data Storage Computer</t>
  </si>
  <si>
    <t>SLAM Processing Computer</t>
  </si>
  <si>
    <t>NVIDIA Jetson AGX Xavier Series</t>
  </si>
  <si>
    <t>Power</t>
  </si>
  <si>
    <t>Stealth LPC-815A</t>
  </si>
  <si>
    <t>Board only - needs integrated</t>
  </si>
  <si>
    <t>Standalone computer</t>
  </si>
  <si>
    <t>OnLogic Helix 511</t>
  </si>
  <si>
    <t>Link</t>
  </si>
  <si>
    <t>NVIDIA Xavier</t>
  </si>
  <si>
    <t>Stealth LPC-815a</t>
  </si>
  <si>
    <t>Samsung 8TB 870 Series</t>
  </si>
  <si>
    <t>Samsung 870 Series 8TB SSD</t>
  </si>
  <si>
    <t>SATA III Interface</t>
  </si>
  <si>
    <t>Data Computer</t>
  </si>
  <si>
    <t>SLAM Computer</t>
  </si>
  <si>
    <t>Data Comp</t>
  </si>
  <si>
    <t>SLAM Comp</t>
  </si>
  <si>
    <t>Idle Power</t>
  </si>
  <si>
    <t>Max Power</t>
  </si>
  <si>
    <t>Testing Camera</t>
  </si>
  <si>
    <t>Test Cam</t>
  </si>
  <si>
    <t>Test Lights</t>
  </si>
  <si>
    <t>?</t>
  </si>
  <si>
    <t>MBARI Sphere (18650, 28.8V)</t>
  </si>
  <si>
    <t>Spheres (18650)</t>
  </si>
  <si>
    <t>Spheres (21700)</t>
  </si>
  <si>
    <t>12S, 47P</t>
  </si>
  <si>
    <t>MBARI Sphere (21700)</t>
  </si>
  <si>
    <t>MBARI Sphere (18650)</t>
  </si>
  <si>
    <t>5 Buckets only</t>
  </si>
  <si>
    <t>MBARI Sphere (21700, 43.2V)</t>
  </si>
  <si>
    <t>Testing Lights (x2)</t>
  </si>
  <si>
    <t>Based on 21700 Cells (3.6V, 5000mAh)</t>
  </si>
  <si>
    <t>Kraken</t>
  </si>
  <si>
    <t>Kraken Seapower (45V, Large)</t>
  </si>
  <si>
    <t>1425mm x 249mm x 266mm</t>
  </si>
  <si>
    <t>Control Computer</t>
  </si>
  <si>
    <t>Control Comp</t>
  </si>
  <si>
    <t>Rated to 6000m, integrated BMS</t>
  </si>
  <si>
    <t>Dry weight includes glass sphere</t>
  </si>
  <si>
    <t>Seapower, Large</t>
  </si>
  <si>
    <t>Li-ion</t>
  </si>
  <si>
    <t>Kraken Seapower, Large</t>
  </si>
  <si>
    <t>WHOI Tube (43.2V)</t>
  </si>
  <si>
    <t>Pitch</t>
  </si>
  <si>
    <t>Roll</t>
  </si>
  <si>
    <t>Yaw</t>
  </si>
  <si>
    <t>Left/Right</t>
  </si>
  <si>
    <t>For/Rev</t>
  </si>
  <si>
    <t>Up/Down</t>
  </si>
  <si>
    <t>Time on (seconds) of Thrusters vs. Mission Component</t>
  </si>
  <si>
    <t xml:space="preserve"> </t>
  </si>
  <si>
    <t>Hydrocean TD27A</t>
  </si>
  <si>
    <t>Lb F</t>
  </si>
  <si>
    <t>Kg F</t>
  </si>
  <si>
    <t>Amps (45V)</t>
  </si>
  <si>
    <t>Amps (48V)</t>
  </si>
  <si>
    <t>Vel (m/s)</t>
  </si>
  <si>
    <t>Innerspace 1004B (All)</t>
  </si>
  <si>
    <t>Hydrocean TD27A (All)</t>
  </si>
  <si>
    <t>Total Usage (w/ 1004B)</t>
  </si>
  <si>
    <t>Total Usage (w/ TD27A)</t>
  </si>
  <si>
    <t>Fdrag (N)</t>
  </si>
  <si>
    <t>Innerspace 1004B Energy Usage (kWH) of Thrusters vs. Mission Component</t>
  </si>
  <si>
    <t>Hydrocean TD27A Energy Usage (kWH) of Thrusters vs. Mission Component</t>
  </si>
  <si>
    <t>Drag Force (N) of each DoF at various velocities</t>
  </si>
  <si>
    <t>``</t>
  </si>
  <si>
    <t>Passes</t>
  </si>
  <si>
    <t>Payload Sum (kWH)</t>
  </si>
  <si>
    <t>(see Drag Force Calcs tab for details)</t>
  </si>
  <si>
    <t>X/Y Passes</t>
  </si>
  <si>
    <t>Duty Cycle (%) of Thrusters vs. Mission Component</t>
  </si>
  <si>
    <t>Hydrocean TD27A Thruster</t>
  </si>
  <si>
    <t>Innerspace 1004B Thruster</t>
  </si>
  <si>
    <t>N/Pwr In</t>
  </si>
  <si>
    <t>Vel (deg/s)</t>
  </si>
  <si>
    <t>Vehicle Length</t>
  </si>
  <si>
    <t>Vehicle Width</t>
  </si>
  <si>
    <t>m</t>
  </si>
  <si>
    <t>Vel (rad/s)</t>
  </si>
  <si>
    <t>Survey at 0.25 m/s</t>
  </si>
  <si>
    <t>Survey at 0.50 m/s</t>
  </si>
  <si>
    <t>Sway</t>
  </si>
  <si>
    <t>Surge</t>
  </si>
  <si>
    <t>Heave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</si>
</sst>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5E6B1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2" xfId="0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2" xfId="0" applyBorder="1"/>
    <xf numFmtId="0" fontId="2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right"/>
    </xf>
    <xf numFmtId="1" fontId="0" fillId="0" borderId="1" xfId="0" applyNumberForma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3" fillId="0" borderId="0" xfId="0" applyFont="1" applyBorder="1"/>
    <xf numFmtId="164" fontId="3" fillId="0" borderId="0" xfId="0" applyNumberFormat="1" applyFont="1" applyBorder="1"/>
    <xf numFmtId="0" fontId="0" fillId="0" borderId="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2" fontId="0" fillId="5" borderId="1" xfId="0" applyNumberFormat="1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1" applyBorder="1" applyAlignment="1">
      <alignment horizontal="center"/>
    </xf>
    <xf numFmtId="0" fontId="0" fillId="3" borderId="1" xfId="0" applyFill="1" applyBorder="1"/>
    <xf numFmtId="1" fontId="0" fillId="3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1" fontId="0" fillId="8" borderId="1" xfId="0" applyNumberFormat="1" applyFill="1" applyBorder="1" applyAlignment="1">
      <alignment horizontal="center"/>
    </xf>
    <xf numFmtId="164" fontId="0" fillId="8" borderId="1" xfId="0" applyNumberFormat="1" applyFill="1" applyBorder="1" applyAlignment="1">
      <alignment horizontal="center"/>
    </xf>
    <xf numFmtId="2" fontId="0" fillId="8" borderId="1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6" borderId="1" xfId="0" applyNumberFormat="1" applyFill="1" applyBorder="1" applyAlignment="1">
      <alignment horizontal="center"/>
    </xf>
    <xf numFmtId="165" fontId="0" fillId="8" borderId="1" xfId="0" applyNumberFormat="1" applyFill="1" applyBorder="1" applyAlignment="1">
      <alignment horizontal="center"/>
    </xf>
    <xf numFmtId="165" fontId="0" fillId="5" borderId="1" xfId="0" applyNumberFormat="1" applyFill="1" applyBorder="1" applyAlignment="1">
      <alignment horizontal="center"/>
    </xf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1" fontId="0" fillId="9" borderId="1" xfId="0" applyNumberFormat="1" applyFill="1" applyBorder="1" applyAlignment="1">
      <alignment horizontal="center"/>
    </xf>
    <xf numFmtId="164" fontId="0" fillId="9" borderId="1" xfId="0" applyNumberFormat="1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165" fontId="0" fillId="9" borderId="1" xfId="0" applyNumberFormat="1" applyFill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Border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1" borderId="1" xfId="0" applyFill="1" applyBorder="1" applyAlignment="1">
      <alignment horizontal="right"/>
    </xf>
    <xf numFmtId="164" fontId="0" fillId="11" borderId="1" xfId="0" applyNumberFormat="1" applyFill="1" applyBorder="1" applyAlignment="1">
      <alignment horizontal="center"/>
    </xf>
    <xf numFmtId="2" fontId="3" fillId="14" borderId="1" xfId="0" applyNumberFormat="1" applyFont="1" applyFill="1" applyBorder="1" applyAlignment="1">
      <alignment horizontal="center"/>
    </xf>
    <xf numFmtId="0" fontId="0" fillId="14" borderId="1" xfId="0" applyFill="1" applyBorder="1" applyAlignment="1">
      <alignment horizontal="right"/>
    </xf>
    <xf numFmtId="0" fontId="0" fillId="0" borderId="0" xfId="0" applyFill="1" applyBorder="1"/>
    <xf numFmtId="164" fontId="3" fillId="0" borderId="0" xfId="0" applyNumberFormat="1" applyFon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164" fontId="3" fillId="15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0" fillId="0" borderId="0" xfId="0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1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1" fillId="0" borderId="1" xfId="0" applyFont="1" applyBorder="1" applyAlignment="1">
      <alignment horizontal="center"/>
    </xf>
    <xf numFmtId="166" fontId="0" fillId="0" borderId="1" xfId="0" applyNumberForma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1" fillId="0" borderId="1" xfId="0" applyNumberFormat="1" applyFont="1" applyBorder="1"/>
    <xf numFmtId="0" fontId="1" fillId="17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9" borderId="1" xfId="0" applyFill="1" applyBorder="1" applyAlignment="1"/>
    <xf numFmtId="0" fontId="1" fillId="9" borderId="1" xfId="0" applyFont="1" applyFill="1" applyBorder="1" applyAlignment="1">
      <alignment horizontal="center"/>
    </xf>
    <xf numFmtId="0" fontId="0" fillId="8" borderId="1" xfId="0" applyFill="1" applyBorder="1" applyAlignment="1"/>
    <xf numFmtId="0" fontId="0" fillId="7" borderId="1" xfId="0" applyFill="1" applyBorder="1" applyAlignment="1"/>
    <xf numFmtId="0" fontId="1" fillId="7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0" fillId="5" borderId="1" xfId="0" applyFill="1" applyBorder="1" applyAlignment="1"/>
    <xf numFmtId="0" fontId="1" fillId="1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1" fillId="13" borderId="2" xfId="0" applyFont="1" applyFill="1" applyBorder="1" applyAlignment="1">
      <alignment horizontal="center"/>
    </xf>
    <xf numFmtId="0" fontId="1" fillId="13" borderId="3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12" borderId="1" xfId="0" applyFill="1" applyBorder="1" applyAlignment="1"/>
    <xf numFmtId="0" fontId="1" fillId="0" borderId="1" xfId="0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5E6B1"/>
      <color rgb="FFFFFF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8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hartsheet" Target="chartsheets/sheet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chartsheet" Target="chartsheets/sheet3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2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Innerspace</a:t>
            </a:r>
            <a:r>
              <a:rPr lang="en-US" baseline="0"/>
              <a:t> 1004B Thruster w/3048R Motor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'Thruster Comparison'!$R$5:$R$19</c:f>
              <c:numCache>
                <c:formatCode>General</c:formatCode>
                <c:ptCount val="15"/>
                <c:pt idx="0">
                  <c:v>5</c:v>
                </c:pt>
                <c:pt idx="1">
                  <c:v>9</c:v>
                </c:pt>
                <c:pt idx="2">
                  <c:v>14</c:v>
                </c:pt>
                <c:pt idx="3">
                  <c:v>28</c:v>
                </c:pt>
                <c:pt idx="4">
                  <c:v>103</c:v>
                </c:pt>
                <c:pt idx="5">
                  <c:v>128</c:v>
                </c:pt>
                <c:pt idx="6">
                  <c:v>158</c:v>
                </c:pt>
                <c:pt idx="7">
                  <c:v>193</c:v>
                </c:pt>
                <c:pt idx="8">
                  <c:v>233</c:v>
                </c:pt>
                <c:pt idx="9">
                  <c:v>279</c:v>
                </c:pt>
                <c:pt idx="10">
                  <c:v>331</c:v>
                </c:pt>
                <c:pt idx="11">
                  <c:v>390</c:v>
                </c:pt>
                <c:pt idx="12">
                  <c:v>456</c:v>
                </c:pt>
                <c:pt idx="13">
                  <c:v>531</c:v>
                </c:pt>
                <c:pt idx="14">
                  <c:v>613</c:v>
                </c:pt>
              </c:numCache>
            </c:numRef>
          </c:xVal>
          <c:yVal>
            <c:numRef>
              <c:f>'Thruster Comparison'!$S$5:$S$19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7</c:v>
                </c:pt>
                <c:pt idx="5">
                  <c:v>8</c:v>
                </c:pt>
                <c:pt idx="6">
                  <c:v>10</c:v>
                </c:pt>
                <c:pt idx="7">
                  <c:v>11</c:v>
                </c:pt>
                <c:pt idx="8">
                  <c:v>13</c:v>
                </c:pt>
                <c:pt idx="9">
                  <c:v>15</c:v>
                </c:pt>
                <c:pt idx="10">
                  <c:v>17</c:v>
                </c:pt>
                <c:pt idx="11">
                  <c:v>20</c:v>
                </c:pt>
                <c:pt idx="12">
                  <c:v>22</c:v>
                </c:pt>
                <c:pt idx="13">
                  <c:v>25</c:v>
                </c:pt>
                <c:pt idx="14">
                  <c:v>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4C-4226-869A-9A30E9384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9499296"/>
        <c:axId val="888158512"/>
      </c:scatterChart>
      <c:scatterChart>
        <c:scatterStyle val="lineMarker"/>
        <c:varyColors val="0"/>
        <c:ser>
          <c:idx val="1"/>
          <c:order val="1"/>
          <c:spPr>
            <a:ln w="19050" cap="rnd">
              <a:solidFill>
                <a:schemeClr val="accent1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'Thruster Comparison'!$R$5:$R$19</c:f>
              <c:numCache>
                <c:formatCode>General</c:formatCode>
                <c:ptCount val="15"/>
                <c:pt idx="0">
                  <c:v>5</c:v>
                </c:pt>
                <c:pt idx="1">
                  <c:v>9</c:v>
                </c:pt>
                <c:pt idx="2">
                  <c:v>14</c:v>
                </c:pt>
                <c:pt idx="3">
                  <c:v>28</c:v>
                </c:pt>
                <c:pt idx="4">
                  <c:v>103</c:v>
                </c:pt>
                <c:pt idx="5">
                  <c:v>128</c:v>
                </c:pt>
                <c:pt idx="6">
                  <c:v>158</c:v>
                </c:pt>
                <c:pt idx="7">
                  <c:v>193</c:v>
                </c:pt>
                <c:pt idx="8">
                  <c:v>233</c:v>
                </c:pt>
                <c:pt idx="9">
                  <c:v>279</c:v>
                </c:pt>
                <c:pt idx="10">
                  <c:v>331</c:v>
                </c:pt>
                <c:pt idx="11">
                  <c:v>390</c:v>
                </c:pt>
                <c:pt idx="12">
                  <c:v>456</c:v>
                </c:pt>
                <c:pt idx="13">
                  <c:v>531</c:v>
                </c:pt>
                <c:pt idx="14">
                  <c:v>613</c:v>
                </c:pt>
              </c:numCache>
            </c:numRef>
          </c:xVal>
          <c:yVal>
            <c:numRef>
              <c:f>'Thruster Comparison'!$T$5:$T$19</c:f>
              <c:numCache>
                <c:formatCode>General</c:formatCode>
                <c:ptCount val="1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500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64C-4226-869A-9A30E9384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8149360"/>
        <c:axId val="1146493424"/>
      </c:scatterChart>
      <c:valAx>
        <c:axId val="1139499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Electrical</a:t>
                </a:r>
                <a:r>
                  <a:rPr lang="en-US" baseline="0"/>
                  <a:t> Power Input (Watts)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158512"/>
        <c:crosses val="autoZero"/>
        <c:crossBetween val="midCat"/>
      </c:valAx>
      <c:valAx>
        <c:axId val="888158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Forward</a:t>
                </a:r>
                <a:r>
                  <a:rPr lang="en-US" baseline="0"/>
                  <a:t> Bollard Thrust (Lbf)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9499296"/>
        <c:crosses val="autoZero"/>
        <c:crossBetween val="midCat"/>
      </c:valAx>
      <c:valAx>
        <c:axId val="1146493424"/>
        <c:scaling>
          <c:orientation val="minMax"/>
          <c:max val="2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Thrsuter</a:t>
                </a:r>
                <a:r>
                  <a:rPr lang="en-US" baseline="0"/>
                  <a:t> Speed (RPM)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60000"/>
                    <a:lumOff val="4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149360"/>
        <c:crosses val="max"/>
        <c:crossBetween val="midCat"/>
        <c:majorUnit val="200"/>
      </c:valAx>
      <c:valAx>
        <c:axId val="888149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46493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MiniROV</a:t>
            </a:r>
            <a:r>
              <a:rPr lang="en-US" baseline="0"/>
              <a:t> 0.65HP Thruster + Elmo MC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'Thruster Comparison'!$V$5:$V$19</c:f>
              <c:numCache>
                <c:formatCode>General</c:formatCode>
                <c:ptCount val="15"/>
                <c:pt idx="0">
                  <c:v>8.6</c:v>
                </c:pt>
                <c:pt idx="1">
                  <c:v>43.2</c:v>
                </c:pt>
                <c:pt idx="2">
                  <c:v>142.6</c:v>
                </c:pt>
                <c:pt idx="3">
                  <c:v>175.7</c:v>
                </c:pt>
                <c:pt idx="4">
                  <c:v>214.6</c:v>
                </c:pt>
                <c:pt idx="5">
                  <c:v>263</c:v>
                </c:pt>
                <c:pt idx="6">
                  <c:v>290</c:v>
                </c:pt>
                <c:pt idx="7">
                  <c:v>324</c:v>
                </c:pt>
                <c:pt idx="8">
                  <c:v>361.4</c:v>
                </c:pt>
                <c:pt idx="9">
                  <c:v>364.3</c:v>
                </c:pt>
                <c:pt idx="10">
                  <c:v>376.8</c:v>
                </c:pt>
                <c:pt idx="11">
                  <c:v>385</c:v>
                </c:pt>
                <c:pt idx="12">
                  <c:v>399.4</c:v>
                </c:pt>
                <c:pt idx="13">
                  <c:v>444</c:v>
                </c:pt>
                <c:pt idx="14">
                  <c:v>467.5</c:v>
                </c:pt>
              </c:numCache>
            </c:numRef>
          </c:xVal>
          <c:yVal>
            <c:numRef>
              <c:f>'Thruster Comparison'!$W$5:$W$19</c:f>
              <c:numCache>
                <c:formatCode>General</c:formatCode>
                <c:ptCount val="15"/>
                <c:pt idx="0">
                  <c:v>2</c:v>
                </c:pt>
                <c:pt idx="1">
                  <c:v>6.5</c:v>
                </c:pt>
                <c:pt idx="2">
                  <c:v>14.4</c:v>
                </c:pt>
                <c:pt idx="3">
                  <c:v>16.399999999999999</c:v>
                </c:pt>
                <c:pt idx="4">
                  <c:v>18.399999999999999</c:v>
                </c:pt>
                <c:pt idx="5">
                  <c:v>20.6</c:v>
                </c:pt>
                <c:pt idx="6">
                  <c:v>21.7</c:v>
                </c:pt>
                <c:pt idx="7">
                  <c:v>23</c:v>
                </c:pt>
                <c:pt idx="8">
                  <c:v>24.2</c:v>
                </c:pt>
                <c:pt idx="9">
                  <c:v>24.4</c:v>
                </c:pt>
                <c:pt idx="10">
                  <c:v>24.6</c:v>
                </c:pt>
                <c:pt idx="11">
                  <c:v>25</c:v>
                </c:pt>
                <c:pt idx="12">
                  <c:v>25.4</c:v>
                </c:pt>
                <c:pt idx="13">
                  <c:v>27</c:v>
                </c:pt>
                <c:pt idx="14">
                  <c:v>27.4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DA-4B1F-836C-094D19D05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2603616"/>
        <c:axId val="1567194176"/>
      </c:scatterChart>
      <c:scatterChart>
        <c:scatterStyle val="lineMarker"/>
        <c:varyColors val="0"/>
        <c:ser>
          <c:idx val="1"/>
          <c:order val="1"/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accent1">
                    <a:lumMod val="40000"/>
                    <a:lumOff val="60000"/>
                  </a:schemeClr>
                </a:solidFill>
              </a:ln>
              <a:effectLst/>
            </c:spPr>
          </c:marker>
          <c:xVal>
            <c:numRef>
              <c:f>'Thruster Comparison'!$V$5:$V$19</c:f>
              <c:numCache>
                <c:formatCode>General</c:formatCode>
                <c:ptCount val="15"/>
                <c:pt idx="0">
                  <c:v>8.6</c:v>
                </c:pt>
                <c:pt idx="1">
                  <c:v>43.2</c:v>
                </c:pt>
                <c:pt idx="2">
                  <c:v>142.6</c:v>
                </c:pt>
                <c:pt idx="3">
                  <c:v>175.7</c:v>
                </c:pt>
                <c:pt idx="4">
                  <c:v>214.6</c:v>
                </c:pt>
                <c:pt idx="5">
                  <c:v>263</c:v>
                </c:pt>
                <c:pt idx="6">
                  <c:v>290</c:v>
                </c:pt>
                <c:pt idx="7">
                  <c:v>324</c:v>
                </c:pt>
                <c:pt idx="8">
                  <c:v>361.4</c:v>
                </c:pt>
                <c:pt idx="9">
                  <c:v>364.3</c:v>
                </c:pt>
                <c:pt idx="10">
                  <c:v>376.8</c:v>
                </c:pt>
                <c:pt idx="11">
                  <c:v>385</c:v>
                </c:pt>
                <c:pt idx="12">
                  <c:v>399.4</c:v>
                </c:pt>
                <c:pt idx="13">
                  <c:v>444</c:v>
                </c:pt>
                <c:pt idx="14">
                  <c:v>467.5</c:v>
                </c:pt>
              </c:numCache>
            </c:numRef>
          </c:xVal>
          <c:yVal>
            <c:numRef>
              <c:f>'Thruster Comparison'!$X$5:$X$19</c:f>
              <c:numCache>
                <c:formatCode>General</c:formatCode>
                <c:ptCount val="15"/>
                <c:pt idx="0">
                  <c:v>250</c:v>
                </c:pt>
                <c:pt idx="1">
                  <c:v>500</c:v>
                </c:pt>
                <c:pt idx="2">
                  <c:v>750</c:v>
                </c:pt>
                <c:pt idx="3">
                  <c:v>800</c:v>
                </c:pt>
                <c:pt idx="4">
                  <c:v>850</c:v>
                </c:pt>
                <c:pt idx="5">
                  <c:v>900</c:v>
                </c:pt>
                <c:pt idx="6">
                  <c:v>925</c:v>
                </c:pt>
                <c:pt idx="7">
                  <c:v>950</c:v>
                </c:pt>
                <c:pt idx="8">
                  <c:v>975</c:v>
                </c:pt>
                <c:pt idx="9">
                  <c:v>980</c:v>
                </c:pt>
                <c:pt idx="10">
                  <c:v>985</c:v>
                </c:pt>
                <c:pt idx="11">
                  <c:v>990</c:v>
                </c:pt>
                <c:pt idx="12">
                  <c:v>1000</c:v>
                </c:pt>
                <c:pt idx="13">
                  <c:v>1025</c:v>
                </c:pt>
                <c:pt idx="14">
                  <c:v>1035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8DA-4B1F-836C-094D19D05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3361056"/>
        <c:axId val="1563370208"/>
      </c:scatterChart>
      <c:valAx>
        <c:axId val="1562603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Electrical</a:t>
                </a:r>
                <a:r>
                  <a:rPr lang="en-US" baseline="0"/>
                  <a:t> Power Input (Watts)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7194176"/>
        <c:crosses val="autoZero"/>
        <c:crossBetween val="midCat"/>
      </c:valAx>
      <c:valAx>
        <c:axId val="156719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Forward</a:t>
                </a:r>
                <a:r>
                  <a:rPr lang="en-US" baseline="0"/>
                  <a:t> Bollard Thrust (Lbf)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603616"/>
        <c:crosses val="autoZero"/>
        <c:crossBetween val="midCat"/>
      </c:valAx>
      <c:valAx>
        <c:axId val="156337020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Thrsuter Speed (RPM)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60000"/>
                    <a:lumOff val="4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3361056"/>
        <c:crosses val="max"/>
        <c:crossBetween val="midCat"/>
      </c:valAx>
      <c:valAx>
        <c:axId val="1563361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63370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Hydrocean TD27A Duct Thruster (48V)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3825869036856585E-2"/>
          <c:y val="6.4828282828282832E-2"/>
          <c:w val="0.86085020261143108"/>
          <c:h val="0.83536705639067843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-5.1787391740177116E-2"/>
                  <c:y val="0.4167807205917442"/>
                </c:manualLayout>
              </c:layout>
              <c:numFmt formatCode="#,##0.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'Thruster Comparison'!$R$24:$R$32</c:f>
              <c:numCache>
                <c:formatCode>General</c:formatCode>
                <c:ptCount val="9"/>
                <c:pt idx="0">
                  <c:v>200</c:v>
                </c:pt>
                <c:pt idx="1">
                  <c:v>300</c:v>
                </c:pt>
                <c:pt idx="2">
                  <c:v>400</c:v>
                </c:pt>
                <c:pt idx="3">
                  <c:v>500</c:v>
                </c:pt>
                <c:pt idx="4">
                  <c:v>600</c:v>
                </c:pt>
                <c:pt idx="5">
                  <c:v>700</c:v>
                </c:pt>
                <c:pt idx="6">
                  <c:v>800</c:v>
                </c:pt>
                <c:pt idx="7">
                  <c:v>900</c:v>
                </c:pt>
                <c:pt idx="8">
                  <c:v>950</c:v>
                </c:pt>
              </c:numCache>
            </c:numRef>
          </c:xVal>
          <c:yVal>
            <c:numRef>
              <c:f>'Thruster Comparison'!$S$24:$S$32</c:f>
              <c:numCache>
                <c:formatCode>General</c:formatCode>
                <c:ptCount val="9"/>
                <c:pt idx="0">
                  <c:v>0</c:v>
                </c:pt>
                <c:pt idx="1">
                  <c:v>16.5</c:v>
                </c:pt>
                <c:pt idx="2">
                  <c:v>27.500000000000004</c:v>
                </c:pt>
                <c:pt idx="3">
                  <c:v>36.300000000000004</c:v>
                </c:pt>
                <c:pt idx="4">
                  <c:v>44</c:v>
                </c:pt>
                <c:pt idx="5">
                  <c:v>49.500000000000007</c:v>
                </c:pt>
                <c:pt idx="6">
                  <c:v>52.800000000000004</c:v>
                </c:pt>
                <c:pt idx="7">
                  <c:v>57.2</c:v>
                </c:pt>
                <c:pt idx="8">
                  <c:v>59.400000000000006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A0C-4AAF-8D29-CB7EA432F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4928112"/>
        <c:axId val="600235328"/>
      </c:scatterChart>
      <c:scatterChart>
        <c:scatterStyle val="lineMarker"/>
        <c:varyColors val="0"/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'Thruster Comparison'!$R$24:$R$32</c:f>
              <c:numCache>
                <c:formatCode>General</c:formatCode>
                <c:ptCount val="9"/>
                <c:pt idx="0">
                  <c:v>200</c:v>
                </c:pt>
                <c:pt idx="1">
                  <c:v>300</c:v>
                </c:pt>
                <c:pt idx="2">
                  <c:v>400</c:v>
                </c:pt>
                <c:pt idx="3">
                  <c:v>500</c:v>
                </c:pt>
                <c:pt idx="4">
                  <c:v>600</c:v>
                </c:pt>
                <c:pt idx="5">
                  <c:v>700</c:v>
                </c:pt>
                <c:pt idx="6">
                  <c:v>800</c:v>
                </c:pt>
                <c:pt idx="7">
                  <c:v>900</c:v>
                </c:pt>
                <c:pt idx="8">
                  <c:v>950</c:v>
                </c:pt>
              </c:numCache>
            </c:numRef>
          </c:xVal>
          <c:yVal>
            <c:numRef>
              <c:f>'Thruster Comparison'!$W$24:$W$32</c:f>
              <c:numCache>
                <c:formatCode>General</c:formatCode>
                <c:ptCount val="9"/>
                <c:pt idx="0">
                  <c:v>0</c:v>
                </c:pt>
                <c:pt idx="1">
                  <c:v>380</c:v>
                </c:pt>
                <c:pt idx="2">
                  <c:v>540</c:v>
                </c:pt>
                <c:pt idx="3">
                  <c:v>640</c:v>
                </c:pt>
                <c:pt idx="4">
                  <c:v>710</c:v>
                </c:pt>
                <c:pt idx="5">
                  <c:v>760</c:v>
                </c:pt>
                <c:pt idx="6">
                  <c:v>800</c:v>
                </c:pt>
                <c:pt idx="7">
                  <c:v>820</c:v>
                </c:pt>
                <c:pt idx="8">
                  <c:v>850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A0C-4AAF-8D29-CB7EA432F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3893008"/>
        <c:axId val="1023889680"/>
      </c:scatterChart>
      <c:valAx>
        <c:axId val="844928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Electrical Input Power (Watts)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235328"/>
        <c:crosses val="autoZero"/>
        <c:crossBetween val="midCat"/>
      </c:valAx>
      <c:valAx>
        <c:axId val="600235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Forward Bollard</a:t>
                </a:r>
                <a:r>
                  <a:rPr lang="en-US" baseline="0"/>
                  <a:t> Thrust (pounds of force)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60000"/>
                    <a:lumOff val="4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4928112"/>
        <c:crosses val="autoZero"/>
        <c:crossBetween val="midCat"/>
      </c:valAx>
      <c:valAx>
        <c:axId val="102388968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Thruster</a:t>
                </a:r>
                <a:r>
                  <a:rPr lang="en-US" baseline="0"/>
                  <a:t> Speed (RPM)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FFC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3893008"/>
        <c:crosses val="max"/>
        <c:crossBetween val="midCat"/>
      </c:valAx>
      <c:valAx>
        <c:axId val="1023893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38896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9096773635648253E-2"/>
          <c:y val="6.877806589996828E-2"/>
          <c:w val="0.92876298198735741"/>
          <c:h val="0.8783657832208036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5"/>
            <c:dispRSqr val="0"/>
            <c:dispEq val="1"/>
            <c:trendlineLbl>
              <c:layout>
                <c:manualLayout>
                  <c:x val="-0.12511099004678272"/>
                  <c:y val="-1.0977344254758267E-2"/>
                </c:manualLayout>
              </c:layout>
              <c:numFmt formatCode="#,##0.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'Thruster Comparison'!$R$24:$R$32</c:f>
              <c:numCache>
                <c:formatCode>General</c:formatCode>
                <c:ptCount val="9"/>
                <c:pt idx="0">
                  <c:v>200</c:v>
                </c:pt>
                <c:pt idx="1">
                  <c:v>300</c:v>
                </c:pt>
                <c:pt idx="2">
                  <c:v>400</c:v>
                </c:pt>
                <c:pt idx="3">
                  <c:v>500</c:v>
                </c:pt>
                <c:pt idx="4">
                  <c:v>600</c:v>
                </c:pt>
                <c:pt idx="5">
                  <c:v>700</c:v>
                </c:pt>
                <c:pt idx="6">
                  <c:v>800</c:v>
                </c:pt>
                <c:pt idx="7">
                  <c:v>900</c:v>
                </c:pt>
                <c:pt idx="8">
                  <c:v>950</c:v>
                </c:pt>
              </c:numCache>
            </c:numRef>
          </c:xVal>
          <c:yVal>
            <c:numRef>
              <c:f>'Thruster Comparison'!$W$24:$W$32</c:f>
              <c:numCache>
                <c:formatCode>General</c:formatCode>
                <c:ptCount val="9"/>
                <c:pt idx="0">
                  <c:v>0</c:v>
                </c:pt>
                <c:pt idx="1">
                  <c:v>380</c:v>
                </c:pt>
                <c:pt idx="2">
                  <c:v>540</c:v>
                </c:pt>
                <c:pt idx="3">
                  <c:v>640</c:v>
                </c:pt>
                <c:pt idx="4">
                  <c:v>710</c:v>
                </c:pt>
                <c:pt idx="5">
                  <c:v>760</c:v>
                </c:pt>
                <c:pt idx="6">
                  <c:v>800</c:v>
                </c:pt>
                <c:pt idx="7">
                  <c:v>820</c:v>
                </c:pt>
                <c:pt idx="8">
                  <c:v>850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C6-4C7C-A91B-1B2A2B489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5557184"/>
        <c:axId val="944759776"/>
      </c:scatterChart>
      <c:valAx>
        <c:axId val="855557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4759776"/>
        <c:crosses val="autoZero"/>
        <c:crossBetween val="midCat"/>
      </c:valAx>
      <c:valAx>
        <c:axId val="94475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5557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997327F-18A8-4FA2-BD24-F383E836A909}">
  <sheetPr/>
  <sheetViews>
    <sheetView zoomScale="160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A869E8B-B774-4686-B58B-E82B38FCF071}">
  <sheetPr/>
  <sheetViews>
    <sheetView zoomScale="164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740FFF2-7B60-4F1E-8C78-7051D58762C8}">
  <sheetPr/>
  <sheetViews>
    <sheetView zoomScale="160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A8AA6DB-542E-4B04-A751-9EE33BC91814}">
  <sheetPr/>
  <sheetViews>
    <sheetView zoomScale="16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245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92DFA98-05CB-49FB-ADD2-3D4B8447316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1235" cy="62957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DFC1999-1DC6-491C-A729-C5340A61099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245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2B9740-9CB0-4FE3-B488-E862EBE076D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245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CB8AB0F-7080-4D73-8C5A-925A2374DB7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vidia.com/en-us/autonomous-machines/embedded-systems/jetson-xavier-series/" TargetMode="External"/><Relationship Id="rId2" Type="http://schemas.openxmlformats.org/officeDocument/2006/relationships/hyperlink" Target="https://shop.stealth.com/LPC-815a" TargetMode="External"/><Relationship Id="rId1" Type="http://schemas.openxmlformats.org/officeDocument/2006/relationships/hyperlink" Target="https://www.onlogic.com/store/hx511/" TargetMode="External"/><Relationship Id="rId4" Type="http://schemas.openxmlformats.org/officeDocument/2006/relationships/hyperlink" Target="https://www.newegg.com/samsung-8tb-870-qvo-series-sata/p/N82E16820147784?Item=N82E16820147784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8E25F-685F-4D15-9C67-BFE0CFDBD789}">
  <dimension ref="A4:Q48"/>
  <sheetViews>
    <sheetView workbookViewId="0">
      <selection activeCell="O49" sqref="O49"/>
    </sheetView>
  </sheetViews>
  <sheetFormatPr defaultRowHeight="15" x14ac:dyDescent="0.25"/>
  <cols>
    <col min="2" max="2" width="13.85546875" customWidth="1"/>
    <col min="4" max="4" width="16.7109375" customWidth="1"/>
    <col min="5" max="5" width="15" customWidth="1"/>
    <col min="6" max="6" width="5.5703125" customWidth="1"/>
    <col min="8" max="9" width="13.7109375" customWidth="1"/>
    <col min="10" max="10" width="16.7109375" customWidth="1"/>
    <col min="11" max="11" width="13.7109375" customWidth="1"/>
    <col min="12" max="12" width="3.85546875" customWidth="1"/>
    <col min="14" max="15" width="13.7109375" customWidth="1"/>
    <col min="16" max="16" width="16.7109375" customWidth="1"/>
    <col min="17" max="17" width="13.7109375" customWidth="1"/>
  </cols>
  <sheetData>
    <row r="4" spans="1:15" x14ac:dyDescent="0.25">
      <c r="A4" s="14"/>
      <c r="B4" s="14"/>
      <c r="H4" s="121" t="s">
        <v>160</v>
      </c>
      <c r="I4" s="121"/>
      <c r="N4" s="121" t="s">
        <v>160</v>
      </c>
      <c r="O4" s="121"/>
    </row>
    <row r="5" spans="1:15" x14ac:dyDescent="0.25">
      <c r="A5" s="15"/>
      <c r="B5" s="15"/>
      <c r="H5" s="80" t="s">
        <v>44</v>
      </c>
      <c r="I5" s="80" t="s">
        <v>43</v>
      </c>
      <c r="N5" s="80" t="s">
        <v>44</v>
      </c>
      <c r="O5" s="80" t="s">
        <v>43</v>
      </c>
    </row>
    <row r="6" spans="1:15" x14ac:dyDescent="0.25">
      <c r="A6" s="15"/>
      <c r="B6" s="15"/>
      <c r="H6" s="80">
        <v>8</v>
      </c>
      <c r="I6" s="16">
        <v>9.6999999999999993</v>
      </c>
      <c r="N6" s="80">
        <v>8</v>
      </c>
      <c r="O6" s="16">
        <v>9.6999999999999993</v>
      </c>
    </row>
    <row r="7" spans="1:15" x14ac:dyDescent="0.25">
      <c r="A7" s="15"/>
      <c r="B7" s="15"/>
      <c r="H7" s="80">
        <v>12</v>
      </c>
      <c r="I7" s="16">
        <v>17.899999999999999</v>
      </c>
      <c r="N7" s="80">
        <v>12</v>
      </c>
      <c r="O7" s="16">
        <v>17.899999999999999</v>
      </c>
    </row>
    <row r="8" spans="1:15" x14ac:dyDescent="0.25">
      <c r="A8" s="15"/>
      <c r="B8" s="15"/>
      <c r="H8" s="80">
        <v>16</v>
      </c>
      <c r="I8" s="16">
        <v>25.2</v>
      </c>
      <c r="N8" s="80">
        <v>16</v>
      </c>
      <c r="O8" s="16">
        <v>25.2</v>
      </c>
    </row>
    <row r="9" spans="1:15" x14ac:dyDescent="0.25">
      <c r="A9" s="15"/>
      <c r="B9" s="15"/>
      <c r="H9" s="80">
        <v>18</v>
      </c>
      <c r="I9" s="16">
        <v>28.5</v>
      </c>
      <c r="N9" s="80">
        <v>18</v>
      </c>
      <c r="O9" s="16">
        <v>28.5</v>
      </c>
    </row>
    <row r="10" spans="1:15" x14ac:dyDescent="0.25">
      <c r="A10" s="5"/>
      <c r="B10" s="5"/>
    </row>
    <row r="12" spans="1:15" x14ac:dyDescent="0.25">
      <c r="A12" s="89"/>
      <c r="B12" s="89"/>
      <c r="H12" s="127" t="s">
        <v>231</v>
      </c>
      <c r="I12" s="127"/>
      <c r="N12" s="131" t="s">
        <v>232</v>
      </c>
      <c r="O12" s="131"/>
    </row>
    <row r="13" spans="1:15" x14ac:dyDescent="0.25">
      <c r="A13" s="88"/>
      <c r="B13" s="88"/>
      <c r="H13" s="80" t="s">
        <v>44</v>
      </c>
      <c r="I13" s="80" t="s">
        <v>43</v>
      </c>
      <c r="N13" s="80" t="s">
        <v>44</v>
      </c>
      <c r="O13" s="80" t="s">
        <v>43</v>
      </c>
    </row>
    <row r="14" spans="1:15" x14ac:dyDescent="0.25">
      <c r="A14" s="88"/>
      <c r="B14" s="88"/>
      <c r="H14" s="80">
        <v>8</v>
      </c>
      <c r="I14" s="16">
        <v>10</v>
      </c>
      <c r="N14" s="80">
        <v>8</v>
      </c>
      <c r="O14" s="16">
        <v>6.8</v>
      </c>
    </row>
    <row r="15" spans="1:15" x14ac:dyDescent="0.25">
      <c r="A15" s="88"/>
      <c r="B15" s="88"/>
      <c r="H15" s="80">
        <v>12</v>
      </c>
      <c r="I15" s="16">
        <v>13.9</v>
      </c>
      <c r="N15" s="80">
        <v>12</v>
      </c>
      <c r="O15" s="16">
        <v>10.199999999999999</v>
      </c>
    </row>
    <row r="16" spans="1:15" x14ac:dyDescent="0.25">
      <c r="A16" s="88"/>
      <c r="B16" s="88"/>
      <c r="H16" s="80">
        <v>16</v>
      </c>
      <c r="I16" s="16">
        <v>17.5</v>
      </c>
      <c r="N16" s="80">
        <v>16</v>
      </c>
      <c r="O16" s="16">
        <v>13.4</v>
      </c>
    </row>
    <row r="17" spans="1:17" x14ac:dyDescent="0.25">
      <c r="A17" s="88"/>
      <c r="B17" s="88"/>
      <c r="H17" s="80">
        <v>18</v>
      </c>
      <c r="I17" s="16">
        <v>19.3</v>
      </c>
      <c r="N17" s="80">
        <v>18</v>
      </c>
      <c r="O17" s="16">
        <v>15</v>
      </c>
    </row>
    <row r="18" spans="1:17" x14ac:dyDescent="0.25">
      <c r="A18" s="15"/>
      <c r="B18" s="15"/>
    </row>
    <row r="19" spans="1:17" x14ac:dyDescent="0.25">
      <c r="A19" s="14"/>
      <c r="B19" s="14"/>
      <c r="C19" s="5"/>
      <c r="D19" s="14"/>
      <c r="E19" s="14"/>
      <c r="H19" s="130" t="s">
        <v>216</v>
      </c>
      <c r="I19" s="130"/>
      <c r="J19" s="130"/>
      <c r="K19" s="130"/>
      <c r="N19" s="130" t="s">
        <v>216</v>
      </c>
      <c r="O19" s="130"/>
      <c r="P19" s="130"/>
      <c r="Q19" s="130"/>
    </row>
    <row r="20" spans="1:17" x14ac:dyDescent="0.25">
      <c r="A20" s="15"/>
      <c r="B20" s="15"/>
      <c r="C20" s="5"/>
      <c r="D20" s="15"/>
      <c r="E20" s="15"/>
      <c r="G20" s="80" t="s">
        <v>44</v>
      </c>
      <c r="H20" s="80" t="s">
        <v>162</v>
      </c>
      <c r="I20" s="80" t="s">
        <v>163</v>
      </c>
      <c r="J20" s="80" t="s">
        <v>150</v>
      </c>
      <c r="K20" s="80" t="s">
        <v>157</v>
      </c>
      <c r="M20" s="80" t="s">
        <v>44</v>
      </c>
      <c r="N20" s="80" t="s">
        <v>162</v>
      </c>
      <c r="O20" s="80" t="s">
        <v>163</v>
      </c>
      <c r="P20" s="80" t="s">
        <v>150</v>
      </c>
      <c r="Q20" s="80" t="s">
        <v>157</v>
      </c>
    </row>
    <row r="21" spans="1:17" x14ac:dyDescent="0.25">
      <c r="A21" s="15"/>
      <c r="B21" s="15"/>
      <c r="C21" s="5"/>
      <c r="D21" s="15"/>
      <c r="E21" s="15"/>
      <c r="G21" s="80">
        <v>8</v>
      </c>
      <c r="H21" s="16">
        <f>B29/$C$37</f>
        <v>1.304635761589404</v>
      </c>
      <c r="I21" s="20">
        <v>2</v>
      </c>
      <c r="J21" s="16">
        <f>I21*$D$37</f>
        <v>429</v>
      </c>
      <c r="K21" s="24">
        <f>I21*$E$37</f>
        <v>0.314</v>
      </c>
      <c r="M21" s="80">
        <v>8</v>
      </c>
      <c r="N21" s="16">
        <f>E29/$C$37</f>
        <v>1.0927152317880795</v>
      </c>
      <c r="O21" s="20">
        <v>2</v>
      </c>
      <c r="P21" s="16">
        <f>O21*$D$37</f>
        <v>429</v>
      </c>
      <c r="Q21" s="24">
        <f>O21*$E$37</f>
        <v>0.314</v>
      </c>
    </row>
    <row r="22" spans="1:17" x14ac:dyDescent="0.25">
      <c r="A22" s="15"/>
      <c r="B22" s="15"/>
      <c r="C22" s="5"/>
      <c r="D22" s="15"/>
      <c r="E22" s="15"/>
      <c r="G22" s="80">
        <v>12</v>
      </c>
      <c r="H22" s="16">
        <f>B30/$C$37</f>
        <v>2.1059602649006619</v>
      </c>
      <c r="I22" s="20">
        <v>3</v>
      </c>
      <c r="J22" s="16">
        <f t="shared" ref="J22:J24" si="0">I22*$D$37</f>
        <v>643.5</v>
      </c>
      <c r="K22" s="24">
        <f t="shared" ref="K22:K24" si="1">I22*$E$37</f>
        <v>0.47099999999999997</v>
      </c>
      <c r="M22" s="80">
        <v>12</v>
      </c>
      <c r="N22" s="16">
        <f>E30/$C$37</f>
        <v>1.8609271523178808</v>
      </c>
      <c r="O22" s="20">
        <v>2</v>
      </c>
      <c r="P22" s="16">
        <f t="shared" ref="P22:P24" si="2">O22*$D$37</f>
        <v>429</v>
      </c>
      <c r="Q22" s="24">
        <f t="shared" ref="Q22:Q24" si="3">O22*$E$37</f>
        <v>0.314</v>
      </c>
    </row>
    <row r="23" spans="1:17" x14ac:dyDescent="0.25">
      <c r="A23" s="15"/>
      <c r="B23" s="15"/>
      <c r="C23" s="5"/>
      <c r="D23" s="15"/>
      <c r="E23" s="15"/>
      <c r="G23" s="80">
        <v>16</v>
      </c>
      <c r="H23" s="16">
        <f>B31/$C$37</f>
        <v>2.8278145695364243</v>
      </c>
      <c r="I23" s="20">
        <v>3</v>
      </c>
      <c r="J23" s="16">
        <f t="shared" si="0"/>
        <v>643.5</v>
      </c>
      <c r="K23" s="24">
        <f t="shared" si="1"/>
        <v>0.47099999999999997</v>
      </c>
      <c r="M23" s="80">
        <v>16</v>
      </c>
      <c r="N23" s="16">
        <f>E31/$C$37</f>
        <v>2.556291390728477</v>
      </c>
      <c r="O23" s="20">
        <v>3</v>
      </c>
      <c r="P23" s="16">
        <f t="shared" si="2"/>
        <v>643.5</v>
      </c>
      <c r="Q23" s="24">
        <f t="shared" si="3"/>
        <v>0.47099999999999997</v>
      </c>
    </row>
    <row r="24" spans="1:17" x14ac:dyDescent="0.25">
      <c r="A24" s="15"/>
      <c r="B24" s="15"/>
      <c r="C24" s="5"/>
      <c r="D24" s="15"/>
      <c r="E24" s="15"/>
      <c r="G24" s="80">
        <v>18</v>
      </c>
      <c r="H24" s="16">
        <f>B32/$C$37</f>
        <v>3.1655629139072845</v>
      </c>
      <c r="I24" s="20">
        <v>4</v>
      </c>
      <c r="J24" s="16">
        <f t="shared" si="0"/>
        <v>858</v>
      </c>
      <c r="K24" s="24">
        <f t="shared" si="1"/>
        <v>0.628</v>
      </c>
      <c r="M24" s="80">
        <v>18</v>
      </c>
      <c r="N24" s="16">
        <f>E32/$C$37</f>
        <v>2.8807947019867552</v>
      </c>
      <c r="O24" s="20">
        <v>3</v>
      </c>
      <c r="P24" s="16">
        <f t="shared" si="2"/>
        <v>643.5</v>
      </c>
      <c r="Q24" s="24">
        <f t="shared" si="3"/>
        <v>0.47099999999999997</v>
      </c>
    </row>
    <row r="27" spans="1:17" x14ac:dyDescent="0.25">
      <c r="A27" s="127" t="s">
        <v>233</v>
      </c>
      <c r="B27" s="127"/>
      <c r="D27" s="131" t="s">
        <v>234</v>
      </c>
      <c r="E27" s="131"/>
      <c r="F27" s="14"/>
      <c r="G27" s="7"/>
      <c r="H27" s="126" t="s">
        <v>196</v>
      </c>
      <c r="I27" s="126"/>
      <c r="J27" s="126"/>
      <c r="K27" s="126"/>
      <c r="L27" s="7"/>
      <c r="M27" s="7"/>
      <c r="N27" s="126" t="s">
        <v>196</v>
      </c>
      <c r="O27" s="126"/>
      <c r="P27" s="126"/>
      <c r="Q27" s="126"/>
    </row>
    <row r="28" spans="1:17" x14ac:dyDescent="0.25">
      <c r="A28" s="27" t="s">
        <v>44</v>
      </c>
      <c r="B28" s="27" t="s">
        <v>43</v>
      </c>
      <c r="D28" s="80" t="s">
        <v>44</v>
      </c>
      <c r="E28" s="80" t="s">
        <v>43</v>
      </c>
      <c r="F28" s="15"/>
      <c r="G28" s="60" t="s">
        <v>44</v>
      </c>
      <c r="H28" s="27" t="s">
        <v>162</v>
      </c>
      <c r="I28" s="27" t="s">
        <v>163</v>
      </c>
      <c r="J28" s="27" t="s">
        <v>150</v>
      </c>
      <c r="K28" s="27" t="s">
        <v>157</v>
      </c>
      <c r="L28" s="7"/>
      <c r="M28" s="80" t="s">
        <v>44</v>
      </c>
      <c r="N28" s="80" t="s">
        <v>162</v>
      </c>
      <c r="O28" s="80" t="s">
        <v>163</v>
      </c>
      <c r="P28" s="80" t="s">
        <v>150</v>
      </c>
      <c r="Q28" s="80" t="s">
        <v>157</v>
      </c>
    </row>
    <row r="29" spans="1:17" x14ac:dyDescent="0.25">
      <c r="A29" s="27">
        <v>8</v>
      </c>
      <c r="B29" s="16">
        <f>I6+I14</f>
        <v>19.7</v>
      </c>
      <c r="D29" s="80">
        <v>8</v>
      </c>
      <c r="E29" s="80">
        <f>O6+O14</f>
        <v>16.5</v>
      </c>
      <c r="F29" s="70"/>
      <c r="G29" s="60">
        <v>8</v>
      </c>
      <c r="H29" s="16">
        <f>B29/$C$38</f>
        <v>4.104166666666667</v>
      </c>
      <c r="I29" s="20">
        <v>5</v>
      </c>
      <c r="J29" s="16">
        <f>I29*$D$38</f>
        <v>295</v>
      </c>
      <c r="K29" s="24">
        <f>I29*$E$38</f>
        <v>0.255</v>
      </c>
      <c r="L29" s="7"/>
      <c r="M29" s="80">
        <v>8</v>
      </c>
      <c r="N29" s="16">
        <f>E29/$C$38</f>
        <v>3.4375</v>
      </c>
      <c r="O29" s="20">
        <v>4</v>
      </c>
      <c r="P29" s="16">
        <f>O29*$D$38</f>
        <v>236</v>
      </c>
      <c r="Q29" s="24">
        <f>O29*$E$38</f>
        <v>0.20399999999999999</v>
      </c>
    </row>
    <row r="30" spans="1:17" x14ac:dyDescent="0.25">
      <c r="A30" s="27">
        <v>12</v>
      </c>
      <c r="B30" s="16">
        <f t="shared" ref="B30:B32" si="4">I7+I15</f>
        <v>31.799999999999997</v>
      </c>
      <c r="D30" s="80">
        <v>12</v>
      </c>
      <c r="E30" s="80">
        <f t="shared" ref="E30:E32" si="5">O7+O15</f>
        <v>28.099999999999998</v>
      </c>
      <c r="F30" s="70"/>
      <c r="G30" s="60">
        <v>12</v>
      </c>
      <c r="H30" s="16">
        <f>B30/$C$38</f>
        <v>6.625</v>
      </c>
      <c r="I30" s="20">
        <v>7</v>
      </c>
      <c r="J30" s="16">
        <f t="shared" ref="J30:J32" si="6">I30*$D$38</f>
        <v>413</v>
      </c>
      <c r="K30" s="24">
        <f t="shared" ref="K30:K32" si="7">I30*$E$38</f>
        <v>0.35699999999999998</v>
      </c>
      <c r="L30" s="7"/>
      <c r="M30" s="80">
        <v>12</v>
      </c>
      <c r="N30" s="16">
        <f>E30/$C$38</f>
        <v>5.8541666666666661</v>
      </c>
      <c r="O30" s="20">
        <v>6</v>
      </c>
      <c r="P30" s="16">
        <f t="shared" ref="P30:P32" si="8">O30*$D$38</f>
        <v>354</v>
      </c>
      <c r="Q30" s="24">
        <f t="shared" ref="Q30:Q32" si="9">O30*$E$38</f>
        <v>0.30599999999999999</v>
      </c>
    </row>
    <row r="31" spans="1:17" x14ac:dyDescent="0.25">
      <c r="A31" s="27">
        <v>16</v>
      </c>
      <c r="B31" s="16">
        <f t="shared" si="4"/>
        <v>42.7</v>
      </c>
      <c r="D31" s="80">
        <v>16</v>
      </c>
      <c r="E31" s="80">
        <f t="shared" si="5"/>
        <v>38.6</v>
      </c>
      <c r="F31" s="70"/>
      <c r="G31" s="60">
        <v>16</v>
      </c>
      <c r="H31" s="16">
        <f>B31/$C$38</f>
        <v>8.8958333333333339</v>
      </c>
      <c r="I31" s="20">
        <v>9</v>
      </c>
      <c r="J31" s="16">
        <f t="shared" si="6"/>
        <v>531</v>
      </c>
      <c r="K31" s="24">
        <f t="shared" si="7"/>
        <v>0.45899999999999996</v>
      </c>
      <c r="L31" s="7"/>
      <c r="M31" s="80">
        <v>16</v>
      </c>
      <c r="N31" s="16">
        <f>E31/$C$38</f>
        <v>8.0416666666666679</v>
      </c>
      <c r="O31" s="20">
        <v>8</v>
      </c>
      <c r="P31" s="16">
        <f t="shared" si="8"/>
        <v>472</v>
      </c>
      <c r="Q31" s="24">
        <f t="shared" si="9"/>
        <v>0.40799999999999997</v>
      </c>
    </row>
    <row r="32" spans="1:17" x14ac:dyDescent="0.25">
      <c r="A32" s="27">
        <v>18</v>
      </c>
      <c r="B32" s="16">
        <f t="shared" si="4"/>
        <v>47.8</v>
      </c>
      <c r="D32" s="80">
        <v>18</v>
      </c>
      <c r="E32" s="80">
        <f t="shared" si="5"/>
        <v>43.5</v>
      </c>
      <c r="F32" s="70"/>
      <c r="G32" s="60">
        <v>18</v>
      </c>
      <c r="H32" s="16">
        <f>B32/$C$38</f>
        <v>9.9583333333333339</v>
      </c>
      <c r="I32" s="20">
        <v>10</v>
      </c>
      <c r="J32" s="16">
        <f t="shared" si="6"/>
        <v>590</v>
      </c>
      <c r="K32" s="24">
        <f t="shared" si="7"/>
        <v>0.51</v>
      </c>
      <c r="L32" s="7"/>
      <c r="M32" s="80">
        <v>18</v>
      </c>
      <c r="N32" s="16">
        <f>E32/$C$38</f>
        <v>9.0625</v>
      </c>
      <c r="O32" s="20">
        <v>10</v>
      </c>
      <c r="P32" s="16">
        <f t="shared" si="8"/>
        <v>590</v>
      </c>
      <c r="Q32" s="24">
        <f t="shared" si="9"/>
        <v>0.51</v>
      </c>
    </row>
    <row r="35" spans="1:17" x14ac:dyDescent="0.25">
      <c r="H35" s="129" t="s">
        <v>203</v>
      </c>
      <c r="I35" s="129"/>
      <c r="J35" s="129"/>
      <c r="K35" s="129"/>
      <c r="N35" s="129" t="s">
        <v>203</v>
      </c>
      <c r="O35" s="129"/>
      <c r="P35" s="129"/>
      <c r="Q35" s="129"/>
    </row>
    <row r="36" spans="1:17" x14ac:dyDescent="0.25">
      <c r="C36" s="27" t="s">
        <v>43</v>
      </c>
      <c r="D36" s="27" t="s">
        <v>150</v>
      </c>
      <c r="E36" s="80" t="s">
        <v>157</v>
      </c>
      <c r="F36" s="7"/>
      <c r="G36" s="60" t="s">
        <v>44</v>
      </c>
      <c r="H36" s="45" t="s">
        <v>162</v>
      </c>
      <c r="I36" s="45" t="s">
        <v>163</v>
      </c>
      <c r="J36" s="45" t="s">
        <v>150</v>
      </c>
      <c r="K36" s="45" t="s">
        <v>157</v>
      </c>
      <c r="M36" s="80" t="s">
        <v>44</v>
      </c>
      <c r="N36" s="80" t="s">
        <v>162</v>
      </c>
      <c r="O36" s="80" t="s">
        <v>163</v>
      </c>
      <c r="P36" s="80" t="s">
        <v>150</v>
      </c>
      <c r="Q36" s="80" t="s">
        <v>157</v>
      </c>
    </row>
    <row r="37" spans="1:17" x14ac:dyDescent="0.25">
      <c r="A37" s="128" t="s">
        <v>161</v>
      </c>
      <c r="B37" s="128"/>
      <c r="C37" s="34">
        <v>15.1</v>
      </c>
      <c r="D37" s="34">
        <v>214.5</v>
      </c>
      <c r="E37" s="34">
        <v>0.157</v>
      </c>
      <c r="F37" s="7"/>
      <c r="G37" s="60">
        <v>8</v>
      </c>
      <c r="H37" s="16">
        <f>B29/$C$39</f>
        <v>1.9313725490196079</v>
      </c>
      <c r="I37" s="20">
        <v>2</v>
      </c>
      <c r="J37" s="16">
        <f>I37*$D$39</f>
        <v>140</v>
      </c>
      <c r="K37" s="24">
        <f>I37*$E$39</f>
        <v>0.10199999999999999</v>
      </c>
      <c r="M37" s="80">
        <v>8</v>
      </c>
      <c r="N37" s="16">
        <f>E29/$C$39</f>
        <v>1.6176470588235294</v>
      </c>
      <c r="O37" s="20">
        <v>2</v>
      </c>
      <c r="P37" s="16">
        <f>O37*$D$39</f>
        <v>140</v>
      </c>
      <c r="Q37" s="24">
        <f>O37*$E$39</f>
        <v>0.10199999999999999</v>
      </c>
    </row>
    <row r="38" spans="1:17" x14ac:dyDescent="0.25">
      <c r="A38" s="125" t="s">
        <v>201</v>
      </c>
      <c r="B38" s="125"/>
      <c r="C38" s="43">
        <v>4.8</v>
      </c>
      <c r="D38" s="43">
        <v>59</v>
      </c>
      <c r="E38" s="43">
        <v>5.0999999999999997E-2</v>
      </c>
      <c r="F38" s="7"/>
      <c r="G38" s="60">
        <v>12</v>
      </c>
      <c r="H38" s="16">
        <f>B30/$C$39</f>
        <v>3.1176470588235294</v>
      </c>
      <c r="I38" s="20">
        <v>4</v>
      </c>
      <c r="J38" s="16">
        <f t="shared" ref="J38:J40" si="10">I38*$D$39</f>
        <v>280</v>
      </c>
      <c r="K38" s="24">
        <f t="shared" ref="K38:K40" si="11">I38*$E$39</f>
        <v>0.20399999999999999</v>
      </c>
      <c r="M38" s="80">
        <v>12</v>
      </c>
      <c r="N38" s="16">
        <f>E30/$C$39</f>
        <v>2.7549019607843137</v>
      </c>
      <c r="O38" s="20">
        <v>3</v>
      </c>
      <c r="P38" s="16">
        <f t="shared" ref="P38:P40" si="12">O38*$D$39</f>
        <v>210</v>
      </c>
      <c r="Q38" s="24">
        <f t="shared" ref="Q38:Q40" si="13">O38*$E$39</f>
        <v>0.153</v>
      </c>
    </row>
    <row r="39" spans="1:17" x14ac:dyDescent="0.25">
      <c r="A39" s="124" t="s">
        <v>200</v>
      </c>
      <c r="B39" s="124"/>
      <c r="C39" s="55">
        <v>10.199999999999999</v>
      </c>
      <c r="D39" s="55">
        <v>70</v>
      </c>
      <c r="E39" s="55">
        <v>5.0999999999999997E-2</v>
      </c>
      <c r="G39" s="60">
        <v>16</v>
      </c>
      <c r="H39" s="16">
        <f>B31/$C$39</f>
        <v>4.1862745098039218</v>
      </c>
      <c r="I39" s="20">
        <v>5</v>
      </c>
      <c r="J39" s="16">
        <f t="shared" si="10"/>
        <v>350</v>
      </c>
      <c r="K39" s="24">
        <f t="shared" si="11"/>
        <v>0.255</v>
      </c>
      <c r="M39" s="80">
        <v>16</v>
      </c>
      <c r="N39" s="16">
        <f>E31/$C$39</f>
        <v>3.7843137254901964</v>
      </c>
      <c r="O39" s="20">
        <v>4</v>
      </c>
      <c r="P39" s="16">
        <f t="shared" si="12"/>
        <v>280</v>
      </c>
      <c r="Q39" s="24">
        <f t="shared" si="13"/>
        <v>0.20399999999999999</v>
      </c>
    </row>
    <row r="40" spans="1:17" x14ac:dyDescent="0.25">
      <c r="A40" s="122" t="s">
        <v>215</v>
      </c>
      <c r="B40" s="122"/>
      <c r="C40" s="65">
        <v>22.8</v>
      </c>
      <c r="D40" s="65">
        <v>158</v>
      </c>
      <c r="E40" s="65">
        <v>9.4E-2</v>
      </c>
      <c r="G40" s="60">
        <v>18</v>
      </c>
      <c r="H40" s="16">
        <f>B32/$C$39</f>
        <v>4.6862745098039218</v>
      </c>
      <c r="I40" s="20">
        <v>5</v>
      </c>
      <c r="J40" s="16">
        <f t="shared" si="10"/>
        <v>350</v>
      </c>
      <c r="K40" s="24">
        <f t="shared" si="11"/>
        <v>0.255</v>
      </c>
      <c r="M40" s="80">
        <v>18</v>
      </c>
      <c r="N40" s="16">
        <f>E32/$C$39</f>
        <v>4.2647058823529411</v>
      </c>
      <c r="O40" s="20">
        <v>5</v>
      </c>
      <c r="P40" s="16">
        <f t="shared" si="12"/>
        <v>350</v>
      </c>
      <c r="Q40" s="24">
        <f t="shared" si="13"/>
        <v>0.255</v>
      </c>
    </row>
    <row r="43" spans="1:17" x14ac:dyDescent="0.25">
      <c r="H43" s="123" t="s">
        <v>207</v>
      </c>
      <c r="I43" s="123"/>
      <c r="J43" s="123"/>
      <c r="K43" s="123"/>
      <c r="N43" s="123" t="s">
        <v>207</v>
      </c>
      <c r="O43" s="123"/>
      <c r="P43" s="123"/>
      <c r="Q43" s="123"/>
    </row>
    <row r="44" spans="1:17" x14ac:dyDescent="0.25">
      <c r="G44" s="60" t="s">
        <v>44</v>
      </c>
      <c r="H44" s="48" t="s">
        <v>162</v>
      </c>
      <c r="I44" s="48" t="s">
        <v>163</v>
      </c>
      <c r="J44" s="48" t="s">
        <v>150</v>
      </c>
      <c r="K44" s="48" t="s">
        <v>157</v>
      </c>
      <c r="M44" s="80" t="s">
        <v>44</v>
      </c>
      <c r="N44" s="80" t="s">
        <v>162</v>
      </c>
      <c r="O44" s="80" t="s">
        <v>163</v>
      </c>
      <c r="P44" s="80" t="s">
        <v>150</v>
      </c>
      <c r="Q44" s="80" t="s">
        <v>157</v>
      </c>
    </row>
    <row r="45" spans="1:17" x14ac:dyDescent="0.25">
      <c r="G45" s="60">
        <v>8</v>
      </c>
      <c r="H45" s="16">
        <f>B29/$C$40</f>
        <v>0.86403508771929816</v>
      </c>
      <c r="I45" s="20">
        <v>1</v>
      </c>
      <c r="J45" s="16">
        <f>I45*$D$40</f>
        <v>158</v>
      </c>
      <c r="K45" s="24">
        <f>I45*$E$40</f>
        <v>9.4E-2</v>
      </c>
      <c r="M45" s="80">
        <v>8</v>
      </c>
      <c r="N45" s="16">
        <f>E29/$C$40</f>
        <v>0.72368421052631582</v>
      </c>
      <c r="O45" s="20">
        <v>1</v>
      </c>
      <c r="P45" s="16">
        <f>O45*$D$40</f>
        <v>158</v>
      </c>
      <c r="Q45" s="24">
        <f>O45*$E$40</f>
        <v>9.4E-2</v>
      </c>
    </row>
    <row r="46" spans="1:17" x14ac:dyDescent="0.25">
      <c r="G46" s="60">
        <v>12</v>
      </c>
      <c r="H46" s="16">
        <f>B30/$C$40</f>
        <v>1.3947368421052631</v>
      </c>
      <c r="I46" s="20">
        <v>2</v>
      </c>
      <c r="J46" s="16">
        <f t="shared" ref="J46:J48" si="14">I46*$D$40</f>
        <v>316</v>
      </c>
      <c r="K46" s="24">
        <f t="shared" ref="K46:K48" si="15">I46*$E$40</f>
        <v>0.188</v>
      </c>
      <c r="M46" s="80">
        <v>12</v>
      </c>
      <c r="N46" s="16">
        <f>E30/$C$40</f>
        <v>1.2324561403508771</v>
      </c>
      <c r="O46" s="20">
        <v>2</v>
      </c>
      <c r="P46" s="16">
        <f t="shared" ref="P46:P48" si="16">O46*$D$40</f>
        <v>316</v>
      </c>
      <c r="Q46" s="24">
        <f t="shared" ref="Q46:Q48" si="17">O46*$E$40</f>
        <v>0.188</v>
      </c>
    </row>
    <row r="47" spans="1:17" x14ac:dyDescent="0.25">
      <c r="G47" s="60">
        <v>16</v>
      </c>
      <c r="H47" s="16">
        <f>B31/$C$40</f>
        <v>1.8728070175438598</v>
      </c>
      <c r="I47" s="20">
        <v>2</v>
      </c>
      <c r="J47" s="16">
        <f t="shared" si="14"/>
        <v>316</v>
      </c>
      <c r="K47" s="24">
        <f t="shared" si="15"/>
        <v>0.188</v>
      </c>
      <c r="M47" s="80">
        <v>16</v>
      </c>
      <c r="N47" s="16">
        <f>E31/$C$40</f>
        <v>1.6929824561403508</v>
      </c>
      <c r="O47" s="20">
        <v>2</v>
      </c>
      <c r="P47" s="16">
        <f t="shared" si="16"/>
        <v>316</v>
      </c>
      <c r="Q47" s="24">
        <f t="shared" si="17"/>
        <v>0.188</v>
      </c>
    </row>
    <row r="48" spans="1:17" x14ac:dyDescent="0.25">
      <c r="G48" s="60">
        <v>18</v>
      </c>
      <c r="H48" s="16">
        <f>B32/$C$40</f>
        <v>2.0964912280701751</v>
      </c>
      <c r="I48" s="20">
        <v>3</v>
      </c>
      <c r="J48" s="16">
        <f t="shared" si="14"/>
        <v>474</v>
      </c>
      <c r="K48" s="24">
        <f t="shared" si="15"/>
        <v>0.28200000000000003</v>
      </c>
      <c r="M48" s="80">
        <v>18</v>
      </c>
      <c r="N48" s="16">
        <f>E32/$C$40</f>
        <v>1.9078947368421053</v>
      </c>
      <c r="O48" s="20">
        <v>2</v>
      </c>
      <c r="P48" s="16">
        <f t="shared" si="16"/>
        <v>316</v>
      </c>
      <c r="Q48" s="24">
        <f t="shared" si="17"/>
        <v>0.188</v>
      </c>
    </row>
  </sheetData>
  <mergeCells count="18">
    <mergeCell ref="N4:O4"/>
    <mergeCell ref="N19:Q19"/>
    <mergeCell ref="N27:Q27"/>
    <mergeCell ref="N35:Q35"/>
    <mergeCell ref="N43:Q43"/>
    <mergeCell ref="N12:O12"/>
    <mergeCell ref="H4:I4"/>
    <mergeCell ref="A40:B40"/>
    <mergeCell ref="H43:K43"/>
    <mergeCell ref="A39:B39"/>
    <mergeCell ref="A38:B38"/>
    <mergeCell ref="H27:K27"/>
    <mergeCell ref="A27:B27"/>
    <mergeCell ref="A37:B37"/>
    <mergeCell ref="H35:K35"/>
    <mergeCell ref="H19:K19"/>
    <mergeCell ref="H12:I12"/>
    <mergeCell ref="D27:E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38238-0A78-4C22-B362-38A0E1350C2D}">
  <dimension ref="A3:O54"/>
  <sheetViews>
    <sheetView workbookViewId="0">
      <selection activeCell="E30" sqref="E30"/>
    </sheetView>
  </sheetViews>
  <sheetFormatPr defaultRowHeight="15" x14ac:dyDescent="0.25"/>
  <cols>
    <col min="1" max="1" width="24.5703125" customWidth="1"/>
    <col min="3" max="3" width="14.85546875" customWidth="1"/>
    <col min="5" max="5" width="21.42578125" customWidth="1"/>
    <col min="6" max="6" width="12.28515625" style="7" customWidth="1"/>
    <col min="7" max="7" width="11.28515625" customWidth="1"/>
    <col min="10" max="10" width="20" customWidth="1"/>
    <col min="11" max="14" width="10.7109375" customWidth="1"/>
    <col min="15" max="15" width="17.140625" customWidth="1"/>
  </cols>
  <sheetData>
    <row r="3" spans="1:14" x14ac:dyDescent="0.25">
      <c r="J3" s="1"/>
      <c r="K3" s="81" t="s">
        <v>37</v>
      </c>
      <c r="L3" s="81" t="s">
        <v>38</v>
      </c>
      <c r="M3" s="81" t="s">
        <v>39</v>
      </c>
      <c r="N3" s="81" t="s">
        <v>40</v>
      </c>
    </row>
    <row r="4" spans="1:14" x14ac:dyDescent="0.25">
      <c r="A4" s="132" t="s">
        <v>15</v>
      </c>
      <c r="B4" s="133"/>
      <c r="C4" s="134"/>
      <c r="E4" s="1" t="s">
        <v>16</v>
      </c>
      <c r="F4" s="17">
        <v>1500</v>
      </c>
      <c r="G4" s="11" t="s">
        <v>17</v>
      </c>
      <c r="J4" s="3" t="s">
        <v>2</v>
      </c>
      <c r="K4" s="4" t="s">
        <v>0</v>
      </c>
      <c r="L4" s="4" t="s">
        <v>0</v>
      </c>
      <c r="M4" s="4" t="s">
        <v>41</v>
      </c>
      <c r="N4" s="4" t="s">
        <v>0</v>
      </c>
    </row>
    <row r="5" spans="1:14" x14ac:dyDescent="0.25">
      <c r="A5" s="1"/>
      <c r="B5" s="2" t="s">
        <v>0</v>
      </c>
      <c r="C5" s="2" t="s">
        <v>1</v>
      </c>
      <c r="E5" s="1" t="s">
        <v>18</v>
      </c>
      <c r="F5" s="17">
        <v>0.25</v>
      </c>
      <c r="G5" s="11" t="s">
        <v>19</v>
      </c>
      <c r="J5" s="3" t="s">
        <v>3</v>
      </c>
      <c r="K5" s="4" t="s">
        <v>0</v>
      </c>
      <c r="L5" s="4" t="s">
        <v>0</v>
      </c>
      <c r="M5" s="4" t="s">
        <v>41</v>
      </c>
      <c r="N5" s="4" t="s">
        <v>0</v>
      </c>
    </row>
    <row r="6" spans="1:14" x14ac:dyDescent="0.25">
      <c r="A6" s="3" t="s">
        <v>2</v>
      </c>
      <c r="B6" s="4">
        <v>12</v>
      </c>
      <c r="C6" s="4">
        <v>563</v>
      </c>
      <c r="E6" s="1" t="s">
        <v>20</v>
      </c>
      <c r="F6" s="17">
        <v>100</v>
      </c>
      <c r="G6" s="11" t="s">
        <v>17</v>
      </c>
      <c r="J6" s="3" t="s">
        <v>4</v>
      </c>
      <c r="K6" s="4" t="s">
        <v>0</v>
      </c>
      <c r="L6" s="4" t="s">
        <v>0</v>
      </c>
      <c r="M6" s="4" t="s">
        <v>41</v>
      </c>
      <c r="N6" s="4" t="s">
        <v>0</v>
      </c>
    </row>
    <row r="7" spans="1:14" x14ac:dyDescent="0.25">
      <c r="A7" s="3" t="s">
        <v>3</v>
      </c>
      <c r="B7" s="4">
        <v>184</v>
      </c>
      <c r="C7" s="4">
        <v>253</v>
      </c>
      <c r="E7" s="1" t="s">
        <v>21</v>
      </c>
      <c r="F7" s="17">
        <v>0.25</v>
      </c>
      <c r="G7" s="11" t="s">
        <v>19</v>
      </c>
      <c r="J7" s="3" t="s">
        <v>5</v>
      </c>
      <c r="K7" s="4" t="s">
        <v>0</v>
      </c>
      <c r="L7" s="4" t="s">
        <v>0</v>
      </c>
      <c r="M7" s="4" t="s">
        <v>41</v>
      </c>
      <c r="N7" s="4" t="s">
        <v>0</v>
      </c>
    </row>
    <row r="8" spans="1:14" x14ac:dyDescent="0.25">
      <c r="A8" s="3" t="s">
        <v>4</v>
      </c>
      <c r="B8" s="4">
        <v>6</v>
      </c>
      <c r="C8" s="4">
        <v>10</v>
      </c>
      <c r="E8" s="1" t="s">
        <v>22</v>
      </c>
      <c r="F8" s="17">
        <v>390.2</v>
      </c>
      <c r="G8" s="11" t="s">
        <v>17</v>
      </c>
      <c r="J8" s="3" t="s">
        <v>6</v>
      </c>
      <c r="K8" s="4" t="s">
        <v>0</v>
      </c>
      <c r="L8" s="4" t="s">
        <v>0</v>
      </c>
      <c r="M8" s="4" t="s">
        <v>41</v>
      </c>
      <c r="N8" s="4" t="s">
        <v>0</v>
      </c>
    </row>
    <row r="9" spans="1:14" x14ac:dyDescent="0.25">
      <c r="A9" s="3" t="s">
        <v>5</v>
      </c>
      <c r="B9" s="4">
        <v>100</v>
      </c>
      <c r="C9" s="4">
        <v>150</v>
      </c>
      <c r="E9" s="1" t="s">
        <v>23</v>
      </c>
      <c r="F9" s="17">
        <v>0.25</v>
      </c>
      <c r="G9" s="11" t="s">
        <v>19</v>
      </c>
      <c r="J9" s="3" t="s">
        <v>7</v>
      </c>
      <c r="K9" s="4" t="s">
        <v>0</v>
      </c>
      <c r="L9" s="4" t="s">
        <v>0</v>
      </c>
      <c r="M9" s="4" t="s">
        <v>41</v>
      </c>
      <c r="N9" s="4" t="s">
        <v>0</v>
      </c>
    </row>
    <row r="10" spans="1:14" x14ac:dyDescent="0.25">
      <c r="A10" s="3" t="s">
        <v>6</v>
      </c>
      <c r="B10" s="4">
        <v>1</v>
      </c>
      <c r="C10" s="4">
        <v>3</v>
      </c>
      <c r="E10" s="1" t="s">
        <v>24</v>
      </c>
      <c r="F10" s="4"/>
      <c r="G10" s="11"/>
      <c r="J10" s="3" t="s">
        <v>8</v>
      </c>
      <c r="K10" s="4" t="s">
        <v>0</v>
      </c>
      <c r="L10" s="4" t="s">
        <v>0</v>
      </c>
      <c r="M10" s="4" t="s">
        <v>41</v>
      </c>
      <c r="N10" s="4" t="s">
        <v>0</v>
      </c>
    </row>
    <row r="11" spans="1:14" x14ac:dyDescent="0.25">
      <c r="A11" s="3" t="s">
        <v>7</v>
      </c>
      <c r="B11" s="4">
        <v>1</v>
      </c>
      <c r="C11" s="4">
        <v>3.5</v>
      </c>
      <c r="E11" s="1" t="s">
        <v>25</v>
      </c>
      <c r="F11" s="17">
        <v>2</v>
      </c>
      <c r="G11" s="11" t="s">
        <v>17</v>
      </c>
      <c r="J11" s="3" t="s">
        <v>9</v>
      </c>
      <c r="K11" s="4" t="s">
        <v>0</v>
      </c>
      <c r="L11" s="4" t="s">
        <v>0</v>
      </c>
      <c r="M11" s="4" t="s">
        <v>41</v>
      </c>
      <c r="N11" s="4" t="s">
        <v>0</v>
      </c>
    </row>
    <row r="12" spans="1:14" x14ac:dyDescent="0.25">
      <c r="A12" s="3" t="s">
        <v>8</v>
      </c>
      <c r="B12" s="4">
        <v>1</v>
      </c>
      <c r="C12" s="4">
        <v>1.5</v>
      </c>
      <c r="E12" s="1" t="s">
        <v>26</v>
      </c>
      <c r="F12" s="17">
        <v>0.25</v>
      </c>
      <c r="G12" s="11" t="s">
        <v>19</v>
      </c>
      <c r="J12" s="3" t="s">
        <v>10</v>
      </c>
      <c r="K12" s="4" t="s">
        <v>0</v>
      </c>
      <c r="L12" s="4" t="s">
        <v>0</v>
      </c>
      <c r="M12" s="4" t="s">
        <v>41</v>
      </c>
      <c r="N12" s="4" t="s">
        <v>0</v>
      </c>
    </row>
    <row r="13" spans="1:14" x14ac:dyDescent="0.25">
      <c r="A13" s="3" t="s">
        <v>9</v>
      </c>
      <c r="B13" s="4">
        <v>5</v>
      </c>
      <c r="C13" s="4">
        <v>22</v>
      </c>
      <c r="E13" s="1" t="s">
        <v>27</v>
      </c>
      <c r="F13" s="4"/>
      <c r="G13" s="11"/>
      <c r="J13" s="3" t="s">
        <v>11</v>
      </c>
      <c r="K13" s="4" t="s">
        <v>42</v>
      </c>
      <c r="L13" s="4" t="s">
        <v>0</v>
      </c>
      <c r="M13" s="4" t="s">
        <v>0</v>
      </c>
      <c r="N13" s="4" t="s">
        <v>0</v>
      </c>
    </row>
    <row r="14" spans="1:14" x14ac:dyDescent="0.25">
      <c r="A14" s="3" t="s">
        <v>10</v>
      </c>
      <c r="B14" s="4">
        <v>7</v>
      </c>
      <c r="C14" s="4">
        <v>55</v>
      </c>
      <c r="E14" s="1" t="s">
        <v>28</v>
      </c>
      <c r="F14" s="17">
        <v>0.25</v>
      </c>
      <c r="G14" s="11" t="s">
        <v>19</v>
      </c>
      <c r="J14" s="3" t="s">
        <v>12</v>
      </c>
      <c r="K14" s="4" t="s">
        <v>0</v>
      </c>
      <c r="L14" s="4" t="s">
        <v>0</v>
      </c>
      <c r="M14" s="4" t="s">
        <v>41</v>
      </c>
      <c r="N14" s="4" t="s">
        <v>0</v>
      </c>
    </row>
    <row r="15" spans="1:14" x14ac:dyDescent="0.25">
      <c r="A15" s="3" t="s">
        <v>11</v>
      </c>
      <c r="B15" s="4">
        <v>1</v>
      </c>
      <c r="C15" s="4">
        <v>90</v>
      </c>
      <c r="J15" s="3" t="s">
        <v>13</v>
      </c>
      <c r="K15" s="4" t="s">
        <v>0</v>
      </c>
      <c r="L15" s="4" t="s">
        <v>0</v>
      </c>
      <c r="M15" s="4" t="s">
        <v>41</v>
      </c>
      <c r="N15" s="4" t="s">
        <v>0</v>
      </c>
    </row>
    <row r="16" spans="1:14" x14ac:dyDescent="0.25">
      <c r="A16" s="3" t="s">
        <v>12</v>
      </c>
      <c r="B16" s="4">
        <v>15</v>
      </c>
      <c r="C16" s="4">
        <v>58</v>
      </c>
      <c r="E16" s="1" t="s">
        <v>29</v>
      </c>
      <c r="F16" s="17">
        <v>33</v>
      </c>
      <c r="J16" s="3" t="s">
        <v>14</v>
      </c>
      <c r="K16" s="4" t="s">
        <v>0</v>
      </c>
      <c r="L16" s="4" t="s">
        <v>0</v>
      </c>
      <c r="M16" s="4" t="s">
        <v>41</v>
      </c>
      <c r="N16" s="4" t="s">
        <v>0</v>
      </c>
    </row>
    <row r="17" spans="1:15" x14ac:dyDescent="0.25">
      <c r="A17" s="3" t="s">
        <v>13</v>
      </c>
      <c r="B17" s="4">
        <v>2</v>
      </c>
      <c r="C17" s="4">
        <v>12</v>
      </c>
      <c r="E17" s="1" t="s">
        <v>30</v>
      </c>
      <c r="F17" s="22">
        <f>F16</f>
        <v>33</v>
      </c>
    </row>
    <row r="18" spans="1:15" x14ac:dyDescent="0.25">
      <c r="A18" s="3" t="s">
        <v>14</v>
      </c>
      <c r="B18" s="4">
        <v>60</v>
      </c>
      <c r="C18" s="4">
        <v>85</v>
      </c>
    </row>
    <row r="19" spans="1:15" x14ac:dyDescent="0.25">
      <c r="A19" s="3" t="s">
        <v>110</v>
      </c>
      <c r="B19" s="4">
        <v>1</v>
      </c>
      <c r="C19" s="4">
        <v>50</v>
      </c>
      <c r="E19" s="1" t="s">
        <v>31</v>
      </c>
      <c r="F19" s="4">
        <f>F4/F5</f>
        <v>6000</v>
      </c>
      <c r="G19" s="11" t="s">
        <v>32</v>
      </c>
      <c r="K19" s="7">
        <f>F19</f>
        <v>6000</v>
      </c>
      <c r="L19" s="7">
        <f>F20</f>
        <v>400</v>
      </c>
      <c r="M19" s="7">
        <f>F21</f>
        <v>51770.400000000001</v>
      </c>
      <c r="N19" s="7">
        <f>F22</f>
        <v>6000</v>
      </c>
    </row>
    <row r="20" spans="1:15" x14ac:dyDescent="0.25">
      <c r="A20" s="3" t="s">
        <v>186</v>
      </c>
      <c r="B20" s="4">
        <v>30</v>
      </c>
      <c r="C20" s="4">
        <v>140</v>
      </c>
      <c r="E20" s="1" t="s">
        <v>53</v>
      </c>
      <c r="F20" s="4">
        <f>F6/F7</f>
        <v>400</v>
      </c>
      <c r="G20" s="11" t="s">
        <v>33</v>
      </c>
      <c r="J20" s="1"/>
      <c r="K20" s="2" t="s">
        <v>37</v>
      </c>
      <c r="L20" s="2" t="s">
        <v>38</v>
      </c>
      <c r="M20" s="2" t="s">
        <v>39</v>
      </c>
      <c r="N20" s="2" t="s">
        <v>40</v>
      </c>
      <c r="O20" s="7" t="s">
        <v>43</v>
      </c>
    </row>
    <row r="21" spans="1:15" x14ac:dyDescent="0.25">
      <c r="A21" s="3" t="s">
        <v>187</v>
      </c>
      <c r="B21" s="45">
        <v>30</v>
      </c>
      <c r="C21" s="45">
        <v>140</v>
      </c>
      <c r="E21" s="1" t="s">
        <v>34</v>
      </c>
      <c r="F21" s="4">
        <f>((F8/F9)*F16)+((F11/F12)*F17)</f>
        <v>51770.400000000001</v>
      </c>
      <c r="G21" s="11" t="s">
        <v>32</v>
      </c>
      <c r="J21" s="3" t="s">
        <v>2</v>
      </c>
      <c r="K21" s="24">
        <f>(B6*$K$19)/3600000</f>
        <v>0.02</v>
      </c>
      <c r="L21" s="24">
        <f>(B6*$L$19)/3600000</f>
        <v>1.3333333333333333E-3</v>
      </c>
      <c r="M21" s="24">
        <f>(C6*$M$19)/3600000</f>
        <v>8.0963153333333331</v>
      </c>
      <c r="N21" s="24">
        <f>(B6*$N$19)/3600000</f>
        <v>0.02</v>
      </c>
    </row>
    <row r="22" spans="1:15" x14ac:dyDescent="0.25">
      <c r="A22" s="3" t="s">
        <v>209</v>
      </c>
      <c r="B22" s="45">
        <v>3</v>
      </c>
      <c r="C22" s="45">
        <v>10</v>
      </c>
      <c r="E22" s="1" t="s">
        <v>35</v>
      </c>
      <c r="F22" s="4">
        <f>F4/F14</f>
        <v>6000</v>
      </c>
      <c r="G22" s="11" t="s">
        <v>32</v>
      </c>
      <c r="J22" s="3" t="s">
        <v>3</v>
      </c>
      <c r="K22" s="24">
        <f t="shared" ref="K22:K39" si="0">(B7*$K$19)/3600000</f>
        <v>0.30666666666666664</v>
      </c>
      <c r="L22" s="24">
        <f t="shared" ref="L22:L39" si="1">(B7*$L$19)/3600000</f>
        <v>2.0444444444444446E-2</v>
      </c>
      <c r="M22" s="24">
        <f t="shared" ref="M22:M39" si="2">(C7*$M$19)/3600000</f>
        <v>3.6383086666666671</v>
      </c>
      <c r="N22" s="24">
        <f t="shared" ref="N22:N39" si="3">(B7*$N$19)/3600000</f>
        <v>0.30666666666666664</v>
      </c>
    </row>
    <row r="23" spans="1:15" x14ac:dyDescent="0.25">
      <c r="A23" s="3" t="s">
        <v>192</v>
      </c>
      <c r="B23" s="48">
        <v>1</v>
      </c>
      <c r="C23" s="48">
        <v>3</v>
      </c>
      <c r="G23" s="6"/>
      <c r="J23" s="3" t="s">
        <v>4</v>
      </c>
      <c r="K23" s="24">
        <f t="shared" si="0"/>
        <v>0.01</v>
      </c>
      <c r="L23" s="24">
        <f t="shared" si="1"/>
        <v>6.6666666666666664E-4</v>
      </c>
      <c r="M23" s="24">
        <f t="shared" si="2"/>
        <v>0.14380666666666667</v>
      </c>
      <c r="N23" s="24">
        <f t="shared" si="3"/>
        <v>0.01</v>
      </c>
    </row>
    <row r="24" spans="1:15" x14ac:dyDescent="0.25">
      <c r="A24" s="3" t="s">
        <v>204</v>
      </c>
      <c r="B24" s="48">
        <v>0</v>
      </c>
      <c r="C24" s="48">
        <v>220</v>
      </c>
      <c r="E24" s="1" t="s">
        <v>36</v>
      </c>
      <c r="F24" s="4">
        <f>SUM(F19:F22)</f>
        <v>64170.400000000001</v>
      </c>
      <c r="G24" s="11" t="s">
        <v>32</v>
      </c>
      <c r="J24" s="3" t="s">
        <v>5</v>
      </c>
      <c r="K24" s="24">
        <f t="shared" si="0"/>
        <v>0.16666666666666666</v>
      </c>
      <c r="L24" s="24">
        <f t="shared" si="1"/>
        <v>1.1111111111111112E-2</v>
      </c>
      <c r="M24" s="24">
        <f t="shared" si="2"/>
        <v>2.1570999999999998</v>
      </c>
      <c r="N24" s="24">
        <f t="shared" si="3"/>
        <v>0.16666666666666666</v>
      </c>
    </row>
    <row r="25" spans="1:15" x14ac:dyDescent="0.25">
      <c r="A25" s="3"/>
      <c r="B25" s="45"/>
      <c r="C25" s="45"/>
      <c r="E25" s="1" t="s">
        <v>36</v>
      </c>
      <c r="F25" s="18">
        <f>F24/3600</f>
        <v>17.825111111111113</v>
      </c>
      <c r="G25" s="11" t="s">
        <v>44</v>
      </c>
      <c r="J25" s="3" t="s">
        <v>6</v>
      </c>
      <c r="K25" s="24">
        <f t="shared" si="0"/>
        <v>1.6666666666666668E-3</v>
      </c>
      <c r="L25" s="24">
        <f t="shared" si="1"/>
        <v>1.1111111111111112E-4</v>
      </c>
      <c r="M25" s="24">
        <f t="shared" si="2"/>
        <v>4.3142E-2</v>
      </c>
      <c r="N25" s="24">
        <f t="shared" si="3"/>
        <v>1.6666666666666668E-3</v>
      </c>
    </row>
    <row r="26" spans="1:15" x14ac:dyDescent="0.25">
      <c r="A26" s="3"/>
      <c r="B26" s="45"/>
      <c r="C26" s="45"/>
      <c r="J26" s="3" t="s">
        <v>7</v>
      </c>
      <c r="K26" s="24">
        <f t="shared" si="0"/>
        <v>1.6666666666666668E-3</v>
      </c>
      <c r="L26" s="24">
        <f t="shared" si="1"/>
        <v>1.1111111111111112E-4</v>
      </c>
      <c r="M26" s="24">
        <f t="shared" si="2"/>
        <v>5.0332333333333333E-2</v>
      </c>
      <c r="N26" s="24">
        <f t="shared" si="3"/>
        <v>1.6666666666666668E-3</v>
      </c>
    </row>
    <row r="27" spans="1:15" x14ac:dyDescent="0.25">
      <c r="A27" s="3"/>
      <c r="B27" s="45"/>
      <c r="C27" s="45"/>
      <c r="J27" s="3" t="s">
        <v>8</v>
      </c>
      <c r="K27" s="24">
        <f t="shared" si="0"/>
        <v>1.6666666666666668E-3</v>
      </c>
      <c r="L27" s="24">
        <f t="shared" si="1"/>
        <v>1.1111111111111112E-4</v>
      </c>
      <c r="M27" s="24">
        <f t="shared" si="2"/>
        <v>2.1571E-2</v>
      </c>
      <c r="N27" s="24">
        <f t="shared" si="3"/>
        <v>1.6666666666666668E-3</v>
      </c>
    </row>
    <row r="28" spans="1:15" x14ac:dyDescent="0.25">
      <c r="A28" s="3"/>
      <c r="B28" s="45"/>
      <c r="C28" s="45"/>
      <c r="J28" s="3" t="s">
        <v>9</v>
      </c>
      <c r="K28" s="24">
        <f t="shared" si="0"/>
        <v>8.3333333333333332E-3</v>
      </c>
      <c r="L28" s="24">
        <f t="shared" si="1"/>
        <v>5.5555555555555556E-4</v>
      </c>
      <c r="M28" s="24">
        <f t="shared" si="2"/>
        <v>0.31637466666666669</v>
      </c>
      <c r="N28" s="24">
        <f t="shared" si="3"/>
        <v>8.3333333333333332E-3</v>
      </c>
    </row>
    <row r="29" spans="1:15" x14ac:dyDescent="0.25">
      <c r="A29" s="3"/>
      <c r="B29" s="45"/>
      <c r="C29" s="45"/>
      <c r="J29" s="3" t="s">
        <v>10</v>
      </c>
      <c r="K29" s="24">
        <f t="shared" si="0"/>
        <v>1.1666666666666667E-2</v>
      </c>
      <c r="L29" s="24">
        <f t="shared" si="1"/>
        <v>7.7777777777777773E-4</v>
      </c>
      <c r="M29" s="24">
        <f t="shared" si="2"/>
        <v>0.79093666666666662</v>
      </c>
      <c r="N29" s="24">
        <f t="shared" si="3"/>
        <v>1.1666666666666667E-2</v>
      </c>
    </row>
    <row r="30" spans="1:15" x14ac:dyDescent="0.25">
      <c r="J30" s="8" t="s">
        <v>11</v>
      </c>
      <c r="K30" s="24">
        <f t="shared" si="0"/>
        <v>1.6666666666666668E-3</v>
      </c>
      <c r="L30" s="24">
        <f t="shared" si="1"/>
        <v>1.1111111111111112E-4</v>
      </c>
      <c r="M30" s="24">
        <f t="shared" si="2"/>
        <v>1.29426</v>
      </c>
      <c r="N30" s="24">
        <f t="shared" si="3"/>
        <v>1.6666666666666668E-3</v>
      </c>
    </row>
    <row r="31" spans="1:15" x14ac:dyDescent="0.25">
      <c r="J31" s="3" t="s">
        <v>12</v>
      </c>
      <c r="K31" s="24">
        <f t="shared" si="0"/>
        <v>2.5000000000000001E-2</v>
      </c>
      <c r="L31" s="24">
        <f t="shared" si="1"/>
        <v>1.6666666666666668E-3</v>
      </c>
      <c r="M31" s="24">
        <f t="shared" si="2"/>
        <v>0.83407866666666675</v>
      </c>
      <c r="N31" s="24">
        <f t="shared" si="3"/>
        <v>2.5000000000000001E-2</v>
      </c>
    </row>
    <row r="32" spans="1:15" x14ac:dyDescent="0.25">
      <c r="J32" s="8" t="s">
        <v>13</v>
      </c>
      <c r="K32" s="24">
        <f t="shared" si="0"/>
        <v>3.3333333333333335E-3</v>
      </c>
      <c r="L32" s="24">
        <f t="shared" si="1"/>
        <v>2.2222222222222223E-4</v>
      </c>
      <c r="M32" s="24">
        <f t="shared" si="2"/>
        <v>0.172568</v>
      </c>
      <c r="N32" s="24">
        <f t="shared" si="3"/>
        <v>3.3333333333333335E-3</v>
      </c>
    </row>
    <row r="33" spans="1:15" x14ac:dyDescent="0.25">
      <c r="A33" s="121" t="s">
        <v>160</v>
      </c>
      <c r="B33" s="121"/>
      <c r="J33" s="3" t="s">
        <v>14</v>
      </c>
      <c r="K33" s="24">
        <f t="shared" si="0"/>
        <v>0.1</v>
      </c>
      <c r="L33" s="24">
        <f t="shared" si="1"/>
        <v>6.6666666666666671E-3</v>
      </c>
      <c r="M33" s="24">
        <f t="shared" si="2"/>
        <v>1.2223566666666668</v>
      </c>
      <c r="N33" s="24">
        <f t="shared" si="3"/>
        <v>0.1</v>
      </c>
    </row>
    <row r="34" spans="1:15" x14ac:dyDescent="0.25">
      <c r="A34" s="82" t="s">
        <v>44</v>
      </c>
      <c r="B34" s="82" t="s">
        <v>43</v>
      </c>
      <c r="C34" s="82" t="s">
        <v>240</v>
      </c>
      <c r="J34" s="3" t="s">
        <v>110</v>
      </c>
      <c r="K34" s="24">
        <f t="shared" si="0"/>
        <v>1.6666666666666668E-3</v>
      </c>
      <c r="L34" s="24">
        <f t="shared" si="1"/>
        <v>1.1111111111111112E-4</v>
      </c>
      <c r="M34" s="24">
        <f t="shared" si="2"/>
        <v>0.7190333333333333</v>
      </c>
      <c r="N34" s="24">
        <f t="shared" si="3"/>
        <v>1.6666666666666668E-3</v>
      </c>
    </row>
    <row r="35" spans="1:15" x14ac:dyDescent="0.25">
      <c r="A35" s="82">
        <v>8</v>
      </c>
      <c r="B35" s="82">
        <v>9.6999999999999993</v>
      </c>
      <c r="C35" s="82">
        <v>10</v>
      </c>
      <c r="J35" s="3" t="s">
        <v>188</v>
      </c>
      <c r="K35" s="24">
        <f t="shared" si="0"/>
        <v>0.05</v>
      </c>
      <c r="L35" s="24">
        <f t="shared" si="1"/>
        <v>3.3333333333333335E-3</v>
      </c>
      <c r="M35" s="24">
        <f t="shared" si="2"/>
        <v>2.0132933333333334</v>
      </c>
      <c r="N35" s="24">
        <f t="shared" si="3"/>
        <v>0.05</v>
      </c>
    </row>
    <row r="36" spans="1:15" x14ac:dyDescent="0.25">
      <c r="A36" s="82">
        <v>12</v>
      </c>
      <c r="B36" s="82">
        <v>17.899999999999999</v>
      </c>
      <c r="C36" s="82">
        <v>20</v>
      </c>
      <c r="J36" s="3" t="s">
        <v>189</v>
      </c>
      <c r="K36" s="24">
        <f t="shared" si="0"/>
        <v>0.05</v>
      </c>
      <c r="L36" s="24">
        <f t="shared" si="1"/>
        <v>3.3333333333333335E-3</v>
      </c>
      <c r="M36" s="24">
        <f t="shared" si="2"/>
        <v>2.0132933333333334</v>
      </c>
      <c r="N36" s="24">
        <f t="shared" si="3"/>
        <v>0.05</v>
      </c>
    </row>
    <row r="37" spans="1:15" x14ac:dyDescent="0.25">
      <c r="A37" s="82">
        <v>16</v>
      </c>
      <c r="B37" s="82">
        <v>25.2</v>
      </c>
      <c r="C37" s="82">
        <v>29</v>
      </c>
      <c r="J37" s="3" t="s">
        <v>210</v>
      </c>
      <c r="K37" s="24">
        <f t="shared" si="0"/>
        <v>5.0000000000000001E-3</v>
      </c>
      <c r="L37" s="24">
        <f t="shared" si="1"/>
        <v>3.3333333333333332E-4</v>
      </c>
      <c r="M37" s="24">
        <f t="shared" si="2"/>
        <v>0.14380666666666667</v>
      </c>
      <c r="N37" s="24">
        <f t="shared" si="3"/>
        <v>5.0000000000000001E-3</v>
      </c>
    </row>
    <row r="38" spans="1:15" x14ac:dyDescent="0.25">
      <c r="A38" s="82">
        <v>18</v>
      </c>
      <c r="B38" s="82">
        <v>28.5</v>
      </c>
      <c r="C38" s="82">
        <v>33</v>
      </c>
      <c r="J38" s="3" t="s">
        <v>193</v>
      </c>
      <c r="K38" s="24">
        <f t="shared" si="0"/>
        <v>1.6666666666666668E-3</v>
      </c>
      <c r="L38" s="24">
        <f t="shared" si="1"/>
        <v>1.1111111111111112E-4</v>
      </c>
      <c r="M38" s="24">
        <f t="shared" si="2"/>
        <v>4.3142E-2</v>
      </c>
      <c r="N38" s="24">
        <f t="shared" si="3"/>
        <v>1.6666666666666668E-3</v>
      </c>
    </row>
    <row r="39" spans="1:15" x14ac:dyDescent="0.25">
      <c r="A39" s="5"/>
      <c r="B39" s="5"/>
      <c r="J39" s="3" t="s">
        <v>194</v>
      </c>
      <c r="K39" s="24">
        <f t="shared" si="0"/>
        <v>0</v>
      </c>
      <c r="L39" s="24">
        <f t="shared" si="1"/>
        <v>0</v>
      </c>
      <c r="M39" s="24">
        <f t="shared" si="2"/>
        <v>3.1637466666666665</v>
      </c>
      <c r="N39" s="24">
        <f t="shared" si="3"/>
        <v>0</v>
      </c>
    </row>
    <row r="40" spans="1:15" x14ac:dyDescent="0.25">
      <c r="J40" s="3"/>
      <c r="K40" s="101"/>
      <c r="L40" s="101"/>
      <c r="M40" s="101"/>
      <c r="N40" s="101"/>
    </row>
    <row r="41" spans="1:15" x14ac:dyDescent="0.25">
      <c r="J41" s="1" t="s">
        <v>241</v>
      </c>
      <c r="K41" s="102">
        <f>SUM(K21:K40)</f>
        <v>0.76666666666666694</v>
      </c>
      <c r="L41" s="102">
        <f>SUM(L21:L40)</f>
        <v>5.11111111111111E-2</v>
      </c>
      <c r="M41" s="102">
        <f>SUM(M21:M40)</f>
        <v>26.877465999999998</v>
      </c>
      <c r="N41" s="102">
        <f>SUM(N21:N40)</f>
        <v>0.76666666666666694</v>
      </c>
      <c r="O41" s="105">
        <f>SUM(K41:N41)</f>
        <v>28.461910444444442</v>
      </c>
    </row>
    <row r="42" spans="1:15" x14ac:dyDescent="0.25">
      <c r="A42" s="104"/>
      <c r="B42" s="104"/>
      <c r="C42" s="103"/>
    </row>
    <row r="43" spans="1:15" x14ac:dyDescent="0.25">
      <c r="A43" s="104"/>
      <c r="B43" s="104"/>
      <c r="C43" s="104"/>
    </row>
    <row r="44" spans="1:15" x14ac:dyDescent="0.25">
      <c r="A44" s="104"/>
      <c r="B44" s="104"/>
      <c r="C44" s="104"/>
    </row>
    <row r="45" spans="1:15" x14ac:dyDescent="0.25">
      <c r="A45" s="104"/>
      <c r="B45" s="104"/>
      <c r="C45" s="104"/>
    </row>
    <row r="46" spans="1:15" x14ac:dyDescent="0.25">
      <c r="A46" s="104"/>
      <c r="B46" s="104"/>
      <c r="C46" s="104"/>
    </row>
    <row r="47" spans="1:15" x14ac:dyDescent="0.25">
      <c r="A47" s="104"/>
      <c r="B47" s="104"/>
      <c r="C47" s="104"/>
    </row>
    <row r="48" spans="1:15" x14ac:dyDescent="0.25">
      <c r="A48" s="104"/>
      <c r="B48" s="104"/>
      <c r="C48" s="103"/>
    </row>
    <row r="49" spans="1:2" x14ac:dyDescent="0.25">
      <c r="A49" s="15"/>
      <c r="B49" s="15"/>
    </row>
    <row r="50" spans="1:2" x14ac:dyDescent="0.25">
      <c r="A50" s="15"/>
      <c r="B50" s="15"/>
    </row>
    <row r="51" spans="1:2" x14ac:dyDescent="0.25">
      <c r="A51" s="15"/>
      <c r="B51" s="28"/>
    </row>
    <row r="52" spans="1:2" x14ac:dyDescent="0.25">
      <c r="A52" s="15"/>
      <c r="B52" s="28"/>
    </row>
    <row r="53" spans="1:2" x14ac:dyDescent="0.25">
      <c r="A53" s="25"/>
      <c r="B53" s="26"/>
    </row>
    <row r="54" spans="1:2" x14ac:dyDescent="0.25">
      <c r="A54" s="5"/>
      <c r="B54" s="5"/>
    </row>
  </sheetData>
  <mergeCells count="2">
    <mergeCell ref="A4:C4"/>
    <mergeCell ref="A33:B3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08A73-DB7D-4022-A5DF-A1BE7586083F}">
  <dimension ref="B1:X50"/>
  <sheetViews>
    <sheetView workbookViewId="0">
      <selection activeCell="K2" sqref="K2"/>
    </sheetView>
  </sheetViews>
  <sheetFormatPr defaultRowHeight="15" x14ac:dyDescent="0.25"/>
  <cols>
    <col min="2" max="2" width="45.5703125" customWidth="1"/>
    <col min="3" max="3" width="12" style="7" customWidth="1"/>
    <col min="4" max="4" width="12.85546875" style="6" customWidth="1"/>
    <col min="5" max="5" width="6.7109375" style="6" customWidth="1"/>
    <col min="6" max="13" width="12.85546875" style="6" customWidth="1"/>
    <col min="14" max="14" width="4.7109375" customWidth="1"/>
    <col min="15" max="18" width="10.7109375" customWidth="1"/>
    <col min="19" max="19" width="13.28515625" customWidth="1"/>
    <col min="20" max="21" width="10.7109375" customWidth="1"/>
  </cols>
  <sheetData>
    <row r="1" spans="2:22" x14ac:dyDescent="0.25">
      <c r="F1" s="79" t="s">
        <v>217</v>
      </c>
      <c r="G1" s="79" t="s">
        <v>218</v>
      </c>
      <c r="H1" s="79" t="s">
        <v>219</v>
      </c>
      <c r="I1" s="79" t="s">
        <v>255</v>
      </c>
      <c r="J1" s="79" t="s">
        <v>256</v>
      </c>
      <c r="K1" s="79" t="s">
        <v>257</v>
      </c>
    </row>
    <row r="2" spans="2:22" x14ac:dyDescent="0.25">
      <c r="B2" s="1" t="s">
        <v>16</v>
      </c>
      <c r="C2" s="22">
        <v>1500</v>
      </c>
      <c r="D2" s="11" t="s">
        <v>17</v>
      </c>
      <c r="E2" s="19"/>
      <c r="F2" s="90">
        <v>114.8</v>
      </c>
      <c r="G2" s="90">
        <v>34</v>
      </c>
      <c r="H2" s="90">
        <v>57.4</v>
      </c>
      <c r="I2" s="120">
        <v>115.3</v>
      </c>
      <c r="J2" s="120">
        <v>76.900000000000006</v>
      </c>
      <c r="K2" s="90">
        <v>230.6</v>
      </c>
      <c r="L2" s="19" t="s">
        <v>235</v>
      </c>
      <c r="M2" s="19"/>
    </row>
    <row r="3" spans="2:22" x14ac:dyDescent="0.25">
      <c r="B3" s="1" t="s">
        <v>18</v>
      </c>
      <c r="C3" s="22">
        <v>0.25</v>
      </c>
      <c r="D3" s="11" t="s">
        <v>19</v>
      </c>
      <c r="E3" s="19"/>
      <c r="F3" s="141" t="s">
        <v>242</v>
      </c>
      <c r="G3" s="142"/>
      <c r="H3" s="142"/>
      <c r="I3" s="142"/>
      <c r="J3" s="142"/>
      <c r="K3" s="142"/>
      <c r="L3" s="19"/>
      <c r="M3" s="19"/>
    </row>
    <row r="4" spans="2:22" x14ac:dyDescent="0.25">
      <c r="B4" s="1" t="s">
        <v>20</v>
      </c>
      <c r="C4" s="22">
        <v>100</v>
      </c>
      <c r="D4" s="11" t="s">
        <v>17</v>
      </c>
      <c r="E4" s="19"/>
      <c r="F4" s="71"/>
      <c r="G4" s="71"/>
      <c r="H4" s="71"/>
      <c r="I4" s="71"/>
      <c r="J4" s="71"/>
      <c r="K4" s="71"/>
      <c r="L4" s="19"/>
      <c r="M4" s="19"/>
    </row>
    <row r="5" spans="2:22" x14ac:dyDescent="0.25">
      <c r="B5" s="1" t="s">
        <v>21</v>
      </c>
      <c r="C5" s="22">
        <v>0.25</v>
      </c>
      <c r="D5" s="11" t="s">
        <v>19</v>
      </c>
      <c r="E5" s="19"/>
      <c r="F5" s="15"/>
      <c r="G5" s="15"/>
      <c r="H5" s="71"/>
      <c r="I5" s="71"/>
      <c r="J5" s="71"/>
      <c r="K5" s="71"/>
      <c r="L5" s="19"/>
      <c r="M5" s="19"/>
    </row>
    <row r="6" spans="2:22" x14ac:dyDescent="0.25">
      <c r="B6" s="1" t="s">
        <v>22</v>
      </c>
      <c r="C6" s="17">
        <v>390.2</v>
      </c>
      <c r="D6" s="11" t="s">
        <v>17</v>
      </c>
      <c r="E6" s="19"/>
      <c r="F6" s="15"/>
      <c r="G6" s="15"/>
      <c r="H6" s="71"/>
      <c r="I6" s="71"/>
      <c r="J6" s="71"/>
      <c r="K6" s="71"/>
      <c r="L6" s="19"/>
      <c r="M6" s="19"/>
    </row>
    <row r="7" spans="2:22" x14ac:dyDescent="0.25">
      <c r="B7" s="1" t="s">
        <v>23</v>
      </c>
      <c r="C7" s="22">
        <v>0.25</v>
      </c>
      <c r="D7" s="11" t="s">
        <v>19</v>
      </c>
      <c r="E7" s="19"/>
      <c r="F7" s="15"/>
      <c r="G7" s="15"/>
      <c r="H7" s="71"/>
      <c r="I7" s="71"/>
      <c r="J7" s="71"/>
      <c r="K7" s="71"/>
      <c r="L7" s="19"/>
      <c r="M7" s="19"/>
    </row>
    <row r="8" spans="2:22" x14ac:dyDescent="0.25">
      <c r="B8" s="1" t="s">
        <v>24</v>
      </c>
      <c r="C8" s="4"/>
      <c r="D8" s="11"/>
      <c r="E8" s="19"/>
      <c r="F8" s="15"/>
      <c r="G8" s="15"/>
      <c r="H8" s="71"/>
      <c r="I8" s="71"/>
      <c r="J8" s="71"/>
      <c r="K8" s="71"/>
      <c r="L8" s="19"/>
      <c r="M8" s="19"/>
    </row>
    <row r="9" spans="2:22" x14ac:dyDescent="0.25">
      <c r="B9" s="1" t="s">
        <v>25</v>
      </c>
      <c r="C9" s="17">
        <v>2</v>
      </c>
      <c r="D9" s="11" t="s">
        <v>17</v>
      </c>
      <c r="E9" s="19"/>
      <c r="F9" s="15"/>
      <c r="G9" s="15"/>
      <c r="H9" s="71"/>
      <c r="I9" s="71"/>
      <c r="J9" s="71"/>
      <c r="K9" s="71"/>
      <c r="L9" s="15"/>
      <c r="M9" s="15"/>
      <c r="O9" s="127" t="s">
        <v>246</v>
      </c>
      <c r="P9" s="127"/>
      <c r="Q9" s="127"/>
      <c r="R9" s="143"/>
      <c r="S9" s="144"/>
      <c r="T9" s="144"/>
      <c r="U9" s="144"/>
    </row>
    <row r="10" spans="2:22" x14ac:dyDescent="0.25">
      <c r="B10" s="1" t="s">
        <v>26</v>
      </c>
      <c r="C10" s="22">
        <v>0.25</v>
      </c>
      <c r="D10" s="11" t="s">
        <v>19</v>
      </c>
      <c r="E10" s="19"/>
      <c r="F10" s="71"/>
      <c r="G10" s="71"/>
      <c r="H10" s="71"/>
      <c r="I10" s="71"/>
      <c r="J10" s="71"/>
      <c r="K10" s="71" t="s">
        <v>224</v>
      </c>
      <c r="L10" s="15"/>
      <c r="M10" s="15"/>
      <c r="O10" s="2" t="s">
        <v>114</v>
      </c>
      <c r="P10" s="2" t="s">
        <v>226</v>
      </c>
      <c r="Q10" s="2" t="s">
        <v>126</v>
      </c>
      <c r="R10" s="2" t="s">
        <v>115</v>
      </c>
      <c r="S10" s="2" t="s">
        <v>137</v>
      </c>
      <c r="T10" s="2" t="s">
        <v>135</v>
      </c>
      <c r="U10" s="2" t="s">
        <v>136</v>
      </c>
      <c r="V10" s="1" t="s">
        <v>247</v>
      </c>
    </row>
    <row r="11" spans="2:22" x14ac:dyDescent="0.25">
      <c r="B11" s="1" t="s">
        <v>27</v>
      </c>
      <c r="C11" s="4"/>
      <c r="D11" s="11"/>
      <c r="E11" s="19"/>
      <c r="F11" s="71"/>
      <c r="G11" s="71"/>
      <c r="H11" s="71"/>
      <c r="I11" s="71"/>
      <c r="J11" s="71"/>
      <c r="K11" s="71"/>
      <c r="L11" s="83"/>
      <c r="M11" s="83"/>
      <c r="O11" s="4">
        <v>5</v>
      </c>
      <c r="P11" s="4">
        <v>0</v>
      </c>
      <c r="Q11" s="16">
        <f>P11*4.45</f>
        <v>0</v>
      </c>
      <c r="R11" s="4">
        <v>100</v>
      </c>
      <c r="S11" s="24">
        <v>0.68899999999999995</v>
      </c>
      <c r="T11" s="4">
        <v>0.5</v>
      </c>
      <c r="U11" s="24">
        <f>S11*T11</f>
        <v>0.34449999999999997</v>
      </c>
      <c r="V11" s="114">
        <f>(Q11/O11)*100</f>
        <v>0</v>
      </c>
    </row>
    <row r="12" spans="2:22" x14ac:dyDescent="0.25">
      <c r="B12" s="1" t="s">
        <v>28</v>
      </c>
      <c r="C12" s="22">
        <v>0.25</v>
      </c>
      <c r="D12" s="11" t="s">
        <v>19</v>
      </c>
      <c r="E12" s="19"/>
      <c r="F12" s="71"/>
      <c r="G12" s="71"/>
      <c r="H12" s="71"/>
      <c r="I12" s="71"/>
      <c r="J12" s="71"/>
      <c r="K12" s="71"/>
      <c r="L12" s="15"/>
      <c r="M12" s="15"/>
      <c r="O12" s="4">
        <v>9</v>
      </c>
      <c r="P12" s="4">
        <v>0</v>
      </c>
      <c r="Q12" s="16">
        <f t="shared" ref="Q12:Q25" si="0">P12*4.45</f>
        <v>0</v>
      </c>
      <c r="R12" s="4">
        <v>200</v>
      </c>
      <c r="S12" s="24">
        <v>0.80900000000000005</v>
      </c>
      <c r="T12" s="4">
        <v>0.5</v>
      </c>
      <c r="U12" s="24">
        <f t="shared" ref="U12:U25" si="1">S12*T12</f>
        <v>0.40450000000000003</v>
      </c>
      <c r="V12" s="114">
        <f t="shared" ref="V12:V25" si="2">(Q12/O12)*100</f>
        <v>0</v>
      </c>
    </row>
    <row r="13" spans="2:22" x14ac:dyDescent="0.25">
      <c r="F13" s="7"/>
      <c r="G13" s="7"/>
      <c r="H13" s="7"/>
      <c r="I13" s="7"/>
      <c r="J13" s="7"/>
      <c r="K13" s="7"/>
      <c r="L13" s="15"/>
      <c r="M13" s="15"/>
      <c r="O13" s="4">
        <v>14</v>
      </c>
      <c r="P13" s="4">
        <v>1</v>
      </c>
      <c r="Q13" s="16">
        <f t="shared" si="0"/>
        <v>4.45</v>
      </c>
      <c r="R13" s="4">
        <v>300</v>
      </c>
      <c r="S13" s="24">
        <v>0.85499999999999998</v>
      </c>
      <c r="T13" s="4">
        <v>0.5</v>
      </c>
      <c r="U13" s="24">
        <f t="shared" si="1"/>
        <v>0.42749999999999999</v>
      </c>
      <c r="V13" s="114">
        <f t="shared" si="2"/>
        <v>31.785714285714288</v>
      </c>
    </row>
    <row r="14" spans="2:22" x14ac:dyDescent="0.25">
      <c r="B14" s="1" t="s">
        <v>29</v>
      </c>
      <c r="C14" s="17">
        <v>10.5</v>
      </c>
      <c r="F14" s="7"/>
      <c r="G14" s="7"/>
      <c r="H14" s="7"/>
      <c r="I14" s="7"/>
      <c r="J14" s="7"/>
      <c r="K14" s="7"/>
      <c r="L14" s="15"/>
      <c r="M14" s="15"/>
      <c r="O14" s="4">
        <v>28</v>
      </c>
      <c r="P14" s="4">
        <v>2</v>
      </c>
      <c r="Q14" s="16">
        <f t="shared" si="0"/>
        <v>8.9</v>
      </c>
      <c r="R14" s="4">
        <v>500</v>
      </c>
      <c r="S14" s="24">
        <v>0.88900000000000001</v>
      </c>
      <c r="T14" s="4">
        <v>0.5</v>
      </c>
      <c r="U14" s="24">
        <f t="shared" si="1"/>
        <v>0.44450000000000001</v>
      </c>
      <c r="V14" s="114">
        <f t="shared" si="2"/>
        <v>31.785714285714288</v>
      </c>
    </row>
    <row r="15" spans="2:22" x14ac:dyDescent="0.25">
      <c r="B15" s="1" t="s">
        <v>30</v>
      </c>
      <c r="C15" s="72">
        <f>C14</f>
        <v>10.5</v>
      </c>
      <c r="F15" s="121" t="s">
        <v>244</v>
      </c>
      <c r="G15" s="121"/>
      <c r="H15" s="121"/>
      <c r="I15" s="121"/>
      <c r="J15" s="121"/>
      <c r="K15" s="121"/>
      <c r="O15" s="4">
        <v>103</v>
      </c>
      <c r="P15" s="4">
        <v>7</v>
      </c>
      <c r="Q15" s="16">
        <f t="shared" si="0"/>
        <v>31.150000000000002</v>
      </c>
      <c r="R15" s="4">
        <v>1000</v>
      </c>
      <c r="S15" s="24">
        <v>0.89600000000000002</v>
      </c>
      <c r="T15" s="4">
        <v>0.5</v>
      </c>
      <c r="U15" s="24">
        <f t="shared" si="1"/>
        <v>0.44800000000000001</v>
      </c>
      <c r="V15" s="114">
        <f t="shared" si="2"/>
        <v>30.242718446601945</v>
      </c>
    </row>
    <row r="16" spans="2:22" x14ac:dyDescent="0.25">
      <c r="F16" s="59" t="s">
        <v>217</v>
      </c>
      <c r="G16" s="59" t="s">
        <v>218</v>
      </c>
      <c r="H16" s="59" t="s">
        <v>219</v>
      </c>
      <c r="I16" s="117" t="s">
        <v>255</v>
      </c>
      <c r="J16" s="117" t="s">
        <v>256</v>
      </c>
      <c r="K16" s="117" t="s">
        <v>257</v>
      </c>
      <c r="O16" s="4">
        <v>128</v>
      </c>
      <c r="P16" s="4">
        <v>8</v>
      </c>
      <c r="Q16" s="16">
        <f t="shared" si="0"/>
        <v>35.6</v>
      </c>
      <c r="R16" s="4">
        <v>1100</v>
      </c>
      <c r="S16" s="24">
        <v>0.89400000000000002</v>
      </c>
      <c r="T16" s="4">
        <v>0.5</v>
      </c>
      <c r="U16" s="24">
        <f t="shared" si="1"/>
        <v>0.44700000000000001</v>
      </c>
      <c r="V16" s="114">
        <f t="shared" si="2"/>
        <v>27.8125</v>
      </c>
    </row>
    <row r="17" spans="2:24" x14ac:dyDescent="0.25">
      <c r="B17" s="1" t="s">
        <v>31</v>
      </c>
      <c r="C17" s="91">
        <f>C2/C3</f>
        <v>6000</v>
      </c>
      <c r="D17" s="92" t="s">
        <v>32</v>
      </c>
      <c r="E17" s="19"/>
      <c r="F17" s="17">
        <v>0</v>
      </c>
      <c r="G17" s="17">
        <v>0.05</v>
      </c>
      <c r="H17" s="17">
        <v>0.05</v>
      </c>
      <c r="I17" s="17">
        <v>0.1</v>
      </c>
      <c r="J17" s="17">
        <v>0.1</v>
      </c>
      <c r="K17" s="17">
        <v>1</v>
      </c>
      <c r="L17" s="59" t="s">
        <v>37</v>
      </c>
      <c r="M17" s="14"/>
      <c r="O17" s="4">
        <v>158</v>
      </c>
      <c r="P17" s="4">
        <v>10</v>
      </c>
      <c r="Q17" s="16">
        <f t="shared" si="0"/>
        <v>44.5</v>
      </c>
      <c r="R17" s="4">
        <v>1200</v>
      </c>
      <c r="S17" s="24">
        <v>0.89100000000000001</v>
      </c>
      <c r="T17" s="4">
        <v>0.5</v>
      </c>
      <c r="U17" s="24">
        <f t="shared" si="1"/>
        <v>0.44550000000000001</v>
      </c>
      <c r="V17" s="114">
        <f t="shared" si="2"/>
        <v>28.164556962025316</v>
      </c>
    </row>
    <row r="18" spans="2:24" x14ac:dyDescent="0.25">
      <c r="B18" s="1" t="s">
        <v>53</v>
      </c>
      <c r="C18" s="91">
        <f>C4/C5</f>
        <v>400</v>
      </c>
      <c r="D18" s="92" t="s">
        <v>32</v>
      </c>
      <c r="E18" s="19"/>
      <c r="F18" s="17">
        <v>0</v>
      </c>
      <c r="G18" s="17">
        <v>0.1</v>
      </c>
      <c r="H18" s="17">
        <v>0.1</v>
      </c>
      <c r="I18" s="17">
        <v>0.1</v>
      </c>
      <c r="J18" s="17">
        <v>1</v>
      </c>
      <c r="K18" s="17">
        <v>0.1</v>
      </c>
      <c r="L18" s="59" t="s">
        <v>38</v>
      </c>
      <c r="M18" s="14"/>
      <c r="O18" s="4">
        <v>193</v>
      </c>
      <c r="P18" s="4">
        <v>11</v>
      </c>
      <c r="Q18" s="16">
        <f t="shared" si="0"/>
        <v>48.95</v>
      </c>
      <c r="R18" s="4">
        <v>1300</v>
      </c>
      <c r="S18" s="24">
        <v>0.88700000000000001</v>
      </c>
      <c r="T18" s="4">
        <v>0.5</v>
      </c>
      <c r="U18" s="24">
        <f t="shared" si="1"/>
        <v>0.44350000000000001</v>
      </c>
      <c r="V18" s="114">
        <f t="shared" si="2"/>
        <v>25.362694300518136</v>
      </c>
    </row>
    <row r="19" spans="2:24" x14ac:dyDescent="0.25">
      <c r="B19" s="1" t="s">
        <v>34</v>
      </c>
      <c r="C19" s="91">
        <f>((C6/C7)*C14)+((C9/C10)*C15)</f>
        <v>16472.399999999998</v>
      </c>
      <c r="D19" s="92" t="s">
        <v>32</v>
      </c>
      <c r="E19" s="19"/>
      <c r="F19" s="17">
        <v>0.75</v>
      </c>
      <c r="G19" s="17">
        <v>0.1</v>
      </c>
      <c r="H19" s="17">
        <v>0.1</v>
      </c>
      <c r="I19" s="17">
        <v>0.1</v>
      </c>
      <c r="J19" s="17">
        <v>1</v>
      </c>
      <c r="K19" s="17">
        <v>0.1</v>
      </c>
      <c r="L19" s="59" t="s">
        <v>39</v>
      </c>
      <c r="M19" s="14"/>
      <c r="O19" s="4">
        <v>233</v>
      </c>
      <c r="P19" s="4">
        <v>13</v>
      </c>
      <c r="Q19" s="16">
        <f t="shared" si="0"/>
        <v>57.85</v>
      </c>
      <c r="R19" s="4">
        <v>1400</v>
      </c>
      <c r="S19" s="24">
        <v>0.88400000000000001</v>
      </c>
      <c r="T19" s="4">
        <v>0.5</v>
      </c>
      <c r="U19" s="24">
        <f t="shared" si="1"/>
        <v>0.442</v>
      </c>
      <c r="V19" s="114">
        <f t="shared" si="2"/>
        <v>24.828326180257513</v>
      </c>
    </row>
    <row r="20" spans="2:24" x14ac:dyDescent="0.25">
      <c r="B20" s="1" t="s">
        <v>35</v>
      </c>
      <c r="C20" s="91">
        <f>C2/C12</f>
        <v>6000</v>
      </c>
      <c r="D20" s="92" t="s">
        <v>32</v>
      </c>
      <c r="E20" s="19"/>
      <c r="F20" s="17">
        <v>0</v>
      </c>
      <c r="G20" s="17">
        <v>0.05</v>
      </c>
      <c r="H20" s="17">
        <v>0.05</v>
      </c>
      <c r="I20" s="17">
        <v>0.1</v>
      </c>
      <c r="J20" s="17">
        <v>0.1</v>
      </c>
      <c r="K20" s="17">
        <v>1</v>
      </c>
      <c r="L20" s="59" t="s">
        <v>40</v>
      </c>
      <c r="M20" s="14"/>
      <c r="O20" s="4">
        <v>279</v>
      </c>
      <c r="P20" s="4">
        <v>15</v>
      </c>
      <c r="Q20" s="16">
        <f t="shared" si="0"/>
        <v>66.75</v>
      </c>
      <c r="R20" s="4">
        <v>1500</v>
      </c>
      <c r="S20" s="24">
        <v>0.88</v>
      </c>
      <c r="T20" s="4">
        <v>0.5</v>
      </c>
      <c r="U20" s="24">
        <f t="shared" si="1"/>
        <v>0.44</v>
      </c>
      <c r="V20" s="114">
        <f t="shared" si="2"/>
        <v>23.9247311827957</v>
      </c>
    </row>
    <row r="21" spans="2:24" x14ac:dyDescent="0.25">
      <c r="F21" s="7"/>
      <c r="G21" s="7"/>
      <c r="H21" s="7"/>
      <c r="I21" s="7"/>
      <c r="J21" s="7"/>
      <c r="K21" s="7"/>
      <c r="O21" s="4">
        <v>331</v>
      </c>
      <c r="P21" s="4">
        <v>17</v>
      </c>
      <c r="Q21" s="16">
        <f t="shared" si="0"/>
        <v>75.650000000000006</v>
      </c>
      <c r="R21" s="4">
        <v>1600</v>
      </c>
      <c r="S21" s="24">
        <v>0.876</v>
      </c>
      <c r="T21" s="4">
        <v>0.5</v>
      </c>
      <c r="U21" s="24">
        <f t="shared" si="1"/>
        <v>0.438</v>
      </c>
      <c r="V21" s="114">
        <f t="shared" si="2"/>
        <v>22.854984894259818</v>
      </c>
    </row>
    <row r="22" spans="2:24" x14ac:dyDescent="0.25">
      <c r="B22" s="1" t="s">
        <v>130</v>
      </c>
      <c r="C22" s="2">
        <f>$C$6*$C$14</f>
        <v>4097.0999999999995</v>
      </c>
      <c r="D22" s="11" t="s">
        <v>17</v>
      </c>
      <c r="E22" s="19"/>
      <c r="F22" s="121" t="s">
        <v>223</v>
      </c>
      <c r="G22" s="121"/>
      <c r="H22" s="121"/>
      <c r="I22" s="121"/>
      <c r="J22" s="121"/>
      <c r="K22" s="121"/>
      <c r="L22" s="19"/>
      <c r="M22" s="19"/>
      <c r="O22" s="4">
        <v>390</v>
      </c>
      <c r="P22" s="4">
        <v>20</v>
      </c>
      <c r="Q22" s="16">
        <f t="shared" si="0"/>
        <v>89</v>
      </c>
      <c r="R22" s="4">
        <v>1700</v>
      </c>
      <c r="S22" s="24">
        <v>0.872</v>
      </c>
      <c r="T22" s="4">
        <v>0.5</v>
      </c>
      <c r="U22" s="24">
        <f t="shared" si="1"/>
        <v>0.436</v>
      </c>
      <c r="V22" s="114">
        <f t="shared" si="2"/>
        <v>22.820512820512821</v>
      </c>
    </row>
    <row r="23" spans="2:24" x14ac:dyDescent="0.25">
      <c r="B23" s="1" t="s">
        <v>132</v>
      </c>
      <c r="C23" s="4">
        <f>$C$22/$C$7</f>
        <v>16388.399999999998</v>
      </c>
      <c r="D23" s="11" t="s">
        <v>32</v>
      </c>
      <c r="E23" s="19"/>
      <c r="F23" s="59" t="s">
        <v>217</v>
      </c>
      <c r="G23" s="59" t="s">
        <v>218</v>
      </c>
      <c r="H23" s="59" t="s">
        <v>219</v>
      </c>
      <c r="I23" s="117" t="s">
        <v>255</v>
      </c>
      <c r="J23" s="117" t="s">
        <v>256</v>
      </c>
      <c r="K23" s="117" t="s">
        <v>257</v>
      </c>
      <c r="L23" s="19"/>
      <c r="M23" s="19"/>
      <c r="O23" s="22">
        <v>456</v>
      </c>
      <c r="P23" s="22">
        <v>22</v>
      </c>
      <c r="Q23" s="52">
        <f t="shared" si="0"/>
        <v>97.9</v>
      </c>
      <c r="R23" s="22">
        <v>1800</v>
      </c>
      <c r="S23" s="84">
        <v>0.86699999999999999</v>
      </c>
      <c r="T23" s="22">
        <v>0.5</v>
      </c>
      <c r="U23" s="84">
        <f t="shared" si="1"/>
        <v>0.4335</v>
      </c>
      <c r="V23" s="114">
        <f t="shared" si="2"/>
        <v>21.469298245614034</v>
      </c>
    </row>
    <row r="24" spans="2:24" x14ac:dyDescent="0.25">
      <c r="B24" s="1" t="s">
        <v>131</v>
      </c>
      <c r="C24" s="2">
        <f>$C$9*$C$15</f>
        <v>21</v>
      </c>
      <c r="D24" s="11" t="s">
        <v>17</v>
      </c>
      <c r="E24" s="19"/>
      <c r="F24" s="93">
        <f>$C$17*F17</f>
        <v>0</v>
      </c>
      <c r="G24" s="93">
        <f t="shared" ref="G24:K24" si="3">$C$17*G17</f>
        <v>300</v>
      </c>
      <c r="H24" s="93">
        <f t="shared" si="3"/>
        <v>300</v>
      </c>
      <c r="I24" s="93">
        <f t="shared" si="3"/>
        <v>600</v>
      </c>
      <c r="J24" s="93">
        <f t="shared" si="3"/>
        <v>600</v>
      </c>
      <c r="K24" s="93">
        <f t="shared" si="3"/>
        <v>6000</v>
      </c>
      <c r="L24" s="79" t="s">
        <v>37</v>
      </c>
      <c r="M24" s="19"/>
      <c r="O24" s="22">
        <v>531</v>
      </c>
      <c r="P24" s="22">
        <v>25</v>
      </c>
      <c r="Q24" s="52">
        <f t="shared" si="0"/>
        <v>111.25</v>
      </c>
      <c r="R24" s="22">
        <v>1900</v>
      </c>
      <c r="S24" s="84">
        <v>0.86299999999999999</v>
      </c>
      <c r="T24" s="22">
        <v>0.5</v>
      </c>
      <c r="U24" s="84">
        <f t="shared" si="1"/>
        <v>0.43149999999999999</v>
      </c>
      <c r="V24" s="114">
        <f t="shared" si="2"/>
        <v>20.951035781544256</v>
      </c>
    </row>
    <row r="25" spans="2:24" x14ac:dyDescent="0.25">
      <c r="B25" s="1" t="s">
        <v>133</v>
      </c>
      <c r="C25" s="4">
        <f>$C$24/$C$10</f>
        <v>84</v>
      </c>
      <c r="D25" s="11" t="s">
        <v>32</v>
      </c>
      <c r="E25" s="19"/>
      <c r="F25" s="93">
        <f>$C$18*F18</f>
        <v>0</v>
      </c>
      <c r="G25" s="93">
        <f t="shared" ref="G25:K25" si="4">$C$18*G18</f>
        <v>40</v>
      </c>
      <c r="H25" s="93">
        <f t="shared" si="4"/>
        <v>40</v>
      </c>
      <c r="I25" s="93">
        <f t="shared" si="4"/>
        <v>40</v>
      </c>
      <c r="J25" s="93">
        <f t="shared" si="4"/>
        <v>400</v>
      </c>
      <c r="K25" s="93">
        <f t="shared" si="4"/>
        <v>40</v>
      </c>
      <c r="L25" s="79" t="s">
        <v>38</v>
      </c>
      <c r="M25" s="19"/>
      <c r="O25" s="4">
        <v>613</v>
      </c>
      <c r="P25" s="4">
        <v>27</v>
      </c>
      <c r="Q25" s="16">
        <f t="shared" si="0"/>
        <v>120.15</v>
      </c>
      <c r="R25" s="4">
        <v>2000</v>
      </c>
      <c r="S25" s="24">
        <v>0.85899999999999999</v>
      </c>
      <c r="T25" s="4">
        <v>0.5</v>
      </c>
      <c r="U25" s="24">
        <f t="shared" si="1"/>
        <v>0.42949999999999999</v>
      </c>
      <c r="V25" s="114">
        <f t="shared" si="2"/>
        <v>19.600326264274063</v>
      </c>
      <c r="X25" t="s">
        <v>239</v>
      </c>
    </row>
    <row r="26" spans="2:24" x14ac:dyDescent="0.25">
      <c r="B26" s="5"/>
      <c r="C26" s="15"/>
      <c r="D26" s="19"/>
      <c r="E26" s="19"/>
      <c r="F26" s="93">
        <f>$C$19*F19</f>
        <v>12354.3</v>
      </c>
      <c r="G26" s="93">
        <f t="shared" ref="G26:K26" si="5">$C$19*G19</f>
        <v>1647.2399999999998</v>
      </c>
      <c r="H26" s="93">
        <f t="shared" si="5"/>
        <v>1647.2399999999998</v>
      </c>
      <c r="I26" s="93">
        <f t="shared" si="5"/>
        <v>1647.2399999999998</v>
      </c>
      <c r="J26" s="93">
        <f t="shared" si="5"/>
        <v>16472.399999999998</v>
      </c>
      <c r="K26" s="93">
        <f t="shared" si="5"/>
        <v>1647.2399999999998</v>
      </c>
      <c r="L26" s="79" t="s">
        <v>39</v>
      </c>
      <c r="M26" s="19"/>
    </row>
    <row r="27" spans="2:24" x14ac:dyDescent="0.25">
      <c r="B27" s="1" t="s">
        <v>128</v>
      </c>
      <c r="C27" s="2">
        <f>$C$22+$C$24</f>
        <v>4118.0999999999995</v>
      </c>
      <c r="D27" s="11" t="s">
        <v>17</v>
      </c>
      <c r="E27" s="19"/>
      <c r="F27" s="93">
        <f>$C$20*F20</f>
        <v>0</v>
      </c>
      <c r="G27" s="93">
        <f t="shared" ref="G27:K27" si="6">$C$20*G20</f>
        <v>300</v>
      </c>
      <c r="H27" s="93">
        <f t="shared" si="6"/>
        <v>300</v>
      </c>
      <c r="I27" s="93">
        <f t="shared" si="6"/>
        <v>600</v>
      </c>
      <c r="J27" s="93">
        <f t="shared" si="6"/>
        <v>600</v>
      </c>
      <c r="K27" s="93">
        <f t="shared" si="6"/>
        <v>6000</v>
      </c>
      <c r="L27" s="79" t="s">
        <v>40</v>
      </c>
      <c r="M27" s="19"/>
    </row>
    <row r="28" spans="2:24" x14ac:dyDescent="0.25">
      <c r="B28" s="1" t="s">
        <v>129</v>
      </c>
      <c r="C28" s="4">
        <f>$C$23+$C$25</f>
        <v>16472.399999999998</v>
      </c>
      <c r="D28" s="11" t="s">
        <v>32</v>
      </c>
      <c r="E28" s="19"/>
      <c r="F28" s="15"/>
      <c r="G28" s="15"/>
      <c r="H28" s="15"/>
      <c r="I28" s="15"/>
      <c r="J28" s="15"/>
      <c r="K28" s="15"/>
      <c r="L28" s="19"/>
      <c r="M28" s="19"/>
      <c r="O28" s="5"/>
      <c r="P28" s="5"/>
      <c r="Q28" s="5"/>
    </row>
    <row r="29" spans="2:24" x14ac:dyDescent="0.25">
      <c r="F29" s="127" t="s">
        <v>236</v>
      </c>
      <c r="G29" s="127"/>
      <c r="H29" s="127"/>
      <c r="I29" s="127"/>
      <c r="J29" s="127"/>
      <c r="K29" s="127"/>
    </row>
    <row r="30" spans="2:24" x14ac:dyDescent="0.25">
      <c r="B30" s="1" t="s">
        <v>134</v>
      </c>
      <c r="C30" s="4">
        <f>SUM(C17:C20)</f>
        <v>28872.399999999998</v>
      </c>
      <c r="D30" s="11" t="s">
        <v>32</v>
      </c>
      <c r="E30" s="19"/>
      <c r="F30" s="59" t="s">
        <v>217</v>
      </c>
      <c r="G30" s="59" t="s">
        <v>218</v>
      </c>
      <c r="H30" s="59" t="s">
        <v>219</v>
      </c>
      <c r="I30" s="117" t="s">
        <v>255</v>
      </c>
      <c r="J30" s="117" t="s">
        <v>256</v>
      </c>
      <c r="K30" s="117" t="s">
        <v>257</v>
      </c>
      <c r="L30" s="80" t="s">
        <v>43</v>
      </c>
      <c r="M30" s="15"/>
    </row>
    <row r="31" spans="2:24" x14ac:dyDescent="0.25">
      <c r="B31" s="1" t="s">
        <v>134</v>
      </c>
      <c r="C31" s="94">
        <f>C30/3600</f>
        <v>8.0201111111111096</v>
      </c>
      <c r="D31" s="95" t="s">
        <v>44</v>
      </c>
      <c r="E31" s="19"/>
      <c r="F31" s="98">
        <f>(($O$19*2)*F24)/3600000</f>
        <v>0</v>
      </c>
      <c r="G31" s="98">
        <f>(($O$16)*G24)/3600000</f>
        <v>1.0666666666666666E-2</v>
      </c>
      <c r="H31" s="98">
        <f>(($O$19)*H24)/3600000</f>
        <v>1.9416666666666665E-2</v>
      </c>
      <c r="I31" s="98">
        <f>(($O$20*2)*I24)/3600000</f>
        <v>9.2999999999999999E-2</v>
      </c>
      <c r="J31" s="98">
        <f>(($O$21)*J24)/3600000</f>
        <v>5.5166666666666669E-2</v>
      </c>
      <c r="K31" s="98">
        <f>((($O$24*3))*K24)/3600000</f>
        <v>2.6549999999999998</v>
      </c>
      <c r="L31" s="73">
        <f>SUM(F31:K31)</f>
        <v>2.8332499999999996</v>
      </c>
      <c r="M31" s="79" t="s">
        <v>37</v>
      </c>
      <c r="O31" s="137" t="s">
        <v>245</v>
      </c>
      <c r="P31" s="138"/>
      <c r="Q31" s="138"/>
      <c r="R31" s="138"/>
      <c r="S31" s="138"/>
      <c r="T31" s="139"/>
    </row>
    <row r="32" spans="2:24" x14ac:dyDescent="0.25">
      <c r="F32" s="98">
        <f t="shared" ref="F32:F34" si="7">(($O$19*2)*F25)/3600000</f>
        <v>0</v>
      </c>
      <c r="G32" s="98">
        <f t="shared" ref="G32:G34" si="8">(($O$16)*G25)/3600000</f>
        <v>1.4222222222222223E-3</v>
      </c>
      <c r="H32" s="98">
        <f t="shared" ref="H32:H34" si="9">(($O$19)*H25)/3600000</f>
        <v>2.5888888888888888E-3</v>
      </c>
      <c r="I32" s="98">
        <f t="shared" ref="I32:I34" si="10">(($O$20*2)*I25)/3600000</f>
        <v>6.1999999999999998E-3</v>
      </c>
      <c r="J32" s="98">
        <f t="shared" ref="J32:J34" si="11">(($O$21)*J25)/3600000</f>
        <v>3.6777777777777777E-2</v>
      </c>
      <c r="K32" s="98">
        <f t="shared" ref="K32:K34" si="12">((($O$24*3))*K25)/3600000</f>
        <v>1.77E-2</v>
      </c>
      <c r="L32" s="73">
        <f t="shared" ref="L32:L34" si="13">SUM(F32:K32)</f>
        <v>6.4688888888888879E-2</v>
      </c>
      <c r="M32" s="79" t="s">
        <v>38</v>
      </c>
      <c r="O32" s="81" t="s">
        <v>114</v>
      </c>
      <c r="P32" s="81" t="s">
        <v>226</v>
      </c>
      <c r="Q32" s="81" t="s">
        <v>227</v>
      </c>
      <c r="R32" s="81" t="s">
        <v>126</v>
      </c>
      <c r="S32" s="81" t="s">
        <v>229</v>
      </c>
      <c r="T32" s="81" t="s">
        <v>115</v>
      </c>
      <c r="U32" s="1" t="s">
        <v>247</v>
      </c>
    </row>
    <row r="33" spans="2:21" x14ac:dyDescent="0.25">
      <c r="C33" s="135" t="s">
        <v>253</v>
      </c>
      <c r="D33" s="136"/>
      <c r="F33" s="98">
        <f t="shared" si="7"/>
        <v>1.5991955</v>
      </c>
      <c r="G33" s="98">
        <f t="shared" si="8"/>
        <v>5.8568533333333325E-2</v>
      </c>
      <c r="H33" s="98">
        <f t="shared" si="9"/>
        <v>0.10661303333333332</v>
      </c>
      <c r="I33" s="98">
        <f t="shared" si="10"/>
        <v>0.2553222</v>
      </c>
      <c r="J33" s="98">
        <f t="shared" si="11"/>
        <v>1.5145456666666666</v>
      </c>
      <c r="K33" s="98">
        <f t="shared" si="12"/>
        <v>0.72890369999999993</v>
      </c>
      <c r="L33" s="73">
        <f t="shared" si="13"/>
        <v>4.2631486333333335</v>
      </c>
      <c r="M33" s="79" t="s">
        <v>39</v>
      </c>
      <c r="O33" s="82">
        <v>233</v>
      </c>
      <c r="P33" s="82">
        <v>5.8</v>
      </c>
      <c r="Q33" s="16">
        <f>P33/2.2</f>
        <v>2.6363636363636362</v>
      </c>
      <c r="R33" s="16">
        <f>P33*4.45</f>
        <v>25.81</v>
      </c>
      <c r="S33" s="16">
        <f>O33/48</f>
        <v>4.854166666666667</v>
      </c>
      <c r="T33" s="82">
        <v>161</v>
      </c>
      <c r="U33" s="114">
        <f>(R33/O33)*100</f>
        <v>11.07725321888412</v>
      </c>
    </row>
    <row r="34" spans="2:21" x14ac:dyDescent="0.25">
      <c r="B34" s="96"/>
      <c r="C34" s="82" t="s">
        <v>44</v>
      </c>
      <c r="D34" s="82" t="s">
        <v>243</v>
      </c>
      <c r="E34" s="19"/>
      <c r="F34" s="98">
        <f t="shared" si="7"/>
        <v>0</v>
      </c>
      <c r="G34" s="98">
        <f t="shared" si="8"/>
        <v>1.0666666666666666E-2</v>
      </c>
      <c r="H34" s="98">
        <f t="shared" si="9"/>
        <v>1.9416666666666665E-2</v>
      </c>
      <c r="I34" s="98">
        <f t="shared" si="10"/>
        <v>9.2999999999999999E-2</v>
      </c>
      <c r="J34" s="98">
        <f t="shared" si="11"/>
        <v>5.5166666666666669E-2</v>
      </c>
      <c r="K34" s="98">
        <f t="shared" si="12"/>
        <v>2.6549999999999998</v>
      </c>
      <c r="L34" s="73">
        <f t="shared" si="13"/>
        <v>2.8332499999999996</v>
      </c>
      <c r="M34" s="79" t="s">
        <v>40</v>
      </c>
      <c r="O34" s="82">
        <v>279</v>
      </c>
      <c r="P34" s="82">
        <v>12.9</v>
      </c>
      <c r="Q34" s="16">
        <f t="shared" ref="Q34:Q46" si="14">P34/2.2</f>
        <v>5.8636363636363633</v>
      </c>
      <c r="R34" s="16">
        <f t="shared" ref="R34:R46" si="15">P34*4.45</f>
        <v>57.405000000000001</v>
      </c>
      <c r="S34" s="16">
        <f t="shared" ref="S34:S46" si="16">O34/48</f>
        <v>5.8125</v>
      </c>
      <c r="T34" s="82">
        <v>322</v>
      </c>
      <c r="U34" s="114">
        <f t="shared" ref="U34:U46" si="17">(R34/O34)*100</f>
        <v>20.5752688172043</v>
      </c>
    </row>
    <row r="35" spans="2:21" x14ac:dyDescent="0.25">
      <c r="B35" s="96"/>
      <c r="C35" s="82">
        <v>8</v>
      </c>
      <c r="D35" s="82">
        <v>10.5</v>
      </c>
      <c r="E35" s="19"/>
      <c r="F35" s="73">
        <f>SUM(F31:F34)</f>
        <v>1.5991955</v>
      </c>
      <c r="G35" s="73">
        <f t="shared" ref="G35:K35" si="18">SUM(G31:G34)</f>
        <v>8.1324088888888882E-2</v>
      </c>
      <c r="H35" s="73">
        <f t="shared" si="18"/>
        <v>0.14803525555555555</v>
      </c>
      <c r="I35" s="73">
        <f t="shared" si="18"/>
        <v>0.44752219999999998</v>
      </c>
      <c r="J35" s="73">
        <f t="shared" si="18"/>
        <v>1.6616567777777775</v>
      </c>
      <c r="K35" s="73">
        <f t="shared" si="18"/>
        <v>6.0566037000000001</v>
      </c>
      <c r="L35" s="100">
        <f>SUM(L31:L34)</f>
        <v>9.9943375222222208</v>
      </c>
      <c r="M35" s="19"/>
      <c r="O35" s="82">
        <v>331</v>
      </c>
      <c r="P35" s="82">
        <v>19.899999999999999</v>
      </c>
      <c r="Q35" s="16">
        <f t="shared" si="14"/>
        <v>9.0454545454545432</v>
      </c>
      <c r="R35" s="16">
        <f t="shared" si="15"/>
        <v>88.554999999999993</v>
      </c>
      <c r="S35" s="16">
        <f t="shared" si="16"/>
        <v>6.895833333333333</v>
      </c>
      <c r="T35" s="82">
        <v>443</v>
      </c>
      <c r="U35" s="114">
        <f t="shared" si="17"/>
        <v>26.753776435045314</v>
      </c>
    </row>
    <row r="36" spans="2:21" x14ac:dyDescent="0.25">
      <c r="B36" s="96"/>
      <c r="C36" s="82">
        <v>12</v>
      </c>
      <c r="D36" s="82">
        <v>20</v>
      </c>
      <c r="E36" s="19"/>
      <c r="F36" s="15"/>
      <c r="G36" s="15"/>
      <c r="H36" s="15"/>
      <c r="I36" s="15"/>
      <c r="J36" s="15"/>
      <c r="K36" s="15"/>
      <c r="L36" s="19"/>
      <c r="M36" s="19"/>
      <c r="O36" s="82">
        <v>390</v>
      </c>
      <c r="P36" s="82">
        <v>26.7</v>
      </c>
      <c r="Q36" s="16">
        <f t="shared" si="14"/>
        <v>12.136363636363635</v>
      </c>
      <c r="R36" s="16">
        <f t="shared" si="15"/>
        <v>118.815</v>
      </c>
      <c r="S36" s="16">
        <f t="shared" si="16"/>
        <v>8.125</v>
      </c>
      <c r="T36" s="82">
        <v>532</v>
      </c>
      <c r="U36" s="114">
        <f t="shared" si="17"/>
        <v>30.465384615384615</v>
      </c>
    </row>
    <row r="37" spans="2:21" x14ac:dyDescent="0.25">
      <c r="B37" s="96"/>
      <c r="C37" s="82">
        <v>16</v>
      </c>
      <c r="D37" s="82">
        <v>29</v>
      </c>
      <c r="E37" s="19"/>
      <c r="F37" s="140" t="s">
        <v>237</v>
      </c>
      <c r="G37" s="140"/>
      <c r="H37" s="140"/>
      <c r="I37" s="140"/>
      <c r="J37" s="140"/>
      <c r="K37" s="140"/>
      <c r="O37" s="9">
        <v>456</v>
      </c>
      <c r="P37" s="9">
        <v>33.200000000000003</v>
      </c>
      <c r="Q37" s="85">
        <f t="shared" si="14"/>
        <v>15.090909090909092</v>
      </c>
      <c r="R37" s="85">
        <f t="shared" si="15"/>
        <v>147.74</v>
      </c>
      <c r="S37" s="85">
        <f t="shared" si="16"/>
        <v>9.5</v>
      </c>
      <c r="T37" s="9">
        <v>600</v>
      </c>
      <c r="U37" s="114">
        <f t="shared" si="17"/>
        <v>32.399122807017541</v>
      </c>
    </row>
    <row r="38" spans="2:21" x14ac:dyDescent="0.25">
      <c r="B38" s="96"/>
      <c r="C38" s="82">
        <v>18</v>
      </c>
      <c r="D38" s="82">
        <v>33.5</v>
      </c>
      <c r="E38" s="19"/>
      <c r="F38" s="78" t="s">
        <v>217</v>
      </c>
      <c r="G38" s="78" t="s">
        <v>218</v>
      </c>
      <c r="H38" s="78" t="s">
        <v>219</v>
      </c>
      <c r="I38" s="117" t="s">
        <v>255</v>
      </c>
      <c r="J38" s="117" t="s">
        <v>256</v>
      </c>
      <c r="K38" s="117" t="s">
        <v>257</v>
      </c>
      <c r="L38" s="80" t="s">
        <v>43</v>
      </c>
      <c r="M38" s="15"/>
      <c r="O38" s="22">
        <v>531</v>
      </c>
      <c r="P38" s="22">
        <v>39.200000000000003</v>
      </c>
      <c r="Q38" s="52">
        <f t="shared" si="14"/>
        <v>17.818181818181817</v>
      </c>
      <c r="R38" s="52">
        <f t="shared" si="15"/>
        <v>174.44000000000003</v>
      </c>
      <c r="S38" s="52">
        <f t="shared" si="16"/>
        <v>11.0625</v>
      </c>
      <c r="T38" s="22">
        <v>660</v>
      </c>
      <c r="U38" s="114">
        <f t="shared" si="17"/>
        <v>32.851224105461398</v>
      </c>
    </row>
    <row r="39" spans="2:21" x14ac:dyDescent="0.25">
      <c r="B39" s="96"/>
      <c r="C39" s="107"/>
      <c r="D39" s="106"/>
      <c r="E39" s="19"/>
      <c r="F39" s="98">
        <f>(($O$36)*F24)/3600000</f>
        <v>0</v>
      </c>
      <c r="G39" s="98">
        <f>(($O$34)*G24)/3600000</f>
        <v>2.325E-2</v>
      </c>
      <c r="H39" s="98">
        <f>(($O$34)*H24)/3600000</f>
        <v>2.325E-2</v>
      </c>
      <c r="I39" s="98">
        <f>(($O$36)*I24)/3600000</f>
        <v>6.5000000000000002E-2</v>
      </c>
      <c r="J39" s="98">
        <f>(($O$35)*J24)/3600000</f>
        <v>5.5166666666666669E-2</v>
      </c>
      <c r="K39" s="98">
        <f>((($O$43))*K24)/3600000</f>
        <v>1.3333333333333333</v>
      </c>
      <c r="L39" s="73">
        <f>SUM(F39:K39)</f>
        <v>1.5</v>
      </c>
      <c r="M39" s="79" t="s">
        <v>37</v>
      </c>
      <c r="O39" s="10">
        <v>613</v>
      </c>
      <c r="P39" s="10">
        <v>44.4</v>
      </c>
      <c r="Q39" s="86">
        <f t="shared" si="14"/>
        <v>20.18181818181818</v>
      </c>
      <c r="R39" s="86">
        <f t="shared" si="15"/>
        <v>197.58</v>
      </c>
      <c r="S39" s="86">
        <f t="shared" si="16"/>
        <v>12.770833333333334</v>
      </c>
      <c r="T39" s="10">
        <v>715</v>
      </c>
      <c r="U39" s="114">
        <f t="shared" si="17"/>
        <v>32.231647634584014</v>
      </c>
    </row>
    <row r="40" spans="2:21" x14ac:dyDescent="0.25">
      <c r="B40" s="96"/>
      <c r="C40" s="87"/>
      <c r="D40" s="106"/>
      <c r="E40" s="19"/>
      <c r="F40" s="98">
        <f t="shared" ref="F40:F42" si="19">(($O$36)*F25)/3600000</f>
        <v>0</v>
      </c>
      <c r="G40" s="98">
        <f t="shared" ref="G40:H42" si="20">(($O$34)*G25)/3600000</f>
        <v>3.0999999999999999E-3</v>
      </c>
      <c r="H40" s="98">
        <f t="shared" si="20"/>
        <v>3.0999999999999999E-3</v>
      </c>
      <c r="I40" s="98">
        <f t="shared" ref="I40:I42" si="21">(($O$36)*I25)/3600000</f>
        <v>4.3333333333333331E-3</v>
      </c>
      <c r="J40" s="98">
        <f t="shared" ref="J40:J42" si="22">(($O$35)*J25)/3600000</f>
        <v>3.6777777777777777E-2</v>
      </c>
      <c r="K40" s="98">
        <f t="shared" ref="K40:K42" si="23">((($O$43))*K25)/3600000</f>
        <v>8.8888888888888889E-3</v>
      </c>
      <c r="L40" s="73">
        <f t="shared" ref="L40:L42" si="24">SUM(F40:K40)</f>
        <v>5.62E-2</v>
      </c>
      <c r="M40" s="79" t="s">
        <v>38</v>
      </c>
      <c r="O40" s="76">
        <v>650</v>
      </c>
      <c r="P40" s="76">
        <v>46.4</v>
      </c>
      <c r="Q40" s="16">
        <f t="shared" si="14"/>
        <v>21.09090909090909</v>
      </c>
      <c r="R40" s="16">
        <f t="shared" si="15"/>
        <v>206.48</v>
      </c>
      <c r="S40" s="16">
        <f t="shared" si="16"/>
        <v>13.541666666666666</v>
      </c>
      <c r="T40" s="76">
        <v>737</v>
      </c>
      <c r="U40" s="114">
        <f t="shared" si="17"/>
        <v>31.766153846153845</v>
      </c>
    </row>
    <row r="41" spans="2:21" x14ac:dyDescent="0.25">
      <c r="B41" s="96"/>
      <c r="C41" s="135" t="s">
        <v>254</v>
      </c>
      <c r="D41" s="136"/>
      <c r="F41" s="98">
        <f t="shared" si="19"/>
        <v>1.3383825</v>
      </c>
      <c r="G41" s="98">
        <f t="shared" si="20"/>
        <v>0.1276611</v>
      </c>
      <c r="H41" s="98">
        <f t="shared" si="20"/>
        <v>0.1276611</v>
      </c>
      <c r="I41" s="98">
        <f t="shared" si="21"/>
        <v>0.17845099999999997</v>
      </c>
      <c r="J41" s="98">
        <f t="shared" si="22"/>
        <v>1.5145456666666666</v>
      </c>
      <c r="K41" s="98">
        <f t="shared" si="23"/>
        <v>0.36605333333333329</v>
      </c>
      <c r="L41" s="73">
        <f t="shared" si="24"/>
        <v>3.6527547</v>
      </c>
      <c r="M41" s="79" t="s">
        <v>39</v>
      </c>
      <c r="O41" s="76">
        <v>700</v>
      </c>
      <c r="P41" s="76">
        <v>48.9</v>
      </c>
      <c r="Q41" s="16">
        <f t="shared" si="14"/>
        <v>22.227272727272723</v>
      </c>
      <c r="R41" s="16">
        <f t="shared" si="15"/>
        <v>217.60499999999999</v>
      </c>
      <c r="S41" s="16">
        <f t="shared" si="16"/>
        <v>14.583333333333334</v>
      </c>
      <c r="T41" s="76">
        <v>761</v>
      </c>
      <c r="U41" s="114">
        <f t="shared" si="17"/>
        <v>31.08642857142857</v>
      </c>
    </row>
    <row r="42" spans="2:21" x14ac:dyDescent="0.25">
      <c r="B42" s="108"/>
      <c r="C42" s="118" t="s">
        <v>44</v>
      </c>
      <c r="D42" s="118" t="s">
        <v>243</v>
      </c>
      <c r="E42" s="19"/>
      <c r="F42" s="98">
        <f t="shared" si="19"/>
        <v>0</v>
      </c>
      <c r="G42" s="98">
        <f t="shared" si="20"/>
        <v>2.325E-2</v>
      </c>
      <c r="H42" s="98">
        <f t="shared" si="20"/>
        <v>2.325E-2</v>
      </c>
      <c r="I42" s="98">
        <f t="shared" si="21"/>
        <v>6.5000000000000002E-2</v>
      </c>
      <c r="J42" s="98">
        <f t="shared" si="22"/>
        <v>5.5166666666666669E-2</v>
      </c>
      <c r="K42" s="98">
        <f t="shared" si="23"/>
        <v>1.3333333333333333</v>
      </c>
      <c r="L42" s="73">
        <f t="shared" si="24"/>
        <v>1.5</v>
      </c>
      <c r="M42" s="79" t="s">
        <v>40</v>
      </c>
      <c r="O42" s="80">
        <v>750</v>
      </c>
      <c r="P42" s="80">
        <v>51.1</v>
      </c>
      <c r="Q42" s="16">
        <f t="shared" si="14"/>
        <v>23.227272727272727</v>
      </c>
      <c r="R42" s="16">
        <f t="shared" si="15"/>
        <v>227.39500000000001</v>
      </c>
      <c r="S42" s="16">
        <f t="shared" si="16"/>
        <v>15.625</v>
      </c>
      <c r="T42" s="80">
        <v>779</v>
      </c>
      <c r="U42" s="114">
        <f t="shared" si="17"/>
        <v>30.319333333333336</v>
      </c>
    </row>
    <row r="43" spans="2:21" x14ac:dyDescent="0.25">
      <c r="B43" s="108"/>
      <c r="C43" s="118">
        <v>8</v>
      </c>
      <c r="D43" s="118">
        <v>21.5</v>
      </c>
      <c r="F43" s="73">
        <f>SUM(F39:F42)</f>
        <v>1.3383825</v>
      </c>
      <c r="G43" s="73">
        <f t="shared" ref="G43:K43" si="25">SUM(G39:G42)</f>
        <v>0.1772611</v>
      </c>
      <c r="H43" s="73">
        <f t="shared" si="25"/>
        <v>0.1772611</v>
      </c>
      <c r="I43" s="73">
        <f t="shared" si="25"/>
        <v>0.31278433333333333</v>
      </c>
      <c r="J43" s="73">
        <f t="shared" si="25"/>
        <v>1.6616567777777775</v>
      </c>
      <c r="K43" s="73">
        <f t="shared" si="25"/>
        <v>3.0416088888888888</v>
      </c>
      <c r="L43" s="99">
        <f>SUM(L39:L42)</f>
        <v>6.7089546999999996</v>
      </c>
      <c r="M43" s="19"/>
      <c r="O43" s="80">
        <v>800</v>
      </c>
      <c r="P43" s="80">
        <v>53.1</v>
      </c>
      <c r="Q43" s="16">
        <f t="shared" si="14"/>
        <v>24.136363636363637</v>
      </c>
      <c r="R43" s="16">
        <f t="shared" si="15"/>
        <v>236.29500000000002</v>
      </c>
      <c r="S43" s="16">
        <f t="shared" si="16"/>
        <v>16.666666666666668</v>
      </c>
      <c r="T43" s="80">
        <v>790</v>
      </c>
      <c r="U43" s="114">
        <f t="shared" si="17"/>
        <v>29.536875000000002</v>
      </c>
    </row>
    <row r="44" spans="2:21" x14ac:dyDescent="0.25">
      <c r="B44" s="112"/>
      <c r="C44" s="118">
        <v>12</v>
      </c>
      <c r="D44" s="118">
        <v>40</v>
      </c>
      <c r="F44" s="15"/>
      <c r="G44" s="15"/>
      <c r="H44" s="15"/>
      <c r="I44" s="15"/>
      <c r="J44" s="15"/>
      <c r="K44" s="15"/>
      <c r="L44" s="19"/>
      <c r="M44" s="19"/>
      <c r="O44" s="80">
        <v>850</v>
      </c>
      <c r="P44" s="80">
        <v>55.1</v>
      </c>
      <c r="Q44" s="16">
        <f t="shared" si="14"/>
        <v>25.045454545454543</v>
      </c>
      <c r="R44" s="16">
        <f t="shared" si="15"/>
        <v>245.19500000000002</v>
      </c>
      <c r="S44" s="16">
        <f t="shared" si="16"/>
        <v>17.708333333333332</v>
      </c>
      <c r="T44" s="80">
        <v>798</v>
      </c>
      <c r="U44" s="114">
        <f t="shared" si="17"/>
        <v>28.846470588235295</v>
      </c>
    </row>
    <row r="45" spans="2:21" x14ac:dyDescent="0.25">
      <c r="B45" s="112"/>
      <c r="C45" s="118">
        <v>16</v>
      </c>
      <c r="D45" s="118">
        <v>58</v>
      </c>
      <c r="E45" s="19"/>
      <c r="F45" s="28"/>
      <c r="G45" s="15"/>
      <c r="H45" s="15"/>
      <c r="I45" s="15"/>
      <c r="J45" s="15"/>
      <c r="K45" s="15"/>
      <c r="L45" s="97"/>
      <c r="M45" s="97"/>
      <c r="O45" s="80">
        <v>900</v>
      </c>
      <c r="P45" s="80">
        <v>57.1</v>
      </c>
      <c r="Q45" s="16">
        <f t="shared" si="14"/>
        <v>25.954545454545453</v>
      </c>
      <c r="R45" s="16">
        <f t="shared" si="15"/>
        <v>254.09500000000003</v>
      </c>
      <c r="S45" s="16">
        <f t="shared" si="16"/>
        <v>18.75</v>
      </c>
      <c r="T45" s="80">
        <v>809</v>
      </c>
      <c r="U45" s="114">
        <f t="shared" si="17"/>
        <v>28.23277777777778</v>
      </c>
    </row>
    <row r="46" spans="2:21" x14ac:dyDescent="0.25">
      <c r="B46" s="112"/>
      <c r="C46" s="118">
        <v>18</v>
      </c>
      <c r="D46" s="118">
        <v>67</v>
      </c>
      <c r="F46" s="7"/>
      <c r="G46" s="7"/>
      <c r="H46" s="7"/>
      <c r="I46" s="7"/>
      <c r="J46" s="7"/>
      <c r="K46" s="7"/>
      <c r="O46" s="80">
        <v>950</v>
      </c>
      <c r="P46" s="80">
        <v>59.2</v>
      </c>
      <c r="Q46" s="16">
        <f t="shared" si="14"/>
        <v>26.909090909090907</v>
      </c>
      <c r="R46" s="16">
        <f t="shared" si="15"/>
        <v>263.44</v>
      </c>
      <c r="S46" s="16">
        <f t="shared" si="16"/>
        <v>19.791666666666668</v>
      </c>
      <c r="T46" s="80">
        <v>834</v>
      </c>
      <c r="U46" s="114">
        <f t="shared" si="17"/>
        <v>27.730526315789472</v>
      </c>
    </row>
    <row r="47" spans="2:21" x14ac:dyDescent="0.25">
      <c r="B47" s="108"/>
      <c r="C47" s="109"/>
      <c r="D47" s="110"/>
      <c r="E47" s="19"/>
      <c r="F47" s="15"/>
      <c r="G47" s="15"/>
      <c r="H47" s="15"/>
      <c r="I47" s="15"/>
      <c r="J47" s="15"/>
      <c r="K47" s="15"/>
      <c r="L47" s="19"/>
      <c r="M47" s="19"/>
    </row>
    <row r="48" spans="2:21" x14ac:dyDescent="0.25">
      <c r="B48" s="108"/>
      <c r="C48" s="111"/>
      <c r="D48" s="110"/>
      <c r="F48" s="7"/>
      <c r="G48" s="7"/>
      <c r="H48" s="7"/>
      <c r="I48" s="7"/>
      <c r="J48" s="7"/>
      <c r="K48" s="7"/>
    </row>
    <row r="49" spans="2:5" x14ac:dyDescent="0.25">
      <c r="B49" s="112"/>
      <c r="C49" s="111"/>
      <c r="D49" s="110"/>
    </row>
    <row r="50" spans="2:5" x14ac:dyDescent="0.25">
      <c r="B50" s="108"/>
      <c r="C50" s="109"/>
      <c r="D50" s="110"/>
      <c r="E50" s="19"/>
    </row>
  </sheetData>
  <mergeCells count="9">
    <mergeCell ref="C33:D33"/>
    <mergeCell ref="C41:D41"/>
    <mergeCell ref="O31:T31"/>
    <mergeCell ref="F37:K37"/>
    <mergeCell ref="F3:K3"/>
    <mergeCell ref="O9:U9"/>
    <mergeCell ref="F15:K15"/>
    <mergeCell ref="F22:K22"/>
    <mergeCell ref="F29:K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C9821-8901-426D-B76D-A2C020ECF4E5}">
  <dimension ref="A3:I36"/>
  <sheetViews>
    <sheetView workbookViewId="0">
      <selection activeCell="G15" sqref="G15"/>
    </sheetView>
  </sheetViews>
  <sheetFormatPr defaultRowHeight="15" x14ac:dyDescent="0.25"/>
  <cols>
    <col min="1" max="1" width="21.42578125" customWidth="1"/>
    <col min="2" max="8" width="10.7109375" customWidth="1"/>
  </cols>
  <sheetData>
    <row r="3" spans="1:9" x14ac:dyDescent="0.25">
      <c r="C3" s="79" t="s">
        <v>217</v>
      </c>
      <c r="D3" s="79" t="s">
        <v>218</v>
      </c>
      <c r="E3" s="79" t="s">
        <v>219</v>
      </c>
      <c r="F3" s="79" t="s">
        <v>220</v>
      </c>
      <c r="G3" s="79" t="s">
        <v>221</v>
      </c>
      <c r="H3" s="79" t="s">
        <v>222</v>
      </c>
    </row>
    <row r="4" spans="1:9" x14ac:dyDescent="0.25">
      <c r="A4" s="1" t="s">
        <v>118</v>
      </c>
      <c r="B4" s="82" t="s">
        <v>122</v>
      </c>
      <c r="C4" s="82">
        <v>1025</v>
      </c>
      <c r="D4" s="82">
        <v>1025</v>
      </c>
      <c r="E4" s="82">
        <v>1025</v>
      </c>
      <c r="F4" s="82">
        <v>1025</v>
      </c>
      <c r="G4" s="82">
        <v>1025</v>
      </c>
      <c r="H4" s="82">
        <v>1025</v>
      </c>
    </row>
    <row r="5" spans="1:9" x14ac:dyDescent="0.25">
      <c r="A5" s="1" t="s">
        <v>119</v>
      </c>
      <c r="B5" s="82"/>
      <c r="C5" s="82">
        <v>1.2</v>
      </c>
      <c r="D5" s="82">
        <v>1.2</v>
      </c>
      <c r="E5" s="82">
        <v>1.2</v>
      </c>
      <c r="F5" s="82">
        <v>1.2</v>
      </c>
      <c r="G5" s="82">
        <v>1.2</v>
      </c>
      <c r="H5" s="82">
        <v>1.2</v>
      </c>
    </row>
    <row r="6" spans="1:9" x14ac:dyDescent="0.25">
      <c r="A6" s="1" t="s">
        <v>121</v>
      </c>
      <c r="B6" s="82" t="s">
        <v>124</v>
      </c>
      <c r="C6" s="82"/>
      <c r="D6" s="82"/>
      <c r="E6" s="82"/>
      <c r="F6" s="82">
        <v>3</v>
      </c>
      <c r="G6" s="82">
        <v>2</v>
      </c>
      <c r="H6" s="82">
        <v>6</v>
      </c>
    </row>
    <row r="7" spans="1:9" x14ac:dyDescent="0.25">
      <c r="A7" s="1" t="s">
        <v>249</v>
      </c>
      <c r="B7" s="113" t="s">
        <v>251</v>
      </c>
      <c r="C7" s="113">
        <v>3</v>
      </c>
      <c r="D7" s="113">
        <v>2</v>
      </c>
      <c r="E7" s="113">
        <v>3</v>
      </c>
      <c r="F7" s="113"/>
      <c r="G7" s="113"/>
      <c r="H7" s="113"/>
    </row>
    <row r="8" spans="1:9" x14ac:dyDescent="0.25">
      <c r="A8" s="30" t="s">
        <v>250</v>
      </c>
      <c r="B8" s="113" t="s">
        <v>251</v>
      </c>
      <c r="C8" s="113">
        <v>2</v>
      </c>
      <c r="D8" s="113">
        <v>3</v>
      </c>
      <c r="E8" s="113">
        <v>1</v>
      </c>
      <c r="F8" s="113"/>
      <c r="G8" s="113"/>
      <c r="H8" s="113"/>
      <c r="I8" s="5"/>
    </row>
    <row r="9" spans="1:9" x14ac:dyDescent="0.25">
      <c r="A9" s="19"/>
      <c r="B9" s="5"/>
      <c r="C9" s="15"/>
      <c r="D9" s="15"/>
      <c r="E9" s="15"/>
      <c r="F9" s="15"/>
      <c r="G9" s="15"/>
      <c r="H9" s="15"/>
      <c r="I9" s="5"/>
    </row>
    <row r="10" spans="1:9" x14ac:dyDescent="0.25">
      <c r="A10" s="19"/>
      <c r="B10" s="5"/>
      <c r="C10" s="15"/>
      <c r="D10" s="15"/>
      <c r="E10" s="15"/>
      <c r="F10" s="15"/>
      <c r="G10" s="15"/>
      <c r="H10" s="15"/>
      <c r="I10" s="5"/>
    </row>
    <row r="11" spans="1:9" x14ac:dyDescent="0.25">
      <c r="B11" s="1" t="s">
        <v>230</v>
      </c>
      <c r="C11" s="121" t="s">
        <v>238</v>
      </c>
      <c r="D11" s="121"/>
      <c r="E11" s="121"/>
      <c r="F11" s="121"/>
      <c r="G11" s="121"/>
      <c r="H11" s="121"/>
    </row>
    <row r="12" spans="1:9" x14ac:dyDescent="0.25">
      <c r="B12" s="80">
        <v>0.1</v>
      </c>
      <c r="C12" s="23"/>
      <c r="D12" s="23"/>
      <c r="E12" s="23"/>
      <c r="F12" s="23">
        <f t="shared" ref="F12:F17" si="0">0.5*$F$4*$F$5*(B12)^2*$F$6</f>
        <v>18.450000000000003</v>
      </c>
      <c r="G12" s="23">
        <f>0.5*$G$4*$G$5*(B12)^2*$G$6</f>
        <v>12.300000000000002</v>
      </c>
      <c r="H12" s="23">
        <f>0.5*$H$4*$H$5*(B12)^2*$H$6</f>
        <v>36.900000000000006</v>
      </c>
    </row>
    <row r="13" spans="1:9" x14ac:dyDescent="0.25">
      <c r="B13" s="82">
        <v>0.2</v>
      </c>
      <c r="C13" s="23"/>
      <c r="D13" s="23"/>
      <c r="E13" s="23"/>
      <c r="F13" s="23">
        <f t="shared" si="0"/>
        <v>73.800000000000011</v>
      </c>
      <c r="G13" s="23">
        <f t="shared" ref="G13:G17" si="1">0.5*$G$4*$G$5*(B13)^2*$G$6</f>
        <v>49.20000000000001</v>
      </c>
      <c r="H13" s="23">
        <f t="shared" ref="H13:H17" si="2">0.5*$H$4*$H$5*(B13)^2*$H$6</f>
        <v>147.60000000000002</v>
      </c>
    </row>
    <row r="14" spans="1:9" x14ac:dyDescent="0.25">
      <c r="B14" s="79">
        <v>0.25</v>
      </c>
      <c r="C14" s="21"/>
      <c r="D14" s="21"/>
      <c r="E14" s="21"/>
      <c r="F14" s="21">
        <f t="shared" si="0"/>
        <v>115.3125</v>
      </c>
      <c r="G14" s="21">
        <f t="shared" si="1"/>
        <v>76.875</v>
      </c>
      <c r="H14" s="21">
        <f t="shared" si="2"/>
        <v>230.625</v>
      </c>
    </row>
    <row r="15" spans="1:9" x14ac:dyDescent="0.25">
      <c r="B15" s="80">
        <v>0.5</v>
      </c>
      <c r="C15" s="23"/>
      <c r="D15" s="23"/>
      <c r="E15" s="23"/>
      <c r="F15" s="23">
        <f t="shared" si="0"/>
        <v>461.25</v>
      </c>
      <c r="G15" s="23">
        <f t="shared" si="1"/>
        <v>307.5</v>
      </c>
      <c r="H15" s="23">
        <f t="shared" si="2"/>
        <v>922.5</v>
      </c>
    </row>
    <row r="16" spans="1:9" x14ac:dyDescent="0.25">
      <c r="B16" s="80">
        <v>0.75</v>
      </c>
      <c r="C16" s="23"/>
      <c r="D16" s="23"/>
      <c r="E16" s="23"/>
      <c r="F16" s="23">
        <f t="shared" si="0"/>
        <v>1037.8125</v>
      </c>
      <c r="G16" s="23">
        <f t="shared" si="1"/>
        <v>691.875</v>
      </c>
      <c r="H16" s="23">
        <f t="shared" si="2"/>
        <v>2075.625</v>
      </c>
    </row>
    <row r="17" spans="2:8" x14ac:dyDescent="0.25">
      <c r="B17" s="80">
        <v>1</v>
      </c>
      <c r="C17" s="23"/>
      <c r="D17" s="23"/>
      <c r="E17" s="23"/>
      <c r="F17" s="23">
        <f t="shared" si="0"/>
        <v>1845</v>
      </c>
      <c r="G17" s="23">
        <f t="shared" si="1"/>
        <v>1230</v>
      </c>
      <c r="H17" s="23">
        <f t="shared" si="2"/>
        <v>3690</v>
      </c>
    </row>
    <row r="20" spans="2:8" x14ac:dyDescent="0.25">
      <c r="B20" s="1" t="s">
        <v>248</v>
      </c>
      <c r="C20" s="115" t="s">
        <v>217</v>
      </c>
      <c r="D20" s="115" t="s">
        <v>218</v>
      </c>
      <c r="E20" s="115" t="s">
        <v>219</v>
      </c>
      <c r="G20" s="1" t="s">
        <v>252</v>
      </c>
    </row>
    <row r="21" spans="2:8" x14ac:dyDescent="0.25">
      <c r="B21" s="16">
        <v>1</v>
      </c>
      <c r="C21" s="114">
        <f>((($C$7/2)^4)*$C$4*$C$5*$C$8*(G21^2))/4</f>
        <v>0.94835135683593752</v>
      </c>
      <c r="D21" s="114">
        <f>((($D$7/2)^4)*$D$4*$D$5*$D$8*(G21^2))/4</f>
        <v>0.2809929946180556</v>
      </c>
      <c r="E21" s="114">
        <f>((($E$7/2)^4)*$E$4*$E$5*$E$8*(G21^2))/4</f>
        <v>0.47417567841796876</v>
      </c>
      <c r="G21" s="116">
        <f>(B21*3.1415)/180</f>
        <v>1.7452777777777779E-2</v>
      </c>
    </row>
    <row r="22" spans="2:8" x14ac:dyDescent="0.25">
      <c r="B22" s="16">
        <v>2</v>
      </c>
      <c r="C22" s="114">
        <f t="shared" ref="C22:C30" si="3">((($C$7/2)^4)*$C$4*$C$5*$C$8*(G22^2))/4</f>
        <v>3.7934054273437501</v>
      </c>
      <c r="D22" s="114">
        <f t="shared" ref="D22:D30" si="4">((($D$7/2)^4)*$D$4*$D$5*$D$8*(G22^2))/4</f>
        <v>1.1239719784722224</v>
      </c>
      <c r="E22" s="114">
        <f t="shared" ref="E22:E30" si="5">((($E$7/2)^4)*$E$4*$E$5*$E$8*(G22^2))/4</f>
        <v>1.896702713671875</v>
      </c>
      <c r="G22" s="116">
        <f t="shared" ref="G22:G31" si="6">(B22*3.1415)/180</f>
        <v>3.4905555555555558E-2</v>
      </c>
    </row>
    <row r="23" spans="2:8" x14ac:dyDescent="0.25">
      <c r="B23" s="16">
        <v>3</v>
      </c>
      <c r="C23" s="114">
        <f t="shared" si="3"/>
        <v>8.5351622115234367</v>
      </c>
      <c r="D23" s="114">
        <f t="shared" si="4"/>
        <v>2.5289369515624998</v>
      </c>
      <c r="E23" s="114">
        <f t="shared" si="5"/>
        <v>4.2675811057617183</v>
      </c>
      <c r="G23" s="116">
        <f t="shared" si="6"/>
        <v>5.2358333333333333E-2</v>
      </c>
    </row>
    <row r="24" spans="2:8" x14ac:dyDescent="0.25">
      <c r="B24" s="16">
        <v>4</v>
      </c>
      <c r="C24" s="114">
        <f t="shared" si="3"/>
        <v>15.173621709375</v>
      </c>
      <c r="D24" s="114">
        <f t="shared" si="4"/>
        <v>4.4958879138888896</v>
      </c>
      <c r="E24" s="114">
        <f t="shared" si="5"/>
        <v>7.5868108546875002</v>
      </c>
      <c r="G24" s="116">
        <f t="shared" si="6"/>
        <v>6.9811111111111115E-2</v>
      </c>
    </row>
    <row r="25" spans="2:8" x14ac:dyDescent="0.25">
      <c r="B25" s="16">
        <v>5</v>
      </c>
      <c r="C25" s="114">
        <f t="shared" si="3"/>
        <v>23.708783920898441</v>
      </c>
      <c r="D25" s="114">
        <f t="shared" si="4"/>
        <v>7.0248248654513894</v>
      </c>
      <c r="E25" s="114">
        <f t="shared" si="5"/>
        <v>11.85439196044922</v>
      </c>
      <c r="G25" s="116">
        <f t="shared" si="6"/>
        <v>8.7263888888888891E-2</v>
      </c>
    </row>
    <row r="26" spans="2:8" x14ac:dyDescent="0.25">
      <c r="B26" s="16">
        <v>6</v>
      </c>
      <c r="C26" s="114">
        <f t="shared" si="3"/>
        <v>34.140648846093747</v>
      </c>
      <c r="D26" s="114">
        <f t="shared" si="4"/>
        <v>10.115747806249999</v>
      </c>
      <c r="E26" s="114">
        <f t="shared" si="5"/>
        <v>17.070324423046873</v>
      </c>
      <c r="G26" s="116">
        <f t="shared" si="6"/>
        <v>0.10471666666666667</v>
      </c>
    </row>
    <row r="27" spans="2:8" x14ac:dyDescent="0.25">
      <c r="B27" s="16">
        <v>7</v>
      </c>
      <c r="C27" s="114">
        <f t="shared" si="3"/>
        <v>46.469216484960945</v>
      </c>
      <c r="D27" s="114">
        <f t="shared" si="4"/>
        <v>13.768656736284726</v>
      </c>
      <c r="E27" s="114">
        <f t="shared" si="5"/>
        <v>23.234608242480473</v>
      </c>
      <c r="G27" s="116">
        <f t="shared" si="6"/>
        <v>0.12216944444444446</v>
      </c>
    </row>
    <row r="28" spans="2:8" x14ac:dyDescent="0.25">
      <c r="B28" s="16">
        <v>8</v>
      </c>
      <c r="C28" s="114">
        <f t="shared" si="3"/>
        <v>60.694486837500001</v>
      </c>
      <c r="D28" s="114">
        <f t="shared" si="4"/>
        <v>17.983551655555559</v>
      </c>
      <c r="E28" s="114">
        <f t="shared" si="5"/>
        <v>30.347243418750001</v>
      </c>
      <c r="G28" s="116">
        <f t="shared" si="6"/>
        <v>0.13962222222222223</v>
      </c>
    </row>
    <row r="29" spans="2:8" x14ac:dyDescent="0.25">
      <c r="B29" s="16">
        <v>9</v>
      </c>
      <c r="C29" s="114">
        <f t="shared" si="3"/>
        <v>76.81645990371095</v>
      </c>
      <c r="D29" s="114">
        <f t="shared" si="4"/>
        <v>22.760432564062505</v>
      </c>
      <c r="E29" s="114">
        <f t="shared" si="5"/>
        <v>38.408229951855475</v>
      </c>
      <c r="G29" s="116">
        <f t="shared" si="6"/>
        <v>0.15707500000000002</v>
      </c>
    </row>
    <row r="30" spans="2:8" x14ac:dyDescent="0.25">
      <c r="B30" s="16">
        <v>10</v>
      </c>
      <c r="C30" s="114">
        <f t="shared" si="3"/>
        <v>94.835135683593762</v>
      </c>
      <c r="D30" s="114">
        <f t="shared" si="4"/>
        <v>28.099299461805558</v>
      </c>
      <c r="E30" s="114">
        <f t="shared" si="5"/>
        <v>47.417567841796881</v>
      </c>
      <c r="G30" s="116">
        <f t="shared" si="6"/>
        <v>0.17452777777777778</v>
      </c>
    </row>
    <row r="31" spans="2:8" x14ac:dyDescent="0.25">
      <c r="B31" s="21">
        <v>11</v>
      </c>
      <c r="C31" s="119">
        <f t="shared" ref="C31:C33" si="7">((($C$7/2)^4)*$C$4*$C$5*$C$8*(G31^2))/4</f>
        <v>114.75051417714842</v>
      </c>
      <c r="D31" s="119">
        <f t="shared" ref="D31:D33" si="8">((($D$7/2)^4)*$D$4*$D$5*$D$8*(G31^2))/4</f>
        <v>34.000152348784717</v>
      </c>
      <c r="E31" s="119">
        <f t="shared" ref="E31:E33" si="9">((($E$7/2)^4)*$E$4*$E$5*$E$8*(G31^2))/4</f>
        <v>57.375257088574209</v>
      </c>
      <c r="G31" s="116">
        <f t="shared" si="6"/>
        <v>0.19198055555555554</v>
      </c>
    </row>
    <row r="32" spans="2:8" x14ac:dyDescent="0.25">
      <c r="B32" s="16">
        <v>12</v>
      </c>
      <c r="C32" s="114">
        <f t="shared" si="7"/>
        <v>136.56259538437499</v>
      </c>
      <c r="D32" s="114">
        <f t="shared" si="8"/>
        <v>40.462991224999996</v>
      </c>
      <c r="E32" s="114">
        <f t="shared" si="9"/>
        <v>68.281297692187493</v>
      </c>
      <c r="G32" s="116">
        <f t="shared" ref="G32:G36" si="10">(B32*3.1415)/180</f>
        <v>0.20943333333333333</v>
      </c>
    </row>
    <row r="33" spans="2:7" x14ac:dyDescent="0.25">
      <c r="B33" s="16">
        <v>13</v>
      </c>
      <c r="C33" s="114">
        <f t="shared" si="7"/>
        <v>160.27137930527346</v>
      </c>
      <c r="D33" s="114">
        <f t="shared" si="8"/>
        <v>47.487816090451396</v>
      </c>
      <c r="E33" s="114">
        <f t="shared" si="9"/>
        <v>80.135689652636728</v>
      </c>
      <c r="G33" s="116">
        <f t="shared" si="10"/>
        <v>0.22688611111111112</v>
      </c>
    </row>
    <row r="34" spans="2:7" x14ac:dyDescent="0.25">
      <c r="B34" s="16"/>
      <c r="C34" s="114"/>
      <c r="D34" s="114"/>
      <c r="E34" s="114"/>
      <c r="G34" s="116">
        <f t="shared" si="10"/>
        <v>0</v>
      </c>
    </row>
    <row r="35" spans="2:7" x14ac:dyDescent="0.25">
      <c r="B35" s="16"/>
      <c r="C35" s="114"/>
      <c r="D35" s="114"/>
      <c r="E35" s="114"/>
      <c r="G35" s="116">
        <f t="shared" si="10"/>
        <v>0</v>
      </c>
    </row>
    <row r="36" spans="2:7" x14ac:dyDescent="0.25">
      <c r="B36" s="16"/>
      <c r="C36" s="114"/>
      <c r="D36" s="114"/>
      <c r="E36" s="114"/>
      <c r="G36" s="116">
        <f t="shared" si="10"/>
        <v>0</v>
      </c>
    </row>
  </sheetData>
  <mergeCells count="1">
    <mergeCell ref="C11:H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5CE38-FC84-461C-A007-999AE58989BE}">
  <dimension ref="A4:P20"/>
  <sheetViews>
    <sheetView tabSelected="1" zoomScaleNormal="100" workbookViewId="0">
      <selection activeCell="H32" sqref="H32"/>
    </sheetView>
  </sheetViews>
  <sheetFormatPr defaultRowHeight="15" x14ac:dyDescent="0.25"/>
  <cols>
    <col min="1" max="2" width="16.7109375" customWidth="1"/>
    <col min="3" max="3" width="13.85546875" customWidth="1"/>
    <col min="4" max="4" width="14" customWidth="1"/>
    <col min="5" max="5" width="10.42578125" customWidth="1"/>
    <col min="9" max="9" width="8.140625" customWidth="1"/>
    <col min="10" max="10" width="10.85546875" customWidth="1"/>
    <col min="11" max="11" width="8.5703125" customWidth="1"/>
    <col min="12" max="12" width="7.85546875" customWidth="1"/>
    <col min="13" max="13" width="10.140625" customWidth="1"/>
    <col min="14" max="15" width="10.28515625" customWidth="1"/>
    <col min="16" max="16" width="41.85546875" customWidth="1"/>
  </cols>
  <sheetData>
    <row r="4" spans="1:16" s="29" customFormat="1" ht="45" customHeight="1" x14ac:dyDescent="0.25">
      <c r="A4" s="32" t="s">
        <v>138</v>
      </c>
      <c r="B4" s="32" t="s">
        <v>104</v>
      </c>
      <c r="C4" s="32" t="s">
        <v>141</v>
      </c>
      <c r="D4" s="32" t="s">
        <v>142</v>
      </c>
      <c r="E4" s="32" t="s">
        <v>145</v>
      </c>
      <c r="F4" s="32" t="s">
        <v>80</v>
      </c>
      <c r="G4" s="32" t="s">
        <v>140</v>
      </c>
      <c r="H4" s="32" t="s">
        <v>139</v>
      </c>
      <c r="I4" s="32" t="s">
        <v>150</v>
      </c>
      <c r="J4" s="32" t="s">
        <v>158</v>
      </c>
      <c r="K4" s="32" t="s">
        <v>151</v>
      </c>
      <c r="L4" s="32" t="s">
        <v>155</v>
      </c>
      <c r="M4" s="32" t="s">
        <v>156</v>
      </c>
      <c r="N4" s="32" t="s">
        <v>157</v>
      </c>
      <c r="O4" s="32" t="s">
        <v>159</v>
      </c>
      <c r="P4" s="32" t="s">
        <v>96</v>
      </c>
    </row>
    <row r="5" spans="1:16" s="29" customFormat="1" ht="15" customHeight="1" x14ac:dyDescent="0.25">
      <c r="A5" s="46" t="s">
        <v>143</v>
      </c>
      <c r="B5" s="46" t="s">
        <v>166</v>
      </c>
      <c r="C5" s="47" t="s">
        <v>144</v>
      </c>
      <c r="D5" s="47" t="s">
        <v>167</v>
      </c>
      <c r="E5" s="47">
        <v>3.6</v>
      </c>
      <c r="F5" s="47">
        <v>43.2</v>
      </c>
      <c r="G5" s="47">
        <v>3</v>
      </c>
      <c r="H5" s="16">
        <f>F5*G5</f>
        <v>129.60000000000002</v>
      </c>
      <c r="I5" s="47">
        <v>0.56000000000000005</v>
      </c>
      <c r="J5" s="47"/>
      <c r="K5" s="47"/>
      <c r="L5" s="47"/>
      <c r="M5" s="47"/>
      <c r="N5" s="47"/>
      <c r="O5" s="47"/>
      <c r="P5" s="46"/>
    </row>
    <row r="6" spans="1:16" x14ac:dyDescent="0.25">
      <c r="A6" s="1" t="s">
        <v>143</v>
      </c>
      <c r="B6" s="1" t="s">
        <v>169</v>
      </c>
      <c r="C6" s="27" t="s">
        <v>144</v>
      </c>
      <c r="D6" s="27" t="s">
        <v>152</v>
      </c>
      <c r="E6" s="27">
        <v>3.6</v>
      </c>
      <c r="F6" s="27">
        <v>43.2</v>
      </c>
      <c r="G6" s="27">
        <v>70</v>
      </c>
      <c r="H6" s="20">
        <v>3024</v>
      </c>
      <c r="I6" s="16">
        <v>15.9</v>
      </c>
      <c r="J6" s="16"/>
      <c r="K6" s="16"/>
      <c r="L6" s="31"/>
      <c r="M6" s="31"/>
      <c r="N6" s="31"/>
      <c r="O6" s="31"/>
      <c r="P6" s="30" t="s">
        <v>165</v>
      </c>
    </row>
    <row r="7" spans="1:16" x14ac:dyDescent="0.25">
      <c r="A7" s="33" t="s">
        <v>143</v>
      </c>
      <c r="B7" s="33" t="s">
        <v>170</v>
      </c>
      <c r="C7" s="34" t="s">
        <v>144</v>
      </c>
      <c r="D7" s="34" t="s">
        <v>168</v>
      </c>
      <c r="E7" s="34">
        <v>3.6</v>
      </c>
      <c r="F7" s="34">
        <v>43.2</v>
      </c>
      <c r="G7" s="34">
        <v>350</v>
      </c>
      <c r="H7" s="35">
        <v>15100</v>
      </c>
      <c r="I7" s="36">
        <v>214.5</v>
      </c>
      <c r="J7" s="36">
        <f>H7/I7</f>
        <v>70.396270396270396</v>
      </c>
      <c r="K7" s="36"/>
      <c r="L7" s="37">
        <v>1.25</v>
      </c>
      <c r="M7" s="37">
        <v>0.4</v>
      </c>
      <c r="N7" s="63">
        <f>3.1415*L7*(M7/2)^2</f>
        <v>0.15707500000000005</v>
      </c>
      <c r="O7" s="35">
        <f>H7/N7</f>
        <v>96132.4208180805</v>
      </c>
      <c r="P7" s="30" t="s">
        <v>164</v>
      </c>
    </row>
    <row r="8" spans="1:16" x14ac:dyDescent="0.25">
      <c r="A8" s="1"/>
      <c r="B8" s="1"/>
      <c r="C8" s="27"/>
      <c r="D8" s="27"/>
      <c r="E8" s="27"/>
      <c r="F8" s="27"/>
      <c r="G8" s="27"/>
      <c r="H8" s="20"/>
      <c r="I8" s="16">
        <v>80</v>
      </c>
      <c r="J8" s="16"/>
      <c r="K8" s="16"/>
      <c r="L8" s="31"/>
      <c r="M8" s="31"/>
      <c r="N8" s="31"/>
      <c r="O8" s="31"/>
      <c r="P8" s="30" t="s">
        <v>202</v>
      </c>
    </row>
    <row r="9" spans="1:16" x14ac:dyDescent="0.25">
      <c r="A9" s="1"/>
      <c r="B9" s="1"/>
      <c r="C9" s="27"/>
      <c r="D9" s="27"/>
      <c r="E9" s="27"/>
      <c r="F9" s="27"/>
      <c r="G9" s="27"/>
      <c r="H9" s="20"/>
      <c r="I9" s="16"/>
      <c r="J9" s="16"/>
      <c r="K9" s="16"/>
      <c r="L9" s="31"/>
      <c r="M9" s="31"/>
      <c r="N9" s="31"/>
      <c r="O9" s="31"/>
      <c r="P9" s="30"/>
    </row>
    <row r="10" spans="1:16" x14ac:dyDescent="0.25">
      <c r="A10" s="1" t="s">
        <v>147</v>
      </c>
      <c r="B10" s="1" t="s">
        <v>148</v>
      </c>
      <c r="C10" s="27" t="s">
        <v>144</v>
      </c>
      <c r="D10" s="27" t="s">
        <v>153</v>
      </c>
      <c r="E10" s="27">
        <v>3.6</v>
      </c>
      <c r="F10" s="27">
        <v>28.8</v>
      </c>
      <c r="G10" s="27">
        <v>3</v>
      </c>
      <c r="H10" s="16">
        <f>F10*G10</f>
        <v>86.4</v>
      </c>
      <c r="I10" s="16">
        <v>0.45</v>
      </c>
      <c r="J10" s="16"/>
      <c r="K10" s="16"/>
      <c r="L10" s="31"/>
      <c r="M10" s="31"/>
      <c r="N10" s="31"/>
      <c r="O10" s="31"/>
      <c r="P10" s="30" t="s">
        <v>149</v>
      </c>
    </row>
    <row r="11" spans="1:16" x14ac:dyDescent="0.25">
      <c r="A11" s="38" t="s">
        <v>146</v>
      </c>
      <c r="B11" s="38" t="s">
        <v>197</v>
      </c>
      <c r="C11" s="39" t="s">
        <v>144</v>
      </c>
      <c r="D11" s="39" t="s">
        <v>154</v>
      </c>
      <c r="E11" s="39">
        <v>3.6</v>
      </c>
      <c r="F11" s="39">
        <v>28.8</v>
      </c>
      <c r="G11" s="39">
        <v>165</v>
      </c>
      <c r="H11" s="40">
        <v>4752</v>
      </c>
      <c r="I11" s="41">
        <v>59</v>
      </c>
      <c r="J11" s="41">
        <f>H11/I11</f>
        <v>80.542372881355931</v>
      </c>
      <c r="K11" s="41">
        <v>11.3</v>
      </c>
      <c r="L11" s="42"/>
      <c r="M11" s="42">
        <v>0.46</v>
      </c>
      <c r="N11" s="61">
        <f>(4/3)*3.1415*(M11/2)^3</f>
        <v>5.0963507333333331E-2</v>
      </c>
      <c r="O11" s="40">
        <f>H11/N11</f>
        <v>93243.190052029517</v>
      </c>
      <c r="P11" s="30"/>
    </row>
    <row r="12" spans="1:16" x14ac:dyDescent="0.25">
      <c r="A12" s="50"/>
      <c r="B12" s="50"/>
      <c r="C12" s="22"/>
      <c r="D12" s="22"/>
      <c r="E12" s="22"/>
      <c r="F12" s="22"/>
      <c r="G12" s="22"/>
      <c r="H12" s="51"/>
      <c r="I12" s="52"/>
      <c r="J12" s="52"/>
      <c r="K12" s="52"/>
      <c r="L12" s="53"/>
      <c r="M12" s="53"/>
      <c r="N12" s="53"/>
      <c r="O12" s="51"/>
      <c r="P12" s="30"/>
    </row>
    <row r="13" spans="1:16" x14ac:dyDescent="0.25">
      <c r="A13" s="1" t="s">
        <v>146</v>
      </c>
      <c r="B13" s="1" t="s">
        <v>198</v>
      </c>
      <c r="C13" s="27" t="s">
        <v>144</v>
      </c>
      <c r="D13" s="27" t="s">
        <v>167</v>
      </c>
      <c r="E13" s="27">
        <v>3.6</v>
      </c>
      <c r="F13" s="27">
        <v>43.2</v>
      </c>
      <c r="G13" s="27">
        <v>5</v>
      </c>
      <c r="H13" s="16">
        <f t="shared" ref="H13:H14" si="0">F13*G13</f>
        <v>216</v>
      </c>
      <c r="I13" s="16">
        <v>1</v>
      </c>
      <c r="J13" s="16"/>
      <c r="K13" s="16"/>
      <c r="L13" s="31"/>
      <c r="M13" s="31"/>
      <c r="N13" s="31"/>
      <c r="O13" s="31"/>
      <c r="P13" s="30" t="s">
        <v>205</v>
      </c>
    </row>
    <row r="14" spans="1:16" x14ac:dyDescent="0.25">
      <c r="A14" s="54" t="s">
        <v>146</v>
      </c>
      <c r="B14" s="54" t="s">
        <v>198</v>
      </c>
      <c r="C14" s="55" t="s">
        <v>144</v>
      </c>
      <c r="D14" s="55" t="s">
        <v>199</v>
      </c>
      <c r="E14" s="55">
        <v>3.6</v>
      </c>
      <c r="F14" s="55">
        <v>43.2</v>
      </c>
      <c r="G14" s="55">
        <v>235</v>
      </c>
      <c r="H14" s="56">
        <f t="shared" si="0"/>
        <v>10152</v>
      </c>
      <c r="I14" s="57">
        <v>70</v>
      </c>
      <c r="J14" s="57">
        <f>H14/I14</f>
        <v>145.02857142857144</v>
      </c>
      <c r="K14" s="57"/>
      <c r="L14" s="58"/>
      <c r="M14" s="58">
        <v>0.46</v>
      </c>
      <c r="N14" s="62">
        <f>(4/3)*3.1415*(M14/2)^3</f>
        <v>5.0963507333333331E-2</v>
      </c>
      <c r="O14" s="56">
        <f>H14/N14</f>
        <v>199201.36056569943</v>
      </c>
      <c r="P14" s="30" t="s">
        <v>212</v>
      </c>
    </row>
    <row r="15" spans="1:16" x14ac:dyDescent="0.25">
      <c r="A15" s="1"/>
      <c r="B15" s="1"/>
      <c r="C15" s="48"/>
      <c r="D15" s="48"/>
      <c r="E15" s="48"/>
      <c r="F15" s="48"/>
      <c r="G15" s="48"/>
      <c r="H15" s="20"/>
      <c r="I15" s="16"/>
      <c r="J15" s="16"/>
      <c r="K15" s="16"/>
      <c r="L15" s="31"/>
      <c r="M15" s="31"/>
      <c r="N15" s="31"/>
      <c r="O15" s="31"/>
      <c r="P15" s="30"/>
    </row>
    <row r="16" spans="1:16" x14ac:dyDescent="0.25">
      <c r="A16" s="1"/>
      <c r="B16" s="1"/>
      <c r="C16" s="48"/>
      <c r="D16" s="48"/>
      <c r="E16" s="48"/>
      <c r="F16" s="48"/>
      <c r="G16" s="48"/>
      <c r="H16" s="20"/>
      <c r="I16" s="16"/>
      <c r="J16" s="16"/>
      <c r="K16" s="16"/>
      <c r="L16" s="31"/>
      <c r="M16" s="31"/>
      <c r="N16" s="31"/>
      <c r="O16" s="31"/>
      <c r="P16" s="30"/>
    </row>
    <row r="17" spans="1:16" x14ac:dyDescent="0.25">
      <c r="A17" s="64" t="s">
        <v>206</v>
      </c>
      <c r="B17" s="64" t="s">
        <v>213</v>
      </c>
      <c r="C17" s="65" t="s">
        <v>144</v>
      </c>
      <c r="D17" s="65"/>
      <c r="E17" s="65"/>
      <c r="F17" s="65">
        <v>45</v>
      </c>
      <c r="G17" s="65">
        <v>506</v>
      </c>
      <c r="H17" s="66">
        <v>22800</v>
      </c>
      <c r="I17" s="67">
        <v>158</v>
      </c>
      <c r="J17" s="67">
        <f>+H17/I17</f>
        <v>144.30379746835442</v>
      </c>
      <c r="K17" s="67">
        <v>72</v>
      </c>
      <c r="L17" s="68"/>
      <c r="M17" s="68"/>
      <c r="N17" s="69">
        <v>9.4E-2</v>
      </c>
      <c r="O17" s="66">
        <f>H17/N17</f>
        <v>242553.19148936169</v>
      </c>
      <c r="P17" s="30" t="s">
        <v>208</v>
      </c>
    </row>
    <row r="18" spans="1:16" x14ac:dyDescent="0.25">
      <c r="A18" s="1"/>
      <c r="B18" s="1" t="s">
        <v>213</v>
      </c>
      <c r="C18" s="48" t="s">
        <v>214</v>
      </c>
      <c r="D18" s="48"/>
      <c r="E18" s="48"/>
      <c r="F18" s="48">
        <v>48</v>
      </c>
      <c r="G18" s="48">
        <v>456</v>
      </c>
      <c r="H18" s="48">
        <v>21900</v>
      </c>
      <c r="I18" s="16">
        <v>160</v>
      </c>
      <c r="J18" s="16">
        <f>+H18/I18</f>
        <v>136.875</v>
      </c>
      <c r="K18" s="16">
        <v>87</v>
      </c>
      <c r="L18" s="48"/>
      <c r="M18" s="48"/>
      <c r="N18" s="24">
        <v>9.4E-2</v>
      </c>
      <c r="O18" s="20">
        <f>H18/N18</f>
        <v>232978.72340425532</v>
      </c>
      <c r="P18" s="1" t="s">
        <v>211</v>
      </c>
    </row>
    <row r="19" spans="1:16" x14ac:dyDescent="0.25">
      <c r="A19" s="1"/>
      <c r="B19" s="1"/>
      <c r="C19" s="48"/>
      <c r="D19" s="48"/>
      <c r="E19" s="48"/>
      <c r="F19" s="48"/>
      <c r="G19" s="48"/>
      <c r="H19" s="48"/>
      <c r="I19" s="16"/>
      <c r="J19" s="16"/>
      <c r="K19" s="16"/>
      <c r="L19" s="48"/>
      <c r="M19" s="48"/>
      <c r="N19" s="48"/>
      <c r="O19" s="48"/>
      <c r="P19" s="1"/>
    </row>
    <row r="20" spans="1:16" x14ac:dyDescent="0.25">
      <c r="A20" s="1"/>
      <c r="B20" s="1"/>
      <c r="C20" s="48"/>
      <c r="D20" s="48"/>
      <c r="E20" s="48"/>
      <c r="F20" s="48"/>
      <c r="G20" s="48"/>
      <c r="H20" s="48"/>
      <c r="I20" s="16"/>
      <c r="J20" s="16"/>
      <c r="K20" s="16"/>
      <c r="L20" s="48"/>
      <c r="M20" s="48"/>
      <c r="N20" s="48"/>
      <c r="O20" s="48"/>
      <c r="P2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90B94-E50E-49BC-9B1D-2EC0CDD8C8D7}">
  <dimension ref="A3:G19"/>
  <sheetViews>
    <sheetView workbookViewId="0">
      <selection activeCell="E42" sqref="E42"/>
    </sheetView>
  </sheetViews>
  <sheetFormatPr defaultRowHeight="15" x14ac:dyDescent="0.25"/>
  <cols>
    <col min="1" max="1" width="34.7109375" customWidth="1"/>
    <col min="2" max="2" width="11.85546875" customWidth="1"/>
    <col min="3" max="3" width="12.140625" style="7" customWidth="1"/>
    <col min="4" max="4" width="36.85546875" style="7" customWidth="1"/>
    <col min="5" max="5" width="26.7109375" style="7" customWidth="1"/>
    <col min="6" max="7" width="9.140625" style="7"/>
  </cols>
  <sheetData>
    <row r="3" spans="1:5" x14ac:dyDescent="0.25">
      <c r="A3" s="3" t="s">
        <v>172</v>
      </c>
      <c r="B3" s="3" t="s">
        <v>190</v>
      </c>
      <c r="C3" s="44" t="s">
        <v>191</v>
      </c>
      <c r="D3" s="44" t="s">
        <v>96</v>
      </c>
      <c r="E3" s="44" t="s">
        <v>180</v>
      </c>
    </row>
    <row r="4" spans="1:5" x14ac:dyDescent="0.25">
      <c r="A4" s="1"/>
      <c r="B4" s="45"/>
      <c r="C4" s="45"/>
      <c r="D4" s="45"/>
      <c r="E4" s="45"/>
    </row>
    <row r="5" spans="1:5" x14ac:dyDescent="0.25">
      <c r="A5" s="1" t="s">
        <v>176</v>
      </c>
      <c r="B5" s="45" t="s">
        <v>195</v>
      </c>
      <c r="C5" s="45">
        <v>200</v>
      </c>
      <c r="D5" s="45" t="s">
        <v>178</v>
      </c>
      <c r="E5" s="49" t="s">
        <v>182</v>
      </c>
    </row>
    <row r="6" spans="1:5" x14ac:dyDescent="0.25">
      <c r="A6" s="1" t="s">
        <v>179</v>
      </c>
      <c r="B6" s="45">
        <v>13</v>
      </c>
      <c r="C6" s="45">
        <v>140</v>
      </c>
      <c r="D6" s="45" t="s">
        <v>178</v>
      </c>
      <c r="E6" s="49" t="s">
        <v>179</v>
      </c>
    </row>
    <row r="7" spans="1:5" x14ac:dyDescent="0.25">
      <c r="A7" s="1"/>
      <c r="B7" s="45"/>
      <c r="C7" s="45"/>
      <c r="D7" s="45"/>
      <c r="E7" s="45"/>
    </row>
    <row r="8" spans="1:5" x14ac:dyDescent="0.25">
      <c r="B8" s="7"/>
    </row>
    <row r="9" spans="1:5" x14ac:dyDescent="0.25">
      <c r="A9" s="3" t="s">
        <v>171</v>
      </c>
      <c r="B9" s="44"/>
      <c r="C9" s="45"/>
      <c r="D9" s="45"/>
      <c r="E9" s="45"/>
    </row>
    <row r="10" spans="1:5" x14ac:dyDescent="0.25">
      <c r="A10" s="1" t="s">
        <v>184</v>
      </c>
      <c r="B10" s="45">
        <v>0.2</v>
      </c>
      <c r="C10" s="45">
        <v>4</v>
      </c>
      <c r="D10" s="45" t="s">
        <v>185</v>
      </c>
      <c r="E10" s="49" t="s">
        <v>183</v>
      </c>
    </row>
    <row r="11" spans="1:5" x14ac:dyDescent="0.25">
      <c r="A11" s="1"/>
      <c r="B11" s="45"/>
      <c r="C11" s="45"/>
      <c r="D11" s="45"/>
      <c r="E11" s="45"/>
    </row>
    <row r="12" spans="1:5" x14ac:dyDescent="0.25">
      <c r="A12" s="1"/>
      <c r="B12" s="45"/>
      <c r="C12" s="45"/>
      <c r="D12" s="45"/>
      <c r="E12" s="45"/>
    </row>
    <row r="13" spans="1:5" x14ac:dyDescent="0.25">
      <c r="B13" s="7"/>
    </row>
    <row r="14" spans="1:5" x14ac:dyDescent="0.25">
      <c r="B14" s="7"/>
    </row>
    <row r="15" spans="1:5" x14ac:dyDescent="0.25">
      <c r="A15" s="3" t="s">
        <v>173</v>
      </c>
      <c r="B15" s="44"/>
      <c r="C15" s="45" t="s">
        <v>175</v>
      </c>
      <c r="D15" s="45"/>
      <c r="E15" s="45"/>
    </row>
    <row r="16" spans="1:5" x14ac:dyDescent="0.25">
      <c r="A16" s="1" t="s">
        <v>174</v>
      </c>
      <c r="B16" s="45"/>
      <c r="C16" s="45">
        <v>50</v>
      </c>
      <c r="D16" s="45" t="s">
        <v>177</v>
      </c>
      <c r="E16" s="49" t="s">
        <v>181</v>
      </c>
    </row>
    <row r="17" spans="1:5" x14ac:dyDescent="0.25">
      <c r="A17" s="1"/>
      <c r="B17" s="45"/>
      <c r="C17" s="45"/>
      <c r="D17" s="45"/>
      <c r="E17" s="45"/>
    </row>
    <row r="18" spans="1:5" x14ac:dyDescent="0.25">
      <c r="A18" s="1"/>
      <c r="B18" s="45"/>
      <c r="C18" s="45"/>
      <c r="D18" s="45"/>
      <c r="E18" s="45"/>
    </row>
    <row r="19" spans="1:5" x14ac:dyDescent="0.25">
      <c r="A19" s="1"/>
      <c r="B19" s="45"/>
      <c r="C19" s="45"/>
      <c r="D19" s="45"/>
      <c r="E19" s="45"/>
    </row>
  </sheetData>
  <hyperlinks>
    <hyperlink ref="E6" r:id="rId1" xr:uid="{EB10E1B0-20D5-444D-B776-207C0D16FF90}"/>
    <hyperlink ref="E5" r:id="rId2" xr:uid="{B289CD88-9E95-4864-B720-C7F49AF530F2}"/>
    <hyperlink ref="E16" r:id="rId3" xr:uid="{21CF759B-F32A-4DD9-B6BA-C40D949C4CBD}"/>
    <hyperlink ref="E10" r:id="rId4" xr:uid="{8B20B467-F734-4BB4-BEA1-6E09F464B8FA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83B6D-E307-4C85-A1A4-1D09DEAE502A}">
  <dimension ref="A6:G25"/>
  <sheetViews>
    <sheetView topLeftCell="A4" workbookViewId="0">
      <selection activeCell="D50" sqref="D50"/>
    </sheetView>
  </sheetViews>
  <sheetFormatPr defaultRowHeight="15" x14ac:dyDescent="0.25"/>
  <cols>
    <col min="1" max="1" width="45" customWidth="1"/>
    <col min="2" max="2" width="13.85546875" customWidth="1"/>
    <col min="3" max="3" width="23.28515625" customWidth="1"/>
    <col min="4" max="4" width="18.42578125" customWidth="1"/>
    <col min="5" max="5" width="11.5703125" customWidth="1"/>
    <col min="6" max="6" width="11.85546875" customWidth="1"/>
    <col min="7" max="7" width="58" customWidth="1"/>
  </cols>
  <sheetData>
    <row r="6" spans="1:7" x14ac:dyDescent="0.25">
      <c r="A6" s="3" t="s">
        <v>68</v>
      </c>
      <c r="B6" s="3" t="s">
        <v>67</v>
      </c>
      <c r="C6" s="3" t="s">
        <v>66</v>
      </c>
      <c r="D6" s="3" t="s">
        <v>75</v>
      </c>
      <c r="E6" s="3" t="s">
        <v>76</v>
      </c>
      <c r="F6" s="3" t="s">
        <v>80</v>
      </c>
      <c r="G6" s="1" t="s">
        <v>96</v>
      </c>
    </row>
    <row r="7" spans="1:7" x14ac:dyDescent="0.25">
      <c r="A7" s="1" t="s">
        <v>54</v>
      </c>
      <c r="B7" s="1" t="s">
        <v>55</v>
      </c>
      <c r="C7" s="1" t="s">
        <v>70</v>
      </c>
      <c r="D7" s="1" t="s">
        <v>77</v>
      </c>
      <c r="E7" s="1" t="s">
        <v>79</v>
      </c>
      <c r="F7" s="1" t="s">
        <v>81</v>
      </c>
      <c r="G7" s="1" t="s">
        <v>106</v>
      </c>
    </row>
    <row r="8" spans="1:7" x14ac:dyDescent="0.25">
      <c r="A8" s="1" t="s">
        <v>54</v>
      </c>
      <c r="B8" s="1" t="s">
        <v>55</v>
      </c>
      <c r="C8" s="1" t="s">
        <v>73</v>
      </c>
      <c r="D8" s="1" t="s">
        <v>77</v>
      </c>
      <c r="E8" s="1" t="s">
        <v>79</v>
      </c>
      <c r="F8" s="1" t="s">
        <v>81</v>
      </c>
      <c r="G8" s="1" t="s">
        <v>106</v>
      </c>
    </row>
    <row r="9" spans="1:7" x14ac:dyDescent="0.25">
      <c r="A9" s="1" t="s">
        <v>54</v>
      </c>
      <c r="B9" s="1" t="s">
        <v>55</v>
      </c>
      <c r="C9" s="1" t="s">
        <v>74</v>
      </c>
      <c r="D9" s="1" t="s">
        <v>82</v>
      </c>
      <c r="E9" s="1" t="s">
        <v>79</v>
      </c>
      <c r="F9" s="1" t="s">
        <v>81</v>
      </c>
      <c r="G9" s="1" t="s">
        <v>107</v>
      </c>
    </row>
    <row r="10" spans="1:7" x14ac:dyDescent="0.25">
      <c r="A10" s="1" t="s">
        <v>56</v>
      </c>
      <c r="B10" s="1" t="s">
        <v>55</v>
      </c>
      <c r="C10" s="1" t="s">
        <v>69</v>
      </c>
      <c r="D10" s="1" t="s">
        <v>77</v>
      </c>
      <c r="E10" s="1" t="s">
        <v>83</v>
      </c>
      <c r="F10" s="1" t="s">
        <v>84</v>
      </c>
      <c r="G10" s="1"/>
    </row>
    <row r="11" spans="1:7" x14ac:dyDescent="0.25">
      <c r="A11" s="1" t="s">
        <v>57</v>
      </c>
      <c r="B11" s="1" t="s">
        <v>58</v>
      </c>
      <c r="C11" s="1" t="s">
        <v>71</v>
      </c>
      <c r="D11" s="1" t="s">
        <v>78</v>
      </c>
      <c r="E11" s="1" t="s">
        <v>83</v>
      </c>
      <c r="F11" s="1" t="s">
        <v>86</v>
      </c>
      <c r="G11" s="1" t="s">
        <v>108</v>
      </c>
    </row>
    <row r="12" spans="1:7" x14ac:dyDescent="0.25">
      <c r="A12" s="1" t="s">
        <v>57</v>
      </c>
      <c r="B12" s="1" t="s">
        <v>58</v>
      </c>
      <c r="C12" s="1" t="s">
        <v>87</v>
      </c>
      <c r="D12" s="1" t="s">
        <v>85</v>
      </c>
      <c r="E12" s="1" t="s">
        <v>79</v>
      </c>
      <c r="F12" s="1" t="s">
        <v>88</v>
      </c>
      <c r="G12" s="1" t="s">
        <v>109</v>
      </c>
    </row>
    <row r="13" spans="1:7" x14ac:dyDescent="0.25">
      <c r="A13" s="1" t="s">
        <v>59</v>
      </c>
      <c r="B13" s="1" t="s">
        <v>58</v>
      </c>
      <c r="C13" s="1" t="s">
        <v>72</v>
      </c>
      <c r="D13" s="1" t="s">
        <v>89</v>
      </c>
      <c r="E13" s="1" t="s">
        <v>83</v>
      </c>
      <c r="F13" s="1" t="s">
        <v>90</v>
      </c>
      <c r="G13" s="1"/>
    </row>
    <row r="15" spans="1:7" x14ac:dyDescent="0.25">
      <c r="A15" t="s">
        <v>60</v>
      </c>
    </row>
    <row r="16" spans="1:7" x14ac:dyDescent="0.25">
      <c r="A16" t="s">
        <v>61</v>
      </c>
    </row>
    <row r="17" spans="1:7" x14ac:dyDescent="0.25">
      <c r="A17" t="s">
        <v>62</v>
      </c>
      <c r="B17" t="s">
        <v>63</v>
      </c>
    </row>
    <row r="19" spans="1:7" x14ac:dyDescent="0.25">
      <c r="A19" s="1" t="s">
        <v>91</v>
      </c>
      <c r="B19" s="1" t="s">
        <v>93</v>
      </c>
      <c r="C19" s="1" t="s">
        <v>94</v>
      </c>
      <c r="D19" s="1" t="s">
        <v>78</v>
      </c>
      <c r="E19" s="1" t="s">
        <v>79</v>
      </c>
      <c r="F19" s="1" t="s">
        <v>95</v>
      </c>
      <c r="G19" s="1" t="s">
        <v>97</v>
      </c>
    </row>
    <row r="20" spans="1:7" x14ac:dyDescent="0.25">
      <c r="A20" s="1" t="s">
        <v>91</v>
      </c>
      <c r="B20" s="1"/>
      <c r="C20" s="1"/>
      <c r="D20" s="1"/>
      <c r="E20" s="1"/>
      <c r="F20" s="1"/>
      <c r="G20" s="1"/>
    </row>
    <row r="21" spans="1:7" x14ac:dyDescent="0.25">
      <c r="A21" s="1" t="s">
        <v>91</v>
      </c>
      <c r="B21" s="1"/>
      <c r="C21" s="1"/>
      <c r="D21" s="1"/>
      <c r="E21" s="1"/>
      <c r="F21" s="1"/>
      <c r="G21" s="1"/>
    </row>
    <row r="22" spans="1:7" x14ac:dyDescent="0.25">
      <c r="A22" s="1" t="s">
        <v>92</v>
      </c>
      <c r="B22" s="1" t="s">
        <v>93</v>
      </c>
      <c r="C22" s="1" t="s">
        <v>98</v>
      </c>
      <c r="D22" s="1" t="s">
        <v>99</v>
      </c>
      <c r="E22" s="1" t="s">
        <v>79</v>
      </c>
      <c r="F22" s="1" t="s">
        <v>100</v>
      </c>
      <c r="G22" s="1" t="s">
        <v>103</v>
      </c>
    </row>
    <row r="23" spans="1:7" x14ac:dyDescent="0.25">
      <c r="A23" s="1" t="s">
        <v>92</v>
      </c>
      <c r="B23" s="1" t="s">
        <v>93</v>
      </c>
      <c r="C23" s="1" t="s">
        <v>101</v>
      </c>
      <c r="D23" s="1" t="s">
        <v>99</v>
      </c>
      <c r="E23" s="1" t="s">
        <v>79</v>
      </c>
      <c r="F23" s="1" t="s">
        <v>100</v>
      </c>
      <c r="G23" s="1" t="s">
        <v>102</v>
      </c>
    </row>
    <row r="24" spans="1:7" x14ac:dyDescent="0.25">
      <c r="A24" s="1" t="s">
        <v>92</v>
      </c>
      <c r="B24" s="1"/>
      <c r="C24" s="1"/>
      <c r="D24" s="1"/>
      <c r="E24" s="1"/>
      <c r="F24" s="1"/>
      <c r="G24" s="1"/>
    </row>
    <row r="25" spans="1:7" x14ac:dyDescent="0.25">
      <c r="A25" s="1" t="s">
        <v>92</v>
      </c>
      <c r="B25" s="1"/>
      <c r="C25" s="1"/>
      <c r="D25" s="1"/>
      <c r="E25" s="1"/>
      <c r="F25" s="1"/>
      <c r="G25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C57A9-6530-4B5C-8DD0-145D52BA1ED9}">
  <dimension ref="A3:X45"/>
  <sheetViews>
    <sheetView topLeftCell="D1" workbookViewId="0">
      <selection activeCell="W31" sqref="W31"/>
    </sheetView>
  </sheetViews>
  <sheetFormatPr defaultRowHeight="15" x14ac:dyDescent="0.25"/>
  <cols>
    <col min="1" max="1" width="17.28515625" customWidth="1"/>
    <col min="2" max="2" width="22.85546875" customWidth="1"/>
    <col min="3" max="5" width="12.7109375" customWidth="1"/>
    <col min="7" max="7" width="19.5703125" customWidth="1"/>
    <col min="12" max="12" width="18" customWidth="1"/>
    <col min="14" max="14" width="9.140625" style="7"/>
    <col min="21" max="21" width="8.42578125" customWidth="1"/>
    <col min="22" max="22" width="12.28515625" customWidth="1"/>
  </cols>
  <sheetData>
    <row r="3" spans="1:24" x14ac:dyDescent="0.25">
      <c r="B3" s="2" t="s">
        <v>37</v>
      </c>
      <c r="C3" s="2" t="s">
        <v>38</v>
      </c>
      <c r="D3" s="2" t="s">
        <v>39</v>
      </c>
      <c r="E3" s="2" t="s">
        <v>40</v>
      </c>
      <c r="G3" s="13" t="s">
        <v>117</v>
      </c>
      <c r="H3" s="2" t="s">
        <v>37</v>
      </c>
      <c r="I3" s="2" t="s">
        <v>38</v>
      </c>
      <c r="J3" s="2" t="s">
        <v>39</v>
      </c>
      <c r="K3" s="2" t="s">
        <v>40</v>
      </c>
      <c r="L3" s="14"/>
      <c r="M3" s="14"/>
      <c r="N3" s="14"/>
      <c r="O3" s="14"/>
      <c r="P3" s="14"/>
      <c r="R3" s="121" t="s">
        <v>113</v>
      </c>
      <c r="S3" s="121"/>
      <c r="T3" s="135"/>
      <c r="V3" s="145" t="s">
        <v>116</v>
      </c>
      <c r="W3" s="145"/>
      <c r="X3" s="145"/>
    </row>
    <row r="4" spans="1:24" x14ac:dyDescent="0.25">
      <c r="A4" s="12" t="s">
        <v>45</v>
      </c>
      <c r="B4" s="4" t="s">
        <v>52</v>
      </c>
      <c r="C4" s="4" t="s">
        <v>52</v>
      </c>
      <c r="D4" s="4" t="s">
        <v>52</v>
      </c>
      <c r="E4" s="4" t="s">
        <v>52</v>
      </c>
      <c r="G4" s="1" t="s">
        <v>45</v>
      </c>
      <c r="H4" s="4"/>
      <c r="I4" s="4"/>
      <c r="J4" s="4"/>
      <c r="K4" s="4"/>
      <c r="L4" s="15"/>
      <c r="M4" s="15"/>
      <c r="N4" s="15"/>
      <c r="O4" s="15"/>
      <c r="P4" s="15"/>
      <c r="R4" s="2" t="s">
        <v>114</v>
      </c>
      <c r="S4" s="2" t="s">
        <v>112</v>
      </c>
      <c r="T4" s="2" t="s">
        <v>115</v>
      </c>
      <c r="V4" s="2" t="s">
        <v>114</v>
      </c>
      <c r="W4" s="2" t="s">
        <v>112</v>
      </c>
      <c r="X4" s="2" t="s">
        <v>115</v>
      </c>
    </row>
    <row r="5" spans="1:24" x14ac:dyDescent="0.25">
      <c r="A5" s="12" t="s">
        <v>46</v>
      </c>
      <c r="B5" s="4" t="s">
        <v>52</v>
      </c>
      <c r="C5" s="4" t="s">
        <v>52</v>
      </c>
      <c r="D5" s="4" t="s">
        <v>52</v>
      </c>
      <c r="E5" s="4" t="s">
        <v>52</v>
      </c>
      <c r="G5" s="1" t="s">
        <v>46</v>
      </c>
      <c r="H5" s="4"/>
      <c r="I5" s="4"/>
      <c r="J5" s="4"/>
      <c r="K5" s="4"/>
      <c r="L5" s="15"/>
      <c r="M5" s="15"/>
      <c r="N5" s="15"/>
      <c r="O5" s="15"/>
      <c r="P5" s="15"/>
      <c r="R5" s="4">
        <v>5</v>
      </c>
      <c r="S5" s="4">
        <v>0</v>
      </c>
      <c r="T5" s="4">
        <v>100</v>
      </c>
      <c r="V5" s="75">
        <v>8.6</v>
      </c>
      <c r="W5" s="75">
        <v>2</v>
      </c>
      <c r="X5" s="75">
        <v>250</v>
      </c>
    </row>
    <row r="6" spans="1:24" x14ac:dyDescent="0.25">
      <c r="A6" s="12" t="s">
        <v>47</v>
      </c>
      <c r="B6" s="4" t="s">
        <v>52</v>
      </c>
      <c r="C6" s="4" t="s">
        <v>52</v>
      </c>
      <c r="D6" s="4" t="s">
        <v>52</v>
      </c>
      <c r="E6" s="4" t="s">
        <v>52</v>
      </c>
      <c r="G6" s="1" t="s">
        <v>47</v>
      </c>
      <c r="H6" s="4"/>
      <c r="I6" s="4"/>
      <c r="J6" s="4"/>
      <c r="K6" s="4"/>
      <c r="L6" s="15"/>
      <c r="M6" s="15"/>
      <c r="N6" s="15"/>
      <c r="O6" s="15"/>
      <c r="P6" s="15"/>
      <c r="R6" s="4">
        <v>9</v>
      </c>
      <c r="S6" s="4">
        <v>0</v>
      </c>
      <c r="T6" s="4">
        <v>200</v>
      </c>
      <c r="V6" s="75">
        <v>43.2</v>
      </c>
      <c r="W6" s="75">
        <v>6.5</v>
      </c>
      <c r="X6" s="75">
        <v>500</v>
      </c>
    </row>
    <row r="7" spans="1:24" x14ac:dyDescent="0.25">
      <c r="A7" s="12" t="s">
        <v>48</v>
      </c>
      <c r="B7" s="4" t="s">
        <v>52</v>
      </c>
      <c r="C7" s="4" t="s">
        <v>52</v>
      </c>
      <c r="D7" s="4" t="s">
        <v>52</v>
      </c>
      <c r="E7" s="4" t="s">
        <v>52</v>
      </c>
      <c r="G7" s="1" t="s">
        <v>48</v>
      </c>
      <c r="H7" s="4"/>
      <c r="I7" s="4"/>
      <c r="J7" s="4"/>
      <c r="K7" s="4"/>
      <c r="L7" s="15"/>
      <c r="M7" s="15"/>
      <c r="N7" s="15"/>
      <c r="O7" s="15"/>
      <c r="P7" s="15"/>
      <c r="R7" s="4">
        <v>14</v>
      </c>
      <c r="S7" s="4">
        <v>1</v>
      </c>
      <c r="T7" s="4">
        <v>300</v>
      </c>
      <c r="V7" s="75">
        <v>142.6</v>
      </c>
      <c r="W7" s="75">
        <v>14.4</v>
      </c>
      <c r="X7" s="75">
        <v>750</v>
      </c>
    </row>
    <row r="8" spans="1:24" x14ac:dyDescent="0.25">
      <c r="A8" s="12" t="s">
        <v>49</v>
      </c>
      <c r="B8" s="4" t="s">
        <v>52</v>
      </c>
      <c r="C8" s="4" t="s">
        <v>51</v>
      </c>
      <c r="D8" s="4" t="s">
        <v>51</v>
      </c>
      <c r="E8" s="4" t="s">
        <v>52</v>
      </c>
      <c r="G8" s="1" t="s">
        <v>49</v>
      </c>
      <c r="H8" s="4"/>
      <c r="I8" s="4"/>
      <c r="J8" s="4"/>
      <c r="K8" s="4"/>
      <c r="L8" s="15"/>
      <c r="M8" s="15"/>
      <c r="N8" s="15"/>
      <c r="O8" s="15"/>
      <c r="P8" s="15"/>
      <c r="R8" s="4">
        <v>28</v>
      </c>
      <c r="S8" s="4">
        <v>2</v>
      </c>
      <c r="T8" s="4">
        <v>500</v>
      </c>
      <c r="V8" s="75">
        <v>175.7</v>
      </c>
      <c r="W8" s="75">
        <v>16.399999999999999</v>
      </c>
      <c r="X8" s="75">
        <v>800</v>
      </c>
    </row>
    <row r="9" spans="1:24" x14ac:dyDescent="0.25">
      <c r="A9" s="12" t="s">
        <v>50</v>
      </c>
      <c r="B9" s="4" t="s">
        <v>51</v>
      </c>
      <c r="C9" s="4" t="s">
        <v>52</v>
      </c>
      <c r="D9" s="4" t="s">
        <v>52</v>
      </c>
      <c r="E9" s="4" t="s">
        <v>51</v>
      </c>
      <c r="G9" s="1" t="s">
        <v>50</v>
      </c>
      <c r="H9" s="4"/>
      <c r="I9" s="4"/>
      <c r="J9" s="4"/>
      <c r="K9" s="4"/>
      <c r="L9" s="15"/>
      <c r="M9" s="15"/>
      <c r="N9" s="15"/>
      <c r="O9" s="15"/>
      <c r="P9" s="15"/>
      <c r="R9" s="4">
        <v>103</v>
      </c>
      <c r="S9" s="4">
        <v>7</v>
      </c>
      <c r="T9" s="4">
        <v>1000</v>
      </c>
      <c r="V9" s="75">
        <v>214.6</v>
      </c>
      <c r="W9" s="75">
        <v>18.399999999999999</v>
      </c>
      <c r="X9" s="75">
        <v>850</v>
      </c>
    </row>
    <row r="10" spans="1:24" x14ac:dyDescent="0.25">
      <c r="R10" s="4">
        <v>128</v>
      </c>
      <c r="S10" s="4">
        <v>8</v>
      </c>
      <c r="T10" s="4">
        <v>1100</v>
      </c>
      <c r="V10" s="75">
        <v>263</v>
      </c>
      <c r="W10" s="75">
        <v>20.6</v>
      </c>
      <c r="X10" s="75">
        <v>900</v>
      </c>
    </row>
    <row r="11" spans="1:24" x14ac:dyDescent="0.25">
      <c r="L11" t="s">
        <v>118</v>
      </c>
      <c r="M11" s="7">
        <v>1025</v>
      </c>
      <c r="N11" s="7" t="s">
        <v>122</v>
      </c>
      <c r="R11" s="4">
        <v>158</v>
      </c>
      <c r="S11" s="4">
        <v>10</v>
      </c>
      <c r="T11" s="4">
        <v>1200</v>
      </c>
      <c r="V11" s="75">
        <v>290</v>
      </c>
      <c r="W11" s="75">
        <v>21.7</v>
      </c>
      <c r="X11" s="75">
        <v>925</v>
      </c>
    </row>
    <row r="12" spans="1:24" x14ac:dyDescent="0.25">
      <c r="L12" t="s">
        <v>119</v>
      </c>
      <c r="M12" s="7">
        <v>1.5</v>
      </c>
      <c r="R12" s="4">
        <v>193</v>
      </c>
      <c r="S12" s="4">
        <v>11</v>
      </c>
      <c r="T12" s="4">
        <v>1300</v>
      </c>
      <c r="V12" s="75">
        <v>324</v>
      </c>
      <c r="W12" s="75">
        <v>23</v>
      </c>
      <c r="X12" s="75">
        <v>950</v>
      </c>
    </row>
    <row r="13" spans="1:24" x14ac:dyDescent="0.25">
      <c r="L13" t="s">
        <v>120</v>
      </c>
      <c r="M13" s="7">
        <v>0.1</v>
      </c>
      <c r="N13" s="7" t="s">
        <v>123</v>
      </c>
      <c r="R13" s="4">
        <v>233</v>
      </c>
      <c r="S13" s="4">
        <v>13</v>
      </c>
      <c r="T13" s="4">
        <v>1400</v>
      </c>
      <c r="V13" s="75">
        <v>361.4</v>
      </c>
      <c r="W13" s="75">
        <v>24.2</v>
      </c>
      <c r="X13" s="75">
        <v>975</v>
      </c>
    </row>
    <row r="14" spans="1:24" x14ac:dyDescent="0.25">
      <c r="L14" t="s">
        <v>121</v>
      </c>
      <c r="M14" s="7">
        <v>2</v>
      </c>
      <c r="N14" s="7" t="s">
        <v>124</v>
      </c>
      <c r="R14" s="4">
        <v>279</v>
      </c>
      <c r="S14" s="4">
        <v>15</v>
      </c>
      <c r="T14" s="4">
        <v>1500</v>
      </c>
      <c r="V14" s="75">
        <v>364.3</v>
      </c>
      <c r="W14" s="75">
        <v>24.4</v>
      </c>
      <c r="X14" s="75">
        <v>980</v>
      </c>
    </row>
    <row r="15" spans="1:24" x14ac:dyDescent="0.25">
      <c r="M15" s="7"/>
      <c r="R15" s="4">
        <v>331</v>
      </c>
      <c r="S15" s="4">
        <v>17</v>
      </c>
      <c r="T15" s="4">
        <v>1600</v>
      </c>
      <c r="V15" s="75">
        <v>376.8</v>
      </c>
      <c r="W15" s="75">
        <v>24.6</v>
      </c>
      <c r="X15" s="75">
        <v>985</v>
      </c>
    </row>
    <row r="16" spans="1:24" x14ac:dyDescent="0.25">
      <c r="L16" t="s">
        <v>125</v>
      </c>
      <c r="M16" s="77">
        <f>0.5*M11*M12*(M13)^2*M14</f>
        <v>15.375000000000004</v>
      </c>
      <c r="N16" s="7" t="s">
        <v>126</v>
      </c>
      <c r="R16" s="4">
        <v>390</v>
      </c>
      <c r="S16" s="4">
        <v>20</v>
      </c>
      <c r="T16" s="4">
        <v>1700</v>
      </c>
      <c r="V16" s="75">
        <v>385</v>
      </c>
      <c r="W16" s="75">
        <v>25</v>
      </c>
      <c r="X16" s="75">
        <v>990</v>
      </c>
    </row>
    <row r="17" spans="1:24" x14ac:dyDescent="0.25">
      <c r="A17" s="3" t="s">
        <v>67</v>
      </c>
      <c r="B17" s="3" t="s">
        <v>104</v>
      </c>
      <c r="C17" s="1"/>
      <c r="D17" s="1"/>
      <c r="E17" s="1"/>
      <c r="L17" t="s">
        <v>125</v>
      </c>
      <c r="M17" s="77">
        <f>M16/4.45</f>
        <v>3.4550561797752817</v>
      </c>
      <c r="N17" s="7" t="s">
        <v>127</v>
      </c>
      <c r="R17" s="4">
        <v>456</v>
      </c>
      <c r="S17" s="4">
        <v>22</v>
      </c>
      <c r="T17" s="4">
        <v>1800</v>
      </c>
      <c r="V17" s="75">
        <v>399.4</v>
      </c>
      <c r="W17" s="75">
        <v>25.4</v>
      </c>
      <c r="X17" s="75">
        <v>1000</v>
      </c>
    </row>
    <row r="18" spans="1:24" x14ac:dyDescent="0.25">
      <c r="A18" s="1" t="s">
        <v>64</v>
      </c>
      <c r="B18" s="1" t="s">
        <v>111</v>
      </c>
      <c r="C18" s="1"/>
      <c r="D18" s="1"/>
      <c r="E18" s="1"/>
      <c r="R18" s="4">
        <v>531</v>
      </c>
      <c r="S18" s="4">
        <v>25</v>
      </c>
      <c r="T18" s="4">
        <v>1900</v>
      </c>
      <c r="V18" s="75">
        <v>444</v>
      </c>
      <c r="W18" s="75">
        <v>27</v>
      </c>
      <c r="X18" s="75">
        <v>1025</v>
      </c>
    </row>
    <row r="19" spans="1:24" x14ac:dyDescent="0.25">
      <c r="A19" s="1" t="s">
        <v>65</v>
      </c>
      <c r="B19" s="1" t="s">
        <v>105</v>
      </c>
      <c r="C19" s="1"/>
      <c r="D19" s="1"/>
      <c r="E19" s="1"/>
      <c r="R19" s="4">
        <v>613</v>
      </c>
      <c r="S19" s="4">
        <v>27</v>
      </c>
      <c r="T19" s="4">
        <v>2000</v>
      </c>
      <c r="V19" s="75">
        <v>467.5</v>
      </c>
      <c r="W19" s="75">
        <v>27.4</v>
      </c>
      <c r="X19" s="75">
        <v>1035</v>
      </c>
    </row>
    <row r="20" spans="1:24" x14ac:dyDescent="0.25">
      <c r="A20" s="1"/>
      <c r="B20" s="1"/>
      <c r="C20" s="1"/>
      <c r="D20" s="1"/>
      <c r="E20" s="1"/>
    </row>
    <row r="22" spans="1:24" x14ac:dyDescent="0.25">
      <c r="R22" s="121" t="s">
        <v>225</v>
      </c>
      <c r="S22" s="136"/>
      <c r="T22" s="136"/>
      <c r="U22" s="136"/>
      <c r="V22" s="136"/>
      <c r="W22" s="136"/>
    </row>
    <row r="23" spans="1:24" x14ac:dyDescent="0.25">
      <c r="R23" s="74" t="s">
        <v>114</v>
      </c>
      <c r="S23" s="74" t="s">
        <v>226</v>
      </c>
      <c r="T23" s="74" t="s">
        <v>227</v>
      </c>
      <c r="U23" s="74" t="s">
        <v>126</v>
      </c>
      <c r="V23" s="74" t="s">
        <v>228</v>
      </c>
      <c r="W23" s="74" t="s">
        <v>115</v>
      </c>
    </row>
    <row r="24" spans="1:24" x14ac:dyDescent="0.25">
      <c r="B24" s="1" t="s">
        <v>16</v>
      </c>
      <c r="C24" s="75">
        <v>1500</v>
      </c>
      <c r="D24" s="11" t="s">
        <v>17</v>
      </c>
      <c r="H24" s="2" t="s">
        <v>37</v>
      </c>
      <c r="I24" s="2" t="s">
        <v>38</v>
      </c>
      <c r="J24" s="2" t="s">
        <v>39</v>
      </c>
      <c r="K24" s="2" t="s">
        <v>40</v>
      </c>
      <c r="L24" s="14"/>
      <c r="M24" s="14"/>
      <c r="N24" s="14"/>
      <c r="O24" s="14"/>
      <c r="P24" s="14"/>
      <c r="R24" s="75">
        <v>200</v>
      </c>
      <c r="S24" s="75">
        <f>T24*2.2</f>
        <v>0</v>
      </c>
      <c r="T24" s="75">
        <v>0</v>
      </c>
      <c r="U24" s="16">
        <f>S24*4.45</f>
        <v>0</v>
      </c>
      <c r="V24" s="16">
        <f>R24/45</f>
        <v>4.4444444444444446</v>
      </c>
      <c r="W24" s="75">
        <v>0</v>
      </c>
    </row>
    <row r="25" spans="1:24" x14ac:dyDescent="0.25">
      <c r="B25" s="1" t="s">
        <v>18</v>
      </c>
      <c r="C25" s="75">
        <v>0.5</v>
      </c>
      <c r="D25" s="11" t="s">
        <v>19</v>
      </c>
      <c r="G25" s="1" t="s">
        <v>45</v>
      </c>
      <c r="H25" s="1"/>
      <c r="I25" s="1"/>
      <c r="J25" s="1"/>
      <c r="K25" s="1"/>
      <c r="L25" s="5"/>
      <c r="M25" s="5"/>
      <c r="N25" s="15"/>
      <c r="O25" s="5"/>
      <c r="P25" s="5"/>
      <c r="R25" s="75">
        <v>300</v>
      </c>
      <c r="S25" s="75">
        <f t="shared" ref="S25:S32" si="0">T25*2.2</f>
        <v>16.5</v>
      </c>
      <c r="T25" s="75">
        <v>7.5</v>
      </c>
      <c r="U25" s="16">
        <f t="shared" ref="U25:U32" si="1">S25*4.45</f>
        <v>73.424999999999997</v>
      </c>
      <c r="V25" s="16">
        <f t="shared" ref="V25:V32" si="2">R25/45</f>
        <v>6.666666666666667</v>
      </c>
      <c r="W25" s="75">
        <v>380</v>
      </c>
    </row>
    <row r="26" spans="1:24" x14ac:dyDescent="0.25">
      <c r="B26" s="1" t="s">
        <v>20</v>
      </c>
      <c r="C26" s="75">
        <v>100</v>
      </c>
      <c r="D26" s="11" t="s">
        <v>17</v>
      </c>
      <c r="G26" s="1" t="s">
        <v>46</v>
      </c>
      <c r="H26" s="1"/>
      <c r="I26" s="1"/>
      <c r="J26" s="1"/>
      <c r="K26" s="1"/>
      <c r="L26" s="5"/>
      <c r="M26" s="5"/>
      <c r="N26" s="15"/>
      <c r="O26" s="5"/>
      <c r="P26" s="5"/>
      <c r="R26" s="75">
        <v>400</v>
      </c>
      <c r="S26" s="75">
        <f t="shared" si="0"/>
        <v>27.500000000000004</v>
      </c>
      <c r="T26" s="75">
        <v>12.5</v>
      </c>
      <c r="U26" s="16">
        <f t="shared" si="1"/>
        <v>122.37500000000001</v>
      </c>
      <c r="V26" s="16">
        <f t="shared" si="2"/>
        <v>8.8888888888888893</v>
      </c>
      <c r="W26" s="75">
        <v>540</v>
      </c>
    </row>
    <row r="27" spans="1:24" x14ac:dyDescent="0.25">
      <c r="B27" s="1" t="s">
        <v>21</v>
      </c>
      <c r="C27" s="75">
        <v>0.5</v>
      </c>
      <c r="D27" s="11" t="s">
        <v>19</v>
      </c>
      <c r="G27" s="1" t="s">
        <v>47</v>
      </c>
      <c r="H27" s="1"/>
      <c r="I27" s="1"/>
      <c r="J27" s="1"/>
      <c r="K27" s="1"/>
      <c r="L27" s="5"/>
      <c r="M27" s="5"/>
      <c r="N27" s="15"/>
      <c r="O27" s="5"/>
      <c r="P27" s="5"/>
      <c r="R27" s="75">
        <v>500</v>
      </c>
      <c r="S27" s="75">
        <f t="shared" si="0"/>
        <v>36.300000000000004</v>
      </c>
      <c r="T27" s="75">
        <v>16.5</v>
      </c>
      <c r="U27" s="16">
        <f t="shared" si="1"/>
        <v>161.53500000000003</v>
      </c>
      <c r="V27" s="16">
        <f t="shared" si="2"/>
        <v>11.111111111111111</v>
      </c>
      <c r="W27" s="75">
        <v>640</v>
      </c>
    </row>
    <row r="28" spans="1:24" x14ac:dyDescent="0.25">
      <c r="A28" s="5"/>
      <c r="B28" s="1" t="s">
        <v>22</v>
      </c>
      <c r="C28" s="75">
        <v>850</v>
      </c>
      <c r="D28" s="11" t="s">
        <v>17</v>
      </c>
      <c r="G28" s="1" t="s">
        <v>48</v>
      </c>
      <c r="H28" s="1"/>
      <c r="I28" s="1"/>
      <c r="J28" s="1"/>
      <c r="K28" s="1"/>
      <c r="L28" s="5"/>
      <c r="M28" s="5"/>
      <c r="N28" s="15"/>
      <c r="O28" s="5"/>
      <c r="P28" s="5"/>
      <c r="R28" s="75">
        <v>600</v>
      </c>
      <c r="S28" s="75">
        <f t="shared" si="0"/>
        <v>44</v>
      </c>
      <c r="T28" s="75">
        <v>20</v>
      </c>
      <c r="U28" s="16">
        <f t="shared" si="1"/>
        <v>195.8</v>
      </c>
      <c r="V28" s="16">
        <f t="shared" si="2"/>
        <v>13.333333333333334</v>
      </c>
      <c r="W28" s="75">
        <v>710</v>
      </c>
    </row>
    <row r="29" spans="1:24" x14ac:dyDescent="0.25">
      <c r="A29" s="5"/>
      <c r="B29" s="1" t="s">
        <v>23</v>
      </c>
      <c r="C29" s="75">
        <v>0.5</v>
      </c>
      <c r="D29" s="11" t="s">
        <v>19</v>
      </c>
      <c r="G29" s="1" t="s">
        <v>49</v>
      </c>
      <c r="H29" s="1"/>
      <c r="I29" s="1"/>
      <c r="J29" s="1"/>
      <c r="K29" s="1"/>
      <c r="L29" s="5"/>
      <c r="M29" s="5"/>
      <c r="N29" s="15"/>
      <c r="O29" s="5"/>
      <c r="P29" s="5"/>
      <c r="R29" s="75">
        <v>700</v>
      </c>
      <c r="S29" s="75">
        <f t="shared" si="0"/>
        <v>49.500000000000007</v>
      </c>
      <c r="T29" s="75">
        <v>22.5</v>
      </c>
      <c r="U29" s="16">
        <f t="shared" si="1"/>
        <v>220.27500000000003</v>
      </c>
      <c r="V29" s="16">
        <f t="shared" si="2"/>
        <v>15.555555555555555</v>
      </c>
      <c r="W29" s="75">
        <v>760</v>
      </c>
    </row>
    <row r="30" spans="1:24" x14ac:dyDescent="0.25">
      <c r="A30" s="5"/>
      <c r="B30" s="1" t="s">
        <v>24</v>
      </c>
      <c r="C30" s="75"/>
      <c r="D30" s="11"/>
      <c r="G30" s="1" t="s">
        <v>50</v>
      </c>
      <c r="H30" s="1"/>
      <c r="I30" s="1"/>
      <c r="J30" s="1"/>
      <c r="K30" s="1"/>
      <c r="L30" s="5"/>
      <c r="M30" s="5"/>
      <c r="N30" s="15"/>
      <c r="O30" s="5"/>
      <c r="P30" s="5"/>
      <c r="R30" s="75">
        <v>800</v>
      </c>
      <c r="S30" s="75">
        <f t="shared" si="0"/>
        <v>52.800000000000004</v>
      </c>
      <c r="T30" s="75">
        <v>24</v>
      </c>
      <c r="U30" s="16">
        <f t="shared" si="1"/>
        <v>234.96000000000004</v>
      </c>
      <c r="V30" s="16">
        <f t="shared" si="2"/>
        <v>17.777777777777779</v>
      </c>
      <c r="W30" s="75">
        <v>800</v>
      </c>
    </row>
    <row r="31" spans="1:24" x14ac:dyDescent="0.25">
      <c r="A31" s="5"/>
      <c r="B31" s="1" t="s">
        <v>25</v>
      </c>
      <c r="C31" s="75">
        <v>2</v>
      </c>
      <c r="D31" s="11" t="s">
        <v>17</v>
      </c>
      <c r="R31" s="75">
        <v>900</v>
      </c>
      <c r="S31" s="75">
        <f t="shared" si="0"/>
        <v>57.2</v>
      </c>
      <c r="T31" s="75">
        <v>26</v>
      </c>
      <c r="U31" s="16">
        <f t="shared" si="1"/>
        <v>254.54000000000002</v>
      </c>
      <c r="V31" s="16">
        <f t="shared" si="2"/>
        <v>20</v>
      </c>
      <c r="W31" s="75">
        <v>820</v>
      </c>
    </row>
    <row r="32" spans="1:24" x14ac:dyDescent="0.25">
      <c r="A32" s="5"/>
      <c r="B32" s="1" t="s">
        <v>26</v>
      </c>
      <c r="C32" s="75">
        <v>0.5</v>
      </c>
      <c r="D32" s="11" t="s">
        <v>19</v>
      </c>
      <c r="R32" s="75">
        <v>950</v>
      </c>
      <c r="S32" s="75">
        <f t="shared" si="0"/>
        <v>59.400000000000006</v>
      </c>
      <c r="T32" s="75">
        <v>27</v>
      </c>
      <c r="U32" s="16">
        <f t="shared" si="1"/>
        <v>264.33000000000004</v>
      </c>
      <c r="V32" s="16">
        <f t="shared" si="2"/>
        <v>21.111111111111111</v>
      </c>
      <c r="W32" s="75">
        <v>850</v>
      </c>
    </row>
    <row r="33" spans="1:23" x14ac:dyDescent="0.25">
      <c r="A33" s="5"/>
      <c r="B33" s="1" t="s">
        <v>27</v>
      </c>
      <c r="C33" s="75"/>
      <c r="D33" s="11"/>
      <c r="R33" s="1"/>
      <c r="S33" s="1"/>
      <c r="T33" s="1"/>
      <c r="U33" s="75"/>
      <c r="V33" s="1"/>
      <c r="W33" s="75"/>
    </row>
    <row r="34" spans="1:23" x14ac:dyDescent="0.25">
      <c r="B34" s="1" t="s">
        <v>28</v>
      </c>
      <c r="C34" s="75">
        <v>0.5</v>
      </c>
      <c r="D34" s="11" t="s">
        <v>19</v>
      </c>
      <c r="R34" s="1"/>
      <c r="S34" s="1"/>
      <c r="T34" s="1"/>
      <c r="U34" s="75"/>
      <c r="V34" s="1"/>
      <c r="W34" s="75"/>
    </row>
    <row r="35" spans="1:23" x14ac:dyDescent="0.25">
      <c r="C35" s="7"/>
      <c r="R35" s="1"/>
      <c r="S35" s="1"/>
      <c r="T35" s="1"/>
      <c r="U35" s="75"/>
      <c r="V35" s="1"/>
      <c r="W35" s="75"/>
    </row>
    <row r="36" spans="1:23" x14ac:dyDescent="0.25">
      <c r="B36" s="1" t="s">
        <v>29</v>
      </c>
      <c r="C36" s="75">
        <v>150</v>
      </c>
      <c r="R36" s="1"/>
      <c r="S36" s="1"/>
      <c r="T36" s="1"/>
      <c r="U36" s="75"/>
      <c r="V36" s="1"/>
      <c r="W36" s="75"/>
    </row>
    <row r="37" spans="1:23" x14ac:dyDescent="0.25">
      <c r="B37" s="1" t="s">
        <v>30</v>
      </c>
      <c r="C37" s="75">
        <v>150</v>
      </c>
    </row>
    <row r="39" spans="1:23" x14ac:dyDescent="0.25">
      <c r="B39" s="1" t="s">
        <v>31</v>
      </c>
      <c r="C39" s="75">
        <f>C24*C25</f>
        <v>750</v>
      </c>
      <c r="D39" s="11" t="s">
        <v>32</v>
      </c>
    </row>
    <row r="40" spans="1:23" x14ac:dyDescent="0.25">
      <c r="B40" s="1" t="s">
        <v>53</v>
      </c>
      <c r="C40" s="75">
        <f>C26*C27</f>
        <v>50</v>
      </c>
      <c r="D40" s="11" t="s">
        <v>33</v>
      </c>
    </row>
    <row r="41" spans="1:23" x14ac:dyDescent="0.25">
      <c r="B41" s="1" t="s">
        <v>34</v>
      </c>
      <c r="C41" s="75">
        <f>((C28*C29)*C36)+((C31*C32)*C37)</f>
        <v>63900</v>
      </c>
      <c r="D41" s="11" t="s">
        <v>32</v>
      </c>
    </row>
    <row r="42" spans="1:23" x14ac:dyDescent="0.25">
      <c r="B42" s="1" t="s">
        <v>35</v>
      </c>
      <c r="C42" s="75">
        <f>C24*C34</f>
        <v>750</v>
      </c>
      <c r="D42" s="11" t="s">
        <v>32</v>
      </c>
    </row>
    <row r="43" spans="1:23" x14ac:dyDescent="0.25">
      <c r="C43" s="7"/>
      <c r="D43" s="6"/>
    </row>
    <row r="44" spans="1:23" x14ac:dyDescent="0.25">
      <c r="B44" s="1" t="s">
        <v>36</v>
      </c>
      <c r="C44" s="75">
        <f>SUM(C39:C42)</f>
        <v>65450</v>
      </c>
      <c r="D44" s="11" t="s">
        <v>32</v>
      </c>
    </row>
    <row r="45" spans="1:23" x14ac:dyDescent="0.25">
      <c r="B45" s="1" t="s">
        <v>36</v>
      </c>
      <c r="C45" s="31">
        <f>C44/3600</f>
        <v>18.180555555555557</v>
      </c>
      <c r="D45" s="11" t="s">
        <v>44</v>
      </c>
    </row>
  </sheetData>
  <mergeCells count="3">
    <mergeCell ref="R3:T3"/>
    <mergeCell ref="V3:X3"/>
    <mergeCell ref="R22:W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Charts</vt:lpstr>
      </vt:variant>
      <vt:variant>
        <vt:i4>4</vt:i4>
      </vt:variant>
    </vt:vector>
  </HeadingPairs>
  <TitlesOfParts>
    <vt:vector size="12" baseType="lpstr">
      <vt:lpstr>Energy Usage vs Batteries</vt:lpstr>
      <vt:lpstr>Payload Energy Usage</vt:lpstr>
      <vt:lpstr>Thruster Energy Usage</vt:lpstr>
      <vt:lpstr>Drag Force Calcs</vt:lpstr>
      <vt:lpstr>Batteries</vt:lpstr>
      <vt:lpstr>Computers</vt:lpstr>
      <vt:lpstr>Telemetry</vt:lpstr>
      <vt:lpstr>Thruster Comparison</vt:lpstr>
      <vt:lpstr>1004B Plot</vt:lpstr>
      <vt:lpstr>MiniROV Plot</vt:lpstr>
      <vt:lpstr>TD27A Plot</vt:lpstr>
      <vt:lpstr>Chart2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2025-02-11T22:28:18Z</dcterms:created>
  <dcterms:modified xsi:type="dcterms:W3CDTF">2025-06-18T23:54:26Z</dcterms:modified>
</cp:coreProperties>
</file>