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901101_OceanImaging\Documents\Kecy_LASAUV_Scoping_Study_Notes\LASS AUV Scoping 2025\"/>
    </mc:Choice>
  </mc:AlternateContent>
  <xr:revisionPtr revIDLastSave="0" documentId="13_ncr:1_{6180A068-7C54-4947-9B9D-FD0082DC0238}" xr6:coauthVersionLast="36" xr6:coauthVersionMax="47" xr10:uidLastSave="{00000000-0000-0000-0000-000000000000}"/>
  <bookViews>
    <workbookView xWindow="0" yWindow="0" windowWidth="21390" windowHeight="11775" xr2:uid="{00000000-000D-0000-FFFF-FFFF00000000}"/>
  </bookViews>
  <sheets>
    <sheet name="Calculator" sheetId="1" r:id="rId1"/>
    <sheet name="Sensor Pwr Usage" sheetId="2" r:id="rId2"/>
    <sheet name="Sheet1" sheetId="3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6" i="2" l="1"/>
  <c r="D24" i="2" s="1"/>
  <c r="G16" i="2"/>
  <c r="C24" i="2" s="1"/>
  <c r="C28" i="2" s="1"/>
  <c r="D12" i="2"/>
  <c r="D25" i="2" s="1"/>
  <c r="C12" i="2"/>
  <c r="C25" i="2" s="1"/>
  <c r="B44" i="1"/>
  <c r="B45" i="1" s="1"/>
  <c r="B23" i="1" s="1"/>
  <c r="B42" i="1"/>
  <c r="B43" i="1" s="1"/>
  <c r="B20" i="1" s="1"/>
  <c r="B40" i="1"/>
  <c r="B41" i="1" s="1"/>
  <c r="B21" i="1" s="1"/>
  <c r="G11" i="1"/>
  <c r="E11" i="1"/>
  <c r="D11" i="1"/>
  <c r="C11" i="1"/>
  <c r="J11" i="1" s="1"/>
  <c r="B10" i="1"/>
  <c r="C10" i="1" s="1"/>
  <c r="C8" i="1"/>
  <c r="J8" i="1" s="1"/>
  <c r="B7" i="1"/>
  <c r="C7" i="1" s="1"/>
  <c r="G6" i="1"/>
  <c r="E6" i="1"/>
  <c r="D6" i="1"/>
  <c r="C6" i="1"/>
  <c r="B9" i="1" l="1"/>
  <c r="B31" i="1" s="1"/>
  <c r="H7" i="1"/>
  <c r="G7" i="1"/>
  <c r="E7" i="1"/>
  <c r="E12" i="1" s="1"/>
  <c r="D7" i="1"/>
  <c r="J7" i="1"/>
  <c r="J10" i="1"/>
  <c r="G10" i="1"/>
  <c r="E10" i="1"/>
  <c r="D10" i="1"/>
  <c r="I8" i="1"/>
  <c r="H10" i="1"/>
  <c r="D28" i="2"/>
  <c r="D8" i="1"/>
  <c r="B33" i="1"/>
  <c r="E8" i="1"/>
  <c r="G8" i="1"/>
  <c r="J6" i="1"/>
  <c r="C9" i="1" l="1"/>
  <c r="J9" i="1" s="1"/>
  <c r="J12" i="1" s="1"/>
  <c r="J13" i="1" s="1"/>
  <c r="H12" i="1"/>
  <c r="C12" i="1" l="1"/>
  <c r="B32" i="1" s="1"/>
  <c r="I9" i="1"/>
  <c r="I12" i="1" s="1"/>
  <c r="H13" i="1" s="1"/>
  <c r="D9" i="1"/>
  <c r="D12" i="1" s="1"/>
  <c r="D13" i="1" s="1"/>
  <c r="F9" i="1"/>
  <c r="F12" i="1" s="1"/>
  <c r="E13" i="1" s="1"/>
  <c r="G9" i="1"/>
  <c r="G12" i="1" s="1"/>
  <c r="G13" i="1" s="1"/>
  <c r="B30" i="1"/>
  <c r="L13" i="1" l="1"/>
</calcChain>
</file>

<file path=xl/sharedStrings.xml><?xml version="1.0" encoding="utf-8"?>
<sst xmlns="http://schemas.openxmlformats.org/spreadsheetml/2006/main" count="116" uniqueCount="87">
  <si>
    <t>Watt-Hours per Function per Mission Segment</t>
  </si>
  <si>
    <t>Nav Sensors</t>
  </si>
  <si>
    <t>Map Sensors (Idle)</t>
  </si>
  <si>
    <t>Map Sensors (Active)</t>
  </si>
  <si>
    <t>Hotel</t>
  </si>
  <si>
    <t>Propulsion (Asc/Desc)</t>
  </si>
  <si>
    <t>Propulsion (Tran/Surv)</t>
  </si>
  <si>
    <t>Telemetry</t>
  </si>
  <si>
    <t>Segment</t>
  </si>
  <si>
    <t>Time (sec)</t>
  </si>
  <si>
    <t>Time (Hours)</t>
  </si>
  <si>
    <t>Launch</t>
  </si>
  <si>
    <t>Descent</t>
  </si>
  <si>
    <t>Transit</t>
  </si>
  <si>
    <t>Survey</t>
  </si>
  <si>
    <t>Ascent</t>
  </si>
  <si>
    <t>Recovery</t>
  </si>
  <si>
    <t>Total Energy (kWh)</t>
  </si>
  <si>
    <t>Power (W)</t>
  </si>
  <si>
    <t>Mapping Idle</t>
  </si>
  <si>
    <t>Mapping Active</t>
  </si>
  <si>
    <t>Propulsion - Descent</t>
  </si>
  <si>
    <t>PLACEHOLDER: survey speed-power table reused for descent - work needed (replaces 2.24 Wh/m, Report #2 Vicente)</t>
  </si>
  <si>
    <t>Propulsion - Survey</t>
  </si>
  <si>
    <t>Interpolated from speed-power table (rows 36-39); not the 3505 W Report #2 value</t>
  </si>
  <si>
    <t>Propulsion - Ascent</t>
  </si>
  <si>
    <t>Depth</t>
  </si>
  <si>
    <t>m</t>
  </si>
  <si>
    <t>Operating depth (dive and climb to/from this depth)</t>
  </si>
  <si>
    <t>Descent Speed</t>
  </si>
  <si>
    <t>m/s</t>
  </si>
  <si>
    <t>Vertical speed, Descent. Power from the survey speed-power table (rows 36-39), work needed (valid 0.2-0.5 m/s)</t>
  </si>
  <si>
    <t>Ascent Speed</t>
  </si>
  <si>
    <t>Vertical speed, Ascent. Power from the survey speed-power table (rows 36-39), work needed (valid 0.2-0.5 m/s)</t>
  </si>
  <si>
    <t>Survey Speed</t>
  </si>
  <si>
    <t>Survey propulsion power (B21) is interpolated from the table in rows 36-39 (valid 0.2-0.5 m/s)</t>
  </si>
  <si>
    <t>Mission Duration</t>
  </si>
  <si>
    <t>Hours</t>
  </si>
  <si>
    <t>Total mission time: Launch through Recovery. Survey fills what is left after the other segments</t>
  </si>
  <si>
    <t>Survey Time</t>
  </si>
  <si>
    <t>Duration minus Launch, Descent, Transit, Ascent, Recovery</t>
  </si>
  <si>
    <t>Survey Distance</t>
  </si>
  <si>
    <t>Survey time x survey speed</t>
  </si>
  <si>
    <t>Total Mission Time</t>
  </si>
  <si>
    <t>Sum of all segments (C12)</t>
  </si>
  <si>
    <t>Mission Check</t>
  </si>
  <si>
    <t>Propulsion Power vs Speed (survey data, also used for Ascent/Descent - work needed)</t>
  </si>
  <si>
    <t>Speed (m/s)</t>
  </si>
  <si>
    <t>Avg Power (W)</t>
  </si>
  <si>
    <t>Keep rows in ascending speed order; linear interpolation between rows</t>
  </si>
  <si>
    <t>Replaces the single 3505 W @ 0.35 m/s point from Report #2 (Vicente)</t>
  </si>
  <si>
    <t>Speed Used</t>
  </si>
  <si>
    <t>Survey speed clamped to the table range</t>
  </si>
  <si>
    <t>Survey Power</t>
  </si>
  <si>
    <t>W</t>
  </si>
  <si>
    <t>Feeds Propulsion - Survey (B21)</t>
  </si>
  <si>
    <t>Descent Speed Used</t>
  </si>
  <si>
    <t>Descent speed clamped to the table range</t>
  </si>
  <si>
    <t>Descent Power</t>
  </si>
  <si>
    <t>Feeds Propulsion - Descent (B20). PLACEHOLDER: survey data reused, work needed</t>
  </si>
  <si>
    <t>Ascent Speed Used</t>
  </si>
  <si>
    <t>Ascent speed clamped to the table range</t>
  </si>
  <si>
    <t>Ascent Power</t>
  </si>
  <si>
    <t>Feeds Propulsion - Ascent (B23). PLACEHOLDER: survey data reused, work needed</t>
  </si>
  <si>
    <t>Idle</t>
  </si>
  <si>
    <t>Active</t>
  </si>
  <si>
    <t>Mapping Sensors</t>
  </si>
  <si>
    <t>Navigational Sensors</t>
  </si>
  <si>
    <t>Lidar G2</t>
  </si>
  <si>
    <t>SVP</t>
  </si>
  <si>
    <t>Reson MBS (T-50S)</t>
  </si>
  <si>
    <t>SBE49 CTD</t>
  </si>
  <si>
    <t>Stereo Cameras **</t>
  </si>
  <si>
    <t>ParoSci</t>
  </si>
  <si>
    <t>Strobes ***</t>
  </si>
  <si>
    <t>Phins INS</t>
  </si>
  <si>
    <t>Tasman DVL</t>
  </si>
  <si>
    <t>Horz Norbit *</t>
  </si>
  <si>
    <t>Vert Norbit *</t>
  </si>
  <si>
    <t>Hotel Load</t>
  </si>
  <si>
    <t>Propulsion</t>
  </si>
  <si>
    <t>Calculated using 85% DC-DC Efficiency</t>
  </si>
  <si>
    <t>Thruster runs directly off bus voltage</t>
  </si>
  <si>
    <t>Average propulsion power at constant survey speed; provided by Energy Consumption Results #1 report design, LASAUV_V4</t>
  </si>
  <si>
    <t>PLACEHOLDER: survey speed-power table reused for ascent - work needed not valid for stable configs with cg cb separation</t>
  </si>
  <si>
    <t>Navigational  Sensors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</si>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</sst>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i/>
      <sz val="11"/>
      <name val="Calibri"/>
      <family val="2"/>
    </font>
    <font>
      <sz val="11"/>
      <color rgb="FF00B0F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/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2" fontId="0" fillId="0" borderId="1" xfId="0" applyNumberFormat="1" applyBorder="1" applyAlignment="1">
      <alignment horizontal="center"/>
    </xf>
    <xf numFmtId="0" fontId="6" fillId="0" borderId="0" xfId="0" applyFont="1"/>
    <xf numFmtId="2" fontId="3" fillId="0" borderId="1" xfId="0" applyNumberFormat="1" applyFont="1" applyBorder="1" applyAlignment="1">
      <alignment horizontal="center"/>
    </xf>
    <xf numFmtId="0" fontId="0" fillId="0" borderId="1" xfId="0" applyBorder="1" applyAlignment="1"/>
    <xf numFmtId="0" fontId="0" fillId="0" borderId="21" xfId="0" applyBorder="1" applyAlignment="1"/>
    <xf numFmtId="0" fontId="0" fillId="0" borderId="3" xfId="0" applyBorder="1" applyAlignment="1"/>
    <xf numFmtId="0" fontId="3" fillId="2" borderId="1" xfId="0" applyFont="1" applyFill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0" fontId="0" fillId="0" borderId="18" xfId="0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2" fillId="0" borderId="1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2" fillId="0" borderId="7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2" fillId="0" borderId="4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2" fillId="0" borderId="8" xfId="0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Sheet1!$A$5:$A$9</c:f>
              <c:strCache>
                <c:ptCount val="5"/>
                <c:pt idx="0">
                  <c:v>Navigational  Sensors</c:v>
                </c:pt>
                <c:pt idx="1">
                  <c:v>Mapping Sensors</c:v>
                </c:pt>
                <c:pt idx="2">
                  <c:v>Hotel</c:v>
                </c:pt>
                <c:pt idx="3">
                  <c:v>Propulsion</c:v>
                </c:pt>
                <c:pt idx="4">
                  <c:v>Telemetry</c:v>
                </c:pt>
              </c:strCache>
            </c:strRef>
          </c:cat>
          <c:val>
            <c:numRef>
              <c:f>Sheet1!$B$5:$B$9</c:f>
              <c:numCache>
                <c:formatCode>General</c:formatCode>
                <c:ptCount val="5"/>
                <c:pt idx="0">
                  <c:v>4</c:v>
                </c:pt>
                <c:pt idx="1">
                  <c:v>8.5</c:v>
                </c:pt>
                <c:pt idx="2">
                  <c:v>6.8</c:v>
                </c:pt>
                <c:pt idx="3">
                  <c:v>24</c:v>
                </c:pt>
                <c:pt idx="4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C8-4947-92A0-DAAC61023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11</xdr:row>
      <xdr:rowOff>52387</xdr:rowOff>
    </xdr:from>
    <xdr:to>
      <xdr:col>15</xdr:col>
      <xdr:colOff>409575</xdr:colOff>
      <xdr:row>25</xdr:row>
      <xdr:rowOff>128587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D5AEE6-E96C-4EEC-A2F0-0212794DF6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workbookViewId="0">
      <selection activeCell="L7" sqref="L7"/>
    </sheetView>
  </sheetViews>
  <sheetFormatPr defaultRowHeight="15" x14ac:dyDescent="0.25"/>
  <cols>
    <col min="1" max="1" width="22.7109375" style="13" customWidth="1"/>
    <col min="2" max="2" width="13.7109375" style="13" customWidth="1"/>
    <col min="3" max="3" width="14.7109375" style="13" customWidth="1"/>
    <col min="4" max="10" width="12.7109375" style="13" customWidth="1"/>
    <col min="12" max="12" width="13.85546875" style="13" customWidth="1"/>
  </cols>
  <sheetData>
    <row r="1" spans="1:12" ht="15.75" customHeight="1" thickBot="1" x14ac:dyDescent="0.3">
      <c r="B1" s="9"/>
      <c r="C1" s="9"/>
      <c r="D1" s="9"/>
      <c r="E1" s="9"/>
      <c r="F1" s="9"/>
      <c r="G1" s="9"/>
      <c r="H1" s="9"/>
      <c r="I1" s="9"/>
      <c r="J1" s="9"/>
    </row>
    <row r="2" spans="1:12" x14ac:dyDescent="0.25">
      <c r="B2" s="9"/>
      <c r="C2" s="9"/>
      <c r="D2" s="49" t="s">
        <v>0</v>
      </c>
      <c r="E2" s="50"/>
      <c r="F2" s="50"/>
      <c r="G2" s="50"/>
      <c r="H2" s="50"/>
      <c r="I2" s="50"/>
      <c r="J2" s="51"/>
    </row>
    <row r="3" spans="1:12" x14ac:dyDescent="0.25">
      <c r="A3" s="1"/>
      <c r="B3" s="2"/>
      <c r="C3" s="2"/>
      <c r="D3" s="46" t="s">
        <v>1</v>
      </c>
      <c r="E3" s="43" t="s">
        <v>2</v>
      </c>
      <c r="F3" s="43" t="s">
        <v>3</v>
      </c>
      <c r="G3" s="43" t="s">
        <v>4</v>
      </c>
      <c r="H3" s="43" t="s">
        <v>5</v>
      </c>
      <c r="I3" s="43" t="s">
        <v>6</v>
      </c>
      <c r="J3" s="52" t="s">
        <v>7</v>
      </c>
    </row>
    <row r="4" spans="1:12" x14ac:dyDescent="0.25">
      <c r="A4" s="1"/>
      <c r="B4" s="2"/>
      <c r="C4" s="2"/>
      <c r="D4" s="47"/>
      <c r="E4" s="44"/>
      <c r="F4" s="44"/>
      <c r="G4" s="44"/>
      <c r="H4" s="44"/>
      <c r="I4" s="44"/>
      <c r="J4" s="53"/>
    </row>
    <row r="5" spans="1:12" ht="15.75" customHeight="1" thickBot="1" x14ac:dyDescent="0.3">
      <c r="A5" s="3" t="s">
        <v>8</v>
      </c>
      <c r="B5" s="4" t="s">
        <v>9</v>
      </c>
      <c r="C5" s="4" t="s">
        <v>10</v>
      </c>
      <c r="D5" s="48"/>
      <c r="E5" s="45"/>
      <c r="F5" s="45"/>
      <c r="G5" s="45"/>
      <c r="H5" s="45"/>
      <c r="I5" s="45"/>
      <c r="J5" s="54"/>
    </row>
    <row r="6" spans="1:12" x14ac:dyDescent="0.25">
      <c r="A6" s="3" t="s">
        <v>11</v>
      </c>
      <c r="B6" s="29">
        <v>2700</v>
      </c>
      <c r="C6" s="5">
        <f t="shared" ref="C6:C11" si="0">B6/3600</f>
        <v>0.75</v>
      </c>
      <c r="D6" s="14">
        <f t="shared" ref="D6:D11" si="1">$B$16*C6</f>
        <v>143.25</v>
      </c>
      <c r="E6" s="15">
        <f>$B$17*C6</f>
        <v>225.75</v>
      </c>
      <c r="F6" s="15"/>
      <c r="G6" s="15">
        <f t="shared" ref="G6:G11" si="2">$B$19*C6</f>
        <v>222</v>
      </c>
      <c r="H6" s="15"/>
      <c r="I6" s="15"/>
      <c r="J6" s="16">
        <f t="shared" ref="J6:J11" si="3">$B$22*C6</f>
        <v>37.5</v>
      </c>
    </row>
    <row r="7" spans="1:12" x14ac:dyDescent="0.25">
      <c r="A7" s="3" t="s">
        <v>12</v>
      </c>
      <c r="B7" s="6">
        <f>B24/B25</f>
        <v>4000</v>
      </c>
      <c r="C7" s="5">
        <f t="shared" si="0"/>
        <v>1.1111111111111112</v>
      </c>
      <c r="D7" s="17">
        <f t="shared" si="1"/>
        <v>212.22222222222223</v>
      </c>
      <c r="E7" s="6">
        <f>$B$17*C7</f>
        <v>334.44444444444446</v>
      </c>
      <c r="F7" s="6"/>
      <c r="G7" s="6">
        <f t="shared" si="2"/>
        <v>328.88888888888891</v>
      </c>
      <c r="H7" s="6">
        <f>$B$20*C7</f>
        <v>3156.1777777777779</v>
      </c>
      <c r="I7" s="6"/>
      <c r="J7" s="18">
        <f t="shared" si="3"/>
        <v>55.555555555555557</v>
      </c>
      <c r="L7" s="13" t="s">
        <v>86</v>
      </c>
    </row>
    <row r="8" spans="1:12" x14ac:dyDescent="0.25">
      <c r="A8" s="3" t="s">
        <v>13</v>
      </c>
      <c r="B8" s="29">
        <v>1800</v>
      </c>
      <c r="C8" s="5">
        <f t="shared" si="0"/>
        <v>0.5</v>
      </c>
      <c r="D8" s="17">
        <f t="shared" si="1"/>
        <v>95.5</v>
      </c>
      <c r="E8" s="6">
        <f>$B$17*C8</f>
        <v>150.5</v>
      </c>
      <c r="F8" s="6"/>
      <c r="G8" s="6">
        <f t="shared" si="2"/>
        <v>148</v>
      </c>
      <c r="H8" s="6"/>
      <c r="I8" s="6">
        <f>$B$21*C8</f>
        <v>474.55500000000001</v>
      </c>
      <c r="J8" s="18">
        <f t="shared" si="3"/>
        <v>25</v>
      </c>
    </row>
    <row r="9" spans="1:12" x14ac:dyDescent="0.25">
      <c r="A9" s="3" t="s">
        <v>14</v>
      </c>
      <c r="B9" s="6">
        <f>MAX(0,B28*3600-(B6+B7+B8+B10+B11))</f>
        <v>49600</v>
      </c>
      <c r="C9" s="5">
        <f t="shared" si="0"/>
        <v>13.777777777777779</v>
      </c>
      <c r="D9" s="17">
        <f t="shared" si="1"/>
        <v>2631.5555555555557</v>
      </c>
      <c r="E9" s="6"/>
      <c r="F9" s="6">
        <f>$B$18*C9</f>
        <v>8707.5555555555566</v>
      </c>
      <c r="G9" s="6">
        <f t="shared" si="2"/>
        <v>4078.2222222222226</v>
      </c>
      <c r="H9" s="6"/>
      <c r="I9" s="6">
        <f>$B$21*C9</f>
        <v>13076.626666666667</v>
      </c>
      <c r="J9" s="18">
        <f t="shared" si="3"/>
        <v>688.88888888888891</v>
      </c>
    </row>
    <row r="10" spans="1:12" x14ac:dyDescent="0.25">
      <c r="A10" s="3" t="s">
        <v>15</v>
      </c>
      <c r="B10" s="6">
        <f>B24/B26</f>
        <v>4000</v>
      </c>
      <c r="C10" s="5">
        <f t="shared" si="0"/>
        <v>1.1111111111111112</v>
      </c>
      <c r="D10" s="17">
        <f t="shared" si="1"/>
        <v>212.22222222222223</v>
      </c>
      <c r="E10" s="6">
        <f>$B$17*C10</f>
        <v>334.44444444444446</v>
      </c>
      <c r="F10" s="6"/>
      <c r="G10" s="6">
        <f t="shared" si="2"/>
        <v>328.88888888888891</v>
      </c>
      <c r="H10" s="6">
        <f>$B$23*C10</f>
        <v>3156.1777777777779</v>
      </c>
      <c r="I10" s="6"/>
      <c r="J10" s="18">
        <f t="shared" si="3"/>
        <v>55.555555555555557</v>
      </c>
    </row>
    <row r="11" spans="1:12" ht="15.75" customHeight="1" thickBot="1" x14ac:dyDescent="0.3">
      <c r="A11" s="3" t="s">
        <v>16</v>
      </c>
      <c r="B11" s="29">
        <v>2700</v>
      </c>
      <c r="C11" s="5">
        <f t="shared" si="0"/>
        <v>0.75</v>
      </c>
      <c r="D11" s="19">
        <f t="shared" si="1"/>
        <v>143.25</v>
      </c>
      <c r="E11" s="20">
        <f>$B$17*C11</f>
        <v>225.75</v>
      </c>
      <c r="F11" s="20"/>
      <c r="G11" s="20">
        <f t="shared" si="2"/>
        <v>222</v>
      </c>
      <c r="H11" s="20"/>
      <c r="I11" s="20"/>
      <c r="J11" s="21">
        <f t="shared" si="3"/>
        <v>37.5</v>
      </c>
      <c r="L11" s="43" t="s">
        <v>17</v>
      </c>
    </row>
    <row r="12" spans="1:12" ht="15.75" customHeight="1" thickBot="1" x14ac:dyDescent="0.3">
      <c r="B12" s="9"/>
      <c r="C12" s="7">
        <f t="shared" ref="C12:J12" si="4">SUM(C6:C11)</f>
        <v>18</v>
      </c>
      <c r="D12" s="22">
        <f t="shared" si="4"/>
        <v>3438</v>
      </c>
      <c r="E12" s="23">
        <f t="shared" si="4"/>
        <v>1270.8888888888889</v>
      </c>
      <c r="F12" s="23">
        <f t="shared" si="4"/>
        <v>8707.5555555555566</v>
      </c>
      <c r="G12" s="23">
        <f t="shared" si="4"/>
        <v>5328</v>
      </c>
      <c r="H12" s="23">
        <f t="shared" si="4"/>
        <v>6312.3555555555558</v>
      </c>
      <c r="I12" s="23">
        <f t="shared" si="4"/>
        <v>13551.181666666667</v>
      </c>
      <c r="J12" s="24">
        <f t="shared" si="4"/>
        <v>900</v>
      </c>
      <c r="L12" s="45"/>
    </row>
    <row r="13" spans="1:12" ht="15.75" customHeight="1" thickBot="1" x14ac:dyDescent="0.3">
      <c r="B13" s="9"/>
      <c r="C13" s="9"/>
      <c r="D13" s="25">
        <f>+D12</f>
        <v>3438</v>
      </c>
      <c r="E13" s="39">
        <f>E12+F12</f>
        <v>9978.4444444444453</v>
      </c>
      <c r="F13" s="40"/>
      <c r="G13" s="26">
        <f>+G12</f>
        <v>5328</v>
      </c>
      <c r="H13" s="39">
        <f>H12+I12</f>
        <v>19863.537222222221</v>
      </c>
      <c r="I13" s="40"/>
      <c r="J13" s="27">
        <f>+J12</f>
        <v>900</v>
      </c>
      <c r="L13" s="30">
        <f>SUM(D13:J13)/1000</f>
        <v>39.507981666666666</v>
      </c>
    </row>
    <row r="14" spans="1:12" x14ac:dyDescent="0.25">
      <c r="B14" s="9"/>
      <c r="C14" s="9"/>
      <c r="D14" s="9"/>
      <c r="E14" s="9"/>
      <c r="F14" s="9"/>
      <c r="G14" s="9"/>
      <c r="H14" s="9"/>
      <c r="I14" s="9"/>
      <c r="J14" s="9"/>
    </row>
    <row r="15" spans="1:12" x14ac:dyDescent="0.25">
      <c r="B15" s="2" t="s">
        <v>18</v>
      </c>
      <c r="C15" s="9"/>
      <c r="D15" s="9"/>
      <c r="E15" s="9"/>
      <c r="F15" s="9"/>
      <c r="G15" s="9"/>
      <c r="H15" s="9"/>
      <c r="I15" s="9"/>
      <c r="J15" s="9"/>
    </row>
    <row r="16" spans="1:12" x14ac:dyDescent="0.25">
      <c r="A16" s="3" t="s">
        <v>1</v>
      </c>
      <c r="B16" s="8">
        <v>191</v>
      </c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3" t="s">
        <v>19</v>
      </c>
      <c r="B17" s="8">
        <v>301</v>
      </c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3" t="s">
        <v>20</v>
      </c>
      <c r="B18" s="8">
        <v>632</v>
      </c>
      <c r="C18" s="9"/>
      <c r="D18" s="9"/>
      <c r="E18" s="9"/>
      <c r="F18" s="9"/>
      <c r="G18" s="9"/>
      <c r="H18" s="9"/>
      <c r="I18" s="9"/>
      <c r="J18" s="9"/>
    </row>
    <row r="19" spans="1:10" x14ac:dyDescent="0.25">
      <c r="A19" s="3" t="s">
        <v>4</v>
      </c>
      <c r="B19" s="8">
        <v>296</v>
      </c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3" t="s">
        <v>21</v>
      </c>
      <c r="B20" s="6">
        <f>B43</f>
        <v>2840.56</v>
      </c>
      <c r="C20" s="35" t="s">
        <v>22</v>
      </c>
      <c r="D20" s="36"/>
      <c r="E20" s="36"/>
      <c r="F20" s="36"/>
      <c r="G20" s="37"/>
      <c r="H20" s="9"/>
      <c r="I20" s="9"/>
      <c r="J20" s="9"/>
    </row>
    <row r="21" spans="1:10" x14ac:dyDescent="0.25">
      <c r="A21" s="3" t="s">
        <v>23</v>
      </c>
      <c r="B21" s="8">
        <f>B41</f>
        <v>949.11</v>
      </c>
      <c r="C21" s="35" t="s">
        <v>24</v>
      </c>
      <c r="D21" s="36"/>
      <c r="E21" s="36"/>
      <c r="F21" s="36"/>
      <c r="G21" s="37"/>
      <c r="H21" s="9"/>
      <c r="I21" s="9"/>
      <c r="J21" s="9"/>
    </row>
    <row r="22" spans="1:10" x14ac:dyDescent="0.25">
      <c r="A22" s="3" t="s">
        <v>7</v>
      </c>
      <c r="B22" s="8">
        <v>50</v>
      </c>
      <c r="C22" s="9"/>
      <c r="D22" s="9"/>
      <c r="E22" s="9"/>
      <c r="F22" s="9"/>
      <c r="G22" s="9"/>
      <c r="H22" s="9"/>
      <c r="I22" s="9"/>
      <c r="J22" s="9"/>
    </row>
    <row r="23" spans="1:10" x14ac:dyDescent="0.25">
      <c r="A23" s="3" t="s">
        <v>25</v>
      </c>
      <c r="B23" s="6">
        <f>B45</f>
        <v>2840.56</v>
      </c>
      <c r="C23" s="31" t="s">
        <v>84</v>
      </c>
    </row>
    <row r="24" spans="1:10" x14ac:dyDescent="0.25">
      <c r="A24" s="3" t="s">
        <v>26</v>
      </c>
      <c r="B24" s="38">
        <v>2000</v>
      </c>
      <c r="C24" s="8" t="s">
        <v>27</v>
      </c>
      <c r="D24" s="31" t="s">
        <v>28</v>
      </c>
    </row>
    <row r="25" spans="1:10" x14ac:dyDescent="0.25">
      <c r="A25" s="3" t="s">
        <v>29</v>
      </c>
      <c r="B25" s="38">
        <v>0.5</v>
      </c>
      <c r="C25" s="8" t="s">
        <v>30</v>
      </c>
      <c r="D25" s="31" t="s">
        <v>31</v>
      </c>
    </row>
    <row r="26" spans="1:10" x14ac:dyDescent="0.25">
      <c r="A26" s="3" t="s">
        <v>32</v>
      </c>
      <c r="B26" s="38">
        <v>0.5</v>
      </c>
      <c r="C26" s="8" t="s">
        <v>30</v>
      </c>
      <c r="D26" s="31" t="s">
        <v>33</v>
      </c>
    </row>
    <row r="27" spans="1:10" x14ac:dyDescent="0.25">
      <c r="A27" s="3" t="s">
        <v>34</v>
      </c>
      <c r="B27" s="38">
        <v>0.2</v>
      </c>
      <c r="C27" s="8" t="s">
        <v>30</v>
      </c>
      <c r="D27" s="31" t="s">
        <v>35</v>
      </c>
    </row>
    <row r="28" spans="1:10" x14ac:dyDescent="0.25">
      <c r="A28" s="3" t="s">
        <v>36</v>
      </c>
      <c r="B28" s="38">
        <v>18</v>
      </c>
      <c r="C28" s="8" t="s">
        <v>37</v>
      </c>
      <c r="D28" s="31" t="s">
        <v>38</v>
      </c>
    </row>
    <row r="29" spans="1:10" x14ac:dyDescent="0.25">
      <c r="A29" s="9"/>
      <c r="B29" s="9"/>
      <c r="C29" s="9"/>
      <c r="D29" s="9"/>
    </row>
    <row r="30" spans="1:10" x14ac:dyDescent="0.25">
      <c r="A30" s="3" t="s">
        <v>39</v>
      </c>
      <c r="B30" s="32">
        <f>C9</f>
        <v>13.777777777777779</v>
      </c>
      <c r="C30" s="8" t="s">
        <v>37</v>
      </c>
      <c r="D30" s="31" t="s">
        <v>40</v>
      </c>
    </row>
    <row r="31" spans="1:10" x14ac:dyDescent="0.25">
      <c r="A31" s="3" t="s">
        <v>41</v>
      </c>
      <c r="B31" s="6">
        <f>B9*B27</f>
        <v>9920</v>
      </c>
      <c r="C31" s="8" t="s">
        <v>27</v>
      </c>
      <c r="D31" s="31" t="s">
        <v>42</v>
      </c>
    </row>
    <row r="32" spans="1:10" x14ac:dyDescent="0.25">
      <c r="A32" s="3" t="s">
        <v>43</v>
      </c>
      <c r="B32" s="32">
        <f>C12</f>
        <v>18</v>
      </c>
      <c r="C32" s="8" t="s">
        <v>37</v>
      </c>
      <c r="D32" s="31" t="s">
        <v>44</v>
      </c>
    </row>
    <row r="33" spans="1:4" x14ac:dyDescent="0.25">
      <c r="A33" s="3" t="s">
        <v>45</v>
      </c>
      <c r="B33" s="41" t="str">
        <f>IF(B28*3600&lt;B6+B7+B8+B10+B11,"Duration too short for fixed segments",IF(OR(MIN(B25,B26,B27)&lt;A37,MAX(B25,B26,B27)&gt;A39),"A speed is outside power table range","OK"))</f>
        <v>OK</v>
      </c>
      <c r="C33" s="42"/>
      <c r="D33" s="9"/>
    </row>
    <row r="35" spans="1:4" x14ac:dyDescent="0.25">
      <c r="A35" s="33" t="s">
        <v>46</v>
      </c>
    </row>
    <row r="36" spans="1:4" x14ac:dyDescent="0.25">
      <c r="A36" s="11" t="s">
        <v>47</v>
      </c>
      <c r="B36" s="11" t="s">
        <v>48</v>
      </c>
    </row>
    <row r="37" spans="1:4" x14ac:dyDescent="0.25">
      <c r="A37" s="34">
        <v>0.2</v>
      </c>
      <c r="B37" s="34">
        <v>949.11</v>
      </c>
      <c r="C37" s="31" t="s">
        <v>83</v>
      </c>
    </row>
    <row r="38" spans="1:4" x14ac:dyDescent="0.25">
      <c r="A38" s="34">
        <v>0.3</v>
      </c>
      <c r="B38" s="34">
        <v>1312.32</v>
      </c>
      <c r="C38" s="31" t="s">
        <v>49</v>
      </c>
    </row>
    <row r="39" spans="1:4" x14ac:dyDescent="0.25">
      <c r="A39" s="34">
        <v>0.5</v>
      </c>
      <c r="B39" s="34">
        <v>2840.56</v>
      </c>
      <c r="C39" s="31" t="s">
        <v>50</v>
      </c>
    </row>
    <row r="40" spans="1:4" x14ac:dyDescent="0.25">
      <c r="A40" s="3" t="s">
        <v>51</v>
      </c>
      <c r="B40" s="32">
        <f>MIN(MAX(B27,A37),A39)</f>
        <v>0.2</v>
      </c>
      <c r="C40" s="8" t="s">
        <v>30</v>
      </c>
      <c r="D40" s="31" t="s">
        <v>52</v>
      </c>
    </row>
    <row r="41" spans="1:4" x14ac:dyDescent="0.25">
      <c r="A41" s="3" t="s">
        <v>53</v>
      </c>
      <c r="B41" s="30">
        <f>INDEX(B37:B39,MIN(MATCH(B40,A37:A39,1),2))+(B40-INDEX(A37:A39,MIN(MATCH(B40,A37:A39,1),2)))*(INDEX(B37:B39,MIN(MATCH(B40,A37:A39,1),2)+1)-INDEX(B37:B39,MIN(MATCH(B40,A37:A39,1),2)))/(INDEX(A37:A39,MIN(MATCH(B40,A37:A39,1),2)+1)-INDEX(A37:A39,MIN(MATCH(B40,A37:A39,1),2)))</f>
        <v>949.11</v>
      </c>
      <c r="C41" s="8" t="s">
        <v>54</v>
      </c>
      <c r="D41" s="31" t="s">
        <v>55</v>
      </c>
    </row>
    <row r="42" spans="1:4" x14ac:dyDescent="0.25">
      <c r="A42" s="3" t="s">
        <v>56</v>
      </c>
      <c r="B42" s="32">
        <f>MIN(MAX(B25,A37),A39)</f>
        <v>0.5</v>
      </c>
      <c r="C42" s="8" t="s">
        <v>30</v>
      </c>
      <c r="D42" s="31" t="s">
        <v>57</v>
      </c>
    </row>
    <row r="43" spans="1:4" x14ac:dyDescent="0.25">
      <c r="A43" s="3" t="s">
        <v>58</v>
      </c>
      <c r="B43" s="30">
        <f>INDEX(B37:B39,MIN(MATCH(B42,A37:A39,1),2))+(B42-INDEX(A37:A39,MIN(MATCH(B42,A37:A39,1),2)))*(INDEX(B37:B39,MIN(MATCH(B42,A37:A39,1),2)+1)-INDEX(B37:B39,MIN(MATCH(B42,A37:A39,1),2)))/(INDEX(A37:A39,MIN(MATCH(B42,A37:A39,1),2)+1)-INDEX(A37:A39,MIN(MATCH(B42,A37:A39,1),2)))</f>
        <v>2840.56</v>
      </c>
      <c r="C43" s="8" t="s">
        <v>54</v>
      </c>
      <c r="D43" s="31" t="s">
        <v>59</v>
      </c>
    </row>
    <row r="44" spans="1:4" x14ac:dyDescent="0.25">
      <c r="A44" s="3" t="s">
        <v>60</v>
      </c>
      <c r="B44" s="32">
        <f>MIN(MAX(B26,A37),A39)</f>
        <v>0.5</v>
      </c>
      <c r="C44" s="8" t="s">
        <v>30</v>
      </c>
      <c r="D44" s="31" t="s">
        <v>61</v>
      </c>
    </row>
    <row r="45" spans="1:4" x14ac:dyDescent="0.25">
      <c r="A45" s="3" t="s">
        <v>62</v>
      </c>
      <c r="B45" s="30">
        <f>INDEX(B37:B39,MIN(MATCH(B44,A37:A39,1),2))+(B44-INDEX(A37:A39,MIN(MATCH(B44,A37:A39,1),2)))*(INDEX(B37:B39,MIN(MATCH(B44,A37:A39,1),2)+1)-INDEX(B37:B39,MIN(MATCH(B44,A37:A39,1),2)))/(INDEX(A37:A39,MIN(MATCH(B44,A37:A39,1),2)+1)-INDEX(A37:A39,MIN(MATCH(B44,A37:A39,1),2)))</f>
        <v>2840.56</v>
      </c>
      <c r="C45" s="8" t="s">
        <v>54</v>
      </c>
      <c r="D45" s="31" t="s">
        <v>63</v>
      </c>
    </row>
  </sheetData>
  <mergeCells count="12">
    <mergeCell ref="D2:J2"/>
    <mergeCell ref="F3:F5"/>
    <mergeCell ref="J3:J5"/>
    <mergeCell ref="I3:I5"/>
    <mergeCell ref="L11:L12"/>
    <mergeCell ref="H3:H5"/>
    <mergeCell ref="H13:I13"/>
    <mergeCell ref="B33:C33"/>
    <mergeCell ref="G3:G5"/>
    <mergeCell ref="E3:E5"/>
    <mergeCell ref="E13:F13"/>
    <mergeCell ref="D3:D5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H31"/>
  <sheetViews>
    <sheetView workbookViewId="0">
      <selection activeCell="D9" sqref="D9"/>
    </sheetView>
  </sheetViews>
  <sheetFormatPr defaultRowHeight="15" x14ac:dyDescent="0.25"/>
  <cols>
    <col min="2" max="2" width="20.85546875" style="13" customWidth="1"/>
    <col min="3" max="3" width="13.42578125" style="13" customWidth="1"/>
    <col min="4" max="4" width="14.140625" style="13" customWidth="1"/>
    <col min="6" max="6" width="24.140625" style="13" customWidth="1"/>
    <col min="7" max="7" width="18.28515625" style="13" customWidth="1"/>
    <col min="8" max="8" width="18.140625" style="13" customWidth="1"/>
  </cols>
  <sheetData>
    <row r="5" spans="2:8" x14ac:dyDescent="0.25">
      <c r="C5" s="8" t="s">
        <v>64</v>
      </c>
      <c r="D5" s="8" t="s">
        <v>65</v>
      </c>
      <c r="G5" s="8" t="s">
        <v>64</v>
      </c>
      <c r="H5" s="8" t="s">
        <v>65</v>
      </c>
    </row>
    <row r="6" spans="2:8" x14ac:dyDescent="0.25">
      <c r="B6" s="3" t="s">
        <v>66</v>
      </c>
      <c r="C6" s="11" t="s">
        <v>18</v>
      </c>
      <c r="D6" s="11" t="s">
        <v>18</v>
      </c>
      <c r="F6" s="3" t="s">
        <v>67</v>
      </c>
      <c r="G6" s="4" t="s">
        <v>18</v>
      </c>
      <c r="H6" s="11" t="s">
        <v>18</v>
      </c>
    </row>
    <row r="7" spans="2:8" x14ac:dyDescent="0.25">
      <c r="B7" s="10" t="s">
        <v>68</v>
      </c>
      <c r="C7" s="28">
        <v>100</v>
      </c>
      <c r="D7" s="8">
        <v>140</v>
      </c>
      <c r="F7" s="10" t="s">
        <v>69</v>
      </c>
      <c r="G7" s="12">
        <v>1</v>
      </c>
      <c r="H7" s="8">
        <v>3</v>
      </c>
    </row>
    <row r="8" spans="2:8" x14ac:dyDescent="0.25">
      <c r="B8" s="10" t="s">
        <v>70</v>
      </c>
      <c r="C8" s="8">
        <v>130</v>
      </c>
      <c r="D8" s="8">
        <v>185</v>
      </c>
      <c r="F8" s="10" t="s">
        <v>71</v>
      </c>
      <c r="G8" s="12">
        <v>1</v>
      </c>
      <c r="H8" s="8">
        <v>18</v>
      </c>
    </row>
    <row r="9" spans="2:8" x14ac:dyDescent="0.25">
      <c r="B9" s="10" t="s">
        <v>72</v>
      </c>
      <c r="C9" s="8">
        <v>6</v>
      </c>
      <c r="D9" s="8">
        <v>12</v>
      </c>
      <c r="F9" s="10" t="s">
        <v>73</v>
      </c>
      <c r="G9" s="12">
        <v>3</v>
      </c>
      <c r="H9" s="8">
        <v>3</v>
      </c>
    </row>
    <row r="10" spans="2:8" x14ac:dyDescent="0.25">
      <c r="B10" s="10" t="s">
        <v>74</v>
      </c>
      <c r="C10" s="8">
        <v>20</v>
      </c>
      <c r="D10" s="8">
        <v>200</v>
      </c>
      <c r="F10" s="10" t="s">
        <v>75</v>
      </c>
      <c r="G10" s="12">
        <v>5</v>
      </c>
      <c r="H10" s="8">
        <v>22</v>
      </c>
    </row>
    <row r="11" spans="2:8" x14ac:dyDescent="0.25">
      <c r="B11" s="10"/>
      <c r="C11" s="8"/>
      <c r="D11" s="8"/>
      <c r="F11" s="10" t="s">
        <v>76</v>
      </c>
      <c r="G11" s="12">
        <v>7</v>
      </c>
      <c r="H11" s="8">
        <v>56</v>
      </c>
    </row>
    <row r="12" spans="2:8" x14ac:dyDescent="0.25">
      <c r="C12" s="8">
        <f>SUM(C7:C10)</f>
        <v>256</v>
      </c>
      <c r="D12" s="8">
        <f>SUM(D7:D10)</f>
        <v>537</v>
      </c>
      <c r="F12" s="10" t="s">
        <v>77</v>
      </c>
      <c r="G12" s="12">
        <v>15</v>
      </c>
      <c r="H12" s="8">
        <v>60</v>
      </c>
    </row>
    <row r="13" spans="2:8" x14ac:dyDescent="0.25">
      <c r="F13" s="10" t="s">
        <v>78</v>
      </c>
      <c r="G13" s="12"/>
      <c r="H13" s="8"/>
    </row>
    <row r="14" spans="2:8" x14ac:dyDescent="0.25">
      <c r="F14" s="10"/>
      <c r="G14" s="12"/>
      <c r="H14" s="8"/>
    </row>
    <row r="15" spans="2:8" x14ac:dyDescent="0.25">
      <c r="F15" s="10"/>
      <c r="G15" s="12"/>
      <c r="H15" s="8"/>
    </row>
    <row r="16" spans="2:8" x14ac:dyDescent="0.25">
      <c r="G16" s="12">
        <f>SUM(G7:G15)</f>
        <v>32</v>
      </c>
      <c r="H16" s="8">
        <f>SUM(H7:H15)</f>
        <v>162</v>
      </c>
    </row>
    <row r="22" spans="2:4" x14ac:dyDescent="0.25">
      <c r="C22" s="8" t="s">
        <v>64</v>
      </c>
      <c r="D22" s="8" t="s">
        <v>65</v>
      </c>
    </row>
    <row r="23" spans="2:4" x14ac:dyDescent="0.25">
      <c r="C23" s="4" t="s">
        <v>18</v>
      </c>
      <c r="D23" s="11" t="s">
        <v>18</v>
      </c>
    </row>
    <row r="24" spans="2:4" x14ac:dyDescent="0.25">
      <c r="B24" s="3" t="s">
        <v>67</v>
      </c>
      <c r="C24" s="6">
        <f>G16/0.85</f>
        <v>37.647058823529413</v>
      </c>
      <c r="D24" s="6">
        <f>H16/0.85</f>
        <v>190.58823529411765</v>
      </c>
    </row>
    <row r="25" spans="2:4" x14ac:dyDescent="0.25">
      <c r="B25" s="3" t="s">
        <v>66</v>
      </c>
      <c r="C25" s="6">
        <f>C12/0.85</f>
        <v>301.1764705882353</v>
      </c>
      <c r="D25" s="6">
        <f>D12/0.85</f>
        <v>631.76470588235293</v>
      </c>
    </row>
    <row r="26" spans="2:4" x14ac:dyDescent="0.25">
      <c r="B26" s="3" t="s">
        <v>79</v>
      </c>
      <c r="C26" s="6">
        <v>296</v>
      </c>
      <c r="D26" s="6">
        <v>296</v>
      </c>
    </row>
    <row r="27" spans="2:4" x14ac:dyDescent="0.25">
      <c r="B27" s="3" t="s">
        <v>80</v>
      </c>
      <c r="C27" s="6"/>
      <c r="D27" s="6"/>
    </row>
    <row r="28" spans="2:4" x14ac:dyDescent="0.25">
      <c r="C28" s="6">
        <f>SUM(C24:C27)</f>
        <v>634.82352941176464</v>
      </c>
      <c r="D28" s="6">
        <f>SUM(D24:D27)</f>
        <v>1118.3529411764707</v>
      </c>
    </row>
    <row r="29" spans="2:4" x14ac:dyDescent="0.25">
      <c r="C29" s="9"/>
      <c r="D29" s="9"/>
    </row>
    <row r="30" spans="2:4" x14ac:dyDescent="0.25">
      <c r="B30" t="s">
        <v>81</v>
      </c>
      <c r="C30" s="9"/>
      <c r="D30" s="9"/>
    </row>
    <row r="31" spans="2:4" x14ac:dyDescent="0.25">
      <c r="B31" t="s">
        <v>82</v>
      </c>
      <c r="C31" s="9"/>
      <c r="D31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28C7-7A38-4B6E-A22F-1DA0B6F551B5}">
  <dimension ref="A5:B9"/>
  <sheetViews>
    <sheetView workbookViewId="0">
      <selection activeCell="A5" sqref="A5:B9"/>
    </sheetView>
  </sheetViews>
  <sheetFormatPr defaultRowHeight="15" x14ac:dyDescent="0.25"/>
  <cols>
    <col min="1" max="1" width="33.85546875" customWidth="1"/>
  </cols>
  <sheetData>
    <row r="5" spans="1:2" x14ac:dyDescent="0.25">
      <c r="A5" t="s">
        <v>85</v>
      </c>
      <c r="B5">
        <v>4</v>
      </c>
    </row>
    <row r="6" spans="1:2" x14ac:dyDescent="0.25">
      <c r="A6" t="s">
        <v>66</v>
      </c>
      <c r="B6">
        <v>8.5</v>
      </c>
    </row>
    <row r="7" spans="1:2" x14ac:dyDescent="0.25">
      <c r="A7" t="s">
        <v>4</v>
      </c>
      <c r="B7">
        <v>6.8</v>
      </c>
    </row>
    <row r="8" spans="1:2" x14ac:dyDescent="0.25">
      <c r="A8" t="s">
        <v>80</v>
      </c>
      <c r="B8">
        <v>24</v>
      </c>
    </row>
    <row r="9" spans="1:2" x14ac:dyDescent="0.25">
      <c r="A9" t="s">
        <v>7</v>
      </c>
      <c r="B9">
        <v>0.9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Calculator</vt:lpstr>
      <vt:lpstr>Sensor Pwr Usage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Kecy</dc:creator>
  <cp:lastModifiedBy>Chad Kecy</cp:lastModifiedBy>
  <dcterms:created xsi:type="dcterms:W3CDTF">2026-10-01T19:45:17Z</dcterms:created>
  <dcterms:modified xsi:type="dcterms:W3CDTF">2026-10-06T00:47:53Z</dcterms:modified>
</cp:coreProperties>
</file>