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Sheet1" sheetId="1" r:id="rId1"/>
    <sheet name="Summary Table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I29" i="1" l="1"/>
  <c r="I5" i="1"/>
  <c r="I25" i="1"/>
  <c r="H7" i="1"/>
  <c r="C4" i="2" s="1"/>
  <c r="G7" i="1"/>
  <c r="I7" i="1" s="1"/>
  <c r="B4" i="2"/>
  <c r="C6" i="2"/>
  <c r="B6" i="2"/>
  <c r="C5" i="2"/>
  <c r="B5" i="2"/>
  <c r="C3" i="2"/>
  <c r="B3" i="2"/>
  <c r="E31" i="1"/>
  <c r="H29" i="1" s="1"/>
  <c r="E10" i="1"/>
  <c r="G29" i="1"/>
  <c r="E34" i="1"/>
  <c r="E33" i="1"/>
  <c r="E32" i="1"/>
  <c r="E30" i="1"/>
  <c r="B7" i="2" l="1"/>
  <c r="C7" i="2"/>
  <c r="E21" i="1"/>
  <c r="E9" i="1"/>
  <c r="K49" i="1"/>
  <c r="E49" i="1"/>
  <c r="H52" i="1"/>
  <c r="E19" i="1"/>
  <c r="D19" i="1" s="1"/>
  <c r="C19" i="1"/>
  <c r="D40" i="1"/>
  <c r="E39" i="1"/>
  <c r="E14" i="1"/>
  <c r="E18" i="1" l="1"/>
  <c r="D18" i="1"/>
  <c r="D17" i="1"/>
  <c r="E17" i="1" s="1"/>
  <c r="E20" i="1"/>
  <c r="D20" i="1"/>
  <c r="C20" i="1"/>
  <c r="E23" i="1"/>
  <c r="D23" i="1"/>
  <c r="D16" i="1"/>
  <c r="E16" i="1" s="1"/>
  <c r="D15" i="1"/>
  <c r="E15" i="1" s="1"/>
  <c r="E13" i="1"/>
  <c r="C13" i="1"/>
  <c r="D13" i="1"/>
  <c r="D12" i="1"/>
  <c r="E12" i="1"/>
  <c r="C12" i="1"/>
  <c r="G36" i="1" s="1"/>
  <c r="E11" i="1"/>
  <c r="E8" i="1"/>
  <c r="G26" i="1"/>
  <c r="G25" i="1"/>
  <c r="G6" i="1"/>
  <c r="G5" i="1"/>
  <c r="D1" i="1"/>
  <c r="E28" i="1" s="1"/>
  <c r="H36" i="1" l="1"/>
  <c r="E6" i="1"/>
  <c r="H6" i="1" s="1"/>
  <c r="E5" i="1"/>
  <c r="H5" i="1" s="1"/>
  <c r="E25" i="1"/>
  <c r="H25" i="1" s="1"/>
  <c r="E27" i="1"/>
  <c r="H26" i="1" s="1"/>
</calcChain>
</file>

<file path=xl/sharedStrings.xml><?xml version="1.0" encoding="utf-8"?>
<sst xmlns="http://schemas.openxmlformats.org/spreadsheetml/2006/main" count="75" uniqueCount="67">
  <si>
    <t>Component</t>
  </si>
  <si>
    <t>InstrumentFrameWeldment</t>
  </si>
  <si>
    <t xml:space="preserve">Water Density = </t>
  </si>
  <si>
    <t>Volume (in^3)</t>
  </si>
  <si>
    <t>WaterWeight (lbs)</t>
  </si>
  <si>
    <t>Air Weight (lbs)</t>
  </si>
  <si>
    <t>Sled</t>
  </si>
  <si>
    <t>RamAndPivotMount</t>
  </si>
  <si>
    <t>Ram Assembly #1</t>
  </si>
  <si>
    <t>Ram Assemblies</t>
  </si>
  <si>
    <t>Subtotals</t>
  </si>
  <si>
    <t>Notes:</t>
  </si>
  <si>
    <t>Oil volume not included (filled with air in air, water in water)</t>
  </si>
  <si>
    <t>Strobes</t>
  </si>
  <si>
    <t>Weldment Ram Mounts and Shaft</t>
  </si>
  <si>
    <t>Items Missing from this table but in model</t>
  </si>
  <si>
    <t>Items Missing from this table and model</t>
  </si>
  <si>
    <t>InstrumentPackage</t>
  </si>
  <si>
    <t>Orientation Plate</t>
  </si>
  <si>
    <t>Wide Swath Dual Optics</t>
  </si>
  <si>
    <t>3DAtDepth Electronics</t>
  </si>
  <si>
    <t>3DAtDepth Cables</t>
  </si>
  <si>
    <t>Totals</t>
  </si>
  <si>
    <t>Power Can</t>
  </si>
  <si>
    <t>Reson Electronics</t>
  </si>
  <si>
    <t>Reson Projector</t>
  </si>
  <si>
    <t>Reson Reciever</t>
  </si>
  <si>
    <t>CTD</t>
  </si>
  <si>
    <t>Camera Assembly</t>
  </si>
  <si>
    <t>Strobe Electronics</t>
  </si>
  <si>
    <t>Volume and weight from measurement (cameras only, structure neglected at this time)</t>
  </si>
  <si>
    <t>Not yet determined</t>
  </si>
  <si>
    <t>Volume and weight from measurement, Solidworks weight similar, volume about half (due to voids not being counted probably)</t>
  </si>
  <si>
    <t>Extra Camera?</t>
  </si>
  <si>
    <t>SVP</t>
  </si>
  <si>
    <t>Volume and weight from measurement, Solidworks close (m=7lbs, Vol = 72.2in^3)</t>
  </si>
  <si>
    <t>Volume based on solidworks model, weight from measurement (Solidworks at 62lbs in air)</t>
  </si>
  <si>
    <t>Volume and weight from measurement (Solidworks, 25.4lbs in air)</t>
  </si>
  <si>
    <t>Volume and weight from measurement (Solidworks close in weight (47.5lbs), Volume in error (included air perhaps).</t>
  </si>
  <si>
    <t>Volume Estimated</t>
  </si>
  <si>
    <t>Known Vol</t>
  </si>
  <si>
    <t>Known Weights</t>
  </si>
  <si>
    <t>From 3DAtDepth Mechanical ICD (Solidworks adjusted to be close)</t>
  </si>
  <si>
    <t>Weights from DataSheet, Solidworks set to be approx the same.</t>
  </si>
  <si>
    <t>From 3DAtDepth Mechanical ICD  (Solidworks adjusted to be close)</t>
  </si>
  <si>
    <t>Volume and weight from measurement - Solidwork mockup adjusted to be approximately correct</t>
  </si>
  <si>
    <t>TroniNav</t>
  </si>
  <si>
    <t>Stiffener</t>
  </si>
  <si>
    <t>From Solidworks Models</t>
  </si>
  <si>
    <t>Weights from solidworks, estimated internal mass</t>
  </si>
  <si>
    <t>Edgetech SubBottom</t>
  </si>
  <si>
    <t>Electronics Can</t>
  </si>
  <si>
    <t>Projector</t>
  </si>
  <si>
    <t>Receiver</t>
  </si>
  <si>
    <t>Weight from Solidworks is probably inaccurate. Volume OK.</t>
  </si>
  <si>
    <t>Weights and Volumes from Solidworks - Unverified</t>
  </si>
  <si>
    <t xml:space="preserve">KearFott </t>
  </si>
  <si>
    <t>Kearfott Brackets</t>
  </si>
  <si>
    <t>Frame</t>
  </si>
  <si>
    <t>Tilting Frame And Instruments</t>
  </si>
  <si>
    <t>Air Weight</t>
  </si>
  <si>
    <t>Wet Weight</t>
  </si>
  <si>
    <t>Sled Frame</t>
  </si>
  <si>
    <t>EdgeTech Assembly</t>
  </si>
  <si>
    <t>Mounts And Actuation</t>
  </si>
  <si>
    <t>Total</t>
  </si>
  <si>
    <t>Density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</si>
</sst>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000"/>
    <numFmt numFmtId="166" formatCode="0\ &quot;lbs&quot;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0" borderId="0" xfId="0" applyNumberFormat="1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0" xfId="0" applyNumberFormat="1"/>
    <xf numFmtId="0" fontId="0" fillId="0" borderId="0" xfId="0" applyAlignment="1">
      <alignment horizontal="center"/>
    </xf>
    <xf numFmtId="0" fontId="0" fillId="0" borderId="2" xfId="0" applyBorder="1"/>
    <xf numFmtId="0" fontId="0" fillId="0" borderId="4" xfId="0" applyBorder="1"/>
    <xf numFmtId="0" fontId="0" fillId="0" borderId="3" xfId="0" applyFill="1" applyBorder="1"/>
    <xf numFmtId="0" fontId="0" fillId="0" borderId="2" xfId="0" applyBorder="1" applyAlignment="1">
      <alignment horizontal="center"/>
    </xf>
    <xf numFmtId="166" fontId="0" fillId="0" borderId="2" xfId="0" applyNumberFormat="1" applyBorder="1" applyAlignment="1">
      <alignment horizontal="center"/>
    </xf>
    <xf numFmtId="166" fontId="0" fillId="0" borderId="4" xfId="0" applyNumberFormat="1" applyBorder="1" applyAlignment="1">
      <alignment horizontal="center"/>
    </xf>
    <xf numFmtId="166" fontId="0" fillId="0" borderId="3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workbookViewId="0">
      <selection activeCell="I29" sqref="I29"/>
    </sheetView>
  </sheetViews>
  <sheetFormatPr defaultRowHeight="15" x14ac:dyDescent="0.25"/>
  <cols>
    <col min="1" max="1" width="5.42578125" customWidth="1"/>
    <col min="2" max="2" width="26.42578125" bestFit="1" customWidth="1"/>
    <col min="3" max="3" width="17" customWidth="1"/>
    <col min="4" max="4" width="16.5703125" customWidth="1"/>
    <col min="5" max="5" width="19.85546875" customWidth="1"/>
    <col min="6" max="6" width="1.140625" customWidth="1"/>
    <col min="7" max="7" width="14.5703125" customWidth="1"/>
    <col min="8" max="8" width="13.5703125" customWidth="1"/>
    <col min="11" max="11" width="126.140625" customWidth="1"/>
  </cols>
  <sheetData>
    <row r="1" spans="1:11" x14ac:dyDescent="0.25">
      <c r="A1" t="s">
        <v>2</v>
      </c>
      <c r="C1">
        <v>1025</v>
      </c>
      <c r="D1">
        <f>+C1*2.2/(39.4^3)</f>
        <v>3.6868704770846368E-2</v>
      </c>
    </row>
    <row r="3" spans="1:11" x14ac:dyDescent="0.25">
      <c r="G3" s="6" t="s">
        <v>10</v>
      </c>
      <c r="H3" s="6"/>
    </row>
    <row r="4" spans="1:11" x14ac:dyDescent="0.25">
      <c r="A4" t="s">
        <v>0</v>
      </c>
      <c r="C4" t="s">
        <v>5</v>
      </c>
      <c r="D4" t="s">
        <v>3</v>
      </c>
      <c r="E4" t="s">
        <v>4</v>
      </c>
      <c r="G4" t="s">
        <v>5</v>
      </c>
      <c r="H4" t="s">
        <v>4</v>
      </c>
      <c r="J4" t="s">
        <v>66</v>
      </c>
      <c r="K4" t="s">
        <v>11</v>
      </c>
    </row>
    <row r="5" spans="1:11" x14ac:dyDescent="0.25">
      <c r="A5" t="s">
        <v>6</v>
      </c>
      <c r="C5">
        <v>227.2</v>
      </c>
      <c r="D5">
        <v>2329</v>
      </c>
      <c r="E5" s="1">
        <f>C5-D5*$D$1</f>
        <v>141.33278658869881</v>
      </c>
      <c r="F5" s="1"/>
      <c r="G5">
        <f>+C5</f>
        <v>227.2</v>
      </c>
      <c r="H5" s="1">
        <f>+E5</f>
        <v>141.33278658869881</v>
      </c>
      <c r="I5">
        <f>+G5/D5</f>
        <v>9.7552597681408323E-2</v>
      </c>
    </row>
    <row r="6" spans="1:11" x14ac:dyDescent="0.25">
      <c r="A6" t="s">
        <v>1</v>
      </c>
      <c r="C6" s="1">
        <v>50</v>
      </c>
      <c r="D6" s="1">
        <v>510</v>
      </c>
      <c r="E6" s="1">
        <f>C6-D6*$D$1</f>
        <v>31.196960566868352</v>
      </c>
      <c r="F6" s="1"/>
      <c r="G6">
        <f>+C6</f>
        <v>50</v>
      </c>
      <c r="H6" s="1">
        <f>+E6</f>
        <v>31.196960566868352</v>
      </c>
    </row>
    <row r="7" spans="1:11" x14ac:dyDescent="0.25">
      <c r="A7" t="s">
        <v>17</v>
      </c>
      <c r="C7" s="1"/>
      <c r="D7" s="1"/>
      <c r="E7" s="1"/>
      <c r="F7" s="1"/>
      <c r="G7" s="1">
        <f>+SUM(C8:C23)</f>
        <v>683.37000000000012</v>
      </c>
      <c r="H7" s="1">
        <f>+SUM(E8:E23)</f>
        <v>392.52990758269334</v>
      </c>
      <c r="I7">
        <f>+G7/SUM(D8:D23)</f>
        <v>8.662824499141869E-2</v>
      </c>
    </row>
    <row r="8" spans="1:11" x14ac:dyDescent="0.25">
      <c r="B8" t="s">
        <v>18</v>
      </c>
      <c r="C8" s="1">
        <v>66.5</v>
      </c>
      <c r="D8" s="1">
        <v>682</v>
      </c>
      <c r="E8" s="1">
        <f>C8-D8*$D$1</f>
        <v>41.355543346282772</v>
      </c>
      <c r="F8" s="1"/>
      <c r="H8" s="1"/>
      <c r="K8" t="s">
        <v>48</v>
      </c>
    </row>
    <row r="9" spans="1:11" x14ac:dyDescent="0.25">
      <c r="B9" t="s">
        <v>47</v>
      </c>
      <c r="C9" s="1">
        <v>1.83</v>
      </c>
      <c r="D9" s="1">
        <v>18.78</v>
      </c>
      <c r="E9" s="1">
        <f>C9-D9*$D$1</f>
        <v>1.1376057244035054</v>
      </c>
      <c r="F9" s="1"/>
      <c r="H9" s="1"/>
      <c r="K9" t="s">
        <v>48</v>
      </c>
    </row>
    <row r="10" spans="1:11" x14ac:dyDescent="0.25">
      <c r="B10" t="s">
        <v>57</v>
      </c>
      <c r="C10" s="1">
        <v>9</v>
      </c>
      <c r="D10" s="1">
        <v>176</v>
      </c>
      <c r="E10" s="1">
        <f>C10-D10*$D$1</f>
        <v>2.5111079603310396</v>
      </c>
      <c r="F10" s="1"/>
      <c r="H10" s="1"/>
      <c r="K10" t="s">
        <v>48</v>
      </c>
    </row>
    <row r="11" spans="1:11" x14ac:dyDescent="0.25">
      <c r="B11" t="s">
        <v>56</v>
      </c>
      <c r="C11" s="1">
        <v>100.5</v>
      </c>
      <c r="D11" s="1">
        <v>700</v>
      </c>
      <c r="E11" s="1">
        <f>C11-D11*$D$1</f>
        <v>74.69190666040754</v>
      </c>
      <c r="F11" s="1"/>
      <c r="H11" s="1"/>
      <c r="K11" t="s">
        <v>36</v>
      </c>
    </row>
    <row r="12" spans="1:11" x14ac:dyDescent="0.25">
      <c r="B12" t="s">
        <v>19</v>
      </c>
      <c r="C12" s="1">
        <f>2*63+20.8</f>
        <v>146.80000000000001</v>
      </c>
      <c r="D12" s="1">
        <f>+(C12-E12)/$D$1</f>
        <v>1339.8897603547673</v>
      </c>
      <c r="E12" s="1">
        <f>2*39.7+18</f>
        <v>97.4</v>
      </c>
      <c r="F12" s="1"/>
      <c r="H12" s="1"/>
      <c r="K12" t="s">
        <v>42</v>
      </c>
    </row>
    <row r="13" spans="1:11" x14ac:dyDescent="0.25">
      <c r="B13" t="s">
        <v>20</v>
      </c>
      <c r="C13" s="1">
        <f>123.4+19.8</f>
        <v>143.20000000000002</v>
      </c>
      <c r="D13" s="1">
        <f>+(C13-E13)/$D$1</f>
        <v>2373.2865188470068</v>
      </c>
      <c r="E13" s="1">
        <f>55.7</f>
        <v>55.7</v>
      </c>
      <c r="F13" s="1"/>
      <c r="H13" s="1"/>
      <c r="K13" t="s">
        <v>44</v>
      </c>
    </row>
    <row r="14" spans="1:11" x14ac:dyDescent="0.25">
      <c r="B14" t="s">
        <v>21</v>
      </c>
      <c r="C14" s="1">
        <v>19.8</v>
      </c>
      <c r="D14" s="1">
        <v>100</v>
      </c>
      <c r="E14" s="1">
        <f>C14-D14*$D$1</f>
        <v>16.113129522915365</v>
      </c>
      <c r="F14" s="1"/>
      <c r="H14" s="1"/>
      <c r="K14" t="s">
        <v>39</v>
      </c>
    </row>
    <row r="15" spans="1:11" x14ac:dyDescent="0.25">
      <c r="B15" t="s">
        <v>23</v>
      </c>
      <c r="C15" s="1">
        <v>47.8</v>
      </c>
      <c r="D15" s="1">
        <f>19.03*0.25*PI()*6.854^2</f>
        <v>702.1289333783219</v>
      </c>
      <c r="E15" s="1">
        <f>C15-D15*$D$1</f>
        <v>21.91341564420539</v>
      </c>
      <c r="F15" s="1"/>
      <c r="H15" s="1"/>
      <c r="K15" t="s">
        <v>37</v>
      </c>
    </row>
    <row r="16" spans="1:11" x14ac:dyDescent="0.25">
      <c r="B16" t="s">
        <v>24</v>
      </c>
      <c r="C16" s="1">
        <v>54.8</v>
      </c>
      <c r="D16" s="1">
        <f>19.03*0.25*PI()*6.854^2</f>
        <v>702.1289333783219</v>
      </c>
      <c r="E16" s="1">
        <f>C16-D16*$D$1</f>
        <v>28.91341564420539</v>
      </c>
      <c r="F16" s="1"/>
      <c r="H16" s="1"/>
      <c r="K16" t="s">
        <v>38</v>
      </c>
    </row>
    <row r="17" spans="1:11" x14ac:dyDescent="0.25">
      <c r="B17" t="s">
        <v>25</v>
      </c>
      <c r="C17" s="1">
        <v>7.4</v>
      </c>
      <c r="D17" s="1">
        <f>2.428*2.46*11</f>
        <v>65.701679999999996</v>
      </c>
      <c r="E17" s="1">
        <f>C17-D17*$D$1</f>
        <v>4.9776641571313789</v>
      </c>
      <c r="F17" s="1"/>
      <c r="H17" s="1"/>
      <c r="K17" t="s">
        <v>35</v>
      </c>
    </row>
    <row r="18" spans="1:11" x14ac:dyDescent="0.25">
      <c r="B18" t="s">
        <v>26</v>
      </c>
      <c r="C18" s="1">
        <v>25.5</v>
      </c>
      <c r="D18" s="1">
        <f>19*5*4</f>
        <v>380</v>
      </c>
      <c r="E18" s="1">
        <f>C18-D18*$D$1</f>
        <v>11.489892187078381</v>
      </c>
      <c r="F18" s="1"/>
      <c r="H18" s="1"/>
      <c r="K18" t="s">
        <v>32</v>
      </c>
    </row>
    <row r="19" spans="1:11" x14ac:dyDescent="0.25">
      <c r="B19" t="s">
        <v>27</v>
      </c>
      <c r="C19" s="1">
        <f>2.7*2.2</f>
        <v>5.9400000000000013</v>
      </c>
      <c r="D19" s="1">
        <f>+(C19-E19)/$D$1</f>
        <v>77.572565073170765</v>
      </c>
      <c r="E19" s="1">
        <f>1.4*2.2</f>
        <v>3.08</v>
      </c>
      <c r="F19" s="1"/>
      <c r="H19" s="1"/>
      <c r="K19" t="s">
        <v>43</v>
      </c>
    </row>
    <row r="20" spans="1:11" x14ac:dyDescent="0.25">
      <c r="B20" t="s">
        <v>28</v>
      </c>
      <c r="C20" s="1">
        <f>2*12.5</f>
        <v>25</v>
      </c>
      <c r="D20" s="1">
        <f>2*11*0.25*PI()*3.48^2</f>
        <v>209.25269019618605</v>
      </c>
      <c r="E20" s="1">
        <f>C20-D20*$D$1</f>
        <v>17.285124342651439</v>
      </c>
      <c r="F20" s="1"/>
      <c r="H20" s="1"/>
      <c r="K20" t="s">
        <v>30</v>
      </c>
    </row>
    <row r="21" spans="1:11" x14ac:dyDescent="0.25">
      <c r="B21" t="s">
        <v>46</v>
      </c>
      <c r="C21" s="1">
        <v>5.7</v>
      </c>
      <c r="D21" s="1">
        <v>90</v>
      </c>
      <c r="E21" s="1">
        <f>C21-D21*$D$1</f>
        <v>2.381816570623827</v>
      </c>
      <c r="F21" s="1"/>
      <c r="H21" s="1"/>
      <c r="K21" t="s">
        <v>49</v>
      </c>
    </row>
    <row r="22" spans="1:11" x14ac:dyDescent="0.25">
      <c r="B22" t="s">
        <v>13</v>
      </c>
      <c r="C22" s="1"/>
      <c r="D22" s="1"/>
      <c r="E22" s="1"/>
      <c r="F22" s="1"/>
      <c r="H22" s="1"/>
      <c r="K22" t="s">
        <v>31</v>
      </c>
    </row>
    <row r="23" spans="1:11" x14ac:dyDescent="0.25">
      <c r="B23" t="s">
        <v>29</v>
      </c>
      <c r="C23" s="1">
        <v>23.6</v>
      </c>
      <c r="D23" s="1">
        <f>14.01*0.25*PI()*4.97^2</f>
        <v>271.79458133463902</v>
      </c>
      <c r="E23" s="1">
        <f>C23-D23*$D$1</f>
        <v>13.579285822457404</v>
      </c>
      <c r="F23" s="1"/>
      <c r="H23" s="1"/>
      <c r="K23" t="s">
        <v>45</v>
      </c>
    </row>
    <row r="24" spans="1:11" x14ac:dyDescent="0.25">
      <c r="C24" s="1"/>
      <c r="D24" s="1"/>
      <c r="E24" s="1"/>
      <c r="F24" s="1"/>
      <c r="I24" s="1"/>
      <c r="J24" s="1"/>
    </row>
    <row r="25" spans="1:11" x14ac:dyDescent="0.25">
      <c r="A25" t="s">
        <v>7</v>
      </c>
      <c r="C25" s="1">
        <v>57.6</v>
      </c>
      <c r="D25" s="1">
        <v>604</v>
      </c>
      <c r="E25" s="1">
        <f>C25-D25*$D$1</f>
        <v>35.331302318408795</v>
      </c>
      <c r="F25" s="1"/>
      <c r="G25">
        <f>+C25</f>
        <v>57.6</v>
      </c>
      <c r="H25" s="1">
        <f>+E25</f>
        <v>35.331302318408795</v>
      </c>
      <c r="I25">
        <f>+G25/D25</f>
        <v>9.5364238410596033E-2</v>
      </c>
    </row>
    <row r="26" spans="1:11" x14ac:dyDescent="0.25">
      <c r="A26" t="s">
        <v>9</v>
      </c>
      <c r="C26" s="1"/>
      <c r="D26" s="1"/>
      <c r="E26" s="1"/>
      <c r="F26" s="1"/>
      <c r="G26" s="1">
        <f>+C27+C28</f>
        <v>16</v>
      </c>
      <c r="H26" s="1">
        <f>+E27+E28</f>
        <v>13.957473755695112</v>
      </c>
      <c r="K26" t="s">
        <v>12</v>
      </c>
    </row>
    <row r="27" spans="1:11" x14ac:dyDescent="0.25">
      <c r="B27" t="s">
        <v>8</v>
      </c>
      <c r="C27" s="1">
        <v>8</v>
      </c>
      <c r="D27" s="1">
        <v>27.7</v>
      </c>
      <c r="E27" s="1">
        <f>C27-D27*$D$1</f>
        <v>6.978736877847556</v>
      </c>
      <c r="F27" s="1"/>
    </row>
    <row r="28" spans="1:11" x14ac:dyDescent="0.25">
      <c r="B28" t="s">
        <v>8</v>
      </c>
      <c r="C28" s="1">
        <v>8</v>
      </c>
      <c r="D28" s="1">
        <v>27.7</v>
      </c>
      <c r="E28" s="1">
        <f>C28-D28*$D$1</f>
        <v>6.978736877847556</v>
      </c>
      <c r="F28" s="1"/>
    </row>
    <row r="29" spans="1:11" x14ac:dyDescent="0.25">
      <c r="A29" t="s">
        <v>50</v>
      </c>
      <c r="C29" s="1"/>
      <c r="D29" s="1"/>
      <c r="E29" s="1"/>
      <c r="F29" s="1"/>
      <c r="G29" s="1">
        <f>+SUM(C30:C34)</f>
        <v>139</v>
      </c>
      <c r="H29" s="1">
        <f>+SUM(E30:E34)</f>
        <v>62.497437600493797</v>
      </c>
      <c r="I29">
        <f>+G29/SUM(D30:D34)</f>
        <v>6.6987951807228913E-2</v>
      </c>
    </row>
    <row r="30" spans="1:11" x14ac:dyDescent="0.25">
      <c r="B30" t="s">
        <v>51</v>
      </c>
      <c r="C30" s="1">
        <v>45</v>
      </c>
      <c r="D30" s="1">
        <v>696</v>
      </c>
      <c r="E30" s="1">
        <f>C30-D30*$D$1</f>
        <v>19.339381479490928</v>
      </c>
      <c r="F30" s="1"/>
      <c r="K30" t="s">
        <v>55</v>
      </c>
    </row>
    <row r="31" spans="1:11" x14ac:dyDescent="0.25">
      <c r="B31" t="s">
        <v>58</v>
      </c>
      <c r="C31" s="1">
        <v>12</v>
      </c>
      <c r="D31" s="1">
        <v>120</v>
      </c>
      <c r="E31" s="1">
        <f>C31-D31*$D$1</f>
        <v>7.5757554274984358</v>
      </c>
      <c r="F31" s="1"/>
    </row>
    <row r="32" spans="1:11" x14ac:dyDescent="0.25">
      <c r="B32" t="s">
        <v>52</v>
      </c>
      <c r="C32" s="1">
        <v>70</v>
      </c>
      <c r="D32" s="1">
        <v>989</v>
      </c>
      <c r="E32" s="1">
        <f>C32-D32*$D$1</f>
        <v>33.536850981632945</v>
      </c>
      <c r="F32" s="1"/>
      <c r="K32" t="s">
        <v>54</v>
      </c>
    </row>
    <row r="33" spans="1:11" x14ac:dyDescent="0.25">
      <c r="B33" t="s">
        <v>53</v>
      </c>
      <c r="C33" s="1">
        <v>6</v>
      </c>
      <c r="D33" s="1">
        <v>135</v>
      </c>
      <c r="E33" s="1">
        <f>C33-D33*$D$1</f>
        <v>1.0227248559357403</v>
      </c>
      <c r="F33" s="1"/>
      <c r="K33" t="s">
        <v>55</v>
      </c>
    </row>
    <row r="34" spans="1:11" x14ac:dyDescent="0.25">
      <c r="B34" t="s">
        <v>53</v>
      </c>
      <c r="C34" s="1">
        <v>6</v>
      </c>
      <c r="D34" s="1">
        <v>135</v>
      </c>
      <c r="E34" s="1">
        <f>C34-D34*$D$1</f>
        <v>1.0227248559357403</v>
      </c>
      <c r="F34" s="1"/>
      <c r="K34" t="s">
        <v>55</v>
      </c>
    </row>
    <row r="35" spans="1:11" x14ac:dyDescent="0.25">
      <c r="A35" s="3"/>
      <c r="C35" s="4"/>
      <c r="D35" s="4"/>
      <c r="E35" s="4"/>
      <c r="F35" s="4"/>
      <c r="G35" s="3"/>
      <c r="H35" s="3"/>
    </row>
    <row r="36" spans="1:11" x14ac:dyDescent="0.25">
      <c r="A36" t="s">
        <v>22</v>
      </c>
      <c r="C36" s="1"/>
      <c r="D36" s="1"/>
      <c r="E36" s="1"/>
      <c r="F36" s="1"/>
      <c r="G36">
        <f>+SUM(G5:G35)</f>
        <v>1173.17</v>
      </c>
      <c r="H36">
        <f>+SUM(H5:H35)</f>
        <v>676.84586841285818</v>
      </c>
    </row>
    <row r="37" spans="1:11" x14ac:dyDescent="0.25">
      <c r="C37" s="1"/>
      <c r="D37" s="1"/>
      <c r="E37" s="1"/>
      <c r="F37" s="1"/>
    </row>
    <row r="38" spans="1:11" x14ac:dyDescent="0.25">
      <c r="C38" s="1"/>
      <c r="D38" s="1"/>
      <c r="E38" s="1"/>
      <c r="F38" s="1"/>
    </row>
    <row r="39" spans="1:11" x14ac:dyDescent="0.25">
      <c r="B39" t="s">
        <v>40</v>
      </c>
      <c r="C39" s="1">
        <v>63</v>
      </c>
      <c r="D39" s="1">
        <v>233</v>
      </c>
      <c r="E39" s="1">
        <f>C39-D39*$D$1</f>
        <v>54.409591788392795</v>
      </c>
      <c r="F39" s="1"/>
    </row>
    <row r="40" spans="1:11" x14ac:dyDescent="0.25">
      <c r="B40" t="s">
        <v>41</v>
      </c>
      <c r="C40" s="1">
        <v>612</v>
      </c>
      <c r="D40" s="1">
        <f>+(C40-E40)/$D$1</f>
        <v>7052.0513702882481</v>
      </c>
      <c r="E40" s="1">
        <v>352</v>
      </c>
      <c r="F40" s="1"/>
    </row>
    <row r="41" spans="1:11" x14ac:dyDescent="0.25">
      <c r="A41" s="2" t="s">
        <v>15</v>
      </c>
      <c r="C41" s="1"/>
      <c r="D41" s="1"/>
      <c r="E41" s="1"/>
      <c r="F41" s="1"/>
    </row>
    <row r="42" spans="1:11" x14ac:dyDescent="0.25">
      <c r="C42" s="1"/>
      <c r="D42" s="1"/>
      <c r="E42" s="1"/>
      <c r="F42" s="1"/>
    </row>
    <row r="43" spans="1:11" x14ac:dyDescent="0.25">
      <c r="A43" t="s">
        <v>14</v>
      </c>
      <c r="C43" s="1"/>
      <c r="D43" s="1"/>
      <c r="E43" s="1"/>
      <c r="F43" s="1"/>
    </row>
    <row r="44" spans="1:11" x14ac:dyDescent="0.25">
      <c r="C44" s="1"/>
      <c r="D44" s="1"/>
      <c r="E44" s="1"/>
      <c r="F44" s="1"/>
    </row>
    <row r="45" spans="1:11" x14ac:dyDescent="0.25">
      <c r="C45" s="1"/>
      <c r="D45" s="1"/>
      <c r="E45" s="1"/>
      <c r="F45" s="1"/>
    </row>
    <row r="46" spans="1:11" x14ac:dyDescent="0.25">
      <c r="C46" s="1"/>
      <c r="D46" s="1"/>
      <c r="E46" s="1"/>
      <c r="F46" s="1"/>
    </row>
    <row r="47" spans="1:11" x14ac:dyDescent="0.25">
      <c r="C47" s="1"/>
      <c r="D47" s="1"/>
      <c r="E47" s="1"/>
      <c r="F47" s="1"/>
    </row>
    <row r="48" spans="1:11" x14ac:dyDescent="0.25">
      <c r="A48" s="2" t="s">
        <v>16</v>
      </c>
      <c r="C48" s="1"/>
      <c r="D48" s="1"/>
      <c r="E48" s="1"/>
      <c r="F48" s="1"/>
    </row>
    <row r="49" spans="1:11" x14ac:dyDescent="0.25">
      <c r="A49" t="s">
        <v>33</v>
      </c>
      <c r="C49" s="1"/>
      <c r="D49" s="1"/>
      <c r="E49" s="1">
        <f>23.6/271.8</f>
        <v>8.682855040470934E-2</v>
      </c>
      <c r="F49" s="1"/>
      <c r="K49" s="5">
        <f>(5.9/2.2)/(77.6/(39.4^3))</f>
        <v>2113.7629194001875</v>
      </c>
    </row>
    <row r="50" spans="1:11" x14ac:dyDescent="0.25">
      <c r="A50" t="s">
        <v>34</v>
      </c>
      <c r="C50" s="1"/>
      <c r="D50" s="1"/>
      <c r="E50" s="1"/>
      <c r="F50" s="1"/>
    </row>
    <row r="51" spans="1:11" x14ac:dyDescent="0.25">
      <c r="C51" s="1"/>
      <c r="D51" s="1"/>
      <c r="E51" s="1"/>
      <c r="F51" s="1"/>
    </row>
    <row r="52" spans="1:11" x14ac:dyDescent="0.25">
      <c r="C52" s="1"/>
      <c r="D52" s="1"/>
      <c r="E52" s="1"/>
      <c r="F52" s="1"/>
      <c r="H52">
        <f>(1+35/88)*2000</f>
        <v>2795.4545454545455</v>
      </c>
    </row>
    <row r="53" spans="1:11" x14ac:dyDescent="0.25">
      <c r="C53" s="1"/>
      <c r="D53" s="1"/>
      <c r="E53" s="1"/>
      <c r="F53" s="1"/>
    </row>
    <row r="54" spans="1:11" x14ac:dyDescent="0.25">
      <c r="C54" s="1"/>
      <c r="D54" s="1"/>
      <c r="E54" s="1"/>
      <c r="F54" s="1"/>
    </row>
    <row r="55" spans="1:11" x14ac:dyDescent="0.25">
      <c r="C55" s="1"/>
      <c r="D55" s="1"/>
      <c r="E55" s="1"/>
      <c r="F55" s="1"/>
    </row>
    <row r="56" spans="1:11" x14ac:dyDescent="0.25">
      <c r="C56" s="1"/>
      <c r="D56" s="1"/>
      <c r="E56" s="1"/>
      <c r="F56" s="1"/>
    </row>
    <row r="57" spans="1:11" x14ac:dyDescent="0.25">
      <c r="C57" s="1"/>
      <c r="D57" s="1"/>
      <c r="E57" s="1"/>
      <c r="F57" s="1"/>
    </row>
    <row r="58" spans="1:11" x14ac:dyDescent="0.25">
      <c r="C58" s="1"/>
      <c r="D58" s="1"/>
      <c r="E58" s="1"/>
      <c r="F58" s="1"/>
    </row>
  </sheetData>
  <mergeCells count="1">
    <mergeCell ref="G3:H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7"/>
  <sheetViews>
    <sheetView tabSelected="1" workbookViewId="0">
      <selection activeCell="M41" sqref="M41"/>
    </sheetView>
  </sheetViews>
  <sheetFormatPr defaultRowHeight="15" x14ac:dyDescent="0.25"/>
  <cols>
    <col min="1" max="1" width="29.5703125" customWidth="1"/>
    <col min="2" max="2" width="15.7109375" customWidth="1"/>
    <col min="3" max="3" width="17" customWidth="1"/>
  </cols>
  <sheetData>
    <row r="2" spans="1:3" x14ac:dyDescent="0.25">
      <c r="A2" s="7"/>
      <c r="B2" s="10" t="s">
        <v>60</v>
      </c>
      <c r="C2" s="10" t="s">
        <v>61</v>
      </c>
    </row>
    <row r="3" spans="1:3" x14ac:dyDescent="0.25">
      <c r="A3" s="7" t="s">
        <v>62</v>
      </c>
      <c r="B3" s="11">
        <f>+Sheet1!G5</f>
        <v>227.2</v>
      </c>
      <c r="C3" s="11">
        <f>Sheet1!H5</f>
        <v>141.33278658869881</v>
      </c>
    </row>
    <row r="4" spans="1:3" x14ac:dyDescent="0.25">
      <c r="A4" s="7" t="s">
        <v>59</v>
      </c>
      <c r="B4" s="11">
        <f>+Sheet1!G6+Sheet1!G7</f>
        <v>733.37000000000012</v>
      </c>
      <c r="C4" s="11">
        <f>+Sheet1!H6+Sheet1!H7</f>
        <v>423.72686814956171</v>
      </c>
    </row>
    <row r="5" spans="1:3" x14ac:dyDescent="0.25">
      <c r="A5" s="7" t="s">
        <v>64</v>
      </c>
      <c r="B5" s="11">
        <f>+Sheet1!G25+Sheet1!G26</f>
        <v>73.599999999999994</v>
      </c>
      <c r="C5" s="11">
        <f>+Sheet1!H25+Sheet1!H26</f>
        <v>49.288776074103907</v>
      </c>
    </row>
    <row r="6" spans="1:3" ht="15.75" thickBot="1" x14ac:dyDescent="0.3">
      <c r="A6" s="8" t="s">
        <v>63</v>
      </c>
      <c r="B6" s="12">
        <f>+Sheet1!G29</f>
        <v>139</v>
      </c>
      <c r="C6" s="12">
        <f>+Sheet1!H29</f>
        <v>62.497437600493797</v>
      </c>
    </row>
    <row r="7" spans="1:3" ht="15.75" thickTop="1" x14ac:dyDescent="0.25">
      <c r="A7" s="9" t="s">
        <v>65</v>
      </c>
      <c r="B7" s="13">
        <f>+SUM(B3:B6)</f>
        <v>1173.17</v>
      </c>
      <c r="C7" s="13">
        <f>+SUM(C3:C6)</f>
        <v>676.84586841285818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Summary Table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2019-03-25T16:49:04Z</dcterms:modified>
</cp:coreProperties>
</file>