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96" yWindow="156" windowWidth="15300" windowHeight="10200"/>
  </bookViews>
  <sheets>
    <sheet name="LightEnergyBudgets" sheetId="1" r:id="rId1"/>
    <sheet name="LED&amp;Reflectors" sheetId="2" r:id="rId2"/>
    <sheet name="TestPatternSize" sheetId="3" r:id="rId3"/>
    <sheet name="LEDDriverCircuits" sheetId="4" r:id="rId4"/>
    <sheet name="LensCalculation" sheetId="5" r:id="rId5"/>
    <sheet name="CDR_Table" sheetId="6" r:id="rId6"/>
  </sheets>
  <calcPr calcId="145621"/>
</workbook>
</file>

<file path=xl/calcChain.xml><?xml version="1.0" encoding="utf-8"?>
<calcChain xmlns="http://schemas.openxmlformats.org/spreadsheetml/2006/main">
  <c r="O4" i="1" l="1"/>
  <c r="W21" i="1"/>
  <c r="W20" i="1"/>
  <c r="C13" i="6"/>
  <c r="B13" i="6"/>
  <c r="U21" i="1"/>
  <c r="B12" i="6"/>
  <c r="C12" i="6" s="1"/>
  <c r="U20" i="1"/>
  <c r="C11" i="6"/>
  <c r="B11" i="6"/>
  <c r="E7" i="6" l="1"/>
  <c r="D7" i="6"/>
  <c r="E6" i="6"/>
  <c r="D6" i="6"/>
  <c r="C6" i="6"/>
  <c r="B6" i="6"/>
  <c r="C5" i="6"/>
  <c r="C4" i="6"/>
  <c r="B5" i="6"/>
  <c r="B4" i="6"/>
  <c r="A5" i="6"/>
  <c r="A4" i="6"/>
  <c r="F20" i="1" l="1"/>
  <c r="O20" i="1"/>
  <c r="O21" i="1"/>
  <c r="K15" i="1"/>
  <c r="R15" i="1" s="1"/>
  <c r="X14" i="5"/>
  <c r="V14" i="5" s="1"/>
  <c r="W14" i="5"/>
  <c r="U14" i="5" s="1"/>
  <c r="X10" i="5"/>
  <c r="V10" i="5" s="1"/>
  <c r="W10" i="5"/>
  <c r="U10" i="5" s="1"/>
  <c r="X8" i="5"/>
  <c r="V8" i="5" s="1"/>
  <c r="W8" i="5"/>
  <c r="U8" i="5" s="1"/>
  <c r="X6" i="5"/>
  <c r="V6" i="5" s="1"/>
  <c r="W6" i="5"/>
  <c r="U6" i="5" s="1"/>
  <c r="O17" i="1"/>
  <c r="Q17" i="1" s="1"/>
  <c r="K12" i="1"/>
  <c r="R12" i="1" s="1"/>
  <c r="D12" i="1"/>
  <c r="K11" i="1"/>
  <c r="P11" i="1" s="1"/>
  <c r="D5" i="6" s="1"/>
  <c r="D11" i="1"/>
  <c r="D10" i="1"/>
  <c r="D9" i="1"/>
  <c r="D8" i="1"/>
  <c r="K10" i="1"/>
  <c r="P10" i="1" s="1"/>
  <c r="D4" i="6" s="1"/>
  <c r="K9" i="1"/>
  <c r="P9" i="1" s="1"/>
  <c r="K8" i="1"/>
  <c r="Q8" i="1" s="1"/>
  <c r="I7" i="1"/>
  <c r="J7" i="1" s="1"/>
  <c r="K14" i="1"/>
  <c r="Q14" i="1" s="1"/>
  <c r="D7" i="3"/>
  <c r="D8" i="3"/>
  <c r="D3" i="3"/>
  <c r="D4" i="3" s="1"/>
  <c r="C8" i="3"/>
  <c r="C4" i="3"/>
  <c r="O8" i="1"/>
  <c r="O9" i="1"/>
  <c r="D14" i="1"/>
  <c r="D7" i="1"/>
  <c r="K7" i="1"/>
  <c r="O7" i="1" s="1"/>
  <c r="K21" i="1"/>
  <c r="G4" i="1"/>
  <c r="K4" i="1" s="1"/>
  <c r="Q4" i="1" s="1"/>
  <c r="P7" i="1"/>
  <c r="K20" i="1"/>
  <c r="V5" i="1"/>
  <c r="X5" i="1" s="1"/>
  <c r="I5" i="1" s="1"/>
  <c r="J5" i="1" s="1"/>
  <c r="V6" i="1"/>
  <c r="W6" i="1" s="1"/>
  <c r="G5" i="1"/>
  <c r="K5" i="1" s="1"/>
  <c r="G6" i="1"/>
  <c r="K6" i="1" s="1"/>
  <c r="P6" i="1" s="1"/>
  <c r="D6" i="3"/>
  <c r="C5" i="3"/>
  <c r="C6" i="3"/>
  <c r="O11" i="1" l="1"/>
  <c r="Q11" i="1"/>
  <c r="E5" i="6" s="1"/>
  <c r="H15" i="1"/>
  <c r="R20" i="1"/>
  <c r="R21" i="1"/>
  <c r="Q15" i="1"/>
  <c r="P15" i="1"/>
  <c r="X6" i="1"/>
  <c r="I6" i="1" s="1"/>
  <c r="J6" i="1" s="1"/>
  <c r="R9" i="1"/>
  <c r="Q9" i="1"/>
  <c r="W5" i="1"/>
  <c r="O14" i="1"/>
  <c r="R5" i="1"/>
  <c r="Q5" i="1"/>
  <c r="O5" i="1"/>
  <c r="M5" i="1" s="1"/>
  <c r="R8" i="1"/>
  <c r="Q7" i="1"/>
  <c r="P8" i="1"/>
  <c r="Q12" i="1"/>
  <c r="P12" i="1"/>
  <c r="O12" i="1"/>
  <c r="O10" i="1"/>
  <c r="Q10" i="1"/>
  <c r="E4" i="6" s="1"/>
  <c r="R10" i="1"/>
  <c r="P14" i="1"/>
  <c r="R14" i="1"/>
  <c r="Q16" i="1"/>
  <c r="M7" i="1"/>
  <c r="R6" i="1"/>
  <c r="P5" i="1"/>
  <c r="P4" i="1"/>
  <c r="R4" i="1"/>
  <c r="R7" i="1"/>
  <c r="O6" i="1"/>
  <c r="M6" i="1" s="1"/>
  <c r="R11" i="1"/>
  <c r="Q6" i="1"/>
  <c r="P20" i="1" l="1"/>
  <c r="P21" i="1"/>
  <c r="L21" i="1" s="1"/>
  <c r="S21" i="1" s="1"/>
  <c r="V21" i="1" s="1"/>
  <c r="Q20" i="1"/>
  <c r="Q21" i="1"/>
  <c r="L20" i="1"/>
  <c r="S20" i="1" s="1"/>
  <c r="P16" i="1"/>
  <c r="R16" i="1"/>
  <c r="O16" i="1"/>
  <c r="V20" i="1" l="1"/>
</calcChain>
</file>

<file path=xl/comments1.xml><?xml version="1.0" encoding="utf-8"?>
<comments xmlns="http://schemas.openxmlformats.org/spreadsheetml/2006/main">
  <authors>
    <author>chma</author>
  </authors>
  <commentList>
    <comment ref="D4" authorId="0">
      <text>
        <r>
          <rPr>
            <b/>
            <sz val="9"/>
            <color indexed="81"/>
            <rFont val="Tahoma"/>
            <family val="2"/>
          </rPr>
          <t xml:space="preserve">chma: </t>
        </r>
        <r>
          <rPr>
            <sz val="9"/>
            <color indexed="81"/>
            <rFont val="Tahoma"/>
            <family val="2"/>
          </rPr>
          <t>Estimate based on 39 air from man.</t>
        </r>
      </text>
    </comment>
    <comment ref="D5" authorId="0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Based on Backscatter test results, man. # is 28.</t>
        </r>
      </text>
    </comment>
    <comment ref="B7" authorId="0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2 x 34Ws strobes</t>
        </r>
      </text>
    </comment>
    <comment ref="K7" authorId="0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This calc is different because camera ISO was 3200.</t>
        </r>
      </text>
    </comment>
    <comment ref="H8" authorId="0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Strobe set (shutter 1/60")</t>
        </r>
      </text>
    </comment>
    <comment ref="H9" authorId="0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Strobe set (shutter 1/60")</t>
        </r>
      </text>
    </comment>
    <comment ref="H10" authorId="0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Haddock Nikon Strobe measured at 200usec.
Shutter  (1/250")</t>
        </r>
      </text>
    </comment>
    <comment ref="K10" authorId="0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This calc is different because camera ISO was 2000.</t>
        </r>
      </text>
    </comment>
    <comment ref="H11" authorId="0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Haddock Nikon Strobe measured at 200usec.
Shutter  (1/250")</t>
        </r>
      </text>
    </comment>
    <comment ref="K11" authorId="0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This calc is different because camera ISO was 500.</t>
        </r>
      </text>
    </comment>
    <comment ref="H12" authorId="0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Haddock Nikon Strobe measured at 200usec.
Shutter  (1/250")</t>
        </r>
      </text>
    </comment>
    <comment ref="K12" authorId="0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This calc is different because camera ISO was 200.</t>
        </r>
      </text>
    </comment>
    <comment ref="F20" authorId="0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4 devices in package</t>
        </r>
      </text>
    </comment>
  </commentList>
</comments>
</file>

<file path=xl/comments2.xml><?xml version="1.0" encoding="utf-8"?>
<comments xmlns="http://schemas.openxmlformats.org/spreadsheetml/2006/main">
  <authors>
    <author>chma</author>
  </authors>
  <commentList>
    <comment ref="F5" authorId="0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http://benlo.com/msp430/GoProController.html</t>
        </r>
      </text>
    </comment>
    <comment ref="F7" authorId="0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http://www.aputure.com/en/product/digital_timer_remote_shutter.php</t>
        </r>
      </text>
    </comment>
    <comment ref="F9" authorId="0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http://www.aputure.com/en/product/digital_timer_remote_shutter.php</t>
        </r>
      </text>
    </comment>
    <comment ref="F11" authorId="0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http://www.digitaltoyshop.co.uk/TM-J_Timer_remote_control_Olympus_XZ-1_t2311_6230</t>
        </r>
      </text>
    </comment>
    <comment ref="F13" authorId="0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http://www.pixelhk.com/Proshow.aspx?id=76</t>
        </r>
      </text>
    </comment>
  </commentList>
</comments>
</file>

<file path=xl/sharedStrings.xml><?xml version="1.0" encoding="utf-8"?>
<sst xmlns="http://schemas.openxmlformats.org/spreadsheetml/2006/main" count="351" uniqueCount="253">
  <si>
    <t>SCPI Lighting Design</t>
  </si>
  <si>
    <t>Light Source</t>
  </si>
  <si>
    <t>Total rated energy per flash (Watt-seconds)</t>
  </si>
  <si>
    <t>IkeliteDS 51</t>
  </si>
  <si>
    <t>Flashs from battery pack</t>
  </si>
  <si>
    <t>Size of battery pack</t>
  </si>
  <si>
    <t>Color temperature</t>
  </si>
  <si>
    <t>5700k</t>
  </si>
  <si>
    <t>Reflector pattern (degrees)</t>
  </si>
  <si>
    <t>IkeliteDS 160</t>
  </si>
  <si>
    <t>Cycle time (seconds)</t>
  </si>
  <si>
    <t>Foot Candles (1 fc = 10.76 Lux)</t>
  </si>
  <si>
    <t>Target distance (meters)</t>
  </si>
  <si>
    <t>70H</t>
  </si>
  <si>
    <t xml:space="preserve"> 6 x 1.2V sub-C NiMH 1.8Ah = 10.8Ah total</t>
  </si>
  <si>
    <t>Energy of battery pack Kilojoule (kJ)</t>
  </si>
  <si>
    <t>Energy of battery pack Watt hours(Wh)</t>
  </si>
  <si>
    <t>4xAA Alkaline 1500mAh high current discharge (1.2V avg.) = 6Ah total</t>
  </si>
  <si>
    <t>Notes</t>
  </si>
  <si>
    <t>Strobe rating</t>
  </si>
  <si>
    <t>F-stop = guide number/distance (feet)</t>
  </si>
  <si>
    <t>Energy required per strobe (exposure)(Wh)</t>
  </si>
  <si>
    <t>Strobes</t>
  </si>
  <si>
    <t>= calculated result</t>
  </si>
  <si>
    <t xml:space="preserve"> </t>
  </si>
  <si>
    <t>Light Efficency Lumens/Watt on target</t>
  </si>
  <si>
    <t>EV = log2(N^2/shutter speed), see http://en.wikipedia.org/wiki/Exposure_value</t>
  </si>
  <si>
    <t>imageing AUV</t>
  </si>
  <si>
    <t>275 W/sec. @ 1/16 power for fast cycling</t>
  </si>
  <si>
    <t>F-stop at target distance (based on guide number)</t>
  </si>
  <si>
    <t>Cree</t>
  </si>
  <si>
    <t>XLamp MC-E LED</t>
  </si>
  <si>
    <t>MCE4WT-A2-0000-000M01</t>
  </si>
  <si>
    <t>Illuminance, light intensity on target distance in Lux (Lumen m^3) @ ISO 100</t>
  </si>
  <si>
    <t>Illuminance, light intensity on target distance in Lux (Lumen m^3) @ ISO 3200</t>
  </si>
  <si>
    <t>Illuminance, light intensity on target distance in Lux (Lumen m^3) @ ISO 1600</t>
  </si>
  <si>
    <t>LED Strobe requirements</t>
  </si>
  <si>
    <t>LED Strobe candidates</t>
  </si>
  <si>
    <t>to capture 0.5 m/sec. particle movement at 1 meter requires about 1/1000 sec exposure or 0.001 second.</t>
  </si>
  <si>
    <t>desired camera settings</t>
  </si>
  <si>
    <t>Exposure reference from manufacturer, GN = distance X F-stop</t>
  </si>
  <si>
    <t>ISO 1600 LED's needed</t>
  </si>
  <si>
    <t>ISO3200 LED's needed</t>
  </si>
  <si>
    <t>Manufacturer</t>
  </si>
  <si>
    <t>Family</t>
  </si>
  <si>
    <t>P.N.</t>
  </si>
  <si>
    <t>Vf</t>
  </si>
  <si>
    <t>Reflector P.N.</t>
  </si>
  <si>
    <t>Beam angle</t>
  </si>
  <si>
    <t>Net Lumens</t>
  </si>
  <si>
    <t>Reflector efficency</t>
  </si>
  <si>
    <t>Acrylic efficency</t>
  </si>
  <si>
    <t>FA10680_CMC-O</t>
  </si>
  <si>
    <t>43x20 (oval)</t>
  </si>
  <si>
    <t>Guide Number ISO 100 (feet in water)</t>
  </si>
  <si>
    <t>Underwater Nano Flash Strobe</t>
  </si>
  <si>
    <t>LED lighing options</t>
  </si>
  <si>
    <t>Possible LED's and reflectors</t>
  </si>
  <si>
    <t>mrc</t>
  </si>
  <si>
    <t>LED Manufacturer</t>
  </si>
  <si>
    <t>LED Series</t>
  </si>
  <si>
    <t>LED P.N.</t>
  </si>
  <si>
    <t>Lumens/W</t>
  </si>
  <si>
    <t>Max Lumens</t>
  </si>
  <si>
    <t>Max current</t>
  </si>
  <si>
    <t>Forward Voltage</t>
  </si>
  <si>
    <t>Cost</t>
  </si>
  <si>
    <t>Optics Manufacturer</t>
  </si>
  <si>
    <t>Type</t>
  </si>
  <si>
    <t>Viewing Angle (FWHM)</t>
  </si>
  <si>
    <t>Data Sheet</t>
  </si>
  <si>
    <t>P7</t>
  </si>
  <si>
    <t>Ledil</t>
  </si>
  <si>
    <t>CA10715_BOOM-S</t>
  </si>
  <si>
    <t>spot</t>
  </si>
  <si>
    <t>17 deg</t>
  </si>
  <si>
    <t>http://www.ledil.com/node/2/p/24</t>
  </si>
  <si>
    <t>XP-E</t>
  </si>
  <si>
    <t>XPEWHT-L1-R250-00D01</t>
  </si>
  <si>
    <t>CA11389_EMILY-O</t>
  </si>
  <si>
    <t>Oval</t>
  </si>
  <si>
    <t>44+9 deg</t>
  </si>
  <si>
    <t>http://www.ledil.com/node/2/p/448</t>
  </si>
  <si>
    <t>Xlamp® XR-E</t>
  </si>
  <si>
    <t>XREWHT-L1-0000-00E01</t>
  </si>
  <si>
    <t>1A</t>
  </si>
  <si>
    <t>3.3V</t>
  </si>
  <si>
    <t>CA10325_ROCKET-O</t>
  </si>
  <si>
    <t>6+40 deg</t>
  </si>
  <si>
    <t>http://www.ledil.com/node/2/p/949</t>
  </si>
  <si>
    <t>CA10540_ROCKET-O-C</t>
  </si>
  <si>
    <t>8+34 deg</t>
  </si>
  <si>
    <t>http://www.ledil.com/node/2/p/975</t>
  </si>
  <si>
    <t>FA10306_CRS-O</t>
  </si>
  <si>
    <t>oval</t>
  </si>
  <si>
    <t>44+13 deg</t>
  </si>
  <si>
    <t>http://www.ledil.com/node/2/p/2011</t>
  </si>
  <si>
    <t>CXA2011</t>
  </si>
  <si>
    <t>CXA2011-0000-000P00J00E3</t>
  </si>
  <si>
    <t>40V</t>
  </si>
  <si>
    <t>CN12107_LENA-S-DL</t>
  </si>
  <si>
    <t>11 deg</t>
  </si>
  <si>
    <t>http://www.ledil.com/node/2/p/2654</t>
  </si>
  <si>
    <t>MPL-EZW</t>
  </si>
  <si>
    <t>MPLEZW-A1-R100-0000D040F</t>
  </si>
  <si>
    <t>.75A</t>
  </si>
  <si>
    <t>25V</t>
  </si>
  <si>
    <t>CA11475_TYRA2-S</t>
  </si>
  <si>
    <t>20 deg</t>
  </si>
  <si>
    <t>http://www.ledil.com/node/2/p/111</t>
  </si>
  <si>
    <t>3.2V</t>
  </si>
  <si>
    <t>43+20 deg</t>
  </si>
  <si>
    <t>http://www.ledil.com/node/2/p/3186</t>
  </si>
  <si>
    <t>CP10945_RGBX-O</t>
  </si>
  <si>
    <t>48+25deg</t>
  </si>
  <si>
    <t>http://www.ledil.com/node/2/p/4458</t>
  </si>
  <si>
    <t>Xlamp® MP-L</t>
  </si>
  <si>
    <t>75V</t>
  </si>
  <si>
    <t>C11396_TYRA-W</t>
  </si>
  <si>
    <t>52 deg</t>
  </si>
  <si>
    <t>http://www.ledil.com/node/2/p/103</t>
  </si>
  <si>
    <t>6+40 deg, Oval</t>
  </si>
  <si>
    <t>Note that ISO number is linear.</t>
  </si>
  <si>
    <t>Exposure Value(EV) ISO 100</t>
  </si>
  <si>
    <t>Illuminance, light intensity on target distance in Lux (Lumen m^3) @ ISO 800</t>
  </si>
  <si>
    <t>ISO 800 LED's needed</t>
  </si>
  <si>
    <t>Web chatter has GoPro H2 ISO at 100,200,400 from exif data other report has it at 800. F-stop at 2.8. Camera reduces shutter speed until "low" then raises ISO (gain).</t>
  </si>
  <si>
    <t>ISO 100 LED's needed</t>
  </si>
  <si>
    <t>= solid works modeled designs</t>
  </si>
  <si>
    <t>umol</t>
  </si>
  <si>
    <t>approximate conversion for sunlight umol = 0.0185 x lux.</t>
  </si>
  <si>
    <t>Target Size</t>
  </si>
  <si>
    <t>Vertical Height</t>
  </si>
  <si>
    <t>Horizontal Width</t>
  </si>
  <si>
    <t>cm</t>
  </si>
  <si>
    <t>Inches</t>
  </si>
  <si>
    <t>Aspect ratio</t>
  </si>
  <si>
    <t>1:1</t>
  </si>
  <si>
    <t>16:9</t>
  </si>
  <si>
    <t>4:3</t>
  </si>
  <si>
    <t>Man.</t>
  </si>
  <si>
    <t>IC</t>
  </si>
  <si>
    <t>app. Note URL</t>
  </si>
  <si>
    <t>http://www.maxim-ic.com/app-notes/index.mvp/id/4389</t>
  </si>
  <si>
    <t>Maxim</t>
  </si>
  <si>
    <t xml:space="preserve"> MAX16834</t>
  </si>
  <si>
    <t>Drive current</t>
  </si>
  <si>
    <t>700ma</t>
  </si>
  <si>
    <t>series forward voltage at ISO 800</t>
  </si>
  <si>
    <t>LED current at Lumens value (ma)</t>
  </si>
  <si>
    <t>power through LED's at ISO 800 Watts</t>
  </si>
  <si>
    <t>Power supply efficency</t>
  </si>
  <si>
    <t>Watts during flash</t>
  </si>
  <si>
    <t>Watt seconds from battery use</t>
  </si>
  <si>
    <t>Using ISO 100, K = 12.5 (reflectance constant), C=250, (meter constant, flat (cosine response)) and formula  illuminance (E) =2^(EV-log2(ISO/C))</t>
  </si>
  <si>
    <t>Strobe or shutter duration (T.5 value)</t>
  </si>
  <si>
    <t>ROV Coolpix of Benthocodon (Data from EXIF)</t>
  </si>
  <si>
    <t>ROV Coolpix of Salp (Data from EXIF)</t>
  </si>
  <si>
    <t>Lab image DSC_6164.JPG</t>
  </si>
  <si>
    <t>Lab image DSC_3391.JPG</t>
  </si>
  <si>
    <t>Lab image DSC_2591.JPG</t>
  </si>
  <si>
    <t>Brett strobe reading, 1/16 power, paper filter.</t>
  </si>
  <si>
    <t>voltage</t>
  </si>
  <si>
    <t>Lux</t>
  </si>
  <si>
    <t>http://www.mhohner.de/formulas.php</t>
  </si>
  <si>
    <t>Lens calculation!</t>
  </si>
  <si>
    <t>Camera</t>
  </si>
  <si>
    <t>1/2.3"</t>
  </si>
  <si>
    <t>Lens speed</t>
  </si>
  <si>
    <t>f2.8?</t>
  </si>
  <si>
    <t>Canon G12</t>
  </si>
  <si>
    <t>f2.8</t>
  </si>
  <si>
    <t>FOV angle (width)</t>
  </si>
  <si>
    <t>FOV angle (height)</t>
  </si>
  <si>
    <t>air</t>
  </si>
  <si>
    <t>water</t>
  </si>
  <si>
    <t>Hot shoe</t>
  </si>
  <si>
    <t>Olympus XZ-1</t>
  </si>
  <si>
    <t>Y</t>
  </si>
  <si>
    <t>N</t>
  </si>
  <si>
    <t>1/1.63"</t>
  </si>
  <si>
    <t>imager format and size</t>
  </si>
  <si>
    <t>f1.8</t>
  </si>
  <si>
    <t>Prime lens avai.?</t>
  </si>
  <si>
    <t>prime lens focal length for 1m field of view @ 0.5 meters w/domeport, 4:3, approx. 1000mmW X 750mmH.</t>
  </si>
  <si>
    <t>prime lens focal length for 1m field of view w/ flatport @ 1.0 meters, 4:3, approx. 1000mmW X 750mmH.</t>
  </si>
  <si>
    <t>6.0mm to 24.0mm</t>
  </si>
  <si>
    <t>6.16mm X 4.62mm</t>
  </si>
  <si>
    <t>17.3mm X 13mm</t>
  </si>
  <si>
    <t>4/3</t>
  </si>
  <si>
    <t>7.9mm X 5.8mm</t>
  </si>
  <si>
    <t>gphoto</t>
  </si>
  <si>
    <t>Canon G10</t>
  </si>
  <si>
    <t>?</t>
  </si>
  <si>
    <t>CHDK</t>
  </si>
  <si>
    <t>Factory SDK support</t>
  </si>
  <si>
    <t>NA</t>
  </si>
  <si>
    <t>Cots intervalometer?</t>
  </si>
  <si>
    <t>1/1.7"</t>
  </si>
  <si>
    <t>6.1-30.5mm</t>
  </si>
  <si>
    <t>7.6mm X 5.7mm</t>
  </si>
  <si>
    <t>Panasonic DMC GF1C (micro four thirds)</t>
  </si>
  <si>
    <t>Remote shutter control</t>
  </si>
  <si>
    <t>GoPro Hero2</t>
  </si>
  <si>
    <t>Control over aperature, shutter and ISO?</t>
  </si>
  <si>
    <t>Depth of field</t>
  </si>
  <si>
    <t>Object distance(meters)</t>
  </si>
  <si>
    <t>Field of view (meters)</t>
  </si>
  <si>
    <t>4mm</t>
  </si>
  <si>
    <t>0.16 m–∞</t>
  </si>
  <si>
    <t>Object distance (meters)</t>
  </si>
  <si>
    <t>2.2mm</t>
  </si>
  <si>
    <t>1.298m X 0.966m</t>
  </si>
  <si>
    <t>0.052 m–∞</t>
  </si>
  <si>
    <t>0.494 m</t>
  </si>
  <si>
    <t>0.608m X 0.456m</t>
  </si>
  <si>
    <t>0.235 m–∞</t>
  </si>
  <si>
    <t>6.1mm position</t>
  </si>
  <si>
    <t>0.307 m–∞</t>
  </si>
  <si>
    <t>8,14,20mm</t>
  </si>
  <si>
    <t>f2.5</t>
  </si>
  <si>
    <t>0.731 m–1.581 m (0.849 m)</t>
  </si>
  <si>
    <t>8mm , f3.5</t>
  </si>
  <si>
    <t>14mm, f2.5</t>
  </si>
  <si>
    <t>0.492m</t>
  </si>
  <si>
    <t>1.046m X 0.786m</t>
  </si>
  <si>
    <t>0.275 m–∞</t>
  </si>
  <si>
    <t>Underwater correction for image field of view (acrylic flat port)</t>
  </si>
  <si>
    <t>http://www.camerasunderwater.co.uk/lens-fov</t>
  </si>
  <si>
    <r>
      <t>α' = 2 Arcsin[ Sin(α/2) / n</t>
    </r>
    <r>
      <rPr>
        <vertAlign val="subscript"/>
        <sz val="11"/>
        <color indexed="8"/>
        <rFont val="Calibri"/>
        <family val="2"/>
      </rPr>
      <t>w</t>
    </r>
    <r>
      <rPr>
        <sz val="11"/>
        <color theme="1"/>
        <rFont val="Calibri"/>
        <family val="2"/>
        <scheme val="minor"/>
      </rPr>
      <t xml:space="preserve"> ]</t>
    </r>
  </si>
  <si>
    <t>G = 2*d*tan(α/2)</t>
  </si>
  <si>
    <t>Horizontal field of view (meters)</t>
  </si>
  <si>
    <t>Vertical field of view (meters)</t>
  </si>
  <si>
    <t>Calculation reversed</t>
  </si>
  <si>
    <t>MCE4WT-A2-0000-000M01 or MCE4WT-A2-0000-000KE4</t>
  </si>
  <si>
    <t>Max Lumens per LED module</t>
  </si>
  <si>
    <t>F-Stop</t>
  </si>
  <si>
    <t>Calculated Illuminence</t>
  </si>
  <si>
    <t>ISO 800</t>
  </si>
  <si>
    <t>ISO 1600</t>
  </si>
  <si>
    <t>Image</t>
  </si>
  <si>
    <t>Exposure Time (seconds)</t>
  </si>
  <si>
    <t>Equivalent Exposure Calculation</t>
  </si>
  <si>
    <t>LED Equivalent Exposure Calculation</t>
  </si>
  <si>
    <t>Number of LED's needed</t>
  </si>
  <si>
    <t>F-stop of record</t>
  </si>
  <si>
    <t>LED vs Xenon Strobe</t>
  </si>
  <si>
    <t>Wh per shot</t>
  </si>
  <si>
    <t>Strobe (IkeliteDS 51)</t>
  </si>
  <si>
    <t>Led in light mode (1 second on)</t>
  </si>
  <si>
    <t>LED in Strobe mode (.00245 sec. on)</t>
  </si>
  <si>
    <t>Wh 1000 shots</t>
  </si>
  <si>
    <t>Wh 1440 shhots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</si>
</sst>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0"/>
    <numFmt numFmtId="166" formatCode="0.00000"/>
    <numFmt numFmtId="167" formatCode="0.000"/>
  </numFmts>
  <fonts count="9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8"/>
      <color indexed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"/>
      <name val="Calibri"/>
      <family val="2"/>
    </font>
    <font>
      <vertAlign val="subscript"/>
      <sz val="11"/>
      <color indexed="8"/>
      <name val="Calibri"/>
      <family val="2"/>
    </font>
    <font>
      <sz val="8"/>
      <name val="Calibri"/>
      <family val="2"/>
    </font>
    <font>
      <u/>
      <sz val="11"/>
      <color theme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12">
    <xf numFmtId="0" fontId="0" fillId="0" borderId="0" xfId="0"/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0" fontId="0" fillId="0" borderId="0" xfId="0" applyAlignment="1">
      <alignment horizontal="center" wrapText="1"/>
    </xf>
    <xf numFmtId="164" fontId="0" fillId="0" borderId="0" xfId="0" applyNumberFormat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2" borderId="2" xfId="0" applyFill="1" applyBorder="1" applyAlignment="1">
      <alignment horizontal="center" wrapText="1"/>
    </xf>
    <xf numFmtId="164" fontId="0" fillId="2" borderId="2" xfId="0" applyNumberFormat="1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0" xfId="0" applyBorder="1" applyAlignment="1">
      <alignment wrapText="1"/>
    </xf>
    <xf numFmtId="164" fontId="0" fillId="0" borderId="0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Border="1" applyAlignment="1">
      <alignment horizontal="center" wrapText="1"/>
    </xf>
    <xf numFmtId="3" fontId="0" fillId="0" borderId="0" xfId="0" applyNumberFormat="1" applyBorder="1" applyAlignment="1">
      <alignment horizontal="center" wrapText="1"/>
    </xf>
    <xf numFmtId="164" fontId="0" fillId="0" borderId="0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164" fontId="0" fillId="0" borderId="7" xfId="0" applyNumberFormat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164" fontId="0" fillId="0" borderId="2" xfId="0" applyNumberForma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3" borderId="9" xfId="0" applyFill="1" applyBorder="1" applyAlignment="1">
      <alignment wrapText="1"/>
    </xf>
    <xf numFmtId="0" fontId="0" fillId="3" borderId="0" xfId="0" applyFill="1" applyBorder="1" applyAlignment="1">
      <alignment horizontal="center" wrapText="1"/>
    </xf>
    <xf numFmtId="2" fontId="0" fillId="0" borderId="0" xfId="0" applyNumberFormat="1" applyBorder="1" applyAlignment="1">
      <alignment horizontal="center" wrapText="1"/>
    </xf>
    <xf numFmtId="165" fontId="0" fillId="2" borderId="2" xfId="0" applyNumberFormat="1" applyFill="1" applyBorder="1" applyAlignment="1">
      <alignment wrapText="1"/>
    </xf>
    <xf numFmtId="165" fontId="0" fillId="0" borderId="0" xfId="0" applyNumberFormat="1" applyBorder="1" applyAlignment="1">
      <alignment wrapText="1"/>
    </xf>
    <xf numFmtId="165" fontId="0" fillId="0" borderId="0" xfId="0" applyNumberFormat="1" applyBorder="1" applyAlignment="1">
      <alignment horizontal="center" wrapText="1"/>
    </xf>
    <xf numFmtId="165" fontId="0" fillId="2" borderId="2" xfId="0" applyNumberFormat="1" applyFill="1" applyBorder="1" applyAlignment="1">
      <alignment horizontal="center" wrapText="1"/>
    </xf>
    <xf numFmtId="165" fontId="0" fillId="0" borderId="7" xfId="0" applyNumberFormat="1" applyBorder="1" applyAlignment="1">
      <alignment horizontal="center" wrapText="1"/>
    </xf>
    <xf numFmtId="165" fontId="0" fillId="0" borderId="2" xfId="0" applyNumberFormat="1" applyBorder="1" applyAlignment="1">
      <alignment horizontal="center" wrapText="1"/>
    </xf>
    <xf numFmtId="165" fontId="0" fillId="0" borderId="0" xfId="0" applyNumberFormat="1" applyAlignment="1">
      <alignment horizontal="center" wrapText="1"/>
    </xf>
    <xf numFmtId="165" fontId="0" fillId="0" borderId="0" xfId="0" applyNumberFormat="1" applyAlignment="1">
      <alignment wrapText="1"/>
    </xf>
    <xf numFmtId="164" fontId="0" fillId="3" borderId="0" xfId="0" applyNumberFormat="1" applyFill="1" applyBorder="1" applyAlignment="1">
      <alignment horizontal="center" wrapText="1"/>
    </xf>
    <xf numFmtId="0" fontId="0" fillId="0" borderId="0" xfId="0" applyNumberFormat="1" applyAlignment="1">
      <alignment wrapText="1"/>
    </xf>
    <xf numFmtId="2" fontId="0" fillId="2" borderId="2" xfId="0" applyNumberFormat="1" applyFill="1" applyBorder="1" applyAlignment="1">
      <alignment wrapText="1"/>
    </xf>
    <xf numFmtId="2" fontId="0" fillId="0" borderId="0" xfId="0" applyNumberFormat="1" applyBorder="1" applyAlignment="1">
      <alignment wrapText="1"/>
    </xf>
    <xf numFmtId="2" fontId="0" fillId="3" borderId="0" xfId="0" applyNumberFormat="1" applyFill="1" applyBorder="1" applyAlignment="1">
      <alignment horizontal="center" wrapText="1"/>
    </xf>
    <xf numFmtId="2" fontId="0" fillId="2" borderId="2" xfId="0" applyNumberFormat="1" applyFill="1" applyBorder="1" applyAlignment="1">
      <alignment horizontal="center" wrapText="1"/>
    </xf>
    <xf numFmtId="2" fontId="0" fillId="0" borderId="0" xfId="0" applyNumberFormat="1" applyAlignment="1">
      <alignment horizontal="center" wrapText="1"/>
    </xf>
    <xf numFmtId="2" fontId="0" fillId="0" borderId="7" xfId="0" applyNumberFormat="1" applyBorder="1" applyAlignment="1">
      <alignment horizontal="center" wrapText="1"/>
    </xf>
    <xf numFmtId="2" fontId="0" fillId="0" borderId="2" xfId="0" applyNumberFormat="1" applyBorder="1" applyAlignment="1">
      <alignment horizontal="center" wrapText="1"/>
    </xf>
    <xf numFmtId="10" fontId="0" fillId="0" borderId="0" xfId="0" applyNumberFormat="1" applyBorder="1" applyAlignment="1">
      <alignment horizontal="center" wrapText="1"/>
    </xf>
    <xf numFmtId="0" fontId="5" fillId="4" borderId="4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2" fillId="5" borderId="4" xfId="0" applyFont="1" applyFill="1" applyBorder="1" applyAlignment="1">
      <alignment horizontal="center" wrapText="1"/>
    </xf>
    <xf numFmtId="0" fontId="0" fillId="2" borderId="0" xfId="0" applyFill="1"/>
    <xf numFmtId="0" fontId="0" fillId="0" borderId="0" xfId="0" quotePrefix="1"/>
    <xf numFmtId="164" fontId="0" fillId="3" borderId="0" xfId="0" applyNumberFormat="1" applyFill="1" applyAlignment="1">
      <alignment horizontal="center" wrapText="1"/>
    </xf>
    <xf numFmtId="2" fontId="0" fillId="0" borderId="0" xfId="0" applyNumberFormat="1"/>
    <xf numFmtId="0" fontId="8" fillId="0" borderId="0" xfId="1"/>
    <xf numFmtId="166" fontId="0" fillId="0" borderId="0" xfId="0" applyNumberFormat="1" applyBorder="1" applyAlignment="1">
      <alignment horizontal="center" wrapText="1"/>
    </xf>
    <xf numFmtId="2" fontId="0" fillId="3" borderId="0" xfId="0" applyNumberFormat="1" applyFill="1" applyAlignment="1">
      <alignment horizontal="center"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16" fontId="0" fillId="0" borderId="10" xfId="0" quotePrefix="1" applyNumberFormat="1" applyBorder="1" applyAlignment="1">
      <alignment wrapText="1"/>
    </xf>
    <xf numFmtId="2" fontId="0" fillId="0" borderId="7" xfId="0" applyNumberFormat="1" applyBorder="1"/>
    <xf numFmtId="2" fontId="0" fillId="0" borderId="0" xfId="0" applyNumberFormat="1" applyBorder="1"/>
    <xf numFmtId="2" fontId="0" fillId="0" borderId="7" xfId="0" applyNumberFormat="1" applyBorder="1" applyAlignment="1">
      <alignment wrapText="1"/>
    </xf>
    <xf numFmtId="164" fontId="0" fillId="6" borderId="0" xfId="0" applyNumberFormat="1" applyFill="1" applyBorder="1" applyAlignment="1">
      <alignment horizontal="center" wrapText="1"/>
    </xf>
    <xf numFmtId="166" fontId="0" fillId="3" borderId="0" xfId="0" applyNumberFormat="1" applyFill="1" applyAlignment="1">
      <alignment horizontal="center" wrapText="1"/>
    </xf>
    <xf numFmtId="0" fontId="2" fillId="7" borderId="4" xfId="0" applyFont="1" applyFill="1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9" borderId="17" xfId="0" applyFill="1" applyBorder="1" applyAlignment="1">
      <alignment horizontal="center"/>
    </xf>
    <xf numFmtId="0" fontId="0" fillId="9" borderId="18" xfId="0" applyFill="1" applyBorder="1" applyAlignment="1">
      <alignment horizontal="center"/>
    </xf>
    <xf numFmtId="0" fontId="0" fillId="8" borderId="17" xfId="0" applyFill="1" applyBorder="1" applyAlignment="1">
      <alignment horizontal="center"/>
    </xf>
    <xf numFmtId="0" fontId="0" fillId="8" borderId="13" xfId="0" applyFill="1" applyBorder="1" applyAlignment="1">
      <alignment horizontal="center"/>
    </xf>
    <xf numFmtId="0" fontId="0" fillId="8" borderId="23" xfId="0" applyFill="1" applyBorder="1" applyAlignment="1">
      <alignment horizontal="center" wrapText="1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64" fontId="0" fillId="0" borderId="20" xfId="0" applyNumberFormat="1" applyBorder="1" applyAlignment="1">
      <alignment horizontal="center"/>
    </xf>
    <xf numFmtId="164" fontId="0" fillId="0" borderId="21" xfId="0" applyNumberFormat="1" applyBorder="1" applyAlignment="1">
      <alignment horizontal="center"/>
    </xf>
    <xf numFmtId="0" fontId="0" fillId="10" borderId="14" xfId="0" applyFill="1" applyBorder="1" applyAlignment="1">
      <alignment horizontal="center"/>
    </xf>
    <xf numFmtId="167" fontId="0" fillId="0" borderId="18" xfId="0" applyNumberFormat="1" applyBorder="1" applyAlignment="1">
      <alignment horizontal="center"/>
    </xf>
    <xf numFmtId="167" fontId="0" fillId="0" borderId="21" xfId="0" applyNumberFormat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0" fillId="2" borderId="2" xfId="0" quotePrefix="1" applyFill="1" applyBorder="1" applyAlignment="1">
      <alignment wrapText="1"/>
    </xf>
    <xf numFmtId="0" fontId="0" fillId="0" borderId="2" xfId="0" applyBorder="1" applyAlignment="1">
      <alignment wrapText="1"/>
    </xf>
    <xf numFmtId="0" fontId="0" fillId="0" borderId="0" xfId="0" quotePrefix="1" applyNumberFormat="1" applyAlignment="1"/>
    <xf numFmtId="0" fontId="0" fillId="0" borderId="0" xfId="0" applyAlignment="1"/>
    <xf numFmtId="0" fontId="0" fillId="0" borderId="0" xfId="0" quotePrefix="1" applyAlignment="1"/>
    <xf numFmtId="0" fontId="0" fillId="0" borderId="12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8" fillId="0" borderId="0" xfId="1" applyAlignment="1">
      <alignment wrapText="1"/>
    </xf>
    <xf numFmtId="0" fontId="0" fillId="0" borderId="0" xfId="0" applyAlignment="1">
      <alignment wrapText="1"/>
    </xf>
    <xf numFmtId="0" fontId="0" fillId="9" borderId="14" xfId="0" applyFill="1" applyBorder="1" applyAlignment="1">
      <alignment horizontal="center"/>
    </xf>
    <xf numFmtId="0" fontId="0" fillId="9" borderId="16" xfId="0" applyFill="1" applyBorder="1" applyAlignment="1">
      <alignment horizontal="center"/>
    </xf>
    <xf numFmtId="0" fontId="0" fillId="8" borderId="14" xfId="0" applyFill="1" applyBorder="1" applyAlignment="1">
      <alignment horizontal="center"/>
    </xf>
    <xf numFmtId="0" fontId="0" fillId="8" borderId="15" xfId="0" applyFill="1" applyBorder="1" applyAlignment="1">
      <alignment horizontal="center"/>
    </xf>
    <xf numFmtId="0" fontId="0" fillId="8" borderId="22" xfId="0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ledil.com/node/2/p/4458" TargetMode="External"/><Relationship Id="rId3" Type="http://schemas.openxmlformats.org/officeDocument/2006/relationships/hyperlink" Target="http://www.ledil.com/node/2/p/949" TargetMode="External"/><Relationship Id="rId7" Type="http://schemas.openxmlformats.org/officeDocument/2006/relationships/hyperlink" Target="http://www.ledil.com/node/2/p/3186" TargetMode="External"/><Relationship Id="rId2" Type="http://schemas.openxmlformats.org/officeDocument/2006/relationships/hyperlink" Target="http://www.ledil.com/node/2/p/448" TargetMode="External"/><Relationship Id="rId1" Type="http://schemas.openxmlformats.org/officeDocument/2006/relationships/hyperlink" Target="http://www.ledil.com/node/2/p/24" TargetMode="External"/><Relationship Id="rId6" Type="http://schemas.openxmlformats.org/officeDocument/2006/relationships/hyperlink" Target="http://www.ledil.com/node/2/p/111" TargetMode="External"/><Relationship Id="rId11" Type="http://schemas.openxmlformats.org/officeDocument/2006/relationships/printerSettings" Target="../printerSettings/printerSettings2.bin"/><Relationship Id="rId5" Type="http://schemas.openxmlformats.org/officeDocument/2006/relationships/hyperlink" Target="http://www.ledil.com/node/2/p/2654" TargetMode="External"/><Relationship Id="rId10" Type="http://schemas.openxmlformats.org/officeDocument/2006/relationships/hyperlink" Target="http://www.ledil.com/node/2/p/103" TargetMode="External"/><Relationship Id="rId4" Type="http://schemas.openxmlformats.org/officeDocument/2006/relationships/hyperlink" Target="http://www.ledil.com/node/2/p/975" TargetMode="External"/><Relationship Id="rId9" Type="http://schemas.openxmlformats.org/officeDocument/2006/relationships/hyperlink" Target="http://www.ledil.com/node/2/p/2011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axim-ic.com/app-notes/index.mvp/id/4389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www.camerasunderwater.co.uk/lens-fov" TargetMode="External"/><Relationship Id="rId1" Type="http://schemas.openxmlformats.org/officeDocument/2006/relationships/hyperlink" Target="http://www.mhohner.de/formulas.php" TargetMode="External"/><Relationship Id="rId5" Type="http://schemas.openxmlformats.org/officeDocument/2006/relationships/comments" Target="../comments2.xml"/><Relationship Id="rId4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44"/>
  <sheetViews>
    <sheetView tabSelected="1" topLeftCell="D1" zoomScale="75" zoomScaleNormal="75" workbookViewId="0">
      <selection activeCell="O4" sqref="O4"/>
    </sheetView>
  </sheetViews>
  <sheetFormatPr defaultColWidth="8.88671875" defaultRowHeight="14.4" x14ac:dyDescent="0.3"/>
  <cols>
    <col min="1" max="1" width="26.5546875" style="1" customWidth="1"/>
    <col min="2" max="2" width="10.5546875" style="1" customWidth="1"/>
    <col min="3" max="3" width="16.33203125" style="1" customWidth="1"/>
    <col min="4" max="4" width="13" style="1" customWidth="1"/>
    <col min="5" max="5" width="10.109375" style="1" customWidth="1"/>
    <col min="6" max="6" width="9.33203125" style="1" customWidth="1"/>
    <col min="7" max="7" width="27.44140625" style="1" customWidth="1"/>
    <col min="8" max="8" width="9.33203125" style="40" customWidth="1"/>
    <col min="9" max="9" width="10" style="2" customWidth="1"/>
    <col min="10" max="10" width="12" style="1" customWidth="1"/>
    <col min="11" max="11" width="12.44140625" style="1" customWidth="1"/>
    <col min="12" max="12" width="9.88671875" style="3" customWidth="1"/>
    <col min="13" max="16" width="17.6640625" style="1" customWidth="1"/>
    <col min="17" max="17" width="13" style="1" customWidth="1"/>
    <col min="18" max="18" width="11.109375" style="1" customWidth="1"/>
    <col min="19" max="19" width="30.33203125" style="1" customWidth="1"/>
    <col min="20" max="22" width="10.6640625" style="1" customWidth="1"/>
    <col min="23" max="23" width="12" style="1" bestFit="1" customWidth="1"/>
    <col min="24" max="24" width="24" style="1" customWidth="1"/>
    <col min="25" max="25" width="20.6640625" style="1" customWidth="1"/>
    <col min="26" max="16384" width="8.88671875" style="1"/>
  </cols>
  <sheetData>
    <row r="1" spans="1:25" ht="15" thickBot="1" x14ac:dyDescent="0.35">
      <c r="A1" s="95" t="s">
        <v>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7"/>
    </row>
    <row r="2" spans="1:25" ht="15" thickBot="1" x14ac:dyDescent="0.35">
      <c r="A2" s="10" t="s">
        <v>22</v>
      </c>
      <c r="B2" s="11"/>
      <c r="C2" s="30"/>
      <c r="D2" s="98" t="s">
        <v>23</v>
      </c>
      <c r="E2" s="98"/>
      <c r="F2" s="99"/>
      <c r="G2" s="11"/>
      <c r="H2" s="33"/>
      <c r="I2" s="43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2"/>
    </row>
    <row r="3" spans="1:25" ht="115.2" x14ac:dyDescent="0.3">
      <c r="A3" s="13" t="s">
        <v>1</v>
      </c>
      <c r="B3" s="14" t="s">
        <v>2</v>
      </c>
      <c r="C3" s="14" t="s">
        <v>10</v>
      </c>
      <c r="D3" s="14" t="s">
        <v>54</v>
      </c>
      <c r="E3" s="14"/>
      <c r="F3" s="14" t="s">
        <v>8</v>
      </c>
      <c r="G3" s="14" t="s">
        <v>29</v>
      </c>
      <c r="H3" s="34" t="s">
        <v>155</v>
      </c>
      <c r="I3" s="2" t="s">
        <v>153</v>
      </c>
      <c r="J3" s="1" t="s">
        <v>152</v>
      </c>
      <c r="K3" s="44" t="s">
        <v>123</v>
      </c>
      <c r="L3" s="14" t="s">
        <v>6</v>
      </c>
      <c r="M3" s="14" t="s">
        <v>25</v>
      </c>
      <c r="N3" s="15" t="s">
        <v>12</v>
      </c>
      <c r="O3" s="14" t="s">
        <v>33</v>
      </c>
      <c r="P3" s="14" t="s">
        <v>124</v>
      </c>
      <c r="Q3" s="14" t="s">
        <v>35</v>
      </c>
      <c r="R3" s="14" t="s">
        <v>34</v>
      </c>
      <c r="S3" s="14" t="s">
        <v>11</v>
      </c>
      <c r="T3" s="14" t="s">
        <v>4</v>
      </c>
      <c r="U3" s="14" t="s">
        <v>5</v>
      </c>
      <c r="V3" s="14" t="s">
        <v>16</v>
      </c>
      <c r="W3" s="14" t="s">
        <v>15</v>
      </c>
      <c r="X3" s="14" t="s">
        <v>21</v>
      </c>
      <c r="Y3" s="16" t="s">
        <v>18</v>
      </c>
    </row>
    <row r="4" spans="1:25" x14ac:dyDescent="0.3">
      <c r="A4" s="51" t="s">
        <v>55</v>
      </c>
      <c r="B4" s="14"/>
      <c r="C4" s="14"/>
      <c r="D4" s="17">
        <v>19</v>
      </c>
      <c r="E4" s="17"/>
      <c r="F4" s="14"/>
      <c r="G4" s="41">
        <f>D4/(N4*3.279)</f>
        <v>5.7944495272949075</v>
      </c>
      <c r="H4" s="35">
        <v>8.0000000000000002E-3</v>
      </c>
      <c r="K4" s="45">
        <f>LOG(((G4^2)/H4),2)</f>
        <v>12.035127508087312</v>
      </c>
      <c r="L4" s="14"/>
      <c r="M4" s="14"/>
      <c r="N4" s="19">
        <v>1</v>
      </c>
      <c r="O4" s="41">
        <f>2^($K4-LOG((100/250),2))</f>
        <v>10492.389163865053</v>
      </c>
      <c r="P4" s="41">
        <f t="shared" ref="P4:P12" si="0">2^($K4-LOG((800/250),2))</f>
        <v>1311.5486454831325</v>
      </c>
      <c r="Q4" s="41">
        <f t="shared" ref="Q4:Q12" si="1">2^($K4-LOG((1600/250),2))</f>
        <v>655.77432274156627</v>
      </c>
      <c r="R4" s="41">
        <f t="shared" ref="R4:R12" si="2">2^($K4-LOG((3200/250),2))</f>
        <v>327.88716137078308</v>
      </c>
      <c r="S4" s="14"/>
      <c r="T4" s="14"/>
      <c r="U4" s="14"/>
      <c r="V4" s="14"/>
      <c r="W4" s="14"/>
      <c r="X4" s="14"/>
      <c r="Y4" s="16"/>
    </row>
    <row r="5" spans="1:25" s="4" customFormat="1" ht="43.95" customHeight="1" x14ac:dyDescent="0.3">
      <c r="A5" s="53" t="s">
        <v>3</v>
      </c>
      <c r="B5" s="17">
        <v>50</v>
      </c>
      <c r="C5" s="17">
        <v>3.5</v>
      </c>
      <c r="D5" s="17">
        <v>23</v>
      </c>
      <c r="E5" s="17"/>
      <c r="F5" s="17" t="s">
        <v>13</v>
      </c>
      <c r="G5" s="41">
        <f>D5/(N5*3.279)</f>
        <v>7.0143336383043611</v>
      </c>
      <c r="H5" s="35">
        <v>8.0000000000000002E-3</v>
      </c>
      <c r="I5" s="4">
        <f>X5*3600</f>
        <v>129.6</v>
      </c>
      <c r="J5" s="4">
        <f>I5*(1/H5)</f>
        <v>16200</v>
      </c>
      <c r="K5" s="45">
        <f>LOG(((G5^2)/H5),2)</f>
        <v>12.586396393314164</v>
      </c>
      <c r="L5" s="17" t="s">
        <v>7</v>
      </c>
      <c r="M5" s="32">
        <f>O5/J5</f>
        <v>0.94909097973472278</v>
      </c>
      <c r="N5" s="19">
        <v>1</v>
      </c>
      <c r="O5" s="41">
        <f t="shared" ref="O5:O12" si="3">2^($K5-LOG((100/250),2))</f>
        <v>15375.273871702509</v>
      </c>
      <c r="P5" s="41">
        <f t="shared" si="0"/>
        <v>1921.909233962813</v>
      </c>
      <c r="Q5" s="41">
        <f t="shared" si="1"/>
        <v>960.9546169814065</v>
      </c>
      <c r="R5" s="41">
        <f t="shared" si="2"/>
        <v>480.47730849070319</v>
      </c>
      <c r="S5" s="17"/>
      <c r="T5" s="17">
        <v>200</v>
      </c>
      <c r="U5" s="17" t="s">
        <v>17</v>
      </c>
      <c r="V5" s="31">
        <f>6*1.2</f>
        <v>7.1999999999999993</v>
      </c>
      <c r="W5" s="31">
        <f>V5*3.6</f>
        <v>25.919999999999998</v>
      </c>
      <c r="X5" s="31">
        <f>V5/T5</f>
        <v>3.5999999999999997E-2</v>
      </c>
      <c r="Y5" s="20"/>
    </row>
    <row r="6" spans="1:25" s="4" customFormat="1" ht="43.95" customHeight="1" x14ac:dyDescent="0.3">
      <c r="A6" s="53" t="s">
        <v>9</v>
      </c>
      <c r="B6" s="17">
        <v>160</v>
      </c>
      <c r="C6" s="17">
        <v>1.5</v>
      </c>
      <c r="D6" s="17">
        <v>38</v>
      </c>
      <c r="E6" s="17"/>
      <c r="F6" s="18">
        <v>90</v>
      </c>
      <c r="G6" s="41">
        <f>D6/(N6*3.279)</f>
        <v>11.588899054589815</v>
      </c>
      <c r="H6" s="35">
        <v>8.0000000000000002E-3</v>
      </c>
      <c r="I6" s="4">
        <f>X6*3600</f>
        <v>207.36</v>
      </c>
      <c r="J6" s="4">
        <f>I6*(1/H6)</f>
        <v>25920</v>
      </c>
      <c r="K6" s="45">
        <f>LOG(((G6^2)/H6),2)</f>
        <v>14.03512750808731</v>
      </c>
      <c r="L6" s="17" t="s">
        <v>7</v>
      </c>
      <c r="M6" s="32">
        <f>O6/J6</f>
        <v>1.6191958586211477</v>
      </c>
      <c r="N6" s="19">
        <v>1</v>
      </c>
      <c r="O6" s="41">
        <f t="shared" si="3"/>
        <v>41969.556655460146</v>
      </c>
      <c r="P6" s="41">
        <f t="shared" si="0"/>
        <v>5246.1945819325174</v>
      </c>
      <c r="Q6" s="41">
        <f t="shared" si="1"/>
        <v>2623.0972909662605</v>
      </c>
      <c r="R6" s="41">
        <f t="shared" si="2"/>
        <v>1311.5486454831303</v>
      </c>
      <c r="S6" s="17"/>
      <c r="T6" s="17">
        <v>225</v>
      </c>
      <c r="U6" s="17" t="s">
        <v>14</v>
      </c>
      <c r="V6" s="31">
        <f>10.8*1.2</f>
        <v>12.96</v>
      </c>
      <c r="W6" s="31">
        <f>V6*3.6</f>
        <v>46.656000000000006</v>
      </c>
      <c r="X6" s="31">
        <f>V6/T6</f>
        <v>5.7600000000000005E-2</v>
      </c>
      <c r="Y6" s="20"/>
    </row>
    <row r="7" spans="1:25" s="4" customFormat="1" ht="43.95" customHeight="1" x14ac:dyDescent="0.3">
      <c r="A7" s="53" t="s">
        <v>27</v>
      </c>
      <c r="B7" s="17">
        <v>68</v>
      </c>
      <c r="C7" s="17">
        <v>1.5</v>
      </c>
      <c r="D7" s="41">
        <f>G7*((N7*3.279)/LOG((3200/100),2))</f>
        <v>15.7392</v>
      </c>
      <c r="E7" s="17"/>
      <c r="F7" s="18"/>
      <c r="G7" s="19">
        <v>8</v>
      </c>
      <c r="H7" s="59">
        <v>2.5000000000000001E-4</v>
      </c>
      <c r="I7" s="4">
        <f>B7</f>
        <v>68</v>
      </c>
      <c r="J7" s="4">
        <f>I7*(1/H7)</f>
        <v>272000</v>
      </c>
      <c r="K7" s="45">
        <f>LOG(((G7^2)/H7),2)-LOG((3200/100),2)</f>
        <v>12.965784284662089</v>
      </c>
      <c r="L7" s="17"/>
      <c r="M7" s="32">
        <f>O7/J7</f>
        <v>7.3529411764705954E-2</v>
      </c>
      <c r="N7" s="19">
        <v>3</v>
      </c>
      <c r="O7" s="41">
        <f t="shared" si="3"/>
        <v>20000.000000000018</v>
      </c>
      <c r="P7" s="41">
        <f t="shared" si="0"/>
        <v>2500.0000000000018</v>
      </c>
      <c r="Q7" s="41">
        <f t="shared" si="1"/>
        <v>1250.0000000000007</v>
      </c>
      <c r="R7" s="41">
        <f t="shared" si="2"/>
        <v>625.00000000000034</v>
      </c>
      <c r="S7" s="17"/>
      <c r="T7" s="17"/>
      <c r="U7" s="17"/>
      <c r="V7" s="31"/>
      <c r="W7" s="31"/>
      <c r="X7" s="31"/>
      <c r="Y7" s="20" t="s">
        <v>28</v>
      </c>
    </row>
    <row r="8" spans="1:25" s="4" customFormat="1" ht="43.95" customHeight="1" x14ac:dyDescent="0.3">
      <c r="A8" s="53" t="s">
        <v>156</v>
      </c>
      <c r="B8" s="17"/>
      <c r="C8" s="17"/>
      <c r="D8" s="41">
        <f>G8*N8</f>
        <v>3.1</v>
      </c>
      <c r="E8" s="17"/>
      <c r="F8" s="18"/>
      <c r="G8" s="19">
        <v>3.1</v>
      </c>
      <c r="H8" s="35">
        <v>8.0000000000000002E-3</v>
      </c>
      <c r="K8" s="45">
        <f>LOG(((G8^2)/H8),2)</f>
        <v>10.230320715661113</v>
      </c>
      <c r="L8" s="17"/>
      <c r="M8" s="32"/>
      <c r="N8" s="19">
        <v>1</v>
      </c>
      <c r="O8" s="41">
        <f t="shared" si="3"/>
        <v>3003.125</v>
      </c>
      <c r="P8" s="41">
        <f t="shared" si="0"/>
        <v>375.39062499999994</v>
      </c>
      <c r="Q8" s="41">
        <f t="shared" si="1"/>
        <v>187.69531249999994</v>
      </c>
      <c r="R8" s="41">
        <f t="shared" si="2"/>
        <v>93.847656249999957</v>
      </c>
      <c r="S8" s="17"/>
      <c r="T8" s="17"/>
      <c r="U8" s="17"/>
      <c r="V8" s="31"/>
      <c r="W8" s="31"/>
      <c r="X8" s="31"/>
      <c r="Y8" s="17"/>
    </row>
    <row r="9" spans="1:25" s="4" customFormat="1" ht="43.95" customHeight="1" x14ac:dyDescent="0.3">
      <c r="A9" s="53" t="s">
        <v>157</v>
      </c>
      <c r="B9" s="17"/>
      <c r="C9" s="17"/>
      <c r="D9" s="41">
        <f>G9*N9</f>
        <v>4.3</v>
      </c>
      <c r="E9" s="17"/>
      <c r="F9" s="18" t="s">
        <v>245</v>
      </c>
      <c r="G9" s="19">
        <v>4.3</v>
      </c>
      <c r="H9" s="35">
        <v>8.0000000000000002E-3</v>
      </c>
      <c r="K9" s="45">
        <f>LOG(((G9^2)/H9),2)</f>
        <v>11.174457604291558</v>
      </c>
      <c r="L9" s="17"/>
      <c r="M9" s="32"/>
      <c r="N9" s="19">
        <v>1</v>
      </c>
      <c r="O9" s="41">
        <f t="shared" si="3"/>
        <v>5778.1249999999945</v>
      </c>
      <c r="P9" s="41">
        <f t="shared" si="0"/>
        <v>722.26562499999909</v>
      </c>
      <c r="Q9" s="41">
        <f t="shared" si="1"/>
        <v>361.13281249999955</v>
      </c>
      <c r="R9" s="41">
        <f t="shared" si="2"/>
        <v>180.56640624999974</v>
      </c>
      <c r="S9" s="17"/>
      <c r="T9" s="17"/>
      <c r="U9" s="17"/>
      <c r="V9" s="31"/>
      <c r="W9" s="31"/>
      <c r="X9" s="31"/>
      <c r="Y9" s="17"/>
    </row>
    <row r="10" spans="1:25" s="4" customFormat="1" ht="43.95" customHeight="1" x14ac:dyDescent="0.3">
      <c r="A10" s="71" t="s">
        <v>158</v>
      </c>
      <c r="B10" s="17"/>
      <c r="C10" s="17"/>
      <c r="D10" s="41">
        <f>G10*((N10*3.279)/LOG((2000/100),2))</f>
        <v>11.000992833787329</v>
      </c>
      <c r="E10" s="17"/>
      <c r="F10" s="18">
        <v>29</v>
      </c>
      <c r="G10" s="19">
        <v>29</v>
      </c>
      <c r="H10" s="35">
        <v>2.0000000000000001E-4</v>
      </c>
      <c r="K10" s="45">
        <f>LOG(((G10^2)/H10),2)-LOG((2000/100),2)</f>
        <v>17.681746274917234</v>
      </c>
      <c r="L10" s="17"/>
      <c r="M10" s="32"/>
      <c r="N10" s="19">
        <v>0.5</v>
      </c>
      <c r="O10" s="41">
        <f t="shared" si="3"/>
        <v>525625.00000000081</v>
      </c>
      <c r="P10" s="41">
        <f t="shared" si="0"/>
        <v>65703.125000000087</v>
      </c>
      <c r="Q10" s="41">
        <f t="shared" si="1"/>
        <v>32851.562500000044</v>
      </c>
      <c r="R10" s="41">
        <f t="shared" si="2"/>
        <v>16425.781250000018</v>
      </c>
      <c r="S10" s="17"/>
      <c r="T10" s="17"/>
      <c r="U10" s="17"/>
      <c r="V10" s="31"/>
      <c r="W10" s="31"/>
      <c r="X10" s="31"/>
      <c r="Y10" s="17"/>
    </row>
    <row r="11" spans="1:25" s="4" customFormat="1" ht="43.95" customHeight="1" x14ac:dyDescent="0.3">
      <c r="A11" s="71" t="s">
        <v>159</v>
      </c>
      <c r="B11" s="17"/>
      <c r="C11" s="17"/>
      <c r="D11" s="41">
        <f>G11*((N11*3.279)/LOG((500/100),2))</f>
        <v>22.595014942762493</v>
      </c>
      <c r="E11" s="17"/>
      <c r="F11" s="18">
        <v>32</v>
      </c>
      <c r="G11" s="19">
        <v>32</v>
      </c>
      <c r="H11" s="35">
        <v>2.0000000000000001E-4</v>
      </c>
      <c r="K11" s="45">
        <f>LOG(((G11^2)/H11),2)-LOG((500/100),2)</f>
        <v>19.965784284662089</v>
      </c>
      <c r="L11" s="17"/>
      <c r="M11" s="32"/>
      <c r="N11" s="19">
        <v>0.5</v>
      </c>
      <c r="O11" s="41">
        <f t="shared" si="3"/>
        <v>2559999.9999999995</v>
      </c>
      <c r="P11" s="41">
        <f t="shared" si="0"/>
        <v>319999.99999999983</v>
      </c>
      <c r="Q11" s="41">
        <f t="shared" si="1"/>
        <v>160000.0000000002</v>
      </c>
      <c r="R11" s="41">
        <f t="shared" si="2"/>
        <v>80000.000000000087</v>
      </c>
      <c r="S11" s="17"/>
      <c r="T11" s="17"/>
      <c r="U11" s="17"/>
      <c r="V11" s="31"/>
      <c r="W11" s="31"/>
      <c r="X11" s="31"/>
      <c r="Y11" s="17"/>
    </row>
    <row r="12" spans="1:25" s="4" customFormat="1" ht="43.95" customHeight="1" thickBot="1" x14ac:dyDescent="0.35">
      <c r="A12" s="53" t="s">
        <v>160</v>
      </c>
      <c r="B12" s="17"/>
      <c r="C12" s="17"/>
      <c r="D12" s="41">
        <f>G12*((N12*3.279)/LOG((200/100),2))</f>
        <v>40.987499999999997</v>
      </c>
      <c r="E12" s="17"/>
      <c r="F12" s="18"/>
      <c r="G12" s="19">
        <v>25</v>
      </c>
      <c r="H12" s="35">
        <v>2.0000000000000001E-4</v>
      </c>
      <c r="K12" s="45">
        <f>LOG(((G12^2)/H12),2)-LOG((200/100),2)</f>
        <v>20.575424759098897</v>
      </c>
      <c r="L12" s="17"/>
      <c r="M12" s="32"/>
      <c r="N12" s="19">
        <v>0.5</v>
      </c>
      <c r="O12" s="41">
        <f t="shared" si="3"/>
        <v>3906249.9999999944</v>
      </c>
      <c r="P12" s="41">
        <f t="shared" si="0"/>
        <v>488281.24999999919</v>
      </c>
      <c r="Q12" s="41">
        <f t="shared" si="1"/>
        <v>244140.62499999956</v>
      </c>
      <c r="R12" s="41">
        <f t="shared" si="2"/>
        <v>122070.31249999977</v>
      </c>
      <c r="S12" s="17"/>
      <c r="T12" s="17"/>
      <c r="U12" s="17"/>
      <c r="V12" s="31"/>
      <c r="W12" s="31"/>
      <c r="X12" s="31"/>
      <c r="Y12" s="17"/>
    </row>
    <row r="13" spans="1:25" s="4" customFormat="1" ht="15" thickBot="1" x14ac:dyDescent="0.35">
      <c r="A13" s="6" t="s">
        <v>36</v>
      </c>
      <c r="B13" s="7"/>
      <c r="C13" s="7"/>
      <c r="D13" s="7"/>
      <c r="E13" s="7"/>
      <c r="F13" s="7"/>
      <c r="G13" s="8"/>
      <c r="H13" s="36"/>
      <c r="I13" s="46"/>
      <c r="J13" s="7"/>
      <c r="K13" s="7"/>
      <c r="L13" s="8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9"/>
    </row>
    <row r="14" spans="1:25" s="4" customFormat="1" x14ac:dyDescent="0.3">
      <c r="A14" s="21" t="s">
        <v>39</v>
      </c>
      <c r="B14" s="17"/>
      <c r="C14" s="17"/>
      <c r="D14" s="19">
        <f>G14*(N14*3.279)</f>
        <v>26.231999999999999</v>
      </c>
      <c r="E14" s="19"/>
      <c r="F14" s="17"/>
      <c r="G14" s="19">
        <v>8</v>
      </c>
      <c r="H14" s="35">
        <v>4.0000000000000001E-3</v>
      </c>
      <c r="J14" s="17"/>
      <c r="K14" s="45">
        <f>LOG(((G14^2)/H14),2)</f>
        <v>13.965784284662087</v>
      </c>
      <c r="N14" s="19">
        <v>1</v>
      </c>
      <c r="O14" s="41">
        <f>2^($K$14-LOG((100/250),2))</f>
        <v>39999.999999999971</v>
      </c>
      <c r="P14" s="41">
        <f>2^($K14-LOG((800/250),2))</f>
        <v>4999.9999999999955</v>
      </c>
      <c r="Q14" s="41">
        <f>2^($K14-LOG((1600/250),2))</f>
        <v>2499.9999999999973</v>
      </c>
      <c r="R14" s="41">
        <f>2^($K14-LOG((3200/250),2))</f>
        <v>1249.9999999999995</v>
      </c>
    </row>
    <row r="15" spans="1:25" s="4" customFormat="1" x14ac:dyDescent="0.3">
      <c r="A15" s="17" t="s">
        <v>233</v>
      </c>
      <c r="B15" s="17"/>
      <c r="C15" s="17"/>
      <c r="D15" s="19"/>
      <c r="E15" s="19"/>
      <c r="F15" s="17"/>
      <c r="G15" s="19">
        <v>2.8</v>
      </c>
      <c r="H15" s="70">
        <f>2^(LOG(G15^2,2)-K15)</f>
        <v>2.4499999999999986E-3</v>
      </c>
      <c r="J15" s="17"/>
      <c r="K15" s="45">
        <f>LOG((O15*100/250),2)</f>
        <v>11.643856189774727</v>
      </c>
      <c r="N15" s="19">
        <v>1</v>
      </c>
      <c r="O15" s="69">
        <v>8000</v>
      </c>
      <c r="P15" s="41">
        <f>2^($K15-LOG((800/250),2))</f>
        <v>1000.0000000000007</v>
      </c>
      <c r="Q15" s="41">
        <f>2^($K15-LOG((1600/250),2))</f>
        <v>500.00000000000028</v>
      </c>
      <c r="R15" s="41">
        <f>2^($K15-LOG((3200/250),2))</f>
        <v>250.00000000000034</v>
      </c>
    </row>
    <row r="16" spans="1:25" s="4" customFormat="1" ht="35.4" customHeight="1" x14ac:dyDescent="0.3">
      <c r="A16" s="4" t="s">
        <v>130</v>
      </c>
      <c r="N16" s="4" t="s">
        <v>129</v>
      </c>
      <c r="O16" s="56">
        <f>0.0185*O14</f>
        <v>739.99999999999943</v>
      </c>
      <c r="P16" s="56">
        <f>0.0185*P14</f>
        <v>92.499999999999915</v>
      </c>
      <c r="Q16" s="56">
        <f>0.0185*Q14</f>
        <v>46.24999999999995</v>
      </c>
      <c r="R16" s="56">
        <f>0.0185*R14</f>
        <v>23.124999999999989</v>
      </c>
      <c r="T16" s="17"/>
      <c r="U16" s="17"/>
      <c r="V16" s="17"/>
      <c r="W16" s="17"/>
      <c r="X16" s="20"/>
    </row>
    <row r="17" spans="1:24" s="4" customFormat="1" ht="35.4" customHeight="1" thickBot="1" x14ac:dyDescent="0.35">
      <c r="A17" s="4" t="s">
        <v>161</v>
      </c>
      <c r="L17" s="4" t="s">
        <v>162</v>
      </c>
      <c r="M17" s="4">
        <v>0.05</v>
      </c>
      <c r="N17" s="4" t="s">
        <v>129</v>
      </c>
      <c r="O17" s="60">
        <f>(M17/1210)*189.9*1000</f>
        <v>7.84710743801653</v>
      </c>
      <c r="P17" s="56" t="s">
        <v>163</v>
      </c>
      <c r="Q17" s="56">
        <f>O17/0.0185</f>
        <v>424.16796962251516</v>
      </c>
      <c r="R17" s="56"/>
      <c r="T17" s="17"/>
      <c r="U17" s="17"/>
      <c r="V17" s="17"/>
      <c r="W17" s="17"/>
      <c r="X17" s="20"/>
    </row>
    <row r="18" spans="1:24" s="4" customFormat="1" ht="15" thickBot="1" x14ac:dyDescent="0.35">
      <c r="A18" s="6" t="s">
        <v>37</v>
      </c>
      <c r="B18" s="7"/>
      <c r="C18" s="7"/>
      <c r="D18" s="7"/>
      <c r="E18" s="7"/>
      <c r="F18" s="7"/>
      <c r="G18" s="7"/>
      <c r="H18" s="36"/>
      <c r="I18" s="46"/>
      <c r="J18" s="7"/>
      <c r="K18" s="7"/>
      <c r="L18" s="8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9"/>
    </row>
    <row r="19" spans="1:24" s="4" customFormat="1" ht="77.400000000000006" customHeight="1" x14ac:dyDescent="0.3">
      <c r="A19" s="4" t="s">
        <v>43</v>
      </c>
      <c r="B19" s="4" t="s">
        <v>44</v>
      </c>
      <c r="C19" s="4" t="s">
        <v>45</v>
      </c>
      <c r="D19" s="4" t="s">
        <v>235</v>
      </c>
      <c r="E19" s="4" t="s">
        <v>149</v>
      </c>
      <c r="F19" s="4" t="s">
        <v>46</v>
      </c>
      <c r="G19" s="4" t="s">
        <v>47</v>
      </c>
      <c r="H19" s="4" t="s">
        <v>48</v>
      </c>
      <c r="I19" s="39" t="s">
        <v>50</v>
      </c>
      <c r="J19" s="47" t="s">
        <v>51</v>
      </c>
      <c r="K19" s="4" t="s">
        <v>49</v>
      </c>
      <c r="L19" s="4" t="s">
        <v>148</v>
      </c>
      <c r="O19" s="4" t="s">
        <v>127</v>
      </c>
      <c r="P19" s="4" t="s">
        <v>125</v>
      </c>
      <c r="Q19" s="4" t="s">
        <v>41</v>
      </c>
      <c r="R19" s="4" t="s">
        <v>42</v>
      </c>
      <c r="S19" s="4" t="s">
        <v>150</v>
      </c>
      <c r="T19" s="4" t="s">
        <v>151</v>
      </c>
      <c r="U19" s="14" t="s">
        <v>21</v>
      </c>
      <c r="V19" s="14" t="s">
        <v>25</v>
      </c>
      <c r="W19" s="4" t="s">
        <v>252</v>
      </c>
    </row>
    <row r="20" spans="1:24" s="4" customFormat="1" ht="57.6" x14ac:dyDescent="0.3">
      <c r="A20" s="42" t="s">
        <v>30</v>
      </c>
      <c r="B20" s="42" t="s">
        <v>31</v>
      </c>
      <c r="C20" s="42" t="s">
        <v>234</v>
      </c>
      <c r="D20" s="17">
        <v>573</v>
      </c>
      <c r="E20" s="17">
        <v>600</v>
      </c>
      <c r="F20" s="4">
        <f xml:space="preserve"> 3.5 *4</f>
        <v>14</v>
      </c>
      <c r="G20" s="42" t="s">
        <v>52</v>
      </c>
      <c r="H20" s="4" t="s">
        <v>53</v>
      </c>
      <c r="I20" s="50">
        <v>0.84</v>
      </c>
      <c r="J20" s="50">
        <v>0.9</v>
      </c>
      <c r="K20" s="4">
        <f>D20*I20*J20</f>
        <v>433.18799999999999</v>
      </c>
      <c r="L20" s="4">
        <f>F20*P20</f>
        <v>32.318531445931121</v>
      </c>
      <c r="O20" s="19">
        <f>O$15/$K20</f>
        <v>18.467732254817768</v>
      </c>
      <c r="P20" s="19">
        <f t="shared" ref="P20:R20" si="4">P$15/$K20</f>
        <v>2.3084665318522228</v>
      </c>
      <c r="Q20" s="19">
        <f t="shared" si="4"/>
        <v>1.1542332659261112</v>
      </c>
      <c r="R20" s="19">
        <f t="shared" si="4"/>
        <v>0.57711663296305615</v>
      </c>
      <c r="S20" s="17">
        <f>E20/1000*L20</f>
        <v>19.391118867558671</v>
      </c>
      <c r="T20" s="50">
        <v>0.8</v>
      </c>
      <c r="U20" s="4">
        <f>S20*T20*H15/3600</f>
        <v>1.0557386939004161E-5</v>
      </c>
      <c r="V20" s="17">
        <f>(K20*P20)/S20/T20</f>
        <v>64.462499999999991</v>
      </c>
      <c r="W20" s="17">
        <f>U20*1440</f>
        <v>1.5202637192165991E-2</v>
      </c>
      <c r="X20" s="20"/>
    </row>
    <row r="21" spans="1:24" s="4" customFormat="1" ht="28.8" x14ac:dyDescent="0.3">
      <c r="A21" s="42" t="s">
        <v>30</v>
      </c>
      <c r="B21" s="1" t="s">
        <v>83</v>
      </c>
      <c r="C21" s="1" t="s">
        <v>84</v>
      </c>
      <c r="D21" s="17">
        <v>175</v>
      </c>
      <c r="E21" s="17">
        <v>700</v>
      </c>
      <c r="F21" s="32">
        <v>3.5</v>
      </c>
      <c r="G21" t="s">
        <v>87</v>
      </c>
      <c r="H21" t="s">
        <v>121</v>
      </c>
      <c r="I21" s="50">
        <v>0.86</v>
      </c>
      <c r="J21" s="50">
        <v>0.9</v>
      </c>
      <c r="K21" s="4">
        <f>D21*I21*J21</f>
        <v>135.45000000000002</v>
      </c>
      <c r="L21" s="4">
        <f>F21*P21</f>
        <v>25.839793281653762</v>
      </c>
      <c r="O21" s="19">
        <f>O$15/$K21</f>
        <v>59.062384643779986</v>
      </c>
      <c r="P21" s="19">
        <f t="shared" ref="P21:R21" si="5">P$15/$K21</f>
        <v>7.3827980804725035</v>
      </c>
      <c r="Q21" s="19">
        <f t="shared" si="5"/>
        <v>3.6913990402362513</v>
      </c>
      <c r="R21" s="19">
        <f t="shared" si="5"/>
        <v>1.845699520118127</v>
      </c>
      <c r="S21" s="17">
        <f>E21/1000*L21</f>
        <v>18.087855297157631</v>
      </c>
      <c r="T21" s="50">
        <v>0.8</v>
      </c>
      <c r="U21" s="4">
        <f>S21*T21*H15/3600</f>
        <v>9.847832328452482E-6</v>
      </c>
      <c r="V21" s="17">
        <f>(K21*P21)/S21/T21</f>
        <v>69.107142857142875</v>
      </c>
      <c r="W21" s="17">
        <f>U21*1440</f>
        <v>1.4180878552971574E-2</v>
      </c>
      <c r="X21" s="20"/>
    </row>
    <row r="22" spans="1:24" s="4" customFormat="1" ht="15" thickBot="1" x14ac:dyDescent="0.35">
      <c r="A22" s="22"/>
      <c r="B22" s="23"/>
      <c r="C22" s="23"/>
      <c r="D22" s="23"/>
      <c r="E22" s="23"/>
      <c r="F22" s="23"/>
      <c r="G22" s="23"/>
      <c r="H22" s="37"/>
      <c r="I22" s="48"/>
      <c r="J22" s="23"/>
      <c r="K22" s="23"/>
      <c r="L22" s="24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5"/>
    </row>
    <row r="23" spans="1:24" s="4" customFormat="1" ht="157.94999999999999" customHeight="1" thickBot="1" x14ac:dyDescent="0.35">
      <c r="A23" s="26" t="s">
        <v>18</v>
      </c>
      <c r="B23" s="27" t="s">
        <v>19</v>
      </c>
      <c r="C23" s="27"/>
      <c r="D23" s="27" t="s">
        <v>40</v>
      </c>
      <c r="E23" s="27"/>
      <c r="F23" s="27"/>
      <c r="G23" s="27" t="s">
        <v>20</v>
      </c>
      <c r="H23" s="38" t="s">
        <v>38</v>
      </c>
      <c r="J23" s="27"/>
      <c r="K23" s="49" t="s">
        <v>26</v>
      </c>
      <c r="O23" s="27" t="s">
        <v>154</v>
      </c>
      <c r="P23" s="28" t="s">
        <v>126</v>
      </c>
      <c r="Q23" s="27" t="s">
        <v>122</v>
      </c>
      <c r="R23" s="27"/>
      <c r="S23" s="27"/>
      <c r="T23" s="27"/>
      <c r="U23" s="27"/>
      <c r="V23" s="27"/>
      <c r="W23" s="27"/>
      <c r="X23" s="29"/>
    </row>
    <row r="24" spans="1:24" s="4" customFormat="1" x14ac:dyDescent="0.3">
      <c r="H24" s="39"/>
      <c r="I24" s="47"/>
      <c r="L24" s="5"/>
    </row>
    <row r="25" spans="1:24" s="4" customFormat="1" x14ac:dyDescent="0.3">
      <c r="H25" s="39"/>
      <c r="I25" s="47"/>
      <c r="L25" s="5"/>
    </row>
    <row r="26" spans="1:24" s="4" customFormat="1" x14ac:dyDescent="0.3">
      <c r="H26" s="39"/>
      <c r="I26" s="47"/>
      <c r="L26" s="5"/>
    </row>
    <row r="27" spans="1:24" s="4" customFormat="1" x14ac:dyDescent="0.3">
      <c r="H27" s="39"/>
      <c r="I27" s="47"/>
      <c r="L27" s="5"/>
    </row>
    <row r="28" spans="1:24" s="4" customFormat="1" x14ac:dyDescent="0.3">
      <c r="H28" s="39"/>
      <c r="I28" s="47"/>
      <c r="L28" s="5"/>
    </row>
    <row r="29" spans="1:24" s="4" customFormat="1" x14ac:dyDescent="0.3">
      <c r="H29" s="39"/>
      <c r="I29" s="47"/>
      <c r="L29" s="5"/>
    </row>
    <row r="30" spans="1:24" s="4" customFormat="1" x14ac:dyDescent="0.3">
      <c r="H30" s="39"/>
      <c r="I30" s="47"/>
      <c r="L30" s="5"/>
    </row>
    <row r="31" spans="1:24" s="4" customFormat="1" x14ac:dyDescent="0.3">
      <c r="H31" s="39"/>
      <c r="I31" s="47"/>
      <c r="K31" s="4" t="s">
        <v>24</v>
      </c>
      <c r="L31" s="5"/>
    </row>
    <row r="32" spans="1:24" s="4" customFormat="1" x14ac:dyDescent="0.3">
      <c r="H32" s="39"/>
      <c r="I32" s="47"/>
      <c r="L32" s="5"/>
    </row>
    <row r="33" spans="8:12" s="4" customFormat="1" x14ac:dyDescent="0.3">
      <c r="H33" s="39"/>
      <c r="I33" s="47"/>
      <c r="L33" s="5"/>
    </row>
    <row r="34" spans="8:12" s="4" customFormat="1" x14ac:dyDescent="0.3">
      <c r="H34" s="39"/>
      <c r="I34" s="47"/>
      <c r="L34" s="5"/>
    </row>
    <row r="35" spans="8:12" s="4" customFormat="1" x14ac:dyDescent="0.3">
      <c r="H35" s="39"/>
      <c r="I35" s="47"/>
      <c r="L35" s="5"/>
    </row>
    <row r="36" spans="8:12" s="4" customFormat="1" x14ac:dyDescent="0.3">
      <c r="H36" s="39"/>
      <c r="I36" s="47"/>
      <c r="L36" s="5"/>
    </row>
    <row r="37" spans="8:12" s="4" customFormat="1" x14ac:dyDescent="0.3">
      <c r="H37" s="39"/>
      <c r="I37" s="47"/>
      <c r="L37" s="5"/>
    </row>
    <row r="38" spans="8:12" s="4" customFormat="1" x14ac:dyDescent="0.3">
      <c r="H38" s="39"/>
      <c r="I38" s="47"/>
      <c r="L38" s="5"/>
    </row>
    <row r="39" spans="8:12" s="4" customFormat="1" x14ac:dyDescent="0.3">
      <c r="H39" s="39"/>
      <c r="I39" s="47"/>
      <c r="L39" s="5"/>
    </row>
    <row r="40" spans="8:12" s="4" customFormat="1" x14ac:dyDescent="0.3">
      <c r="H40" s="39"/>
      <c r="I40" s="47"/>
      <c r="L40" s="5"/>
    </row>
    <row r="41" spans="8:12" s="4" customFormat="1" x14ac:dyDescent="0.3">
      <c r="H41" s="39"/>
      <c r="I41" s="47"/>
      <c r="L41" s="5"/>
    </row>
    <row r="42" spans="8:12" s="4" customFormat="1" x14ac:dyDescent="0.3">
      <c r="H42" s="39"/>
      <c r="I42" s="47"/>
      <c r="L42" s="5"/>
    </row>
    <row r="43" spans="8:12" s="4" customFormat="1" x14ac:dyDescent="0.3">
      <c r="H43" s="39"/>
      <c r="I43" s="47"/>
      <c r="L43" s="5"/>
    </row>
    <row r="44" spans="8:12" s="4" customFormat="1" x14ac:dyDescent="0.3">
      <c r="H44" s="39"/>
      <c r="I44" s="47"/>
      <c r="L44" s="5"/>
    </row>
  </sheetData>
  <mergeCells count="2">
    <mergeCell ref="A1:X1"/>
    <mergeCell ref="D2:F2"/>
  </mergeCells>
  <phoneticPr fontId="7" type="noConversion"/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opLeftCell="B1" workbookViewId="0">
      <selection activeCell="M8" sqref="M8"/>
    </sheetView>
  </sheetViews>
  <sheetFormatPr defaultRowHeight="14.4" x14ac:dyDescent="0.3"/>
  <cols>
    <col min="1" max="1" width="39.6640625" customWidth="1"/>
    <col min="2" max="2" width="20.88671875" customWidth="1"/>
    <col min="3" max="3" width="25.5546875" customWidth="1"/>
    <col min="4" max="4" width="18.6640625" customWidth="1"/>
    <col min="5" max="5" width="13.5546875" customWidth="1"/>
    <col min="6" max="6" width="18.109375" customWidth="1"/>
    <col min="7" max="7" width="14.6640625" style="52" customWidth="1"/>
    <col min="8" max="8" width="10.44140625" customWidth="1"/>
    <col min="10" max="10" width="30.33203125" customWidth="1"/>
    <col min="12" max="12" width="11.6640625" customWidth="1"/>
    <col min="13" max="13" width="35.6640625" customWidth="1"/>
  </cols>
  <sheetData>
    <row r="1" spans="1:13" x14ac:dyDescent="0.3">
      <c r="A1" t="s">
        <v>56</v>
      </c>
    </row>
    <row r="2" spans="1:13" x14ac:dyDescent="0.3">
      <c r="A2" t="s">
        <v>57</v>
      </c>
    </row>
    <row r="3" spans="1:13" x14ac:dyDescent="0.3">
      <c r="A3">
        <v>41010</v>
      </c>
      <c r="I3" t="s">
        <v>58</v>
      </c>
    </row>
    <row r="4" spans="1:13" x14ac:dyDescent="0.3">
      <c r="L4" s="54"/>
      <c r="M4" s="55" t="s">
        <v>128</v>
      </c>
    </row>
    <row r="5" spans="1:13" x14ac:dyDescent="0.3">
      <c r="A5" t="s">
        <v>59</v>
      </c>
      <c r="B5" t="s">
        <v>60</v>
      </c>
      <c r="C5" t="s">
        <v>61</v>
      </c>
      <c r="D5" t="s">
        <v>62</v>
      </c>
      <c r="E5" t="s">
        <v>63</v>
      </c>
      <c r="F5" t="s">
        <v>64</v>
      </c>
      <c r="G5" s="52" t="s">
        <v>65</v>
      </c>
      <c r="H5" t="s">
        <v>66</v>
      </c>
      <c r="I5" t="s">
        <v>67</v>
      </c>
      <c r="J5" t="s">
        <v>47</v>
      </c>
      <c r="K5" t="s">
        <v>68</v>
      </c>
      <c r="L5" t="s">
        <v>69</v>
      </c>
      <c r="M5" t="s">
        <v>70</v>
      </c>
    </row>
    <row r="6" spans="1:13" x14ac:dyDescent="0.3">
      <c r="A6" t="s">
        <v>30</v>
      </c>
      <c r="B6" t="s">
        <v>71</v>
      </c>
      <c r="I6" t="s">
        <v>72</v>
      </c>
      <c r="J6" t="s">
        <v>73</v>
      </c>
      <c r="K6" t="s">
        <v>74</v>
      </c>
      <c r="L6" t="s">
        <v>75</v>
      </c>
      <c r="M6" t="s">
        <v>76</v>
      </c>
    </row>
    <row r="7" spans="1:13" x14ac:dyDescent="0.3">
      <c r="A7" t="s">
        <v>30</v>
      </c>
      <c r="B7" t="s">
        <v>77</v>
      </c>
      <c r="C7" t="s">
        <v>78</v>
      </c>
      <c r="D7">
        <v>96</v>
      </c>
      <c r="E7">
        <v>107</v>
      </c>
      <c r="F7">
        <v>0.35</v>
      </c>
      <c r="G7" s="52">
        <v>3.2</v>
      </c>
      <c r="H7">
        <v>2.44</v>
      </c>
      <c r="I7" t="s">
        <v>72</v>
      </c>
      <c r="J7" t="s">
        <v>79</v>
      </c>
      <c r="K7" t="s">
        <v>80</v>
      </c>
      <c r="L7" t="s">
        <v>81</v>
      </c>
      <c r="M7" t="s">
        <v>82</v>
      </c>
    </row>
    <row r="8" spans="1:13" x14ac:dyDescent="0.3">
      <c r="A8" t="s">
        <v>30</v>
      </c>
      <c r="B8" t="s">
        <v>83</v>
      </c>
      <c r="C8" t="s">
        <v>84</v>
      </c>
      <c r="D8">
        <v>102</v>
      </c>
      <c r="E8">
        <v>260</v>
      </c>
      <c r="F8" t="s">
        <v>85</v>
      </c>
      <c r="G8" s="52" t="s">
        <v>86</v>
      </c>
      <c r="H8">
        <v>4.62</v>
      </c>
      <c r="I8" t="s">
        <v>72</v>
      </c>
      <c r="J8" t="s">
        <v>87</v>
      </c>
      <c r="K8" t="s">
        <v>80</v>
      </c>
      <c r="L8" s="54" t="s">
        <v>88</v>
      </c>
      <c r="M8" t="s">
        <v>89</v>
      </c>
    </row>
    <row r="9" spans="1:13" x14ac:dyDescent="0.3">
      <c r="I9" t="s">
        <v>72</v>
      </c>
      <c r="J9" t="s">
        <v>90</v>
      </c>
      <c r="K9" t="s">
        <v>80</v>
      </c>
      <c r="L9" s="54" t="s">
        <v>91</v>
      </c>
      <c r="M9" t="s">
        <v>92</v>
      </c>
    </row>
    <row r="10" spans="1:13" x14ac:dyDescent="0.3">
      <c r="I10" t="s">
        <v>72</v>
      </c>
      <c r="J10" t="s">
        <v>93</v>
      </c>
      <c r="K10" t="s">
        <v>94</v>
      </c>
      <c r="L10" t="s">
        <v>95</v>
      </c>
      <c r="M10" t="s">
        <v>96</v>
      </c>
    </row>
    <row r="11" spans="1:13" x14ac:dyDescent="0.3">
      <c r="A11" t="s">
        <v>30</v>
      </c>
      <c r="B11" t="s">
        <v>97</v>
      </c>
      <c r="C11" t="s">
        <v>98</v>
      </c>
      <c r="D11">
        <v>104</v>
      </c>
      <c r="E11">
        <v>3248</v>
      </c>
      <c r="F11" t="s">
        <v>85</v>
      </c>
      <c r="G11" s="52" t="s">
        <v>99</v>
      </c>
      <c r="H11">
        <v>18.7</v>
      </c>
      <c r="I11" t="s">
        <v>72</v>
      </c>
      <c r="J11" t="s">
        <v>100</v>
      </c>
      <c r="K11" t="s">
        <v>74</v>
      </c>
      <c r="L11" t="s">
        <v>101</v>
      </c>
      <c r="M11" t="s">
        <v>102</v>
      </c>
    </row>
    <row r="12" spans="1:13" x14ac:dyDescent="0.3">
      <c r="A12" t="s">
        <v>30</v>
      </c>
      <c r="B12" t="s">
        <v>103</v>
      </c>
      <c r="C12" t="s">
        <v>104</v>
      </c>
      <c r="D12">
        <v>80</v>
      </c>
      <c r="E12">
        <v>1170</v>
      </c>
      <c r="F12" t="s">
        <v>105</v>
      </c>
      <c r="G12" s="52" t="s">
        <v>106</v>
      </c>
      <c r="H12">
        <v>19.260000000000002</v>
      </c>
      <c r="I12" t="s">
        <v>72</v>
      </c>
      <c r="J12" t="s">
        <v>107</v>
      </c>
      <c r="K12" t="s">
        <v>74</v>
      </c>
      <c r="L12" t="s">
        <v>108</v>
      </c>
      <c r="M12" t="s">
        <v>109</v>
      </c>
    </row>
    <row r="13" spans="1:13" x14ac:dyDescent="0.3">
      <c r="A13" t="s">
        <v>30</v>
      </c>
      <c r="B13" t="s">
        <v>31</v>
      </c>
      <c r="C13" t="s">
        <v>32</v>
      </c>
      <c r="D13">
        <v>96</v>
      </c>
      <c r="E13">
        <v>753</v>
      </c>
      <c r="F13">
        <v>0.7</v>
      </c>
      <c r="G13" s="52" t="s">
        <v>110</v>
      </c>
      <c r="H13">
        <v>16.59</v>
      </c>
      <c r="I13" t="s">
        <v>72</v>
      </c>
      <c r="J13" t="s">
        <v>52</v>
      </c>
      <c r="K13" t="s">
        <v>94</v>
      </c>
      <c r="L13" s="54" t="s">
        <v>111</v>
      </c>
      <c r="M13" t="s">
        <v>112</v>
      </c>
    </row>
    <row r="14" spans="1:13" x14ac:dyDescent="0.3">
      <c r="I14" t="s">
        <v>72</v>
      </c>
      <c r="J14" t="s">
        <v>113</v>
      </c>
      <c r="K14" t="s">
        <v>94</v>
      </c>
      <c r="L14" t="s">
        <v>114</v>
      </c>
      <c r="M14" t="s">
        <v>115</v>
      </c>
    </row>
    <row r="15" spans="1:13" x14ac:dyDescent="0.3">
      <c r="A15" t="s">
        <v>30</v>
      </c>
      <c r="B15" t="s">
        <v>116</v>
      </c>
      <c r="G15" s="52" t="s">
        <v>117</v>
      </c>
      <c r="I15" t="s">
        <v>72</v>
      </c>
      <c r="J15" t="s">
        <v>118</v>
      </c>
      <c r="K15" t="s">
        <v>74</v>
      </c>
      <c r="L15" s="54" t="s">
        <v>119</v>
      </c>
      <c r="M15" t="s">
        <v>120</v>
      </c>
    </row>
  </sheetData>
  <phoneticPr fontId="7" type="noConversion"/>
  <hyperlinks>
    <hyperlink ref="M6" r:id="rId1"/>
    <hyperlink ref="M7" r:id="rId2"/>
    <hyperlink ref="M8" r:id="rId3"/>
    <hyperlink ref="M9" r:id="rId4"/>
    <hyperlink ref="M11" r:id="rId5"/>
    <hyperlink ref="M12" r:id="rId6"/>
    <hyperlink ref="M13" r:id="rId7"/>
    <hyperlink ref="M14" r:id="rId8"/>
    <hyperlink ref="M10" r:id="rId9"/>
    <hyperlink ref="M15" r:id="rId10"/>
  </hyperlinks>
  <pageMargins left="0.7" right="0.7" top="0.75" bottom="0.75" header="0.3" footer="0.3"/>
  <pageSetup orientation="portrait" r:id="rId1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D12" sqref="D12"/>
    </sheetView>
  </sheetViews>
  <sheetFormatPr defaultRowHeight="14.4" x14ac:dyDescent="0.3"/>
  <cols>
    <col min="1" max="2" width="12.6640625" customWidth="1"/>
    <col min="3" max="3" width="13.6640625" customWidth="1"/>
    <col min="4" max="4" width="17.44140625" customWidth="1"/>
  </cols>
  <sheetData>
    <row r="1" spans="1:4" x14ac:dyDescent="0.3">
      <c r="A1" t="s">
        <v>131</v>
      </c>
    </row>
    <row r="2" spans="1:4" x14ac:dyDescent="0.3">
      <c r="A2" t="s">
        <v>136</v>
      </c>
      <c r="C2" t="s">
        <v>132</v>
      </c>
      <c r="D2" t="s">
        <v>133</v>
      </c>
    </row>
    <row r="3" spans="1:4" x14ac:dyDescent="0.3">
      <c r="A3" s="100" t="s">
        <v>137</v>
      </c>
      <c r="B3" t="s">
        <v>134</v>
      </c>
      <c r="C3" s="57">
        <v>100</v>
      </c>
      <c r="D3" s="57">
        <f>C3*(1/1)</f>
        <v>100</v>
      </c>
    </row>
    <row r="4" spans="1:4" x14ac:dyDescent="0.3">
      <c r="A4" s="101"/>
      <c r="B4" t="s">
        <v>135</v>
      </c>
      <c r="C4" s="57">
        <f>C3/2.54</f>
        <v>39.370078740157481</v>
      </c>
      <c r="D4" s="57">
        <f>D3/2.54</f>
        <v>39.370078740157481</v>
      </c>
    </row>
    <row r="5" spans="1:4" x14ac:dyDescent="0.3">
      <c r="A5" s="102" t="s">
        <v>139</v>
      </c>
      <c r="B5" t="s">
        <v>134</v>
      </c>
      <c r="C5" s="57">
        <f>D5*(3/4)</f>
        <v>75</v>
      </c>
      <c r="D5" s="57">
        <v>100</v>
      </c>
    </row>
    <row r="6" spans="1:4" x14ac:dyDescent="0.3">
      <c r="A6" s="101"/>
      <c r="B6" t="s">
        <v>135</v>
      </c>
      <c r="C6" s="57">
        <f>C5/2.54</f>
        <v>29.527559055118111</v>
      </c>
      <c r="D6" s="57">
        <f>D5/2.54</f>
        <v>39.370078740157481</v>
      </c>
    </row>
    <row r="7" spans="1:4" x14ac:dyDescent="0.3">
      <c r="A7" s="102" t="s">
        <v>138</v>
      </c>
      <c r="B7" t="s">
        <v>134</v>
      </c>
      <c r="C7" s="57">
        <v>100</v>
      </c>
      <c r="D7" s="57">
        <f>C7*(16/9)</f>
        <v>177.77777777777777</v>
      </c>
    </row>
    <row r="8" spans="1:4" x14ac:dyDescent="0.3">
      <c r="A8" s="101"/>
      <c r="B8" t="s">
        <v>135</v>
      </c>
      <c r="C8" s="57">
        <f>C7/2.54</f>
        <v>39.370078740157481</v>
      </c>
      <c r="D8" s="57">
        <f>D7/2.54</f>
        <v>69.9912510936133</v>
      </c>
    </row>
  </sheetData>
  <mergeCells count="3">
    <mergeCell ref="A3:A4"/>
    <mergeCell ref="A5:A6"/>
    <mergeCell ref="A7:A8"/>
  </mergeCells>
  <phoneticPr fontId="7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"/>
  <sheetViews>
    <sheetView workbookViewId="0">
      <selection activeCell="C4" sqref="C4"/>
    </sheetView>
  </sheetViews>
  <sheetFormatPr defaultRowHeight="14.4" x14ac:dyDescent="0.3"/>
  <cols>
    <col min="2" max="2" width="13.88671875" customWidth="1"/>
    <col min="3" max="3" width="15.6640625" customWidth="1"/>
    <col min="4" max="4" width="51.109375" customWidth="1"/>
  </cols>
  <sheetData>
    <row r="2" spans="1:4" x14ac:dyDescent="0.3">
      <c r="A2" t="s">
        <v>140</v>
      </c>
      <c r="B2" t="s">
        <v>141</v>
      </c>
      <c r="C2" t="s">
        <v>146</v>
      </c>
      <c r="D2" t="s">
        <v>142</v>
      </c>
    </row>
    <row r="3" spans="1:4" x14ac:dyDescent="0.3">
      <c r="A3" t="s">
        <v>144</v>
      </c>
      <c r="B3" t="s">
        <v>145</v>
      </c>
      <c r="C3" t="s">
        <v>147</v>
      </c>
      <c r="D3" s="58" t="s">
        <v>143</v>
      </c>
    </row>
  </sheetData>
  <phoneticPr fontId="7" type="noConversion"/>
  <hyperlinks>
    <hyperlink ref="D3" r:id="rId1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7"/>
  <sheetViews>
    <sheetView topLeftCell="B1" workbookViewId="0">
      <selection activeCell="U16" sqref="U16"/>
    </sheetView>
  </sheetViews>
  <sheetFormatPr defaultColWidth="8.88671875" defaultRowHeight="14.4" x14ac:dyDescent="0.3"/>
  <cols>
    <col min="1" max="1" width="13.88671875" style="1" customWidth="1"/>
    <col min="2" max="2" width="8.33203125" style="1" customWidth="1"/>
    <col min="3" max="3" width="6.88671875" style="1" customWidth="1"/>
    <col min="4" max="4" width="6.33203125" style="1" customWidth="1"/>
    <col min="5" max="5" width="8.33203125" style="1" customWidth="1"/>
    <col min="6" max="6" width="7.33203125" style="1" customWidth="1"/>
    <col min="7" max="7" width="6.109375" style="1" customWidth="1"/>
    <col min="8" max="8" width="10.6640625" style="1" customWidth="1"/>
    <col min="9" max="9" width="16.6640625" style="1" customWidth="1"/>
    <col min="10" max="11" width="7.5546875" style="1" customWidth="1"/>
    <col min="12" max="12" width="16.5546875" style="1" customWidth="1"/>
    <col min="13" max="15" width="8" style="1" customWidth="1"/>
    <col min="16" max="16" width="10.6640625" style="1" customWidth="1"/>
    <col min="17" max="17" width="9.33203125" style="1" customWidth="1"/>
    <col min="18" max="18" width="12.44140625" style="1" customWidth="1"/>
    <col min="19" max="19" width="15.109375" style="1" customWidth="1"/>
    <col min="20" max="20" width="8.6640625" style="1" customWidth="1"/>
    <col min="21" max="21" width="10" style="1" customWidth="1"/>
    <col min="22" max="22" width="9.5546875" style="1" customWidth="1"/>
    <col min="23" max="24" width="8.88671875" style="1"/>
    <col min="25" max="25" width="18.109375" style="1" customWidth="1"/>
    <col min="26" max="16384" width="8.88671875" style="1"/>
  </cols>
  <sheetData>
    <row r="1" spans="1:25" ht="28.8" x14ac:dyDescent="0.3">
      <c r="A1" s="1" t="s">
        <v>165</v>
      </c>
    </row>
    <row r="2" spans="1:25" x14ac:dyDescent="0.3">
      <c r="A2" s="105" t="s">
        <v>164</v>
      </c>
      <c r="B2" s="106"/>
      <c r="C2" s="106"/>
      <c r="D2" s="106"/>
      <c r="E2" s="106"/>
      <c r="F2" s="106"/>
      <c r="G2" s="106"/>
      <c r="H2" s="106"/>
      <c r="I2" s="106"/>
    </row>
    <row r="4" spans="1:25" ht="111.6" customHeight="1" thickBot="1" x14ac:dyDescent="0.35">
      <c r="A4" s="1" t="s">
        <v>166</v>
      </c>
      <c r="B4" s="1" t="s">
        <v>195</v>
      </c>
      <c r="C4" s="1" t="s">
        <v>191</v>
      </c>
      <c r="D4" s="1" t="s">
        <v>194</v>
      </c>
      <c r="E4" s="1" t="s">
        <v>202</v>
      </c>
      <c r="F4" s="1" t="s">
        <v>197</v>
      </c>
      <c r="G4" s="1" t="s">
        <v>176</v>
      </c>
      <c r="H4" s="1" t="s">
        <v>204</v>
      </c>
      <c r="I4" s="1" t="s">
        <v>181</v>
      </c>
      <c r="J4" s="1" t="s">
        <v>183</v>
      </c>
      <c r="K4" s="1" t="s">
        <v>168</v>
      </c>
      <c r="L4" s="1" t="s">
        <v>184</v>
      </c>
      <c r="N4" s="1" t="s">
        <v>206</v>
      </c>
      <c r="O4" s="1" t="s">
        <v>207</v>
      </c>
      <c r="P4" s="1" t="s">
        <v>172</v>
      </c>
      <c r="Q4" s="1" t="s">
        <v>173</v>
      </c>
      <c r="R4" s="1" t="s">
        <v>205</v>
      </c>
      <c r="S4" s="1" t="s">
        <v>185</v>
      </c>
      <c r="T4" s="1" t="s">
        <v>210</v>
      </c>
      <c r="U4" s="1" t="s">
        <v>231</v>
      </c>
      <c r="V4" s="1" t="s">
        <v>232</v>
      </c>
      <c r="W4" s="1" t="s">
        <v>172</v>
      </c>
      <c r="X4" s="1" t="s">
        <v>173</v>
      </c>
      <c r="Y4" s="1" t="s">
        <v>205</v>
      </c>
    </row>
    <row r="5" spans="1:25" ht="43.2" x14ac:dyDescent="0.3">
      <c r="A5" s="103" t="s">
        <v>203</v>
      </c>
      <c r="B5" s="61" t="s">
        <v>179</v>
      </c>
      <c r="C5" s="61" t="s">
        <v>179</v>
      </c>
      <c r="D5" s="61" t="s">
        <v>196</v>
      </c>
      <c r="E5" s="61" t="s">
        <v>179</v>
      </c>
      <c r="F5" s="61" t="s">
        <v>178</v>
      </c>
      <c r="G5" s="61" t="s">
        <v>179</v>
      </c>
      <c r="H5" s="61" t="s">
        <v>193</v>
      </c>
      <c r="I5" s="61" t="s">
        <v>167</v>
      </c>
      <c r="J5" s="61" t="s">
        <v>178</v>
      </c>
      <c r="K5" s="61" t="s">
        <v>169</v>
      </c>
      <c r="L5" s="61" t="s">
        <v>211</v>
      </c>
      <c r="M5" s="61" t="s">
        <v>174</v>
      </c>
      <c r="N5" s="61">
        <v>0.498</v>
      </c>
      <c r="O5" s="61" t="s">
        <v>212</v>
      </c>
      <c r="P5" s="61">
        <v>105.25</v>
      </c>
      <c r="Q5" s="61">
        <v>88.55</v>
      </c>
      <c r="R5" s="61" t="s">
        <v>213</v>
      </c>
      <c r="S5" s="61" t="s">
        <v>208</v>
      </c>
      <c r="T5" s="61">
        <v>0.996</v>
      </c>
      <c r="U5" s="61">
        <v>1.4279999999999999</v>
      </c>
      <c r="V5" s="61">
        <v>1.0640000000000001</v>
      </c>
      <c r="W5" s="61">
        <v>71.510000000000005</v>
      </c>
      <c r="X5" s="61">
        <v>56.4</v>
      </c>
      <c r="Y5" s="62" t="s">
        <v>209</v>
      </c>
    </row>
    <row r="6" spans="1:25" ht="15" thickBot="1" x14ac:dyDescent="0.35">
      <c r="A6" s="104"/>
      <c r="B6" s="63"/>
      <c r="C6" s="63"/>
      <c r="D6" s="63"/>
      <c r="E6" s="63"/>
      <c r="F6" s="63"/>
      <c r="G6" s="63"/>
      <c r="H6" s="63"/>
      <c r="I6" s="63" t="s">
        <v>187</v>
      </c>
      <c r="J6" s="63" t="s">
        <v>211</v>
      </c>
      <c r="K6" s="63"/>
      <c r="L6" s="63"/>
      <c r="M6" s="63" t="s">
        <v>175</v>
      </c>
      <c r="N6" s="63"/>
      <c r="O6" s="63"/>
      <c r="P6" s="63"/>
      <c r="Q6" s="63"/>
      <c r="R6" s="63"/>
      <c r="S6" s="63"/>
      <c r="T6" s="63"/>
      <c r="U6" s="68">
        <f>2*$T$5*TAN(RADIANS(W6/2))</f>
        <v>1.0019920002196807</v>
      </c>
      <c r="V6" s="68">
        <f>2*$T$5*TAN(RADIANS(X6/2))</f>
        <v>0.76707119454342387</v>
      </c>
      <c r="W6" s="67">
        <f xml:space="preserve"> 2*DEGREES(ASIN(SIN(RADIANS(W5/2)/1.339)))</f>
        <v>53.405526512322623</v>
      </c>
      <c r="X6" s="67">
        <f xml:space="preserve"> 2*DEGREES(ASIN(SIN(RADIANS(X5/2)/1.339)))</f>
        <v>42.120985810306188</v>
      </c>
      <c r="Y6" s="64"/>
    </row>
    <row r="7" spans="1:25" ht="43.2" x14ac:dyDescent="0.3">
      <c r="A7" s="103" t="s">
        <v>192</v>
      </c>
      <c r="B7" s="61" t="s">
        <v>178</v>
      </c>
      <c r="C7" s="61" t="s">
        <v>178</v>
      </c>
      <c r="D7" s="61" t="s">
        <v>178</v>
      </c>
      <c r="E7" s="61" t="s">
        <v>178</v>
      </c>
      <c r="F7" s="61" t="s">
        <v>178</v>
      </c>
      <c r="G7" s="61"/>
      <c r="H7" s="61" t="s">
        <v>178</v>
      </c>
      <c r="I7" s="61" t="s">
        <v>198</v>
      </c>
      <c r="J7" s="61" t="s">
        <v>179</v>
      </c>
      <c r="K7" s="61" t="s">
        <v>171</v>
      </c>
      <c r="L7" s="61" t="s">
        <v>217</v>
      </c>
      <c r="M7" s="61" t="s">
        <v>174</v>
      </c>
      <c r="N7" s="61" t="s">
        <v>214</v>
      </c>
      <c r="O7" s="61" t="s">
        <v>215</v>
      </c>
      <c r="P7" s="61">
        <v>63.84</v>
      </c>
      <c r="Q7" s="61">
        <v>50.09</v>
      </c>
      <c r="R7" s="61" t="s">
        <v>216</v>
      </c>
      <c r="S7" s="61" t="s">
        <v>217</v>
      </c>
      <c r="T7" s="61">
        <v>0.99399999999999999</v>
      </c>
      <c r="U7" s="61">
        <v>1.2310000000000001</v>
      </c>
      <c r="V7" s="61">
        <v>0.92300000000000004</v>
      </c>
      <c r="W7" s="61">
        <v>63.84</v>
      </c>
      <c r="X7" s="61">
        <v>50.09</v>
      </c>
      <c r="Y7" s="62" t="s">
        <v>218</v>
      </c>
    </row>
    <row r="8" spans="1:25" ht="43.8" thickBot="1" x14ac:dyDescent="0.35">
      <c r="A8" s="104"/>
      <c r="B8" s="63"/>
      <c r="C8" s="63"/>
      <c r="D8" s="63"/>
      <c r="E8" s="63"/>
      <c r="F8" s="63"/>
      <c r="G8" s="63"/>
      <c r="H8" s="63"/>
      <c r="I8" s="63" t="s">
        <v>200</v>
      </c>
      <c r="J8" s="63" t="s">
        <v>199</v>
      </c>
      <c r="K8" s="63"/>
      <c r="L8" s="63"/>
      <c r="M8" s="63" t="s">
        <v>175</v>
      </c>
      <c r="N8" s="63"/>
      <c r="O8" s="63"/>
      <c r="P8" s="63"/>
      <c r="Q8" s="63"/>
      <c r="R8" s="63"/>
      <c r="S8" s="63"/>
      <c r="T8" s="63"/>
      <c r="U8" s="68">
        <f>2*$T$7*TAN(RADIANS(W8/2))</f>
        <v>0.87841634043952876</v>
      </c>
      <c r="V8" s="68">
        <f>2*$T$7*TAN(RADIANS(X8/2))</f>
        <v>0.67306550453855452</v>
      </c>
      <c r="W8" s="67">
        <f xml:space="preserve"> 2*DEGREES(ASIN(SIN(RADIANS(W7/2)/1.339)))</f>
        <v>47.6773711725168</v>
      </c>
      <c r="X8" s="67">
        <f xml:space="preserve"> 2*DEGREES(ASIN(SIN(RADIANS(X7/2)/1.339)))</f>
        <v>37.408513816280816</v>
      </c>
      <c r="Y8" s="64"/>
    </row>
    <row r="9" spans="1:25" ht="43.2" x14ac:dyDescent="0.3">
      <c r="A9" s="103" t="s">
        <v>170</v>
      </c>
      <c r="B9" s="61" t="s">
        <v>179</v>
      </c>
      <c r="C9" s="61" t="s">
        <v>193</v>
      </c>
      <c r="D9" s="61" t="s">
        <v>178</v>
      </c>
      <c r="E9" s="61" t="s">
        <v>178</v>
      </c>
      <c r="F9" s="61" t="s">
        <v>178</v>
      </c>
      <c r="G9" s="61" t="s">
        <v>178</v>
      </c>
      <c r="H9" s="61" t="s">
        <v>178</v>
      </c>
      <c r="I9" s="61" t="s">
        <v>198</v>
      </c>
      <c r="J9" s="61" t="s">
        <v>179</v>
      </c>
      <c r="K9" s="61" t="s">
        <v>171</v>
      </c>
      <c r="L9" s="61" t="s">
        <v>217</v>
      </c>
      <c r="M9" s="61" t="s">
        <v>174</v>
      </c>
      <c r="N9" s="61" t="s">
        <v>214</v>
      </c>
      <c r="O9" s="61" t="s">
        <v>215</v>
      </c>
      <c r="P9" s="61">
        <v>63.84</v>
      </c>
      <c r="Q9" s="61">
        <v>50.09</v>
      </c>
      <c r="R9" s="61" t="s">
        <v>216</v>
      </c>
      <c r="S9" s="61" t="s">
        <v>217</v>
      </c>
      <c r="T9" s="61">
        <v>0.99399999999999999</v>
      </c>
      <c r="U9" s="61">
        <v>1.2310000000000001</v>
      </c>
      <c r="V9" s="61">
        <v>0.92300000000000004</v>
      </c>
      <c r="W9" s="61">
        <v>63.84</v>
      </c>
      <c r="X9" s="61">
        <v>50.09</v>
      </c>
      <c r="Y9" s="62" t="s">
        <v>218</v>
      </c>
    </row>
    <row r="10" spans="1:25" ht="43.8" thickBot="1" x14ac:dyDescent="0.35">
      <c r="A10" s="104"/>
      <c r="B10" s="63"/>
      <c r="C10" s="63"/>
      <c r="D10" s="63"/>
      <c r="E10" s="63"/>
      <c r="F10" s="63"/>
      <c r="G10" s="63"/>
      <c r="H10" s="63"/>
      <c r="I10" s="63" t="s">
        <v>200</v>
      </c>
      <c r="J10" s="63" t="s">
        <v>199</v>
      </c>
      <c r="K10" s="63"/>
      <c r="L10" s="63"/>
      <c r="M10" s="63" t="s">
        <v>175</v>
      </c>
      <c r="N10" s="63"/>
      <c r="O10" s="63"/>
      <c r="P10" s="63"/>
      <c r="Q10" s="63"/>
      <c r="R10" s="63"/>
      <c r="S10" s="63"/>
      <c r="T10" s="63"/>
      <c r="U10" s="68">
        <f>2*$T$9*TAN(RADIANS(W10/2))</f>
        <v>0.87841634043952876</v>
      </c>
      <c r="V10" s="68">
        <f>2*$T$9*TAN(RADIANS(X10/2))</f>
        <v>0.67306550453855452</v>
      </c>
      <c r="W10" s="67">
        <f xml:space="preserve"> 2*DEGREES(ASIN(SIN(RADIANS(W9/2)/1.339)))</f>
        <v>47.6773711725168</v>
      </c>
      <c r="X10" s="67">
        <f xml:space="preserve"> 2*DEGREES(ASIN(SIN(RADIANS(X9/2)/1.339)))</f>
        <v>37.408513816280816</v>
      </c>
      <c r="Y10" s="64"/>
    </row>
    <row r="11" spans="1:25" x14ac:dyDescent="0.3">
      <c r="A11" s="103" t="s">
        <v>177</v>
      </c>
      <c r="B11" s="61" t="s">
        <v>179</v>
      </c>
      <c r="C11" s="61" t="s">
        <v>179</v>
      </c>
      <c r="D11" s="61" t="s">
        <v>196</v>
      </c>
      <c r="E11" s="61" t="s">
        <v>178</v>
      </c>
      <c r="F11" s="61" t="s">
        <v>178</v>
      </c>
      <c r="G11" s="61" t="s">
        <v>178</v>
      </c>
      <c r="H11" s="61" t="s">
        <v>178</v>
      </c>
      <c r="I11" s="61" t="s">
        <v>180</v>
      </c>
      <c r="J11" s="61" t="s">
        <v>179</v>
      </c>
      <c r="K11" s="61" t="s">
        <v>182</v>
      </c>
      <c r="L11" s="61"/>
      <c r="M11" s="61" t="s">
        <v>174</v>
      </c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2"/>
    </row>
    <row r="12" spans="1:25" ht="40.950000000000003" customHeight="1" thickBot="1" x14ac:dyDescent="0.35">
      <c r="A12" s="104"/>
      <c r="B12" s="63"/>
      <c r="C12" s="63"/>
      <c r="D12" s="63"/>
      <c r="E12" s="63"/>
      <c r="F12" s="63"/>
      <c r="G12" s="63"/>
      <c r="H12" s="63"/>
      <c r="I12" s="63" t="s">
        <v>190</v>
      </c>
      <c r="J12" s="63" t="s">
        <v>186</v>
      </c>
      <c r="K12" s="63"/>
      <c r="L12" s="63"/>
      <c r="M12" s="63" t="s">
        <v>175</v>
      </c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4"/>
    </row>
    <row r="13" spans="1:25" ht="43.2" x14ac:dyDescent="0.3">
      <c r="A13" s="103" t="s">
        <v>201</v>
      </c>
      <c r="B13" s="61" t="s">
        <v>179</v>
      </c>
      <c r="C13" s="61" t="s">
        <v>179</v>
      </c>
      <c r="D13" s="61" t="s">
        <v>196</v>
      </c>
      <c r="E13" s="61" t="s">
        <v>178</v>
      </c>
      <c r="F13" s="61" t="s">
        <v>178</v>
      </c>
      <c r="G13" s="61" t="s">
        <v>178</v>
      </c>
      <c r="H13" s="61" t="s">
        <v>178</v>
      </c>
      <c r="I13" s="65" t="s">
        <v>189</v>
      </c>
      <c r="J13" s="61" t="s">
        <v>178</v>
      </c>
      <c r="K13" s="61" t="s">
        <v>220</v>
      </c>
      <c r="L13" s="61" t="s">
        <v>222</v>
      </c>
      <c r="M13" s="61" t="s">
        <v>174</v>
      </c>
      <c r="N13" s="61" t="s">
        <v>224</v>
      </c>
      <c r="O13" s="61" t="s">
        <v>225</v>
      </c>
      <c r="P13" s="61">
        <v>94.47</v>
      </c>
      <c r="Q13" s="61">
        <v>78.19</v>
      </c>
      <c r="R13" s="61" t="s">
        <v>226</v>
      </c>
      <c r="S13" s="61" t="s">
        <v>223</v>
      </c>
      <c r="T13" s="61">
        <v>0.96799999999999997</v>
      </c>
      <c r="U13" s="61">
        <v>1.2010000000000001</v>
      </c>
      <c r="V13" s="61">
        <v>0.90200000000000002</v>
      </c>
      <c r="W13" s="61">
        <v>63.42</v>
      </c>
      <c r="X13" s="61">
        <v>49.81</v>
      </c>
      <c r="Y13" s="62" t="s">
        <v>221</v>
      </c>
    </row>
    <row r="14" spans="1:25" ht="43.95" customHeight="1" thickBot="1" x14ac:dyDescent="0.35">
      <c r="A14" s="104"/>
      <c r="B14" s="63"/>
      <c r="C14" s="63"/>
      <c r="D14" s="63"/>
      <c r="E14" s="63"/>
      <c r="F14" s="63"/>
      <c r="G14" s="63"/>
      <c r="H14" s="63"/>
      <c r="I14" s="63" t="s">
        <v>188</v>
      </c>
      <c r="J14" s="63" t="s">
        <v>219</v>
      </c>
      <c r="K14" s="63"/>
      <c r="L14" s="63"/>
      <c r="M14" s="63" t="s">
        <v>175</v>
      </c>
      <c r="N14" s="63"/>
      <c r="O14" s="63"/>
      <c r="P14" s="63"/>
      <c r="Q14" s="63"/>
      <c r="R14" s="63"/>
      <c r="S14" s="63"/>
      <c r="T14" s="63"/>
      <c r="U14" s="68">
        <f>2*$T$13*TAN(RADIANS(W14/2))</f>
        <v>0.84911331496987552</v>
      </c>
      <c r="V14" s="68">
        <f>2*$T$13*TAN(RADIANS(X14/2))</f>
        <v>0.65152474596718313</v>
      </c>
      <c r="W14" s="66">
        <f xml:space="preserve"> 2*DEGREES(ASIN(SIN(RADIANS(W13/2)/1.339)))</f>
        <v>47.363704256908136</v>
      </c>
      <c r="X14" s="66">
        <f xml:space="preserve"> 2*DEGREES(ASIN(SIN(RADIANS(X13/2)/1.339)))</f>
        <v>37.199402539208371</v>
      </c>
      <c r="Y14" s="64"/>
    </row>
    <row r="16" spans="1:25" ht="58.2" x14ac:dyDescent="0.35">
      <c r="L16" s="1" t="s">
        <v>227</v>
      </c>
      <c r="M16" s="58" t="s">
        <v>228</v>
      </c>
      <c r="R16" t="s">
        <v>229</v>
      </c>
    </row>
    <row r="17" spans="18:18" ht="28.8" x14ac:dyDescent="0.3">
      <c r="R17" s="1" t="s">
        <v>230</v>
      </c>
    </row>
  </sheetData>
  <mergeCells count="6">
    <mergeCell ref="A13:A14"/>
    <mergeCell ref="A2:I2"/>
    <mergeCell ref="A5:A6"/>
    <mergeCell ref="A7:A8"/>
    <mergeCell ref="A9:A10"/>
    <mergeCell ref="A11:A12"/>
  </mergeCells>
  <phoneticPr fontId="7" type="noConversion"/>
  <hyperlinks>
    <hyperlink ref="A2" r:id="rId1"/>
    <hyperlink ref="M16" r:id="rId2"/>
  </hyperlinks>
  <pageMargins left="0.7" right="0.7" top="0.75" bottom="0.75" header="0.3" footer="0.3"/>
  <pageSetup orientation="portrait" r:id="rId3"/>
  <legacy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D17" sqref="D17"/>
    </sheetView>
  </sheetViews>
  <sheetFormatPr defaultRowHeight="14.4" x14ac:dyDescent="0.3"/>
  <cols>
    <col min="1" max="1" width="31.33203125" style="52" customWidth="1"/>
    <col min="2" max="2" width="10.88671875" style="52" customWidth="1"/>
    <col min="3" max="3" width="13.44140625" style="52" customWidth="1"/>
    <col min="4" max="4" width="11.5546875" style="52" customWidth="1"/>
    <col min="5" max="16384" width="8.88671875" style="52"/>
  </cols>
  <sheetData>
    <row r="1" spans="1:5" ht="15" thickBot="1" x14ac:dyDescent="0.35"/>
    <row r="2" spans="1:5" x14ac:dyDescent="0.3">
      <c r="A2" s="109" t="s">
        <v>242</v>
      </c>
      <c r="B2" s="110"/>
      <c r="C2" s="111"/>
      <c r="D2" s="107" t="s">
        <v>237</v>
      </c>
      <c r="E2" s="108"/>
    </row>
    <row r="3" spans="1:5" ht="28.8" x14ac:dyDescent="0.3">
      <c r="A3" s="80" t="s">
        <v>240</v>
      </c>
      <c r="B3" s="81" t="s">
        <v>236</v>
      </c>
      <c r="C3" s="82" t="s">
        <v>241</v>
      </c>
      <c r="D3" s="78" t="s">
        <v>238</v>
      </c>
      <c r="E3" s="79" t="s">
        <v>239</v>
      </c>
    </row>
    <row r="4" spans="1:5" x14ac:dyDescent="0.3">
      <c r="A4" s="73" t="str">
        <f>LightEnergyBudgets!A10</f>
        <v>Lab image DSC_6164.JPG</v>
      </c>
      <c r="B4" s="72">
        <f>LightEnergyBudgets!G10</f>
        <v>29</v>
      </c>
      <c r="C4" s="77">
        <f>LightEnergyBudgets!H10</f>
        <v>2.0000000000000001E-4</v>
      </c>
      <c r="D4" s="73">
        <f>LightEnergyBudgets!P10</f>
        <v>65703.125000000087</v>
      </c>
      <c r="E4" s="74">
        <f>LightEnergyBudgets!Q10</f>
        <v>32851.562500000044</v>
      </c>
    </row>
    <row r="5" spans="1:5" ht="15" thickBot="1" x14ac:dyDescent="0.35">
      <c r="A5" s="83" t="str">
        <f>LightEnergyBudgets!A11</f>
        <v>Lab image DSC_3391.JPG</v>
      </c>
      <c r="B5" s="84">
        <f>LightEnergyBudgets!G11</f>
        <v>32</v>
      </c>
      <c r="C5" s="85">
        <f>LightEnergyBudgets!H11</f>
        <v>2.0000000000000001E-4</v>
      </c>
      <c r="D5" s="83">
        <f>LightEnergyBudgets!P11</f>
        <v>319999.99999999983</v>
      </c>
      <c r="E5" s="86">
        <f>LightEnergyBudgets!Q11</f>
        <v>160000.0000000002</v>
      </c>
    </row>
    <row r="6" spans="1:5" x14ac:dyDescent="0.3">
      <c r="A6" s="92" t="s">
        <v>243</v>
      </c>
      <c r="B6" s="88">
        <f>LightEnergyBudgets!G15</f>
        <v>2.8</v>
      </c>
      <c r="C6" s="88">
        <f>LightEnergyBudgets!H15</f>
        <v>2.4499999999999986E-3</v>
      </c>
      <c r="D6" s="88">
        <f>LightEnergyBudgets!P15</f>
        <v>1000.0000000000007</v>
      </c>
      <c r="E6" s="89">
        <f>LightEnergyBudgets!Q15</f>
        <v>500.00000000000028</v>
      </c>
    </row>
    <row r="7" spans="1:5" ht="15" thickBot="1" x14ac:dyDescent="0.35">
      <c r="A7" s="75" t="s">
        <v>244</v>
      </c>
      <c r="B7" s="76"/>
      <c r="C7" s="76"/>
      <c r="D7" s="90">
        <f>LightEnergyBudgets!P21</f>
        <v>7.3827980804725035</v>
      </c>
      <c r="E7" s="91">
        <f>LightEnergyBudgets!Q21</f>
        <v>3.6913990402362513</v>
      </c>
    </row>
    <row r="9" spans="1:5" ht="15" thickBot="1" x14ac:dyDescent="0.35"/>
    <row r="10" spans="1:5" x14ac:dyDescent="0.3">
      <c r="A10" s="87" t="s">
        <v>246</v>
      </c>
      <c r="B10" s="88" t="s">
        <v>247</v>
      </c>
      <c r="C10" s="89" t="s">
        <v>251</v>
      </c>
    </row>
    <row r="11" spans="1:5" x14ac:dyDescent="0.3">
      <c r="A11" s="73" t="s">
        <v>248</v>
      </c>
      <c r="B11" s="72">
        <f>LightEnergyBudgets!X5</f>
        <v>3.5999999999999997E-2</v>
      </c>
      <c r="C11" s="74">
        <f>B11*1000</f>
        <v>36</v>
      </c>
    </row>
    <row r="12" spans="1:5" x14ac:dyDescent="0.3">
      <c r="A12" s="73" t="s">
        <v>250</v>
      </c>
      <c r="B12" s="72">
        <f>LightEnergyBudgets!U21</f>
        <v>9.847832328452482E-6</v>
      </c>
      <c r="C12" s="93">
        <f>B12*1000</f>
        <v>9.8478323284524813E-3</v>
      </c>
    </row>
    <row r="13" spans="1:5" ht="15" thickBot="1" x14ac:dyDescent="0.35">
      <c r="A13" s="75" t="s">
        <v>249</v>
      </c>
      <c r="B13" s="76">
        <f>B12/0.00245</f>
        <v>4.0195233993683601E-3</v>
      </c>
      <c r="C13" s="94">
        <f>B13*1000</f>
        <v>4.0195233993683601</v>
      </c>
    </row>
  </sheetData>
  <mergeCells count="2">
    <mergeCell ref="D2:E2"/>
    <mergeCell ref="A2:C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LightEnergyBudgets</vt:lpstr>
      <vt:lpstr>LED&amp;Reflectors</vt:lpstr>
      <vt:lpstr>TestPatternSize</vt:lpstr>
      <vt:lpstr>LEDDriverCircuits</vt:lpstr>
      <vt:lpstr>LensCalculation</vt:lpstr>
      <vt:lpstr>CDR_Table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chma</dc:creator>
  <cp:lastModifiedBy>chma</cp:lastModifiedBy>
  <dcterms:created xsi:type="dcterms:W3CDTF">2012-04-17T18:31:10Z</dcterms:created>
  <dcterms:modified xsi:type="dcterms:W3CDTF">2012-05-11T18:20:07Z</dcterms:modified>
</cp:coreProperties>
</file>