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21855" windowHeight="10065" activeTab="1"/>
  </bookViews>
  <sheets>
    <sheet name="Tether Measurements" sheetId="1" r:id="rId1"/>
    <sheet name="BCM - System Losses" sheetId="2" r:id="rId2"/>
    <sheet name="Copper Losses" sheetId="3" r:id="rId3"/>
    <sheet name="Sheet1" sheetId="4" r:id="rId4"/>
  </sheets>
  <calcPr calcId="125725"/>
</workbook>
</file>

<file path=xl/calcChain.xml><?xml version="1.0" encoding="utf-8"?>
<calcChain xmlns="http://schemas.openxmlformats.org/spreadsheetml/2006/main">
  <c r="K19" i="4"/>
  <c r="K17"/>
  <c r="J31"/>
  <c r="C32" s="1"/>
  <c r="J29"/>
  <c r="C30" s="1"/>
  <c r="J27"/>
  <c r="C28" s="1"/>
  <c r="J25"/>
  <c r="C26" s="1"/>
  <c r="J23"/>
  <c r="C24" s="1"/>
  <c r="F24" s="1"/>
  <c r="J21"/>
  <c r="C22" s="1"/>
  <c r="F22" s="1"/>
  <c r="I31"/>
  <c r="I29"/>
  <c r="I27"/>
  <c r="I25"/>
  <c r="I23"/>
  <c r="I21"/>
  <c r="I19"/>
  <c r="J19" s="1"/>
  <c r="C20" s="1"/>
  <c r="I17"/>
  <c r="J17" s="1"/>
  <c r="I15"/>
  <c r="I13"/>
  <c r="P18"/>
  <c r="P23" s="1"/>
  <c r="P24" s="1"/>
  <c r="S17"/>
  <c r="S18" s="1"/>
  <c r="S23" s="1"/>
  <c r="S24" s="1"/>
  <c r="R17"/>
  <c r="R18" s="1"/>
  <c r="R23" s="1"/>
  <c r="R24" s="1"/>
  <c r="Q17"/>
  <c r="Q18" s="1"/>
  <c r="Q23" s="1"/>
  <c r="Q24" s="1"/>
  <c r="P17"/>
  <c r="O17"/>
  <c r="O18" s="1"/>
  <c r="O23" s="1"/>
  <c r="O24" s="1"/>
  <c r="N17"/>
  <c r="N18" s="1"/>
  <c r="N23" s="1"/>
  <c r="N24" s="1"/>
  <c r="M17"/>
  <c r="M18" s="1"/>
  <c r="M23" s="1"/>
  <c r="M24" s="1"/>
  <c r="I12" i="2"/>
  <c r="J12" s="1"/>
  <c r="I14"/>
  <c r="J14" s="1"/>
  <c r="I16"/>
  <c r="J10"/>
  <c r="J8"/>
  <c r="J6"/>
  <c r="J16"/>
  <c r="R18"/>
  <c r="R23" s="1"/>
  <c r="R24" s="1"/>
  <c r="P18"/>
  <c r="P23" s="1"/>
  <c r="P24" s="1"/>
  <c r="N18"/>
  <c r="N23" s="1"/>
  <c r="N24" s="1"/>
  <c r="S17"/>
  <c r="S18" s="1"/>
  <c r="S23" s="1"/>
  <c r="S24" s="1"/>
  <c r="R17"/>
  <c r="Q17"/>
  <c r="Q18" s="1"/>
  <c r="Q23" s="1"/>
  <c r="Q24" s="1"/>
  <c r="P17"/>
  <c r="O17"/>
  <c r="O18" s="1"/>
  <c r="O23" s="1"/>
  <c r="O24" s="1"/>
  <c r="N17"/>
  <c r="M17"/>
  <c r="M18" s="1"/>
  <c r="M23" s="1"/>
  <c r="M24" s="1"/>
  <c r="H13" i="3"/>
  <c r="G13"/>
  <c r="E13"/>
  <c r="D13"/>
  <c r="C13"/>
  <c r="H12"/>
  <c r="G12"/>
  <c r="F12"/>
  <c r="F13" s="1"/>
  <c r="E12"/>
  <c r="D12"/>
  <c r="C12"/>
  <c r="B12"/>
  <c r="B13" s="1"/>
  <c r="H7"/>
  <c r="G7"/>
  <c r="F7"/>
  <c r="E7"/>
  <c r="D7"/>
  <c r="C7"/>
  <c r="B7"/>
  <c r="H6"/>
  <c r="G6"/>
  <c r="F6"/>
  <c r="E6"/>
  <c r="D6"/>
  <c r="C6"/>
  <c r="B6"/>
  <c r="O9" i="1"/>
  <c r="O10" s="1"/>
  <c r="M19"/>
  <c r="M18"/>
  <c r="M17"/>
  <c r="M16"/>
  <c r="M14"/>
  <c r="M13"/>
  <c r="M12"/>
  <c r="M11"/>
  <c r="M10"/>
  <c r="M9"/>
  <c r="M8"/>
  <c r="M7"/>
  <c r="M6"/>
  <c r="M5"/>
  <c r="M4"/>
  <c r="M3"/>
  <c r="S7"/>
  <c r="S6"/>
  <c r="S5"/>
  <c r="S4"/>
  <c r="S3"/>
  <c r="AA15"/>
  <c r="AB15" s="1"/>
  <c r="AC15" s="1"/>
  <c r="AA14"/>
  <c r="AB14" s="1"/>
  <c r="AC14" s="1"/>
  <c r="AA13"/>
  <c r="AB13" s="1"/>
  <c r="AC13" s="1"/>
  <c r="AA12"/>
  <c r="AB12" s="1"/>
  <c r="AC12" s="1"/>
  <c r="AA11"/>
  <c r="AB11" s="1"/>
  <c r="AC11" s="1"/>
  <c r="AA10"/>
  <c r="AB10" s="1"/>
  <c r="AC10" s="1"/>
  <c r="AA9"/>
  <c r="AB9" s="1"/>
  <c r="AC9" s="1"/>
  <c r="AA8"/>
  <c r="AB8" s="1"/>
  <c r="AC8" s="1"/>
  <c r="AA7"/>
  <c r="AB7" s="1"/>
  <c r="AC7" s="1"/>
  <c r="AA6"/>
  <c r="AB6" s="1"/>
  <c r="AC6" s="1"/>
  <c r="AA5"/>
  <c r="AB5" s="1"/>
  <c r="AC5" s="1"/>
  <c r="AA4"/>
  <c r="AB4" s="1"/>
  <c r="AC4" s="1"/>
  <c r="AA3"/>
  <c r="AB3" s="1"/>
  <c r="AC3" s="1"/>
  <c r="V7"/>
  <c r="V6"/>
  <c r="V5"/>
  <c r="V4"/>
  <c r="V3"/>
  <c r="U7"/>
  <c r="U6"/>
  <c r="U5"/>
  <c r="U4"/>
  <c r="U3"/>
  <c r="T7"/>
  <c r="T6"/>
  <c r="T5"/>
  <c r="T4"/>
  <c r="T3"/>
  <c r="R8"/>
  <c r="T8" s="1"/>
  <c r="U8" s="1"/>
  <c r="R7"/>
  <c r="R6"/>
  <c r="R5"/>
  <c r="R4"/>
  <c r="R3"/>
  <c r="L19"/>
  <c r="I19"/>
  <c r="L18"/>
  <c r="L17"/>
  <c r="L16"/>
  <c r="I18"/>
  <c r="I17"/>
  <c r="I16"/>
  <c r="L14"/>
  <c r="L13"/>
  <c r="L12"/>
  <c r="L11"/>
  <c r="L10"/>
  <c r="L9"/>
  <c r="L8"/>
  <c r="L7"/>
  <c r="L6"/>
  <c r="L5"/>
  <c r="L4"/>
  <c r="L3"/>
  <c r="K14"/>
  <c r="K13"/>
  <c r="K12"/>
  <c r="K11"/>
  <c r="K10"/>
  <c r="K9"/>
  <c r="K8"/>
  <c r="K7"/>
  <c r="K6"/>
  <c r="K5"/>
  <c r="K4"/>
  <c r="K3"/>
  <c r="J14"/>
  <c r="J13"/>
  <c r="J12"/>
  <c r="J11"/>
  <c r="J10"/>
  <c r="J9"/>
  <c r="J8"/>
  <c r="J7"/>
  <c r="J6"/>
  <c r="J5"/>
  <c r="J4"/>
  <c r="J3"/>
  <c r="G14"/>
  <c r="G13"/>
  <c r="G12"/>
  <c r="G11"/>
  <c r="G10"/>
  <c r="G9"/>
  <c r="G8"/>
  <c r="G7"/>
  <c r="G6"/>
  <c r="G5"/>
  <c r="G4"/>
  <c r="G3"/>
  <c r="I14"/>
  <c r="I13"/>
  <c r="I12"/>
  <c r="I11"/>
  <c r="I10"/>
  <c r="I9"/>
  <c r="I8"/>
  <c r="I7"/>
  <c r="I6"/>
  <c r="I5"/>
  <c r="I4"/>
  <c r="I3"/>
  <c r="A14"/>
  <c r="A5"/>
  <c r="A6" s="1"/>
  <c r="A7" s="1"/>
  <c r="A8" s="1"/>
  <c r="A9" s="1"/>
  <c r="A10" s="1"/>
  <c r="A11" s="1"/>
  <c r="A12" s="1"/>
  <c r="A13" s="1"/>
  <c r="A4"/>
  <c r="K21" i="4" l="1"/>
  <c r="K23"/>
  <c r="K25"/>
  <c r="K27"/>
  <c r="K29"/>
  <c r="K31"/>
  <c r="F32"/>
  <c r="F30"/>
  <c r="F28"/>
  <c r="F26"/>
  <c r="F20"/>
  <c r="C18"/>
  <c r="F18" s="1"/>
  <c r="R9" i="1"/>
  <c r="V9" s="1"/>
  <c r="O11"/>
  <c r="O12" s="1"/>
  <c r="O13" s="1"/>
  <c r="O14" s="1"/>
  <c r="O15" s="1"/>
  <c r="O16" s="1"/>
  <c r="O17" s="1"/>
  <c r="O18" s="1"/>
  <c r="O19" s="1"/>
  <c r="R10"/>
  <c r="T10" s="1"/>
  <c r="U10" s="1"/>
  <c r="S8"/>
  <c r="V8"/>
  <c r="AD3"/>
  <c r="AD4"/>
  <c r="AD5"/>
  <c r="AD6"/>
  <c r="AD7"/>
  <c r="AD8"/>
  <c r="AD9"/>
  <c r="AD10"/>
  <c r="AD11"/>
  <c r="AD12"/>
  <c r="AD13"/>
  <c r="AD14"/>
  <c r="AD15"/>
  <c r="F6" i="4" l="1"/>
  <c r="T9" i="1"/>
  <c r="U9" s="1"/>
  <c r="R11"/>
  <c r="T11" s="1"/>
  <c r="U11" s="1"/>
  <c r="S9"/>
  <c r="S10"/>
  <c r="V10"/>
  <c r="R12"/>
  <c r="S11" l="1"/>
  <c r="V11"/>
  <c r="R13"/>
  <c r="V12"/>
  <c r="S12"/>
  <c r="T12"/>
  <c r="U12" s="1"/>
  <c r="R14" l="1"/>
  <c r="V13"/>
  <c r="S13"/>
  <c r="T13"/>
  <c r="U13" s="1"/>
  <c r="T14" l="1"/>
  <c r="U14" s="1"/>
  <c r="S14"/>
  <c r="V14"/>
  <c r="R15"/>
  <c r="V15" l="1"/>
  <c r="S15"/>
  <c r="T15"/>
  <c r="U15" s="1"/>
  <c r="R16"/>
  <c r="V16" s="1"/>
  <c r="R17" l="1"/>
  <c r="V17" s="1"/>
  <c r="S16"/>
  <c r="T16"/>
  <c r="U16" s="1"/>
  <c r="R18" l="1"/>
  <c r="S17"/>
  <c r="T17"/>
  <c r="U17" s="1"/>
  <c r="S18" l="1"/>
  <c r="T18"/>
  <c r="U18" s="1"/>
  <c r="R19"/>
  <c r="V18"/>
  <c r="S19" l="1"/>
  <c r="T19"/>
  <c r="U19" s="1"/>
  <c r="V19"/>
  <c r="C7" i="2"/>
  <c r="D7" s="1"/>
  <c r="C9" s="1"/>
  <c r="D9" s="1"/>
  <c r="C11" s="1"/>
  <c r="D11" s="1"/>
  <c r="C13" s="1"/>
  <c r="D13" s="1"/>
  <c r="C15" s="1"/>
  <c r="P7" l="1"/>
  <c r="P6"/>
  <c r="M9" l="1"/>
  <c r="M6"/>
  <c r="M8"/>
  <c r="M7"/>
  <c r="M10"/>
  <c r="D15"/>
  <c r="C17" s="1"/>
  <c r="F17" s="1"/>
  <c r="F5" s="1"/>
  <c r="E22" s="1"/>
  <c r="J18" l="1"/>
  <c r="E6" i="4"/>
  <c r="J9" l="1"/>
  <c r="K9" s="1"/>
  <c r="J11"/>
  <c r="K11" s="1"/>
  <c r="J7"/>
  <c r="C8" s="1"/>
  <c r="D8" s="1"/>
  <c r="J13"/>
  <c r="K13" s="1"/>
  <c r="J15"/>
  <c r="K15" s="1"/>
  <c r="C10" l="1"/>
  <c r="D10" s="1"/>
  <c r="C12" s="1"/>
  <c r="D12" s="1"/>
  <c r="C14" s="1"/>
  <c r="D14" s="1"/>
  <c r="C16" s="1"/>
  <c r="K7"/>
  <c r="K33" s="1"/>
</calcChain>
</file>

<file path=xl/sharedStrings.xml><?xml version="1.0" encoding="utf-8"?>
<sst xmlns="http://schemas.openxmlformats.org/spreadsheetml/2006/main" count="206" uniqueCount="90">
  <si>
    <t>Vsource</t>
  </si>
  <si>
    <t>Curr C+L</t>
  </si>
  <si>
    <t>Volt C+L</t>
  </si>
  <si>
    <t>Curr L</t>
  </si>
  <si>
    <t>Volt L</t>
  </si>
  <si>
    <t>Calc</t>
  </si>
  <si>
    <t>Meas</t>
  </si>
  <si>
    <t>Res L</t>
  </si>
  <si>
    <t>Volt C</t>
  </si>
  <si>
    <t>Res C</t>
  </si>
  <si>
    <t>Delta C</t>
  </si>
  <si>
    <t>R load</t>
  </si>
  <si>
    <t>R cable</t>
  </si>
  <si>
    <t>V load</t>
  </si>
  <si>
    <t>P source</t>
  </si>
  <si>
    <t>Watts</t>
  </si>
  <si>
    <t>Volts</t>
  </si>
  <si>
    <t>Amps</t>
  </si>
  <si>
    <t>Ohms</t>
  </si>
  <si>
    <t>Pwr C</t>
  </si>
  <si>
    <t>Load only in circuit</t>
  </si>
  <si>
    <t>Cable + Load</t>
  </si>
  <si>
    <t>Calculated values for Cable only</t>
  </si>
  <si>
    <t>A</t>
  </si>
  <si>
    <t>Designator</t>
  </si>
  <si>
    <t>Description</t>
  </si>
  <si>
    <t>Curr</t>
  </si>
  <si>
    <t>Power</t>
  </si>
  <si>
    <t>B</t>
  </si>
  <si>
    <t>C</t>
  </si>
  <si>
    <t xml:space="preserve">D 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</si>
  <si>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</si>
  <si>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</si>
  <si>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</si>
  <si>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</si>
  <si>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</si>
  <si>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</si>
  <si>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</si>
  <si>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</si>
  <si>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</si>
  <si>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</si>
  <si>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</si>
  <si>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Dual XG-1700 HV Power Supplies</t>
  </si>
  <si>
    <t>MBARI Ground Fault Module</t>
  </si>
  <si>
    <t>Wire</t>
  </si>
  <si>
    <t>Cable</t>
  </si>
  <si>
    <t>Diver Lockout Box</t>
  </si>
  <si>
    <t>Tether</t>
  </si>
  <si>
    <t>KFA MicroNode</t>
  </si>
  <si>
    <t>GigE Whip</t>
  </si>
  <si>
    <t>KFA Central Node</t>
  </si>
  <si>
    <t>swFOCE Central Node</t>
  </si>
  <si>
    <t>swFOCE Unit</t>
  </si>
  <si>
    <t>Gauge</t>
  </si>
  <si>
    <t>Length</t>
  </si>
  <si>
    <t>V Loss</t>
  </si>
  <si>
    <t>meters</t>
  </si>
  <si>
    <t>AWG</t>
  </si>
  <si>
    <t>watts</t>
  </si>
  <si>
    <t>amps</t>
  </si>
  <si>
    <t>volts</t>
  </si>
  <si>
    <t>Resist</t>
  </si>
  <si>
    <t>ohms</t>
  </si>
  <si>
    <t>Resistance per 1000 feet (ohms)</t>
  </si>
  <si>
    <t>Resistance per 1 foot (ohms)</t>
  </si>
  <si>
    <t>Resistance per 1 meter (ohms)</t>
  </si>
  <si>
    <t>Meters</t>
  </si>
  <si>
    <t>Loss (volts)</t>
  </si>
  <si>
    <t>Two Conductor Loss (volts)</t>
  </si>
  <si>
    <t>Volt In</t>
  </si>
  <si>
    <t>Volt Out</t>
  </si>
  <si>
    <t>Vin</t>
  </si>
  <si>
    <t>Cell D15</t>
  </si>
  <si>
    <t>ILoad</t>
  </si>
  <si>
    <t>Slope</t>
  </si>
  <si>
    <t>Offset</t>
  </si>
  <si>
    <t>Eff</t>
  </si>
  <si>
    <t>1. Enter XG-1700 voltage in Cell D5</t>
  </si>
  <si>
    <t>2. The actual HV current will appear in Cell E22</t>
  </si>
  <si>
    <t>3. Enter the value from Cell E22 into E5 for accurate cable losses</t>
  </si>
  <si>
    <t>4. The BCM effeciency must be manually entered into Cell F29</t>
  </si>
  <si>
    <t>4a. See R6-R10 for BCM Effeciencies</t>
  </si>
  <si>
    <t>swFOCE Unit 2</t>
  </si>
  <si>
    <t>swFOCE Unit 1</t>
  </si>
  <si>
    <t>swFOCE Unit 3</t>
  </si>
  <si>
    <t>swFOCE Unit 4</t>
  </si>
  <si>
    <t>swFOCE Unit 5</t>
  </si>
  <si>
    <t>swFOCE Unit 6</t>
  </si>
  <si>
    <t>swFOCE Unit 7</t>
  </si>
  <si>
    <t>swFOCE Unit 8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</si>
</sst>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9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164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/>
    <xf numFmtId="2" fontId="1" fillId="0" borderId="1" xfId="0" applyNumberFormat="1" applyFon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0" fontId="0" fillId="0" borderId="1" xfId="0" applyFill="1" applyBorder="1"/>
    <xf numFmtId="2" fontId="1" fillId="0" borderId="1" xfId="0" applyNumberFormat="1" applyFont="1" applyFill="1" applyBorder="1"/>
    <xf numFmtId="2" fontId="0" fillId="0" borderId="1" xfId="0" applyNumberFormat="1" applyFill="1" applyBorder="1"/>
    <xf numFmtId="2" fontId="0" fillId="0" borderId="1" xfId="0" applyNumberFormat="1" applyFont="1" applyFill="1" applyBorder="1"/>
    <xf numFmtId="0" fontId="1" fillId="0" borderId="0" xfId="0" applyFont="1"/>
    <xf numFmtId="0" fontId="0" fillId="3" borderId="1" xfId="0" applyFill="1" applyBorder="1"/>
    <xf numFmtId="0" fontId="0" fillId="0" borderId="0" xfId="0" applyBorder="1"/>
    <xf numFmtId="0" fontId="0" fillId="0" borderId="0" xfId="0" applyFill="1" applyBorder="1"/>
    <xf numFmtId="164" fontId="0" fillId="0" borderId="0" xfId="0" applyNumberFormat="1" applyBorder="1"/>
    <xf numFmtId="0" fontId="5" fillId="0" borderId="1" xfId="0" applyFont="1" applyBorder="1"/>
    <xf numFmtId="0" fontId="3" fillId="0" borderId="1" xfId="0" applyFont="1" applyBorder="1"/>
    <xf numFmtId="165" fontId="0" fillId="0" borderId="1" xfId="0" applyNumberFormat="1" applyBorder="1"/>
    <xf numFmtId="164" fontId="3" fillId="0" borderId="1" xfId="0" applyNumberFormat="1" applyFont="1" applyBorder="1"/>
    <xf numFmtId="0" fontId="3" fillId="0" borderId="0" xfId="0" applyFont="1" applyBorder="1"/>
    <xf numFmtId="0" fontId="6" fillId="0" borderId="1" xfId="0" applyFont="1" applyBorder="1"/>
    <xf numFmtId="0" fontId="0" fillId="0" borderId="0" xfId="0" applyAlignment="1">
      <alignment horizontal="left"/>
    </xf>
    <xf numFmtId="165" fontId="0" fillId="0" borderId="0" xfId="0" applyNumberFormat="1" applyBorder="1"/>
    <xf numFmtId="2" fontId="0" fillId="0" borderId="0" xfId="0" applyNumberFormat="1"/>
    <xf numFmtId="0" fontId="7" fillId="0" borderId="0" xfId="0" applyFont="1"/>
    <xf numFmtId="0" fontId="7" fillId="0" borderId="1" xfId="0" applyFont="1" applyBorder="1"/>
    <xf numFmtId="164" fontId="8" fillId="0" borderId="1" xfId="0" applyNumberFormat="1" applyFont="1" applyBorder="1"/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DDDDDD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1"/>
  <sheetViews>
    <sheetView workbookViewId="0">
      <selection activeCell="B17" sqref="B17"/>
    </sheetView>
  </sheetViews>
  <sheetFormatPr defaultRowHeight="15"/>
  <cols>
    <col min="4" max="4" width="1.5703125" customWidth="1"/>
    <col min="8" max="8" width="2" customWidth="1"/>
    <col min="14" max="14" width="12" customWidth="1"/>
    <col min="15" max="15" width="8.42578125" customWidth="1"/>
    <col min="16" max="16" width="7.42578125" customWidth="1"/>
    <col min="17" max="17" width="7.28515625" customWidth="1"/>
    <col min="23" max="23" width="3.140625" customWidth="1"/>
    <col min="24" max="24" width="7.5703125" customWidth="1"/>
    <col min="25" max="25" width="6.7109375" customWidth="1"/>
    <col min="26" max="26" width="7.28515625" customWidth="1"/>
  </cols>
  <sheetData>
    <row r="1" spans="1:30">
      <c r="A1" s="1"/>
      <c r="B1" s="1" t="s">
        <v>6</v>
      </c>
      <c r="C1" s="1" t="s">
        <v>6</v>
      </c>
      <c r="D1" s="1"/>
      <c r="E1" s="1" t="s">
        <v>6</v>
      </c>
      <c r="F1" s="1" t="s">
        <v>6</v>
      </c>
      <c r="G1" s="1" t="s">
        <v>5</v>
      </c>
      <c r="H1" s="1"/>
      <c r="I1" s="1" t="s">
        <v>5</v>
      </c>
      <c r="J1" s="1" t="s">
        <v>5</v>
      </c>
      <c r="K1" s="1" t="s">
        <v>5</v>
      </c>
      <c r="L1" s="1" t="s">
        <v>5</v>
      </c>
      <c r="M1" s="10" t="s">
        <v>5</v>
      </c>
      <c r="O1" s="1" t="s">
        <v>16</v>
      </c>
      <c r="P1" s="1" t="s">
        <v>18</v>
      </c>
      <c r="Q1" s="1" t="s">
        <v>18</v>
      </c>
      <c r="R1" s="1" t="s">
        <v>17</v>
      </c>
      <c r="S1" s="1" t="s">
        <v>15</v>
      </c>
      <c r="T1" s="1" t="s">
        <v>16</v>
      </c>
      <c r="U1" s="1" t="s">
        <v>16</v>
      </c>
      <c r="V1" s="1" t="s">
        <v>15</v>
      </c>
      <c r="W1" s="10"/>
      <c r="X1" s="1" t="s">
        <v>16</v>
      </c>
      <c r="Y1" s="1" t="s">
        <v>18</v>
      </c>
      <c r="Z1" s="1" t="s">
        <v>18</v>
      </c>
      <c r="AA1" s="1" t="s">
        <v>17</v>
      </c>
      <c r="AB1" s="1" t="s">
        <v>16</v>
      </c>
      <c r="AC1" s="1" t="s">
        <v>16</v>
      </c>
      <c r="AD1" s="1" t="s">
        <v>15</v>
      </c>
    </row>
    <row r="2" spans="1:30">
      <c r="A2" s="1" t="s">
        <v>0</v>
      </c>
      <c r="B2" s="1" t="s">
        <v>1</v>
      </c>
      <c r="C2" s="1" t="s">
        <v>2</v>
      </c>
      <c r="D2" s="1"/>
      <c r="E2" s="1" t="s">
        <v>3</v>
      </c>
      <c r="F2" s="1" t="s">
        <v>4</v>
      </c>
      <c r="G2" s="1" t="s">
        <v>7</v>
      </c>
      <c r="H2" s="1"/>
      <c r="I2" s="1" t="s">
        <v>10</v>
      </c>
      <c r="J2" s="1" t="s">
        <v>8</v>
      </c>
      <c r="K2" s="1" t="s">
        <v>9</v>
      </c>
      <c r="L2" s="1" t="s">
        <v>8</v>
      </c>
      <c r="M2" s="10" t="s">
        <v>19</v>
      </c>
      <c r="O2" s="1" t="s">
        <v>0</v>
      </c>
      <c r="P2" s="1" t="s">
        <v>11</v>
      </c>
      <c r="Q2" s="1" t="s">
        <v>12</v>
      </c>
      <c r="R2" s="1" t="s">
        <v>1</v>
      </c>
      <c r="S2" s="1" t="s">
        <v>19</v>
      </c>
      <c r="T2" s="1" t="s">
        <v>8</v>
      </c>
      <c r="U2" s="1" t="s">
        <v>13</v>
      </c>
      <c r="V2" s="1" t="s">
        <v>14</v>
      </c>
      <c r="W2" s="10"/>
      <c r="X2" s="1" t="s">
        <v>0</v>
      </c>
      <c r="Y2" s="1" t="s">
        <v>11</v>
      </c>
      <c r="Z2" s="1" t="s">
        <v>12</v>
      </c>
      <c r="AA2" s="1" t="s">
        <v>1</v>
      </c>
      <c r="AB2" s="1" t="s">
        <v>8</v>
      </c>
      <c r="AC2" s="1" t="s">
        <v>13</v>
      </c>
      <c r="AD2" s="1" t="s">
        <v>14</v>
      </c>
    </row>
    <row r="3" spans="1:30">
      <c r="A3" s="1">
        <v>25</v>
      </c>
      <c r="B3" s="2">
        <v>0.223</v>
      </c>
      <c r="C3" s="1">
        <v>23</v>
      </c>
      <c r="D3" s="1"/>
      <c r="E3" s="2">
        <v>0.24299999999999999</v>
      </c>
      <c r="F3" s="1">
        <v>25</v>
      </c>
      <c r="G3" s="3">
        <f>F3/E3</f>
        <v>102.88065843621399</v>
      </c>
      <c r="H3" s="3"/>
      <c r="I3" s="2">
        <f>E3-B3</f>
        <v>1.999999999999999E-2</v>
      </c>
      <c r="J3" s="3">
        <f>A3-C3</f>
        <v>2</v>
      </c>
      <c r="K3" s="3">
        <f>J3/B3</f>
        <v>8.9686098654708513</v>
      </c>
      <c r="L3" s="3">
        <f>B3*K3</f>
        <v>1.9999999999999998</v>
      </c>
      <c r="M3" s="3">
        <f>B3*L3</f>
        <v>0.44599999999999995</v>
      </c>
      <c r="O3" s="8">
        <v>375</v>
      </c>
      <c r="P3" s="8">
        <v>1</v>
      </c>
      <c r="Q3" s="8">
        <v>9.14</v>
      </c>
      <c r="R3" s="9">
        <f>O3/(P3+Q3)</f>
        <v>36.982248520710058</v>
      </c>
      <c r="S3" s="9">
        <f>R3*R3*Q3</f>
        <v>12500.65648961871</v>
      </c>
      <c r="T3" s="9">
        <f>Q3*R3</f>
        <v>338.01775147928993</v>
      </c>
      <c r="U3" s="9">
        <f>O3-T3</f>
        <v>36.982248520710073</v>
      </c>
      <c r="V3" s="9">
        <f>O3*R3</f>
        <v>13868.343195266272</v>
      </c>
      <c r="W3" s="11"/>
      <c r="X3" s="8">
        <v>300</v>
      </c>
      <c r="Y3" s="8">
        <v>1</v>
      </c>
      <c r="Z3" s="8">
        <v>9.14</v>
      </c>
      <c r="AA3" s="9">
        <f>X3/(Y3+Z3)</f>
        <v>29.585798816568047</v>
      </c>
      <c r="AB3" s="9">
        <f>Z3*AA3</f>
        <v>270.414201183432</v>
      </c>
      <c r="AC3" s="9">
        <f>X3-AB3</f>
        <v>29.585798816568001</v>
      </c>
      <c r="AD3" s="9">
        <f>X3*AA3</f>
        <v>8875.7396449704138</v>
      </c>
    </row>
    <row r="4" spans="1:30">
      <c r="A4" s="1">
        <f>A3+25</f>
        <v>50</v>
      </c>
      <c r="B4" s="2">
        <v>0.44500000000000001</v>
      </c>
      <c r="C4" s="1">
        <v>45.97</v>
      </c>
      <c r="D4" s="1"/>
      <c r="E4" s="2">
        <v>0.48499999999999999</v>
      </c>
      <c r="F4" s="1">
        <v>50</v>
      </c>
      <c r="G4" s="3">
        <f t="shared" ref="G4:G14" si="0">F4/E4</f>
        <v>103.09278350515464</v>
      </c>
      <c r="H4" s="3"/>
      <c r="I4" s="2">
        <f t="shared" ref="I4:I19" si="1">E4-B4</f>
        <v>3.999999999999998E-2</v>
      </c>
      <c r="J4" s="3">
        <f t="shared" ref="J4:J14" si="2">A4-C4</f>
        <v>4.0300000000000011</v>
      </c>
      <c r="K4" s="3">
        <f t="shared" ref="K4:K14" si="3">J4/B4</f>
        <v>9.056179775280901</v>
      </c>
      <c r="L4" s="3">
        <f t="shared" ref="L4:L19" si="4">B4*K4</f>
        <v>4.0300000000000011</v>
      </c>
      <c r="M4" s="3">
        <f t="shared" ref="M4:M14" si="5">B4*L4</f>
        <v>1.7933500000000004</v>
      </c>
      <c r="O4" s="8">
        <v>375</v>
      </c>
      <c r="P4" s="8">
        <v>5</v>
      </c>
      <c r="Q4" s="8">
        <v>9.14</v>
      </c>
      <c r="R4" s="9">
        <f t="shared" ref="R4:R15" si="6">O4/(P4+Q4)</f>
        <v>26.520509193776519</v>
      </c>
      <c r="S4" s="9">
        <f t="shared" ref="S4:S7" si="7">R4*R4*Q4</f>
        <v>6428.5039081802706</v>
      </c>
      <c r="T4" s="9">
        <f t="shared" ref="T4:T15" si="8">Q4*R4</f>
        <v>242.39745403111741</v>
      </c>
      <c r="U4" s="9">
        <f t="shared" ref="U4:U15" si="9">O4-T4</f>
        <v>132.60254596888259</v>
      </c>
      <c r="V4" s="9">
        <f t="shared" ref="V4:V15" si="10">O4*R4</f>
        <v>9945.1909476661949</v>
      </c>
      <c r="W4" s="11"/>
      <c r="X4" s="8">
        <v>300</v>
      </c>
      <c r="Y4" s="8">
        <v>5</v>
      </c>
      <c r="Z4" s="8">
        <v>9.14</v>
      </c>
      <c r="AA4" s="9">
        <f t="shared" ref="AA4:AA15" si="11">X4/(Y4+Z4)</f>
        <v>21.216407355021214</v>
      </c>
      <c r="AB4" s="9">
        <f t="shared" ref="AB4:AB15" si="12">Z4*AA4</f>
        <v>193.91796322489392</v>
      </c>
      <c r="AC4" s="9">
        <f t="shared" ref="AC4:AC15" si="13">X4-AB4</f>
        <v>106.08203677510608</v>
      </c>
      <c r="AD4" s="9">
        <f t="shared" ref="AD4:AD15" si="14">X4*AA4</f>
        <v>6364.9222065063641</v>
      </c>
    </row>
    <row r="5" spans="1:30">
      <c r="A5" s="1">
        <f t="shared" ref="A5:A13" si="15">A4+25</f>
        <v>75</v>
      </c>
      <c r="B5" s="2">
        <v>0.66700000000000004</v>
      </c>
      <c r="C5" s="1">
        <v>68.900000000000006</v>
      </c>
      <c r="D5" s="1"/>
      <c r="E5" s="2">
        <v>0.72699999999999998</v>
      </c>
      <c r="F5" s="1">
        <v>75</v>
      </c>
      <c r="G5" s="3">
        <f t="shared" si="0"/>
        <v>103.16368638239339</v>
      </c>
      <c r="H5" s="3"/>
      <c r="I5" s="2">
        <f t="shared" si="1"/>
        <v>5.9999999999999942E-2</v>
      </c>
      <c r="J5" s="3">
        <f t="shared" si="2"/>
        <v>6.0999999999999943</v>
      </c>
      <c r="K5" s="3">
        <f t="shared" si="3"/>
        <v>9.1454272863568118</v>
      </c>
      <c r="L5" s="3">
        <f t="shared" si="4"/>
        <v>6.0999999999999934</v>
      </c>
      <c r="M5" s="3">
        <f t="shared" si="5"/>
        <v>4.0686999999999962</v>
      </c>
      <c r="O5" s="8">
        <v>375</v>
      </c>
      <c r="P5" s="8">
        <v>10</v>
      </c>
      <c r="Q5" s="8">
        <v>9.14</v>
      </c>
      <c r="R5" s="9">
        <f t="shared" si="6"/>
        <v>19.592476489028211</v>
      </c>
      <c r="S5" s="9">
        <f t="shared" si="7"/>
        <v>3508.5273336543469</v>
      </c>
      <c r="T5" s="9">
        <f t="shared" si="8"/>
        <v>179.07523510971785</v>
      </c>
      <c r="U5" s="9">
        <f t="shared" si="9"/>
        <v>195.92476489028215</v>
      </c>
      <c r="V5" s="9">
        <f t="shared" si="10"/>
        <v>7347.1786833855795</v>
      </c>
      <c r="W5" s="11"/>
      <c r="X5" s="8">
        <v>300</v>
      </c>
      <c r="Y5" s="8">
        <v>10</v>
      </c>
      <c r="Z5" s="8">
        <v>9.14</v>
      </c>
      <c r="AA5" s="9">
        <f t="shared" si="11"/>
        <v>15.67398119122257</v>
      </c>
      <c r="AB5" s="9">
        <f t="shared" si="12"/>
        <v>143.26018808777431</v>
      </c>
      <c r="AC5" s="9">
        <f t="shared" si="13"/>
        <v>156.73981191222569</v>
      </c>
      <c r="AD5" s="9">
        <f t="shared" si="14"/>
        <v>4702.1943573667713</v>
      </c>
    </row>
    <row r="6" spans="1:30">
      <c r="A6" s="1">
        <f t="shared" si="15"/>
        <v>100</v>
      </c>
      <c r="B6" s="2">
        <v>0.89</v>
      </c>
      <c r="C6" s="1">
        <v>91.9</v>
      </c>
      <c r="D6" s="1"/>
      <c r="E6" s="2">
        <v>0.96899999999999997</v>
      </c>
      <c r="F6" s="1">
        <v>100</v>
      </c>
      <c r="G6" s="3">
        <f t="shared" si="0"/>
        <v>103.19917440660475</v>
      </c>
      <c r="H6" s="3"/>
      <c r="I6" s="2">
        <f t="shared" si="1"/>
        <v>7.8999999999999959E-2</v>
      </c>
      <c r="J6" s="3">
        <f t="shared" si="2"/>
        <v>8.0999999999999943</v>
      </c>
      <c r="K6" s="3">
        <f t="shared" si="3"/>
        <v>9.1011235955056122</v>
      </c>
      <c r="L6" s="3">
        <f t="shared" si="4"/>
        <v>8.0999999999999943</v>
      </c>
      <c r="M6" s="3">
        <f t="shared" si="5"/>
        <v>7.2089999999999952</v>
      </c>
      <c r="O6" s="8">
        <v>375</v>
      </c>
      <c r="P6" s="8">
        <v>25</v>
      </c>
      <c r="Q6" s="8">
        <v>9.14</v>
      </c>
      <c r="R6" s="9">
        <f t="shared" si="6"/>
        <v>10.984182776801406</v>
      </c>
      <c r="S6" s="9">
        <f t="shared" si="7"/>
        <v>1102.7617594460112</v>
      </c>
      <c r="T6" s="9">
        <f t="shared" si="8"/>
        <v>100.39543057996485</v>
      </c>
      <c r="U6" s="9">
        <f t="shared" si="9"/>
        <v>274.60456942003515</v>
      </c>
      <c r="V6" s="9">
        <f t="shared" si="10"/>
        <v>4119.0685413005276</v>
      </c>
      <c r="W6" s="11"/>
      <c r="X6" s="8">
        <v>300</v>
      </c>
      <c r="Y6" s="8">
        <v>25</v>
      </c>
      <c r="Z6" s="8">
        <v>9.14</v>
      </c>
      <c r="AA6" s="9">
        <f t="shared" si="11"/>
        <v>8.7873462214411244</v>
      </c>
      <c r="AB6" s="9">
        <f t="shared" si="12"/>
        <v>80.316344463971888</v>
      </c>
      <c r="AC6" s="9">
        <f t="shared" si="13"/>
        <v>219.68365553602811</v>
      </c>
      <c r="AD6" s="9">
        <f t="shared" si="14"/>
        <v>2636.2038664323372</v>
      </c>
    </row>
    <row r="7" spans="1:30">
      <c r="A7" s="1">
        <f t="shared" si="15"/>
        <v>125</v>
      </c>
      <c r="B7" s="2">
        <v>1.1120000000000001</v>
      </c>
      <c r="C7" s="1">
        <v>114.9</v>
      </c>
      <c r="D7" s="1"/>
      <c r="E7" s="2">
        <v>1.2110000000000001</v>
      </c>
      <c r="F7" s="1">
        <v>125</v>
      </c>
      <c r="G7" s="3">
        <f t="shared" si="0"/>
        <v>103.22047894302229</v>
      </c>
      <c r="H7" s="3"/>
      <c r="I7" s="2">
        <f t="shared" si="1"/>
        <v>9.8999999999999977E-2</v>
      </c>
      <c r="J7" s="3">
        <f t="shared" si="2"/>
        <v>10.099999999999994</v>
      </c>
      <c r="K7" s="3">
        <f t="shared" si="3"/>
        <v>9.082733812949634</v>
      </c>
      <c r="L7" s="3">
        <f t="shared" si="4"/>
        <v>10.099999999999994</v>
      </c>
      <c r="M7" s="3">
        <f t="shared" si="5"/>
        <v>11.231199999999994</v>
      </c>
      <c r="O7" s="8">
        <v>375</v>
      </c>
      <c r="P7" s="8">
        <v>50</v>
      </c>
      <c r="Q7" s="8">
        <v>9.14</v>
      </c>
      <c r="R7" s="9">
        <f t="shared" si="6"/>
        <v>6.3408860331416976</v>
      </c>
      <c r="S7" s="9">
        <f t="shared" si="7"/>
        <v>367.49047816356392</v>
      </c>
      <c r="T7" s="9">
        <f t="shared" si="8"/>
        <v>57.95569834291512</v>
      </c>
      <c r="U7" s="9">
        <f t="shared" si="9"/>
        <v>317.04430165708487</v>
      </c>
      <c r="V7" s="9">
        <f t="shared" si="10"/>
        <v>2377.8322624281368</v>
      </c>
      <c r="W7" s="11"/>
      <c r="X7" s="8">
        <v>300</v>
      </c>
      <c r="Y7" s="8">
        <v>50</v>
      </c>
      <c r="Z7" s="8">
        <v>9.14</v>
      </c>
      <c r="AA7" s="9">
        <f t="shared" si="11"/>
        <v>5.0727088265133577</v>
      </c>
      <c r="AB7" s="9">
        <f t="shared" si="12"/>
        <v>46.364558674332095</v>
      </c>
      <c r="AC7" s="9">
        <f t="shared" si="13"/>
        <v>253.6354413256679</v>
      </c>
      <c r="AD7" s="9">
        <f t="shared" si="14"/>
        <v>1521.8126479540074</v>
      </c>
    </row>
    <row r="8" spans="1:30">
      <c r="A8" s="1">
        <f t="shared" si="15"/>
        <v>150</v>
      </c>
      <c r="B8" s="2">
        <v>1.335</v>
      </c>
      <c r="C8" s="1">
        <v>137.80000000000001</v>
      </c>
      <c r="D8" s="1"/>
      <c r="E8" s="2">
        <v>1.4530000000000001</v>
      </c>
      <c r="F8" s="1">
        <v>150</v>
      </c>
      <c r="G8" s="3">
        <f t="shared" si="0"/>
        <v>103.23468685478321</v>
      </c>
      <c r="H8" s="3"/>
      <c r="I8" s="2">
        <f t="shared" si="1"/>
        <v>0.1180000000000001</v>
      </c>
      <c r="J8" s="3">
        <f t="shared" si="2"/>
        <v>12.199999999999989</v>
      </c>
      <c r="K8" s="3">
        <f t="shared" si="3"/>
        <v>9.1385767790262094</v>
      </c>
      <c r="L8" s="3">
        <f t="shared" si="4"/>
        <v>12.199999999999989</v>
      </c>
      <c r="M8" s="3">
        <f t="shared" si="5"/>
        <v>16.286999999999985</v>
      </c>
      <c r="O8" s="1">
        <v>400</v>
      </c>
      <c r="P8" s="1">
        <v>63</v>
      </c>
      <c r="Q8" s="1">
        <v>9.14</v>
      </c>
      <c r="R8" s="3">
        <f t="shared" si="6"/>
        <v>5.5447740504574439</v>
      </c>
      <c r="S8" s="13">
        <f>R8*R8*Q8</f>
        <v>281.00490613352395</v>
      </c>
      <c r="T8" s="3">
        <f t="shared" si="8"/>
        <v>50.679234821181041</v>
      </c>
      <c r="U8" s="3">
        <f t="shared" si="9"/>
        <v>349.32076517881899</v>
      </c>
      <c r="V8" s="3">
        <f t="shared" si="10"/>
        <v>2217.9096201829775</v>
      </c>
      <c r="W8" s="12"/>
      <c r="X8" s="1">
        <v>300</v>
      </c>
      <c r="Y8" s="1">
        <v>100</v>
      </c>
      <c r="Z8" s="1">
        <v>9.14</v>
      </c>
      <c r="AA8" s="3">
        <f t="shared" si="11"/>
        <v>2.7487630566245191</v>
      </c>
      <c r="AB8" s="3">
        <f t="shared" si="12"/>
        <v>25.123694337548105</v>
      </c>
      <c r="AC8" s="3">
        <f t="shared" si="13"/>
        <v>274.8763056624519</v>
      </c>
      <c r="AD8" s="3">
        <f t="shared" si="14"/>
        <v>824.62891698735575</v>
      </c>
    </row>
    <row r="9" spans="1:30">
      <c r="A9" s="1">
        <f t="shared" si="15"/>
        <v>175</v>
      </c>
      <c r="B9" s="2">
        <v>1.5569999999999999</v>
      </c>
      <c r="C9" s="1">
        <v>160.80000000000001</v>
      </c>
      <c r="D9" s="1"/>
      <c r="E9" s="2">
        <v>1.6950000000000001</v>
      </c>
      <c r="F9" s="1">
        <v>175</v>
      </c>
      <c r="G9" s="3">
        <f t="shared" si="0"/>
        <v>103.24483775811208</v>
      </c>
      <c r="H9" s="3"/>
      <c r="I9" s="2">
        <f t="shared" si="1"/>
        <v>0.13800000000000012</v>
      </c>
      <c r="J9" s="3">
        <f t="shared" si="2"/>
        <v>14.199999999999989</v>
      </c>
      <c r="K9" s="3">
        <f t="shared" si="3"/>
        <v>9.1201027617212524</v>
      </c>
      <c r="L9" s="3">
        <f t="shared" si="4"/>
        <v>14.199999999999989</v>
      </c>
      <c r="M9" s="3">
        <f t="shared" si="5"/>
        <v>22.109399999999983</v>
      </c>
      <c r="O9" s="1">
        <f>O8</f>
        <v>400</v>
      </c>
      <c r="P9" s="1">
        <v>75</v>
      </c>
      <c r="Q9" s="1">
        <v>9.14</v>
      </c>
      <c r="R9" s="3">
        <f t="shared" si="6"/>
        <v>4.7539814594723078</v>
      </c>
      <c r="S9" s="13">
        <f t="shared" ref="S9:S15" si="16">R9*R9*Q9</f>
        <v>206.56710501343898</v>
      </c>
      <c r="T9" s="3">
        <f t="shared" si="8"/>
        <v>43.451390539576899</v>
      </c>
      <c r="U9" s="3">
        <f t="shared" si="9"/>
        <v>356.54860946042311</v>
      </c>
      <c r="V9" s="3">
        <f t="shared" si="10"/>
        <v>1901.5925837889231</v>
      </c>
      <c r="W9" s="12"/>
      <c r="X9" s="1">
        <v>300</v>
      </c>
      <c r="Y9" s="1">
        <v>200</v>
      </c>
      <c r="Z9" s="1">
        <v>9.14</v>
      </c>
      <c r="AA9" s="3">
        <f t="shared" si="11"/>
        <v>1.4344458257626471</v>
      </c>
      <c r="AB9" s="3">
        <f t="shared" si="12"/>
        <v>13.110834847470596</v>
      </c>
      <c r="AC9" s="3">
        <f t="shared" si="13"/>
        <v>286.88916515252942</v>
      </c>
      <c r="AD9" s="3">
        <f t="shared" si="14"/>
        <v>430.33374772879415</v>
      </c>
    </row>
    <row r="10" spans="1:30">
      <c r="A10" s="1">
        <f t="shared" si="15"/>
        <v>200</v>
      </c>
      <c r="B10" s="2">
        <v>1.78</v>
      </c>
      <c r="C10" s="1">
        <v>183.8</v>
      </c>
      <c r="D10" s="1"/>
      <c r="E10" s="2">
        <v>1.9370000000000001</v>
      </c>
      <c r="F10" s="1">
        <v>200</v>
      </c>
      <c r="G10" s="3">
        <f t="shared" si="0"/>
        <v>103.25245224574083</v>
      </c>
      <c r="H10" s="3"/>
      <c r="I10" s="2">
        <f t="shared" si="1"/>
        <v>0.15700000000000003</v>
      </c>
      <c r="J10" s="3">
        <f t="shared" si="2"/>
        <v>16.199999999999989</v>
      </c>
      <c r="K10" s="3">
        <f t="shared" si="3"/>
        <v>9.1011235955056122</v>
      </c>
      <c r="L10" s="3">
        <f t="shared" si="4"/>
        <v>16.199999999999989</v>
      </c>
      <c r="M10" s="3">
        <f t="shared" si="5"/>
        <v>28.835999999999981</v>
      </c>
      <c r="O10" s="1">
        <f t="shared" ref="O10:O11" si="17">O9</f>
        <v>400</v>
      </c>
      <c r="P10" s="1">
        <v>100</v>
      </c>
      <c r="Q10" s="1">
        <v>9.14</v>
      </c>
      <c r="R10" s="3">
        <f t="shared" si="6"/>
        <v>3.6650174088326919</v>
      </c>
      <c r="S10" s="13">
        <f t="shared" si="16"/>
        <v>122.77170282840683</v>
      </c>
      <c r="T10" s="3">
        <f t="shared" si="8"/>
        <v>33.498259116730807</v>
      </c>
      <c r="U10" s="3">
        <f t="shared" si="9"/>
        <v>366.50174088326918</v>
      </c>
      <c r="V10" s="3">
        <f t="shared" si="10"/>
        <v>1466.0069635330767</v>
      </c>
      <c r="W10" s="12"/>
      <c r="X10" s="1">
        <v>300</v>
      </c>
      <c r="Y10" s="1">
        <v>250</v>
      </c>
      <c r="Z10" s="1">
        <v>9.14</v>
      </c>
      <c r="AA10" s="3">
        <f t="shared" si="11"/>
        <v>1.1576753878212549</v>
      </c>
      <c r="AB10" s="3">
        <f t="shared" si="12"/>
        <v>10.581153044686271</v>
      </c>
      <c r="AC10" s="3">
        <f t="shared" si="13"/>
        <v>289.41884695531371</v>
      </c>
      <c r="AD10" s="3">
        <f t="shared" si="14"/>
        <v>347.30261634637645</v>
      </c>
    </row>
    <row r="11" spans="1:30">
      <c r="A11" s="1">
        <f t="shared" si="15"/>
        <v>225</v>
      </c>
      <c r="B11" s="2">
        <v>2.0019999999999998</v>
      </c>
      <c r="C11" s="1">
        <v>206.7</v>
      </c>
      <c r="D11" s="1"/>
      <c r="E11" s="2">
        <v>2.1800000000000002</v>
      </c>
      <c r="F11" s="1">
        <v>225</v>
      </c>
      <c r="G11" s="3">
        <f t="shared" si="0"/>
        <v>103.21100917431193</v>
      </c>
      <c r="H11" s="3"/>
      <c r="I11" s="2">
        <f t="shared" si="1"/>
        <v>0.17800000000000038</v>
      </c>
      <c r="J11" s="3">
        <f t="shared" si="2"/>
        <v>18.300000000000011</v>
      </c>
      <c r="K11" s="3">
        <f t="shared" si="3"/>
        <v>9.1408591408591473</v>
      </c>
      <c r="L11" s="3">
        <f t="shared" si="4"/>
        <v>18.300000000000011</v>
      </c>
      <c r="M11" s="3">
        <f t="shared" si="5"/>
        <v>36.636600000000016</v>
      </c>
      <c r="O11" s="1">
        <f t="shared" si="17"/>
        <v>400</v>
      </c>
      <c r="P11" s="1">
        <v>125</v>
      </c>
      <c r="Q11" s="1">
        <v>9.14</v>
      </c>
      <c r="R11" s="3">
        <f t="shared" si="6"/>
        <v>2.9819591471596842</v>
      </c>
      <c r="S11" s="13">
        <f t="shared" si="16"/>
        <v>81.273614447709903</v>
      </c>
      <c r="T11" s="3">
        <f t="shared" si="8"/>
        <v>27.255106605039515</v>
      </c>
      <c r="U11" s="3">
        <f t="shared" si="9"/>
        <v>372.74489339496051</v>
      </c>
      <c r="V11" s="3">
        <f t="shared" si="10"/>
        <v>1192.7836588638736</v>
      </c>
      <c r="W11" s="12"/>
      <c r="X11" s="1">
        <v>300</v>
      </c>
      <c r="Y11" s="1">
        <v>500</v>
      </c>
      <c r="Z11" s="1">
        <v>9.14</v>
      </c>
      <c r="AA11" s="3">
        <f t="shared" si="11"/>
        <v>0.58922889578504933</v>
      </c>
      <c r="AB11" s="3">
        <f t="shared" si="12"/>
        <v>5.385552107475351</v>
      </c>
      <c r="AC11" s="3">
        <f t="shared" si="13"/>
        <v>294.61444789252465</v>
      </c>
      <c r="AD11" s="3">
        <f t="shared" si="14"/>
        <v>176.76866873551481</v>
      </c>
    </row>
    <row r="12" spans="1:30">
      <c r="A12" s="1">
        <f t="shared" si="15"/>
        <v>250</v>
      </c>
      <c r="B12" s="2">
        <v>2.2250000000000001</v>
      </c>
      <c r="C12" s="1">
        <v>229.7</v>
      </c>
      <c r="D12" s="1"/>
      <c r="E12" s="2">
        <v>2.4220000000000002</v>
      </c>
      <c r="F12" s="1">
        <v>250</v>
      </c>
      <c r="G12" s="3">
        <f t="shared" si="0"/>
        <v>103.22047894302229</v>
      </c>
      <c r="H12" s="3"/>
      <c r="I12" s="2">
        <f t="shared" si="1"/>
        <v>0.19700000000000006</v>
      </c>
      <c r="J12" s="3">
        <f t="shared" si="2"/>
        <v>20.300000000000011</v>
      </c>
      <c r="K12" s="3">
        <f t="shared" si="3"/>
        <v>9.1235955056179829</v>
      </c>
      <c r="L12" s="3">
        <f t="shared" si="4"/>
        <v>20.300000000000011</v>
      </c>
      <c r="M12" s="3">
        <f t="shared" si="5"/>
        <v>45.167500000000025</v>
      </c>
      <c r="O12" s="1">
        <f>O11</f>
        <v>400</v>
      </c>
      <c r="P12" s="1">
        <v>150</v>
      </c>
      <c r="Q12" s="1">
        <v>9.14</v>
      </c>
      <c r="R12" s="3">
        <f t="shared" si="6"/>
        <v>2.5135101168782206</v>
      </c>
      <c r="S12" s="13">
        <f t="shared" si="16"/>
        <v>57.744080603913375</v>
      </c>
      <c r="T12" s="3">
        <f t="shared" si="8"/>
        <v>22.973482468266937</v>
      </c>
      <c r="U12" s="3">
        <f t="shared" si="9"/>
        <v>377.02651753173308</v>
      </c>
      <c r="V12" s="3">
        <f t="shared" si="10"/>
        <v>1005.4040467512882</v>
      </c>
      <c r="W12" s="12"/>
      <c r="X12" s="1">
        <v>300</v>
      </c>
      <c r="Y12" s="1">
        <v>1000</v>
      </c>
      <c r="Z12" s="1">
        <v>9.14</v>
      </c>
      <c r="AA12" s="3">
        <f t="shared" si="11"/>
        <v>0.2972828348891135</v>
      </c>
      <c r="AB12" s="3">
        <f t="shared" si="12"/>
        <v>2.7171651108864974</v>
      </c>
      <c r="AC12" s="3">
        <f t="shared" si="13"/>
        <v>297.28283488911353</v>
      </c>
      <c r="AD12" s="3">
        <f t="shared" si="14"/>
        <v>89.184850466734048</v>
      </c>
    </row>
    <row r="13" spans="1:30">
      <c r="A13" s="1">
        <f t="shared" si="15"/>
        <v>275</v>
      </c>
      <c r="B13" s="2">
        <v>2.4470000000000001</v>
      </c>
      <c r="C13" s="1">
        <v>252.7</v>
      </c>
      <c r="D13" s="1"/>
      <c r="E13" s="2">
        <v>2.6640000000000001</v>
      </c>
      <c r="F13" s="1">
        <v>275</v>
      </c>
      <c r="G13" s="3">
        <f t="shared" si="0"/>
        <v>103.22822822822822</v>
      </c>
      <c r="H13" s="3"/>
      <c r="I13" s="2">
        <f t="shared" si="1"/>
        <v>0.21700000000000008</v>
      </c>
      <c r="J13" s="3">
        <f t="shared" si="2"/>
        <v>22.300000000000011</v>
      </c>
      <c r="K13" s="3">
        <f t="shared" si="3"/>
        <v>9.1131998365345357</v>
      </c>
      <c r="L13" s="3">
        <f t="shared" si="4"/>
        <v>22.300000000000008</v>
      </c>
      <c r="M13" s="3">
        <f t="shared" si="5"/>
        <v>54.568100000000022</v>
      </c>
      <c r="O13" s="1">
        <f t="shared" ref="O13:O19" si="18">O12</f>
        <v>400</v>
      </c>
      <c r="P13" s="1">
        <v>200</v>
      </c>
      <c r="Q13" s="1">
        <v>9.14</v>
      </c>
      <c r="R13" s="3">
        <f t="shared" si="6"/>
        <v>1.9125944343501962</v>
      </c>
      <c r="S13" s="13">
        <f t="shared" si="16"/>
        <v>33.434279678609151</v>
      </c>
      <c r="T13" s="3">
        <f t="shared" si="8"/>
        <v>17.481113129960793</v>
      </c>
      <c r="U13" s="3">
        <f t="shared" si="9"/>
        <v>382.51888687003918</v>
      </c>
      <c r="V13" s="3">
        <f t="shared" si="10"/>
        <v>765.03777374007848</v>
      </c>
      <c r="W13" s="12"/>
      <c r="X13" s="1">
        <v>300</v>
      </c>
      <c r="Y13" s="1">
        <v>1500</v>
      </c>
      <c r="Z13" s="1">
        <v>9.14</v>
      </c>
      <c r="AA13" s="3">
        <f t="shared" si="11"/>
        <v>0.19878871410207136</v>
      </c>
      <c r="AB13" s="3">
        <f t="shared" si="12"/>
        <v>1.8169288468929323</v>
      </c>
      <c r="AC13" s="3">
        <f t="shared" si="13"/>
        <v>298.18307115310705</v>
      </c>
      <c r="AD13" s="3">
        <f t="shared" si="14"/>
        <v>59.636614230621404</v>
      </c>
    </row>
    <row r="14" spans="1:30">
      <c r="A14" s="1">
        <f>A13+25</f>
        <v>300</v>
      </c>
      <c r="B14" s="2">
        <v>2.67</v>
      </c>
      <c r="C14" s="1">
        <v>275.60000000000002</v>
      </c>
      <c r="D14" s="1"/>
      <c r="E14" s="2">
        <v>2.9060000000000001</v>
      </c>
      <c r="F14" s="1">
        <v>300</v>
      </c>
      <c r="G14" s="3">
        <f t="shared" si="0"/>
        <v>103.23468685478321</v>
      </c>
      <c r="H14" s="3"/>
      <c r="I14" s="2">
        <f t="shared" si="1"/>
        <v>0.23600000000000021</v>
      </c>
      <c r="J14" s="3">
        <f t="shared" si="2"/>
        <v>24.399999999999977</v>
      </c>
      <c r="K14" s="3">
        <f t="shared" si="3"/>
        <v>9.1385767790262094</v>
      </c>
      <c r="L14" s="3">
        <f t="shared" si="4"/>
        <v>24.399999999999977</v>
      </c>
      <c r="M14" s="3">
        <f t="shared" si="5"/>
        <v>65.147999999999939</v>
      </c>
      <c r="O14" s="1">
        <f t="shared" si="18"/>
        <v>400</v>
      </c>
      <c r="P14" s="1">
        <v>250</v>
      </c>
      <c r="Q14" s="1">
        <v>9.14</v>
      </c>
      <c r="R14" s="3">
        <f t="shared" si="6"/>
        <v>1.5435671837616733</v>
      </c>
      <c r="S14" s="13">
        <f t="shared" si="16"/>
        <v>21.776960808183524</v>
      </c>
      <c r="T14" s="3">
        <f t="shared" si="8"/>
        <v>14.108204059581695</v>
      </c>
      <c r="U14" s="3">
        <f t="shared" si="9"/>
        <v>385.89179594041832</v>
      </c>
      <c r="V14" s="3">
        <f t="shared" si="10"/>
        <v>617.42687350466929</v>
      </c>
      <c r="W14" s="12"/>
      <c r="X14" s="1">
        <v>300</v>
      </c>
      <c r="Y14" s="1">
        <v>2000</v>
      </c>
      <c r="Z14" s="1">
        <v>9.14</v>
      </c>
      <c r="AA14" s="3">
        <f t="shared" si="11"/>
        <v>0.14931761848353026</v>
      </c>
      <c r="AB14" s="3">
        <f t="shared" si="12"/>
        <v>1.3647630329394667</v>
      </c>
      <c r="AC14" s="3">
        <f t="shared" si="13"/>
        <v>298.63523696706051</v>
      </c>
      <c r="AD14" s="3">
        <f t="shared" si="14"/>
        <v>44.79528554505908</v>
      </c>
    </row>
    <row r="15" spans="1:3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O15" s="1">
        <f t="shared" si="18"/>
        <v>400</v>
      </c>
      <c r="P15" s="1">
        <v>500</v>
      </c>
      <c r="Q15" s="1">
        <v>9.14</v>
      </c>
      <c r="R15" s="3">
        <f t="shared" si="6"/>
        <v>0.78563852771339904</v>
      </c>
      <c r="S15" s="13">
        <f t="shared" si="16"/>
        <v>5.641462971520971</v>
      </c>
      <c r="T15" s="3">
        <f t="shared" si="8"/>
        <v>7.1807361433004679</v>
      </c>
      <c r="U15" s="3">
        <f t="shared" si="9"/>
        <v>392.81926385669954</v>
      </c>
      <c r="V15" s="3">
        <f t="shared" si="10"/>
        <v>314.25541108535964</v>
      </c>
      <c r="W15" s="12"/>
      <c r="X15" s="1">
        <v>300</v>
      </c>
      <c r="Y15" s="1">
        <v>10000</v>
      </c>
      <c r="Z15" s="1">
        <v>9.14</v>
      </c>
      <c r="AA15" s="3">
        <f t="shared" si="11"/>
        <v>2.9972605038994359E-2</v>
      </c>
      <c r="AB15" s="3">
        <f t="shared" si="12"/>
        <v>0.27394961005640844</v>
      </c>
      <c r="AC15" s="3">
        <f t="shared" si="13"/>
        <v>299.72605038994357</v>
      </c>
      <c r="AD15" s="3">
        <f t="shared" si="14"/>
        <v>8.9917815116983082</v>
      </c>
    </row>
    <row r="16" spans="1:30">
      <c r="A16" s="1">
        <v>325</v>
      </c>
      <c r="B16" s="2">
        <v>2.8919999999999999</v>
      </c>
      <c r="C16" s="1">
        <v>298.60000000000002</v>
      </c>
      <c r="D16" s="1"/>
      <c r="E16" s="4">
        <v>3.1480000000000001</v>
      </c>
      <c r="F16" s="5">
        <v>325</v>
      </c>
      <c r="G16" s="6">
        <v>103.23</v>
      </c>
      <c r="H16" s="1"/>
      <c r="I16" s="4">
        <f t="shared" si="1"/>
        <v>0.25600000000000023</v>
      </c>
      <c r="J16" s="1"/>
      <c r="K16" s="6">
        <v>9.14</v>
      </c>
      <c r="L16" s="7">
        <f t="shared" si="4"/>
        <v>26.432880000000001</v>
      </c>
      <c r="M16" s="7">
        <f t="shared" ref="M16:M19" si="19">B16*L16</f>
        <v>76.443888959999995</v>
      </c>
      <c r="O16" s="1">
        <f t="shared" si="18"/>
        <v>400</v>
      </c>
      <c r="P16" s="1">
        <v>1000</v>
      </c>
      <c r="Q16" s="1">
        <v>9.14</v>
      </c>
      <c r="R16" s="3">
        <f t="shared" ref="R16:R19" si="20">O16/(P16+Q16)</f>
        <v>0.39637711318548469</v>
      </c>
      <c r="S16" s="13">
        <f t="shared" ref="S16:S19" si="21">R16*R16*Q16</f>
        <v>1.4360294169353431</v>
      </c>
      <c r="T16" s="3">
        <f t="shared" ref="T16:T19" si="22">Q16*R16</f>
        <v>3.6228868145153301</v>
      </c>
      <c r="U16" s="3">
        <f t="shared" ref="U16:U19" si="23">O16-T16</f>
        <v>396.37711318548469</v>
      </c>
      <c r="V16" s="3">
        <f t="shared" ref="V16:V19" si="24">O16*R16</f>
        <v>158.55084527419388</v>
      </c>
      <c r="W16" s="10"/>
      <c r="X16" s="1"/>
      <c r="Y16" s="1"/>
      <c r="Z16" s="1"/>
      <c r="AA16" s="1"/>
      <c r="AB16" s="1"/>
      <c r="AC16" s="1"/>
      <c r="AD16" s="1"/>
    </row>
    <row r="17" spans="1:30">
      <c r="A17" s="5">
        <v>350</v>
      </c>
      <c r="B17" s="5">
        <v>3.1150000000000002</v>
      </c>
      <c r="C17" s="5">
        <v>321.5</v>
      </c>
      <c r="D17" s="1"/>
      <c r="E17" s="4">
        <v>3.39</v>
      </c>
      <c r="F17" s="5">
        <v>350</v>
      </c>
      <c r="G17" s="6">
        <v>103.23</v>
      </c>
      <c r="H17" s="1"/>
      <c r="I17" s="4">
        <f t="shared" si="1"/>
        <v>0.27499999999999991</v>
      </c>
      <c r="J17" s="1"/>
      <c r="K17" s="6">
        <v>9.14</v>
      </c>
      <c r="L17" s="7">
        <f t="shared" si="4"/>
        <v>28.471100000000003</v>
      </c>
      <c r="M17" s="7">
        <f t="shared" si="19"/>
        <v>88.687476500000017</v>
      </c>
      <c r="O17" s="1">
        <f t="shared" si="18"/>
        <v>400</v>
      </c>
      <c r="P17" s="1">
        <v>2000</v>
      </c>
      <c r="Q17" s="1">
        <v>9.14</v>
      </c>
      <c r="R17" s="3">
        <f t="shared" si="20"/>
        <v>0.19909015797804033</v>
      </c>
      <c r="S17" s="13">
        <f t="shared" si="21"/>
        <v>0.36228118377401047</v>
      </c>
      <c r="T17" s="3">
        <f t="shared" si="22"/>
        <v>1.8196840439192887</v>
      </c>
      <c r="U17" s="3">
        <f t="shared" si="23"/>
        <v>398.18031595608073</v>
      </c>
      <c r="V17" s="3">
        <f t="shared" si="24"/>
        <v>79.636063191216138</v>
      </c>
      <c r="W17" s="10"/>
      <c r="X17" s="1"/>
      <c r="Y17" s="1"/>
      <c r="Z17" s="1"/>
      <c r="AA17" s="1"/>
      <c r="AB17" s="1"/>
      <c r="AC17" s="1"/>
      <c r="AD17" s="1"/>
    </row>
    <row r="18" spans="1:30">
      <c r="A18" s="5">
        <v>375</v>
      </c>
      <c r="B18" s="5">
        <v>3.3370000000000002</v>
      </c>
      <c r="C18" s="5">
        <v>344.5</v>
      </c>
      <c r="D18" s="1"/>
      <c r="E18" s="4">
        <v>3.633</v>
      </c>
      <c r="F18" s="5">
        <v>375</v>
      </c>
      <c r="G18" s="6">
        <v>103.23</v>
      </c>
      <c r="H18" s="1"/>
      <c r="I18" s="4">
        <f t="shared" si="1"/>
        <v>0.29599999999999982</v>
      </c>
      <c r="J18" s="1"/>
      <c r="K18" s="6">
        <v>9.14</v>
      </c>
      <c r="L18" s="7">
        <f t="shared" si="4"/>
        <v>30.500180000000004</v>
      </c>
      <c r="M18" s="7">
        <f t="shared" si="19"/>
        <v>101.77910066000001</v>
      </c>
      <c r="O18" s="1">
        <f t="shared" si="18"/>
        <v>400</v>
      </c>
      <c r="P18" s="1">
        <v>5000</v>
      </c>
      <c r="Q18" s="1">
        <v>9.14</v>
      </c>
      <c r="R18" s="3">
        <f t="shared" si="20"/>
        <v>7.9854026838938413E-2</v>
      </c>
      <c r="S18" s="13">
        <f t="shared" si="21"/>
        <v>5.8282723605880216E-2</v>
      </c>
      <c r="T18" s="3">
        <f t="shared" si="22"/>
        <v>0.72986580530789713</v>
      </c>
      <c r="U18" s="3">
        <f t="shared" si="23"/>
        <v>399.2701341946921</v>
      </c>
      <c r="V18" s="3">
        <f t="shared" si="24"/>
        <v>31.941610735575367</v>
      </c>
      <c r="W18" s="10"/>
      <c r="X18" s="1"/>
      <c r="Y18" s="1"/>
      <c r="Z18" s="1"/>
      <c r="AA18" s="1"/>
      <c r="AB18" s="1"/>
      <c r="AC18" s="1"/>
      <c r="AD18" s="1"/>
    </row>
    <row r="19" spans="1:30">
      <c r="A19" s="5">
        <v>400</v>
      </c>
      <c r="B19" s="4">
        <v>3.56</v>
      </c>
      <c r="C19" s="5">
        <v>367.5</v>
      </c>
      <c r="D19" s="1"/>
      <c r="E19" s="1">
        <v>3.875</v>
      </c>
      <c r="F19" s="5">
        <v>400</v>
      </c>
      <c r="G19" s="6">
        <v>103.23</v>
      </c>
      <c r="H19" s="1"/>
      <c r="I19" s="5">
        <f t="shared" si="1"/>
        <v>0.31499999999999995</v>
      </c>
      <c r="J19" s="1"/>
      <c r="K19" s="6">
        <v>9.14</v>
      </c>
      <c r="L19" s="7">
        <f t="shared" si="4"/>
        <v>32.538400000000003</v>
      </c>
      <c r="M19" s="7">
        <f t="shared" si="19"/>
        <v>115.83670400000001</v>
      </c>
      <c r="O19" s="1">
        <f t="shared" si="18"/>
        <v>400</v>
      </c>
      <c r="P19" s="1">
        <v>10000</v>
      </c>
      <c r="Q19" s="1">
        <v>9.14</v>
      </c>
      <c r="R19" s="3">
        <f t="shared" si="20"/>
        <v>3.9963473385325812E-2</v>
      </c>
      <c r="S19" s="13">
        <f t="shared" si="21"/>
        <v>1.4597303933879551E-2</v>
      </c>
      <c r="T19" s="3">
        <f t="shared" si="22"/>
        <v>0.36526614674187796</v>
      </c>
      <c r="U19" s="3">
        <f t="shared" si="23"/>
        <v>399.63473385325813</v>
      </c>
      <c r="V19" s="3">
        <f t="shared" si="24"/>
        <v>15.985389354130325</v>
      </c>
      <c r="W19" s="10"/>
      <c r="X19" s="1"/>
      <c r="Y19" s="1"/>
      <c r="Z19" s="1"/>
      <c r="AA19" s="1"/>
      <c r="AB19" s="1"/>
      <c r="AC19" s="1"/>
      <c r="AD19" s="1"/>
    </row>
    <row r="21" spans="1:30">
      <c r="B21" s="31" t="s">
        <v>21</v>
      </c>
      <c r="C21" s="33"/>
      <c r="E21" s="31" t="s">
        <v>20</v>
      </c>
      <c r="F21" s="32"/>
      <c r="G21" s="33"/>
      <c r="I21" s="31" t="s">
        <v>22</v>
      </c>
      <c r="J21" s="32"/>
      <c r="K21" s="32"/>
      <c r="L21" s="32"/>
      <c r="M21" s="33"/>
    </row>
  </sheetData>
  <mergeCells count="3">
    <mergeCell ref="E21:G21"/>
    <mergeCell ref="B21:C21"/>
    <mergeCell ref="I21:M2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S31"/>
  <sheetViews>
    <sheetView tabSelected="1" workbookViewId="0">
      <selection activeCell="G25" sqref="G25"/>
    </sheetView>
  </sheetViews>
  <sheetFormatPr defaultRowHeight="15"/>
  <cols>
    <col min="1" max="1" width="11.7109375" customWidth="1"/>
    <col min="2" max="2" width="32" customWidth="1"/>
    <col min="3" max="3" width="9.140625" customWidth="1"/>
    <col min="11" max="11" width="2.28515625" customWidth="1"/>
    <col min="12" max="12" width="30.140625" customWidth="1"/>
    <col min="13" max="13" width="11.28515625" customWidth="1"/>
  </cols>
  <sheetData>
    <row r="2" spans="1:19">
      <c r="K2" s="16"/>
      <c r="L2" s="16"/>
      <c r="M2" s="16"/>
      <c r="N2" s="16"/>
      <c r="O2" s="16"/>
      <c r="P2" s="16"/>
    </row>
    <row r="3" spans="1:19">
      <c r="C3" s="14" t="s">
        <v>60</v>
      </c>
      <c r="D3" s="14" t="s">
        <v>60</v>
      </c>
      <c r="E3" s="14" t="s">
        <v>59</v>
      </c>
      <c r="F3" s="14" t="s">
        <v>58</v>
      </c>
      <c r="G3" s="14" t="s">
        <v>57</v>
      </c>
      <c r="H3" s="14" t="s">
        <v>56</v>
      </c>
      <c r="I3" s="14" t="s">
        <v>62</v>
      </c>
      <c r="J3" s="14" t="s">
        <v>60</v>
      </c>
      <c r="K3" s="16"/>
      <c r="L3" s="16"/>
      <c r="M3" s="16"/>
      <c r="N3" s="16"/>
      <c r="O3" s="16"/>
      <c r="P3" s="16"/>
    </row>
    <row r="4" spans="1:19">
      <c r="A4" s="1" t="s">
        <v>24</v>
      </c>
      <c r="B4" s="1" t="s">
        <v>25</v>
      </c>
      <c r="C4" s="1" t="s">
        <v>69</v>
      </c>
      <c r="D4" s="1" t="s">
        <v>70</v>
      </c>
      <c r="E4" s="1" t="s">
        <v>26</v>
      </c>
      <c r="F4" s="1" t="s">
        <v>27</v>
      </c>
      <c r="G4" s="1" t="s">
        <v>53</v>
      </c>
      <c r="H4" s="1" t="s">
        <v>54</v>
      </c>
      <c r="I4" s="1" t="s">
        <v>61</v>
      </c>
      <c r="J4" s="1" t="s">
        <v>55</v>
      </c>
      <c r="K4" s="16"/>
      <c r="L4" s="16"/>
      <c r="M4" s="17" t="s">
        <v>72</v>
      </c>
      <c r="N4" s="16"/>
      <c r="O4" s="16"/>
      <c r="P4" s="16"/>
      <c r="Q4" s="16"/>
    </row>
    <row r="5" spans="1:19">
      <c r="A5" s="1" t="s">
        <v>23</v>
      </c>
      <c r="B5" s="1" t="s">
        <v>42</v>
      </c>
      <c r="C5" s="15"/>
      <c r="D5" s="20">
        <v>385</v>
      </c>
      <c r="E5" s="22">
        <v>0.84199999999999997</v>
      </c>
      <c r="F5" s="21">
        <f>F17/F29</f>
        <v>317.70821632890659</v>
      </c>
      <c r="G5" s="15"/>
      <c r="H5" s="15"/>
      <c r="I5" s="15"/>
      <c r="J5" s="15"/>
      <c r="K5" s="16"/>
      <c r="L5" s="1" t="s">
        <v>73</v>
      </c>
      <c r="M5" s="19"/>
      <c r="N5" s="1" t="s">
        <v>71</v>
      </c>
      <c r="O5" s="16"/>
      <c r="P5" s="17"/>
      <c r="Q5" s="17"/>
    </row>
    <row r="6" spans="1:19">
      <c r="A6" s="1" t="s">
        <v>28</v>
      </c>
      <c r="B6" s="1" t="s">
        <v>44</v>
      </c>
      <c r="C6" s="15"/>
      <c r="D6" s="15"/>
      <c r="E6" s="15"/>
      <c r="F6" s="1"/>
      <c r="G6" s="1">
        <v>18</v>
      </c>
      <c r="H6" s="1">
        <v>0.25</v>
      </c>
      <c r="I6" s="1">
        <v>0.01</v>
      </c>
      <c r="J6" s="2">
        <f>E5*I6</f>
        <v>8.4200000000000004E-3</v>
      </c>
      <c r="K6" s="16"/>
      <c r="L6" s="10">
        <v>1</v>
      </c>
      <c r="M6" s="18">
        <f>0.1242*$M$5+0.249</f>
        <v>0.249</v>
      </c>
      <c r="N6" s="16"/>
      <c r="O6" s="16" t="s">
        <v>74</v>
      </c>
      <c r="P6" s="18">
        <f>(-0.00128*$C$15)+0.2553</f>
        <v>-0.22752915310267402</v>
      </c>
      <c r="Q6" s="16"/>
      <c r="R6" s="1">
        <v>0.84</v>
      </c>
    </row>
    <row r="7" spans="1:19">
      <c r="A7" s="1" t="s">
        <v>29</v>
      </c>
      <c r="B7" s="1" t="s">
        <v>43</v>
      </c>
      <c r="C7" s="1">
        <f>D5-J6</f>
        <v>384.99158</v>
      </c>
      <c r="D7" s="1">
        <f>C7-J7</f>
        <v>384.97158000000002</v>
      </c>
      <c r="E7" s="1"/>
      <c r="F7" s="1"/>
      <c r="G7" s="1"/>
      <c r="H7" s="1"/>
      <c r="I7" s="1"/>
      <c r="J7" s="2">
        <v>0.02</v>
      </c>
      <c r="K7" s="16"/>
      <c r="L7" s="1">
        <v>2</v>
      </c>
      <c r="M7" s="18">
        <f>0.1238*$M$5+0.167</f>
        <v>0.16700000000000001</v>
      </c>
      <c r="N7" s="16"/>
      <c r="O7" s="16" t="s">
        <v>75</v>
      </c>
      <c r="P7" s="18">
        <f>(0.126*$C$15)-0.212</f>
        <v>47.316494758544472</v>
      </c>
      <c r="Q7" s="16"/>
      <c r="R7" s="1">
        <v>0.91</v>
      </c>
    </row>
    <row r="8" spans="1:19">
      <c r="A8" s="1" t="s">
        <v>30</v>
      </c>
      <c r="B8" s="1" t="s">
        <v>45</v>
      </c>
      <c r="C8" s="1"/>
      <c r="D8" s="1"/>
      <c r="E8" s="1"/>
      <c r="F8" s="1"/>
      <c r="G8" s="1">
        <v>10</v>
      </c>
      <c r="H8" s="1">
        <v>5</v>
      </c>
      <c r="I8" s="1">
        <v>3.3000000000000002E-2</v>
      </c>
      <c r="J8" s="2">
        <f>E5*I8</f>
        <v>2.7786000000000002E-2</v>
      </c>
      <c r="K8" s="16"/>
      <c r="L8" s="10">
        <v>3</v>
      </c>
      <c r="M8" s="18">
        <f>0.1226*$M$5+0.375</f>
        <v>0.375</v>
      </c>
      <c r="N8" s="16"/>
      <c r="O8" s="16"/>
      <c r="P8" s="16"/>
      <c r="Q8" s="16"/>
      <c r="R8" s="1">
        <v>0.93</v>
      </c>
    </row>
    <row r="9" spans="1:19">
      <c r="A9" s="1" t="s">
        <v>31</v>
      </c>
      <c r="B9" s="1" t="s">
        <v>46</v>
      </c>
      <c r="C9" s="1">
        <f>D7-J8</f>
        <v>384.94379400000003</v>
      </c>
      <c r="D9" s="1">
        <f>C9-J9</f>
        <v>384.92379400000004</v>
      </c>
      <c r="E9" s="1"/>
      <c r="F9" s="1"/>
      <c r="G9" s="1"/>
      <c r="H9" s="1"/>
      <c r="I9" s="1"/>
      <c r="J9" s="2">
        <v>0.02</v>
      </c>
      <c r="K9" s="16"/>
      <c r="L9" s="10">
        <v>4</v>
      </c>
      <c r="M9" s="18">
        <f>0.1205*$M$5+0.999</f>
        <v>0.999</v>
      </c>
      <c r="N9" s="16"/>
      <c r="O9" s="16"/>
      <c r="P9" s="16"/>
      <c r="Q9" s="16"/>
      <c r="R9" s="1">
        <v>0.94</v>
      </c>
    </row>
    <row r="10" spans="1:19">
      <c r="A10" s="1" t="s">
        <v>32</v>
      </c>
      <c r="B10" s="1" t="s">
        <v>47</v>
      </c>
      <c r="C10" s="1"/>
      <c r="D10" s="1"/>
      <c r="E10" s="1"/>
      <c r="F10" s="1"/>
      <c r="G10" s="1">
        <v>16</v>
      </c>
      <c r="H10" s="1">
        <v>300</v>
      </c>
      <c r="I10" s="1">
        <v>9.14</v>
      </c>
      <c r="J10" s="2">
        <f>E5*I10</f>
        <v>7.6958799999999998</v>
      </c>
      <c r="K10" s="16"/>
      <c r="L10" s="10">
        <v>5</v>
      </c>
      <c r="M10" s="18">
        <f>0.1191*$M$5+1.22</f>
        <v>1.22</v>
      </c>
      <c r="N10" s="16"/>
      <c r="O10" s="16"/>
      <c r="P10" s="16"/>
      <c r="Q10" s="16"/>
      <c r="R10" s="1">
        <v>0.94</v>
      </c>
    </row>
    <row r="11" spans="1:19">
      <c r="A11" s="1" t="s">
        <v>33</v>
      </c>
      <c r="B11" s="1" t="s">
        <v>48</v>
      </c>
      <c r="C11" s="1">
        <f>D9-J10</f>
        <v>377.22791400000006</v>
      </c>
      <c r="D11" s="1">
        <f>C11-J11</f>
        <v>377.22791400000006</v>
      </c>
      <c r="E11" s="1"/>
      <c r="F11" s="1"/>
      <c r="G11" s="1"/>
      <c r="H11" s="1"/>
      <c r="I11" s="1"/>
      <c r="J11" s="2">
        <v>0</v>
      </c>
      <c r="K11" s="16"/>
      <c r="L11" s="17"/>
      <c r="M11" s="16"/>
      <c r="N11" s="16"/>
      <c r="O11" s="16"/>
      <c r="P11" s="16"/>
      <c r="Q11" s="16"/>
    </row>
    <row r="12" spans="1:19">
      <c r="A12" s="1" t="s">
        <v>34</v>
      </c>
      <c r="B12" s="1" t="s">
        <v>49</v>
      </c>
      <c r="C12" s="1"/>
      <c r="D12" s="1"/>
      <c r="E12" s="1"/>
      <c r="F12" s="1"/>
      <c r="G12" s="1">
        <v>18</v>
      </c>
      <c r="H12" s="1">
        <v>1</v>
      </c>
      <c r="I12" s="2">
        <f>(H12*M18)/2</f>
        <v>1.0473954000000001E-2</v>
      </c>
      <c r="J12" s="2">
        <f>E5*I12</f>
        <v>8.8190692679999995E-3</v>
      </c>
      <c r="K12" s="16"/>
      <c r="L12" s="16"/>
      <c r="M12" s="16"/>
      <c r="N12" s="16"/>
      <c r="O12" s="16"/>
      <c r="P12" s="16"/>
      <c r="Q12" s="16"/>
    </row>
    <row r="13" spans="1:19">
      <c r="A13" s="1" t="s">
        <v>35</v>
      </c>
      <c r="B13" s="1" t="s">
        <v>50</v>
      </c>
      <c r="C13" s="1">
        <f>D11-J12</f>
        <v>377.21909493073207</v>
      </c>
      <c r="D13" s="1">
        <f>C13-J13</f>
        <v>377.21909493073207</v>
      </c>
      <c r="E13" s="1"/>
      <c r="F13" s="1"/>
      <c r="G13" s="1"/>
      <c r="H13" s="1"/>
      <c r="I13" s="1"/>
      <c r="J13" s="2">
        <v>0</v>
      </c>
      <c r="K13" s="16"/>
      <c r="L13" s="16"/>
      <c r="M13" s="16"/>
      <c r="N13" s="16"/>
      <c r="O13" s="16"/>
      <c r="P13" s="16"/>
    </row>
    <row r="14" spans="1:19">
      <c r="A14" s="1" t="s">
        <v>36</v>
      </c>
      <c r="B14" s="1" t="s">
        <v>49</v>
      </c>
      <c r="C14" s="1"/>
      <c r="D14" s="1"/>
      <c r="E14" s="1"/>
      <c r="F14" s="1"/>
      <c r="G14" s="1">
        <v>18</v>
      </c>
      <c r="H14" s="1">
        <v>1</v>
      </c>
      <c r="I14" s="2">
        <f>(H14*M18)/2</f>
        <v>1.0473954000000001E-2</v>
      </c>
      <c r="J14" s="2">
        <f>E5*I14</f>
        <v>8.8190692679999995E-3</v>
      </c>
      <c r="K14" s="16"/>
      <c r="L14" s="16"/>
      <c r="M14" s="16"/>
      <c r="N14" s="16"/>
      <c r="O14" s="16"/>
      <c r="P14" s="16"/>
    </row>
    <row r="15" spans="1:19">
      <c r="A15" s="1" t="s">
        <v>37</v>
      </c>
      <c r="B15" s="1" t="s">
        <v>51</v>
      </c>
      <c r="C15" s="1">
        <f>D13-J14</f>
        <v>377.21027586146408</v>
      </c>
      <c r="D15" s="2">
        <f>(E17*P6)+P7</f>
        <v>45.951319839928431</v>
      </c>
      <c r="E15" s="1"/>
      <c r="F15" s="1"/>
      <c r="G15" s="1"/>
      <c r="H15" s="1"/>
      <c r="I15" s="1"/>
      <c r="J15" s="2"/>
      <c r="K15" s="16"/>
      <c r="L15" s="1" t="s">
        <v>53</v>
      </c>
      <c r="M15" s="1">
        <v>18</v>
      </c>
      <c r="N15" s="1">
        <v>16</v>
      </c>
      <c r="O15" s="1">
        <v>14</v>
      </c>
      <c r="P15" s="1">
        <v>12</v>
      </c>
      <c r="Q15" s="1">
        <v>10</v>
      </c>
      <c r="R15" s="1">
        <v>8</v>
      </c>
      <c r="S15" s="1">
        <v>6</v>
      </c>
    </row>
    <row r="16" spans="1:19">
      <c r="A16" s="1" t="s">
        <v>38</v>
      </c>
      <c r="B16" s="1" t="s">
        <v>49</v>
      </c>
      <c r="C16" s="1"/>
      <c r="D16" s="1"/>
      <c r="E16" s="1"/>
      <c r="F16" s="1"/>
      <c r="G16" s="1">
        <v>18</v>
      </c>
      <c r="H16" s="1">
        <v>15</v>
      </c>
      <c r="I16" s="2">
        <f>(H16*M18)/2</f>
        <v>0.15710931</v>
      </c>
      <c r="J16" s="2">
        <f>$E$17*I16</f>
        <v>0.94265586000000001</v>
      </c>
      <c r="K16" s="16"/>
      <c r="L16" s="1" t="s">
        <v>63</v>
      </c>
      <c r="M16" s="1">
        <v>6.3849999999999998</v>
      </c>
      <c r="N16" s="1">
        <v>4.016</v>
      </c>
      <c r="O16" s="1">
        <v>2.5249999999999999</v>
      </c>
      <c r="P16" s="1">
        <v>1.5880000000000001</v>
      </c>
      <c r="Q16" s="1">
        <v>0.999</v>
      </c>
      <c r="R16" s="1">
        <v>0.628</v>
      </c>
      <c r="S16" s="1">
        <v>0.39500000000000002</v>
      </c>
    </row>
    <row r="17" spans="1:19">
      <c r="A17" s="1" t="s">
        <v>39</v>
      </c>
      <c r="B17" s="1" t="s">
        <v>52</v>
      </c>
      <c r="C17" s="2">
        <f>D15-J16</f>
        <v>45.008663979928428</v>
      </c>
      <c r="D17" s="2"/>
      <c r="E17" s="20">
        <v>6</v>
      </c>
      <c r="F17" s="21">
        <f>C17*E17</f>
        <v>270.05198387957057</v>
      </c>
      <c r="G17" s="1"/>
      <c r="H17" s="1"/>
      <c r="I17" s="1"/>
      <c r="J17" s="2"/>
      <c r="K17" s="16"/>
      <c r="L17" s="1" t="s">
        <v>64</v>
      </c>
      <c r="M17" s="1">
        <f>M16/1000</f>
        <v>6.3850000000000001E-3</v>
      </c>
      <c r="N17" s="1">
        <f t="shared" ref="N17:S17" si="0">N16/1000</f>
        <v>4.0159999999999996E-3</v>
      </c>
      <c r="O17" s="1">
        <f t="shared" si="0"/>
        <v>2.5249999999999999E-3</v>
      </c>
      <c r="P17" s="1">
        <f t="shared" si="0"/>
        <v>1.588E-3</v>
      </c>
      <c r="Q17" s="1">
        <f t="shared" si="0"/>
        <v>9.990000000000001E-4</v>
      </c>
      <c r="R17" s="1">
        <f t="shared" si="0"/>
        <v>6.2799999999999998E-4</v>
      </c>
      <c r="S17" s="1">
        <f t="shared" si="0"/>
        <v>3.9500000000000001E-4</v>
      </c>
    </row>
    <row r="18" spans="1:19">
      <c r="A18" s="1" t="s">
        <v>40</v>
      </c>
      <c r="B18" s="1" t="s">
        <v>49</v>
      </c>
      <c r="C18" s="1"/>
      <c r="D18" s="1"/>
      <c r="E18" s="1"/>
      <c r="F18" s="1"/>
      <c r="G18" s="1">
        <v>18</v>
      </c>
      <c r="H18" s="1">
        <v>1</v>
      </c>
      <c r="I18" s="1">
        <v>4.2000000000000003E-2</v>
      </c>
      <c r="J18" s="2">
        <f>$E$5*I18</f>
        <v>3.5364E-2</v>
      </c>
      <c r="K18" s="16"/>
      <c r="L18" s="1" t="s">
        <v>65</v>
      </c>
      <c r="M18" s="1">
        <f>M17*3.2808</f>
        <v>2.0947908000000001E-2</v>
      </c>
      <c r="N18" s="1">
        <f t="shared" ref="N18:S18" si="1">N17*3.2808</f>
        <v>1.31756928E-2</v>
      </c>
      <c r="O18" s="1">
        <f t="shared" si="1"/>
        <v>8.2840199999999996E-3</v>
      </c>
      <c r="P18" s="1">
        <f t="shared" si="1"/>
        <v>5.2099104E-3</v>
      </c>
      <c r="Q18" s="1">
        <f t="shared" si="1"/>
        <v>3.2775192000000005E-3</v>
      </c>
      <c r="R18" s="1">
        <f t="shared" si="1"/>
        <v>2.0603423999999999E-3</v>
      </c>
      <c r="S18" s="1">
        <f t="shared" si="1"/>
        <v>1.295916E-3</v>
      </c>
    </row>
    <row r="19" spans="1:19">
      <c r="A19" s="1" t="s">
        <v>41</v>
      </c>
      <c r="B19" s="1" t="s">
        <v>51</v>
      </c>
      <c r="C19" s="1"/>
      <c r="D19" s="1"/>
      <c r="E19" s="1"/>
      <c r="F19" s="1"/>
      <c r="G19" s="1"/>
      <c r="H19" s="1"/>
      <c r="I19" s="1"/>
      <c r="J19" s="2"/>
      <c r="K19" s="16"/>
    </row>
    <row r="21" spans="1:19">
      <c r="D21" s="16"/>
      <c r="E21" s="16"/>
      <c r="F21" s="16"/>
    </row>
    <row r="22" spans="1:19">
      <c r="A22" s="16"/>
      <c r="B22" s="16"/>
      <c r="C22" s="16"/>
      <c r="D22" s="18"/>
      <c r="E22" s="24">
        <f>F5/C15</f>
        <v>0.84225758591367095</v>
      </c>
      <c r="F22" s="16"/>
      <c r="G22" s="16"/>
      <c r="H22" s="16"/>
      <c r="I22" s="16"/>
      <c r="J22" s="16"/>
      <c r="L22" t="s">
        <v>66</v>
      </c>
      <c r="M22" s="1">
        <v>15</v>
      </c>
      <c r="N22" s="1">
        <v>300</v>
      </c>
      <c r="O22" s="1">
        <v>1</v>
      </c>
      <c r="P22" s="1">
        <v>1</v>
      </c>
      <c r="Q22" s="1">
        <v>5</v>
      </c>
      <c r="R22" s="1">
        <v>1</v>
      </c>
      <c r="S22" s="1">
        <v>1</v>
      </c>
    </row>
    <row r="23" spans="1:19">
      <c r="A23" s="16"/>
      <c r="B23" s="16"/>
      <c r="C23" s="16"/>
      <c r="D23" s="16"/>
      <c r="E23" s="16"/>
      <c r="F23" s="16"/>
      <c r="G23" s="16"/>
      <c r="H23" s="16"/>
      <c r="I23" s="18"/>
      <c r="J23" s="18"/>
      <c r="L23" t="s">
        <v>67</v>
      </c>
      <c r="M23" s="1">
        <f>M18*M22</f>
        <v>0.31421862</v>
      </c>
      <c r="N23" s="1">
        <f t="shared" ref="N23:S23" si="2">N18*N22</f>
        <v>3.95270784</v>
      </c>
      <c r="O23" s="1">
        <f t="shared" si="2"/>
        <v>8.2840199999999996E-3</v>
      </c>
      <c r="P23" s="1">
        <f t="shared" si="2"/>
        <v>5.2099104E-3</v>
      </c>
      <c r="Q23" s="1">
        <f t="shared" si="2"/>
        <v>1.6387596000000004E-2</v>
      </c>
      <c r="R23" s="1">
        <f t="shared" si="2"/>
        <v>2.0603423999999999E-3</v>
      </c>
      <c r="S23" s="1">
        <f t="shared" si="2"/>
        <v>1.295916E-3</v>
      </c>
    </row>
    <row r="24" spans="1:19">
      <c r="A24" s="16"/>
      <c r="B24" s="16"/>
      <c r="C24" s="18"/>
      <c r="D24" s="18"/>
      <c r="E24" s="23"/>
      <c r="F24" s="26"/>
      <c r="G24" s="16"/>
      <c r="H24" s="16"/>
      <c r="I24" s="16"/>
      <c r="J24" s="16"/>
      <c r="L24" t="s">
        <v>68</v>
      </c>
      <c r="M24" s="1">
        <f>M23*2</f>
        <v>0.62843724000000001</v>
      </c>
      <c r="N24" s="1">
        <f t="shared" ref="N24:S24" si="3">N23*2</f>
        <v>7.9054156799999999</v>
      </c>
      <c r="O24" s="1">
        <f t="shared" si="3"/>
        <v>1.6568039999999999E-2</v>
      </c>
      <c r="P24" s="1">
        <f t="shared" si="3"/>
        <v>1.04198208E-2</v>
      </c>
      <c r="Q24" s="1">
        <f t="shared" si="3"/>
        <v>3.2775192000000009E-2</v>
      </c>
      <c r="R24" s="1">
        <f t="shared" si="3"/>
        <v>4.1206847999999997E-3</v>
      </c>
      <c r="S24" s="1">
        <f t="shared" si="3"/>
        <v>2.5918320000000001E-3</v>
      </c>
    </row>
    <row r="25" spans="1:19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19">
      <c r="A26" s="16"/>
      <c r="B26" s="16"/>
      <c r="C26" s="16"/>
      <c r="D26" s="16"/>
      <c r="E26" s="16"/>
      <c r="F26" s="16"/>
      <c r="G26" s="16"/>
      <c r="H26" s="16"/>
      <c r="I26" s="16"/>
      <c r="J26" s="16"/>
      <c r="M26" s="34" t="s">
        <v>77</v>
      </c>
      <c r="N26" s="34"/>
      <c r="O26" s="34"/>
      <c r="P26" s="34"/>
      <c r="Q26" s="34"/>
      <c r="R26" s="34"/>
      <c r="S26" s="34"/>
    </row>
    <row r="27" spans="1:19">
      <c r="M27" s="34" t="s">
        <v>78</v>
      </c>
      <c r="N27" s="34"/>
      <c r="O27" s="34"/>
      <c r="P27" s="34"/>
      <c r="Q27" s="34"/>
      <c r="R27" s="34"/>
      <c r="S27" s="34"/>
    </row>
    <row r="28" spans="1:19">
      <c r="M28" s="34" t="s">
        <v>79</v>
      </c>
      <c r="N28" s="34"/>
      <c r="O28" s="34"/>
      <c r="P28" s="34"/>
      <c r="Q28" s="34"/>
      <c r="R28" s="34"/>
      <c r="S28" s="34"/>
    </row>
    <row r="29" spans="1:19">
      <c r="E29" s="1" t="s">
        <v>76</v>
      </c>
      <c r="F29" s="20">
        <v>0.85</v>
      </c>
      <c r="M29" s="34" t="s">
        <v>80</v>
      </c>
      <c r="N29" s="34"/>
      <c r="O29" s="34"/>
      <c r="P29" s="34"/>
      <c r="Q29" s="34"/>
      <c r="R29" s="34"/>
      <c r="S29" s="34"/>
    </row>
    <row r="30" spans="1:19">
      <c r="M30" s="34" t="s">
        <v>81</v>
      </c>
      <c r="N30" s="34"/>
      <c r="O30" s="34"/>
      <c r="P30" s="34"/>
      <c r="Q30" s="34"/>
      <c r="R30" s="34"/>
      <c r="S30" s="34"/>
    </row>
    <row r="31" spans="1:19">
      <c r="M31" s="25"/>
      <c r="N31" s="25"/>
      <c r="O31" s="25"/>
      <c r="P31" s="25"/>
      <c r="Q31" s="25"/>
      <c r="R31" s="25"/>
      <c r="S31" s="25"/>
    </row>
  </sheetData>
  <mergeCells count="5">
    <mergeCell ref="M26:S26"/>
    <mergeCell ref="M27:S27"/>
    <mergeCell ref="M28:S28"/>
    <mergeCell ref="M29:S29"/>
    <mergeCell ref="M30:S3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H13"/>
  <sheetViews>
    <sheetView workbookViewId="0">
      <selection activeCell="A23" sqref="A23"/>
    </sheetView>
  </sheetViews>
  <sheetFormatPr defaultRowHeight="15"/>
  <cols>
    <col min="1" max="1" width="49.5703125" customWidth="1"/>
  </cols>
  <sheetData>
    <row r="4" spans="1:8">
      <c r="A4" s="1" t="s">
        <v>53</v>
      </c>
      <c r="B4" s="1">
        <v>18</v>
      </c>
      <c r="C4" s="1">
        <v>16</v>
      </c>
      <c r="D4" s="1">
        <v>14</v>
      </c>
      <c r="E4" s="1">
        <v>12</v>
      </c>
      <c r="F4" s="1">
        <v>10</v>
      </c>
      <c r="G4" s="1">
        <v>8</v>
      </c>
      <c r="H4" s="1">
        <v>6</v>
      </c>
    </row>
    <row r="5" spans="1:8">
      <c r="A5" s="1" t="s">
        <v>63</v>
      </c>
      <c r="B5" s="1">
        <v>6.3849999999999998</v>
      </c>
      <c r="C5" s="1">
        <v>4.016</v>
      </c>
      <c r="D5" s="1">
        <v>2.5249999999999999</v>
      </c>
      <c r="E5" s="1">
        <v>1.5880000000000001</v>
      </c>
      <c r="F5" s="1">
        <v>0.999</v>
      </c>
      <c r="G5" s="1">
        <v>0.628</v>
      </c>
      <c r="H5" s="1">
        <v>0.39500000000000002</v>
      </c>
    </row>
    <row r="6" spans="1:8">
      <c r="A6" s="1" t="s">
        <v>64</v>
      </c>
      <c r="B6" s="1">
        <f>B5/1000</f>
        <v>6.3850000000000001E-3</v>
      </c>
      <c r="C6" s="1">
        <f t="shared" ref="C6:H6" si="0">C5/1000</f>
        <v>4.0159999999999996E-3</v>
      </c>
      <c r="D6" s="1">
        <f t="shared" si="0"/>
        <v>2.5249999999999999E-3</v>
      </c>
      <c r="E6" s="1">
        <f t="shared" si="0"/>
        <v>1.588E-3</v>
      </c>
      <c r="F6" s="1">
        <f t="shared" si="0"/>
        <v>9.990000000000001E-4</v>
      </c>
      <c r="G6" s="1">
        <f t="shared" si="0"/>
        <v>6.2799999999999998E-4</v>
      </c>
      <c r="H6" s="1">
        <f t="shared" si="0"/>
        <v>3.9500000000000001E-4</v>
      </c>
    </row>
    <row r="7" spans="1:8">
      <c r="A7" s="1" t="s">
        <v>65</v>
      </c>
      <c r="B7" s="1">
        <f>B6*3.2808</f>
        <v>2.0947908000000001E-2</v>
      </c>
      <c r="C7" s="1">
        <f t="shared" ref="C7:H7" si="1">C6*3.2808</f>
        <v>1.31756928E-2</v>
      </c>
      <c r="D7" s="1">
        <f t="shared" si="1"/>
        <v>8.2840199999999996E-3</v>
      </c>
      <c r="E7" s="1">
        <f t="shared" si="1"/>
        <v>5.2099104E-3</v>
      </c>
      <c r="F7" s="1">
        <f t="shared" si="1"/>
        <v>3.2775192000000005E-3</v>
      </c>
      <c r="G7" s="1">
        <f t="shared" si="1"/>
        <v>2.0603423999999999E-3</v>
      </c>
      <c r="H7" s="1">
        <f t="shared" si="1"/>
        <v>1.295916E-3</v>
      </c>
    </row>
    <row r="11" spans="1:8">
      <c r="A11" t="s">
        <v>66</v>
      </c>
      <c r="B11" s="1">
        <v>15</v>
      </c>
      <c r="C11" s="1">
        <v>300</v>
      </c>
      <c r="D11" s="1">
        <v>1</v>
      </c>
      <c r="E11" s="1">
        <v>1</v>
      </c>
      <c r="F11" s="1">
        <v>5</v>
      </c>
      <c r="G11" s="1">
        <v>1</v>
      </c>
      <c r="H11" s="1">
        <v>1</v>
      </c>
    </row>
    <row r="12" spans="1:8">
      <c r="A12" t="s">
        <v>67</v>
      </c>
      <c r="B12" s="1">
        <f>B7*B11</f>
        <v>0.31421862</v>
      </c>
      <c r="C12" s="1">
        <f t="shared" ref="C12:H12" si="2">C7*C11</f>
        <v>3.95270784</v>
      </c>
      <c r="D12" s="1">
        <f t="shared" si="2"/>
        <v>8.2840199999999996E-3</v>
      </c>
      <c r="E12" s="1">
        <f t="shared" si="2"/>
        <v>5.2099104E-3</v>
      </c>
      <c r="F12" s="1">
        <f t="shared" si="2"/>
        <v>1.6387596000000004E-2</v>
      </c>
      <c r="G12" s="1">
        <f t="shared" si="2"/>
        <v>2.0603423999999999E-3</v>
      </c>
      <c r="H12" s="1">
        <f t="shared" si="2"/>
        <v>1.295916E-3</v>
      </c>
    </row>
    <row r="13" spans="1:8">
      <c r="A13" t="s">
        <v>68</v>
      </c>
      <c r="B13" s="1">
        <f>B12*2</f>
        <v>0.62843724000000001</v>
      </c>
      <c r="C13" s="1">
        <f t="shared" ref="C13:H13" si="3">C12*2</f>
        <v>7.9054156799999999</v>
      </c>
      <c r="D13" s="1">
        <f t="shared" si="3"/>
        <v>1.6568039999999999E-2</v>
      </c>
      <c r="E13" s="1">
        <f t="shared" si="3"/>
        <v>1.04198208E-2</v>
      </c>
      <c r="F13" s="1">
        <f t="shared" si="3"/>
        <v>3.2775192000000009E-2</v>
      </c>
      <c r="G13" s="1">
        <f t="shared" si="3"/>
        <v>4.1206847999999997E-3</v>
      </c>
      <c r="H13" s="1">
        <f t="shared" si="3"/>
        <v>2.5918320000000001E-3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S34"/>
  <sheetViews>
    <sheetView topLeftCell="A4" workbookViewId="0">
      <selection activeCell="G23" sqref="G23"/>
    </sheetView>
  </sheetViews>
  <sheetFormatPr defaultRowHeight="15"/>
  <cols>
    <col min="2" max="2" width="34" customWidth="1"/>
    <col min="12" max="12" width="29.28515625" customWidth="1"/>
  </cols>
  <sheetData>
    <row r="3" spans="1:19">
      <c r="K3" s="28"/>
    </row>
    <row r="4" spans="1:19">
      <c r="C4" s="14" t="s">
        <v>60</v>
      </c>
      <c r="D4" s="14" t="s">
        <v>60</v>
      </c>
      <c r="E4" s="14" t="s">
        <v>59</v>
      </c>
      <c r="F4" s="14" t="s">
        <v>58</v>
      </c>
      <c r="G4" s="14" t="s">
        <v>57</v>
      </c>
      <c r="H4" s="14" t="s">
        <v>56</v>
      </c>
      <c r="I4" s="14" t="s">
        <v>62</v>
      </c>
      <c r="J4" s="14" t="s">
        <v>60</v>
      </c>
    </row>
    <row r="5" spans="1:19">
      <c r="A5" s="1" t="s">
        <v>24</v>
      </c>
      <c r="B5" s="1" t="s">
        <v>25</v>
      </c>
      <c r="C5" s="1" t="s">
        <v>69</v>
      </c>
      <c r="D5" s="1" t="s">
        <v>70</v>
      </c>
      <c r="E5" s="1" t="s">
        <v>26</v>
      </c>
      <c r="F5" s="1" t="s">
        <v>27</v>
      </c>
      <c r="G5" s="1" t="s">
        <v>53</v>
      </c>
      <c r="H5" s="1" t="s">
        <v>54</v>
      </c>
      <c r="I5" s="1" t="s">
        <v>61</v>
      </c>
      <c r="J5" s="1" t="s">
        <v>55</v>
      </c>
    </row>
    <row r="6" spans="1:19">
      <c r="A6" s="1" t="s">
        <v>23</v>
      </c>
      <c r="B6" s="1" t="s">
        <v>42</v>
      </c>
      <c r="C6" s="15"/>
      <c r="D6" s="20">
        <v>425</v>
      </c>
      <c r="E6" s="30">
        <f>F6/D6</f>
        <v>4.9983341279411766</v>
      </c>
      <c r="F6" s="21">
        <f>(F18+F20+F22+F24+F26+F28+F30+F32+J34)/0.8</f>
        <v>2124.292004375</v>
      </c>
      <c r="G6" s="15"/>
      <c r="H6" s="15"/>
      <c r="I6" s="15"/>
      <c r="J6" s="15"/>
    </row>
    <row r="7" spans="1:19">
      <c r="A7" s="1" t="s">
        <v>28</v>
      </c>
      <c r="B7" s="1" t="s">
        <v>44</v>
      </c>
      <c r="C7" s="15"/>
      <c r="D7" s="15"/>
      <c r="E7" s="15"/>
      <c r="F7" s="1"/>
      <c r="G7" s="1">
        <v>18</v>
      </c>
      <c r="H7" s="1">
        <v>0.25</v>
      </c>
      <c r="I7" s="1">
        <v>0.01</v>
      </c>
      <c r="J7" s="2">
        <f>E6*I7</f>
        <v>4.9983341279411765E-2</v>
      </c>
      <c r="K7" s="3">
        <f>$E$6*J7</f>
        <v>0.24983344054541481</v>
      </c>
    </row>
    <row r="8" spans="1:19">
      <c r="A8" s="1" t="s">
        <v>29</v>
      </c>
      <c r="B8" s="1" t="s">
        <v>43</v>
      </c>
      <c r="C8" s="1">
        <f>D6-J7</f>
        <v>424.95001665872059</v>
      </c>
      <c r="D8" s="1">
        <f>C8-J8</f>
        <v>424.9300166587206</v>
      </c>
      <c r="E8" s="1"/>
      <c r="F8" s="1"/>
      <c r="G8" s="1"/>
      <c r="H8" s="1"/>
      <c r="I8" s="1"/>
      <c r="J8" s="2">
        <v>0.02</v>
      </c>
    </row>
    <row r="9" spans="1:19">
      <c r="A9" s="1" t="s">
        <v>30</v>
      </c>
      <c r="B9" s="1" t="s">
        <v>45</v>
      </c>
      <c r="C9" s="1"/>
      <c r="D9" s="1"/>
      <c r="E9" s="1"/>
      <c r="F9" s="1"/>
      <c r="G9" s="1">
        <v>10</v>
      </c>
      <c r="H9" s="1">
        <v>5</v>
      </c>
      <c r="I9" s="1">
        <v>3.3000000000000002E-2</v>
      </c>
      <c r="J9" s="2">
        <f>E6*I9</f>
        <v>0.16494502622205884</v>
      </c>
      <c r="K9" s="3">
        <f>$E$6*J9</f>
        <v>0.82445035379986897</v>
      </c>
    </row>
    <row r="10" spans="1:19">
      <c r="A10" s="1" t="s">
        <v>31</v>
      </c>
      <c r="B10" s="1" t="s">
        <v>46</v>
      </c>
      <c r="C10" s="1">
        <f>D8-J9</f>
        <v>424.76507163249852</v>
      </c>
      <c r="D10" s="1">
        <f>C10-J10</f>
        <v>424.74507163249854</v>
      </c>
      <c r="E10" s="1"/>
      <c r="F10" s="1"/>
      <c r="G10" s="1"/>
      <c r="H10" s="1"/>
      <c r="I10" s="1"/>
      <c r="J10" s="2">
        <v>0.02</v>
      </c>
    </row>
    <row r="11" spans="1:19">
      <c r="A11" s="1" t="s">
        <v>32</v>
      </c>
      <c r="B11" s="1" t="s">
        <v>47</v>
      </c>
      <c r="C11" s="1"/>
      <c r="D11" s="1"/>
      <c r="E11" s="1"/>
      <c r="F11" s="1"/>
      <c r="G11" s="1">
        <v>16</v>
      </c>
      <c r="H11" s="1">
        <v>300</v>
      </c>
      <c r="I11" s="1">
        <v>9.14</v>
      </c>
      <c r="J11" s="2">
        <f>E6*I11</f>
        <v>45.684773929382359</v>
      </c>
      <c r="K11" s="3">
        <f>$E$6*J11</f>
        <v>228.34776465850916</v>
      </c>
    </row>
    <row r="12" spans="1:19">
      <c r="A12" s="1" t="s">
        <v>33</v>
      </c>
      <c r="B12" s="1" t="s">
        <v>48</v>
      </c>
      <c r="C12" s="1">
        <f>D10-J11</f>
        <v>379.06029770311619</v>
      </c>
      <c r="D12" s="1">
        <f>C12-J12</f>
        <v>379.06029770311619</v>
      </c>
      <c r="E12" s="1"/>
      <c r="F12" s="1"/>
      <c r="G12" s="1"/>
      <c r="H12" s="1"/>
      <c r="I12" s="1"/>
      <c r="J12" s="2">
        <v>0</v>
      </c>
    </row>
    <row r="13" spans="1:19">
      <c r="A13" s="1" t="s">
        <v>34</v>
      </c>
      <c r="B13" s="1" t="s">
        <v>49</v>
      </c>
      <c r="C13" s="1"/>
      <c r="D13" s="1"/>
      <c r="E13" s="1"/>
      <c r="F13" s="1"/>
      <c r="G13" s="1">
        <v>18</v>
      </c>
      <c r="H13" s="1">
        <v>1</v>
      </c>
      <c r="I13" s="2">
        <f>(H13*M18)/2</f>
        <v>1.0473954000000001E-2</v>
      </c>
      <c r="J13" s="2">
        <f>E6*I13</f>
        <v>5.2352321732686002E-2</v>
      </c>
      <c r="K13" s="3">
        <f>$E$6*J13</f>
        <v>0.26167439639344098</v>
      </c>
    </row>
    <row r="14" spans="1:19">
      <c r="A14" s="1" t="s">
        <v>35</v>
      </c>
      <c r="B14" s="1" t="s">
        <v>50</v>
      </c>
      <c r="C14" s="1">
        <f>D12-J13</f>
        <v>379.00794538138348</v>
      </c>
      <c r="D14" s="1">
        <f>C14-J14</f>
        <v>379.00794538138348</v>
      </c>
      <c r="E14" s="1"/>
      <c r="F14" s="1"/>
      <c r="G14" s="1"/>
      <c r="H14" s="1"/>
      <c r="I14" s="1"/>
      <c r="J14" s="2">
        <v>0</v>
      </c>
    </row>
    <row r="15" spans="1:19">
      <c r="A15" s="1" t="s">
        <v>36</v>
      </c>
      <c r="B15" s="1" t="s">
        <v>49</v>
      </c>
      <c r="C15" s="1"/>
      <c r="D15" s="1"/>
      <c r="E15" s="1"/>
      <c r="F15" s="1"/>
      <c r="G15" s="1">
        <v>18</v>
      </c>
      <c r="H15" s="1">
        <v>1</v>
      </c>
      <c r="I15" s="2">
        <f>(H15*M18)/2</f>
        <v>1.0473954000000001E-2</v>
      </c>
      <c r="J15" s="2">
        <f>E6*I15</f>
        <v>5.2352321732686002E-2</v>
      </c>
      <c r="K15" s="3">
        <f>$E$6*J15</f>
        <v>0.26167439639344098</v>
      </c>
      <c r="L15" s="1" t="s">
        <v>53</v>
      </c>
      <c r="M15" s="1">
        <v>18</v>
      </c>
      <c r="N15" s="1">
        <v>16</v>
      </c>
      <c r="O15" s="1">
        <v>14</v>
      </c>
      <c r="P15" s="1">
        <v>12</v>
      </c>
      <c r="Q15" s="1">
        <v>10</v>
      </c>
      <c r="R15" s="1">
        <v>8</v>
      </c>
      <c r="S15" s="1">
        <v>6</v>
      </c>
    </row>
    <row r="16" spans="1:19">
      <c r="A16" s="1" t="s">
        <v>37</v>
      </c>
      <c r="B16" s="1" t="s">
        <v>51</v>
      </c>
      <c r="C16" s="1">
        <f>D14-J15</f>
        <v>378.95559305965077</v>
      </c>
      <c r="D16" s="2">
        <v>49</v>
      </c>
      <c r="E16" s="1"/>
      <c r="F16" s="1"/>
      <c r="G16" s="1"/>
      <c r="H16" s="1"/>
      <c r="I16" s="1"/>
      <c r="J16" s="2"/>
      <c r="L16" s="1" t="s">
        <v>63</v>
      </c>
      <c r="M16" s="1">
        <v>6.3849999999999998</v>
      </c>
      <c r="N16" s="1">
        <v>4.016</v>
      </c>
      <c r="O16" s="1">
        <v>2.5249999999999999</v>
      </c>
      <c r="P16" s="1">
        <v>1.5880000000000001</v>
      </c>
      <c r="Q16" s="1">
        <v>0.999</v>
      </c>
      <c r="R16" s="1">
        <v>0.628</v>
      </c>
      <c r="S16" s="1">
        <v>0.39500000000000002</v>
      </c>
    </row>
    <row r="17" spans="1:19">
      <c r="A17" s="1" t="s">
        <v>38</v>
      </c>
      <c r="B17" s="1" t="s">
        <v>49</v>
      </c>
      <c r="C17" s="1"/>
      <c r="D17" s="1"/>
      <c r="E17" s="1"/>
      <c r="F17" s="1"/>
      <c r="G17" s="1">
        <v>18</v>
      </c>
      <c r="H17" s="1">
        <v>15</v>
      </c>
      <c r="I17" s="2">
        <f>(H17*M18)/2</f>
        <v>0.15710931</v>
      </c>
      <c r="J17" s="2">
        <f>$E$18*I17</f>
        <v>0.78554655000000007</v>
      </c>
      <c r="K17" s="27">
        <f>E18*J17</f>
        <v>3.9277327500000006</v>
      </c>
      <c r="L17" s="1" t="s">
        <v>64</v>
      </c>
      <c r="M17" s="1">
        <f>M16/1000</f>
        <v>6.3850000000000001E-3</v>
      </c>
      <c r="N17" s="1">
        <f t="shared" ref="N17:S17" si="0">N16/1000</f>
        <v>4.0159999999999996E-3</v>
      </c>
      <c r="O17" s="1">
        <f t="shared" si="0"/>
        <v>2.5249999999999999E-3</v>
      </c>
      <c r="P17" s="1">
        <f t="shared" si="0"/>
        <v>1.588E-3</v>
      </c>
      <c r="Q17" s="1">
        <f t="shared" si="0"/>
        <v>9.990000000000001E-4</v>
      </c>
      <c r="R17" s="1">
        <f t="shared" si="0"/>
        <v>6.2799999999999998E-4</v>
      </c>
      <c r="S17" s="1">
        <f t="shared" si="0"/>
        <v>3.9500000000000001E-4</v>
      </c>
    </row>
    <row r="18" spans="1:19">
      <c r="A18" s="1" t="s">
        <v>39</v>
      </c>
      <c r="B18" s="1" t="s">
        <v>83</v>
      </c>
      <c r="C18" s="2">
        <f>D16-J17</f>
        <v>48.214453450000001</v>
      </c>
      <c r="D18" s="2"/>
      <c r="E18" s="20">
        <v>5</v>
      </c>
      <c r="F18" s="21">
        <f>C18*E18</f>
        <v>241.07226725000001</v>
      </c>
      <c r="G18" s="1"/>
      <c r="H18" s="1"/>
      <c r="I18" s="1"/>
      <c r="J18" s="2"/>
      <c r="L18" s="1" t="s">
        <v>65</v>
      </c>
      <c r="M18" s="1">
        <f>M17*3.2808</f>
        <v>2.0947908000000001E-2</v>
      </c>
      <c r="N18" s="1">
        <f t="shared" ref="N18:S18" si="1">N17*3.2808</f>
        <v>1.31756928E-2</v>
      </c>
      <c r="O18" s="1">
        <f t="shared" si="1"/>
        <v>8.2840199999999996E-3</v>
      </c>
      <c r="P18" s="1">
        <f t="shared" si="1"/>
        <v>5.2099104E-3</v>
      </c>
      <c r="Q18" s="1">
        <f t="shared" si="1"/>
        <v>3.2775192000000005E-3</v>
      </c>
      <c r="R18" s="1">
        <f t="shared" si="1"/>
        <v>2.0603423999999999E-3</v>
      </c>
      <c r="S18" s="1">
        <f t="shared" si="1"/>
        <v>1.295916E-3</v>
      </c>
    </row>
    <row r="19" spans="1:19">
      <c r="A19" s="1" t="s">
        <v>38</v>
      </c>
      <c r="B19" s="1" t="s">
        <v>49</v>
      </c>
      <c r="C19" s="1"/>
      <c r="D19" s="1"/>
      <c r="E19" s="1"/>
      <c r="F19" s="1"/>
      <c r="G19" s="1">
        <v>18</v>
      </c>
      <c r="H19" s="1">
        <v>15</v>
      </c>
      <c r="I19" s="2">
        <f>(H19*$M$18)/2</f>
        <v>0.15710931</v>
      </c>
      <c r="J19" s="2">
        <f>E20*I19</f>
        <v>0.78554655000000007</v>
      </c>
      <c r="K19" s="27">
        <f>E20*J19</f>
        <v>3.9277327500000006</v>
      </c>
    </row>
    <row r="20" spans="1:19">
      <c r="A20" s="1" t="s">
        <v>39</v>
      </c>
      <c r="B20" s="1" t="s">
        <v>82</v>
      </c>
      <c r="C20" s="2">
        <f>$D$16-J19</f>
        <v>48.214453450000001</v>
      </c>
      <c r="D20" s="2"/>
      <c r="E20" s="20">
        <v>5</v>
      </c>
      <c r="F20" s="21">
        <f>C20*E20</f>
        <v>241.07226725000001</v>
      </c>
      <c r="G20" s="1"/>
      <c r="H20" s="1"/>
      <c r="I20" s="1"/>
      <c r="J20" s="2"/>
    </row>
    <row r="21" spans="1:19">
      <c r="A21" s="1" t="s">
        <v>38</v>
      </c>
      <c r="B21" s="1" t="s">
        <v>49</v>
      </c>
      <c r="C21" s="1"/>
      <c r="D21" s="1"/>
      <c r="E21" s="1"/>
      <c r="F21" s="1"/>
      <c r="G21" s="1">
        <v>18</v>
      </c>
      <c r="H21" s="1">
        <v>15</v>
      </c>
      <c r="I21" s="2">
        <f>(H21*$M$18)/2</f>
        <v>0.15710931</v>
      </c>
      <c r="J21" s="2">
        <f>E22*I21</f>
        <v>0.78554655000000007</v>
      </c>
      <c r="K21" s="27">
        <f>E22*J21</f>
        <v>3.9277327500000006</v>
      </c>
    </row>
    <row r="22" spans="1:19">
      <c r="A22" s="1" t="s">
        <v>39</v>
      </c>
      <c r="B22" s="1" t="s">
        <v>84</v>
      </c>
      <c r="C22" s="2">
        <f>$D$16-J21</f>
        <v>48.214453450000001</v>
      </c>
      <c r="D22" s="2"/>
      <c r="E22" s="20">
        <v>5</v>
      </c>
      <c r="F22" s="21">
        <f>C22*E22</f>
        <v>241.07226725000001</v>
      </c>
      <c r="G22" s="1"/>
      <c r="H22" s="1"/>
      <c r="I22" s="1"/>
      <c r="J22" s="2"/>
      <c r="L22" t="s">
        <v>66</v>
      </c>
      <c r="M22" s="1">
        <v>15</v>
      </c>
      <c r="N22" s="1">
        <v>300</v>
      </c>
      <c r="O22" s="1">
        <v>1</v>
      </c>
      <c r="P22" s="1">
        <v>1</v>
      </c>
      <c r="Q22" s="1">
        <v>5</v>
      </c>
      <c r="R22" s="1">
        <v>1</v>
      </c>
      <c r="S22" s="1">
        <v>1</v>
      </c>
    </row>
    <row r="23" spans="1:19">
      <c r="A23" s="1" t="s">
        <v>38</v>
      </c>
      <c r="B23" s="1" t="s">
        <v>49</v>
      </c>
      <c r="C23" s="1"/>
      <c r="D23" s="1"/>
      <c r="E23" s="1"/>
      <c r="F23" s="1"/>
      <c r="G23" s="1">
        <v>18</v>
      </c>
      <c r="H23" s="1">
        <v>15</v>
      </c>
      <c r="I23" s="2">
        <f>(H23*$M$18)/2</f>
        <v>0.15710931</v>
      </c>
      <c r="J23" s="2">
        <f>E24*I23</f>
        <v>0.78554655000000007</v>
      </c>
      <c r="K23" s="27">
        <f>E24*J23</f>
        <v>3.9277327500000006</v>
      </c>
      <c r="L23" t="s">
        <v>67</v>
      </c>
      <c r="M23" s="1">
        <f>M18*M22</f>
        <v>0.31421862</v>
      </c>
      <c r="N23" s="1">
        <f t="shared" ref="N23:S23" si="2">N18*N22</f>
        <v>3.95270784</v>
      </c>
      <c r="O23" s="1">
        <f t="shared" si="2"/>
        <v>8.2840199999999996E-3</v>
      </c>
      <c r="P23" s="1">
        <f t="shared" si="2"/>
        <v>5.2099104E-3</v>
      </c>
      <c r="Q23" s="1">
        <f t="shared" si="2"/>
        <v>1.6387596000000004E-2</v>
      </c>
      <c r="R23" s="1">
        <f t="shared" si="2"/>
        <v>2.0603423999999999E-3</v>
      </c>
      <c r="S23" s="1">
        <f t="shared" si="2"/>
        <v>1.295916E-3</v>
      </c>
    </row>
    <row r="24" spans="1:19">
      <c r="A24" s="1" t="s">
        <v>39</v>
      </c>
      <c r="B24" s="1" t="s">
        <v>85</v>
      </c>
      <c r="C24" s="2">
        <f>$D$16-J23</f>
        <v>48.214453450000001</v>
      </c>
      <c r="D24" s="2"/>
      <c r="E24" s="20">
        <v>5</v>
      </c>
      <c r="F24" s="21">
        <f>C24*E24</f>
        <v>241.07226725000001</v>
      </c>
      <c r="G24" s="1"/>
      <c r="H24" s="1"/>
      <c r="I24" s="1"/>
      <c r="J24" s="2"/>
      <c r="L24" t="s">
        <v>68</v>
      </c>
      <c r="M24" s="1">
        <f>M23*2</f>
        <v>0.62843724000000001</v>
      </c>
      <c r="N24" s="1">
        <f t="shared" ref="N24:S24" si="3">N23*2</f>
        <v>7.9054156799999999</v>
      </c>
      <c r="O24" s="1">
        <f t="shared" si="3"/>
        <v>1.6568039999999999E-2</v>
      </c>
      <c r="P24" s="1">
        <f t="shared" si="3"/>
        <v>1.04198208E-2</v>
      </c>
      <c r="Q24" s="1">
        <f t="shared" si="3"/>
        <v>3.2775192000000009E-2</v>
      </c>
      <c r="R24" s="1">
        <f t="shared" si="3"/>
        <v>4.1206847999999997E-3</v>
      </c>
      <c r="S24" s="1">
        <f t="shared" si="3"/>
        <v>2.5918320000000001E-3</v>
      </c>
    </row>
    <row r="25" spans="1:19">
      <c r="A25" s="1" t="s">
        <v>38</v>
      </c>
      <c r="B25" s="1" t="s">
        <v>49</v>
      </c>
      <c r="C25" s="1"/>
      <c r="D25" s="1"/>
      <c r="E25" s="1"/>
      <c r="F25" s="1"/>
      <c r="G25" s="1">
        <v>18</v>
      </c>
      <c r="H25" s="1">
        <v>15</v>
      </c>
      <c r="I25" s="2">
        <f>(H25*$M$18)/2</f>
        <v>0.15710931</v>
      </c>
      <c r="J25" s="2">
        <f>E26*I25</f>
        <v>0.78554655000000007</v>
      </c>
      <c r="K25" s="27">
        <f>E26*J25</f>
        <v>3.9277327500000006</v>
      </c>
    </row>
    <row r="26" spans="1:19">
      <c r="A26" s="1" t="s">
        <v>39</v>
      </c>
      <c r="B26" s="1" t="s">
        <v>86</v>
      </c>
      <c r="C26" s="2">
        <f>$D$16-J25</f>
        <v>48.214453450000001</v>
      </c>
      <c r="D26" s="2"/>
      <c r="E26" s="20">
        <v>5</v>
      </c>
      <c r="F26" s="21">
        <f>C26*E26</f>
        <v>241.07226725000001</v>
      </c>
      <c r="G26" s="1"/>
      <c r="H26" s="1"/>
      <c r="I26" s="1"/>
      <c r="J26" s="2"/>
    </row>
    <row r="27" spans="1:19">
      <c r="A27" s="1" t="s">
        <v>38</v>
      </c>
      <c r="B27" s="1" t="s">
        <v>49</v>
      </c>
      <c r="C27" s="1"/>
      <c r="D27" s="1"/>
      <c r="E27" s="1"/>
      <c r="F27" s="1"/>
      <c r="G27" s="1">
        <v>18</v>
      </c>
      <c r="H27" s="1">
        <v>15</v>
      </c>
      <c r="I27" s="2">
        <f>(H27*$M$18)/2</f>
        <v>0.15710931</v>
      </c>
      <c r="J27" s="2">
        <f>E28*I27</f>
        <v>0.78554655000000007</v>
      </c>
      <c r="K27" s="27">
        <f>E28*J27</f>
        <v>3.9277327500000006</v>
      </c>
    </row>
    <row r="28" spans="1:19">
      <c r="A28" s="1" t="s">
        <v>39</v>
      </c>
      <c r="B28" s="1" t="s">
        <v>87</v>
      </c>
      <c r="C28" s="2">
        <f>$D$16-J27</f>
        <v>48.214453450000001</v>
      </c>
      <c r="D28" s="2"/>
      <c r="E28" s="20">
        <v>5</v>
      </c>
      <c r="F28" s="21">
        <f>C28*E28</f>
        <v>241.07226725000001</v>
      </c>
      <c r="G28" s="1"/>
      <c r="H28" s="1"/>
      <c r="I28" s="1"/>
      <c r="J28" s="2"/>
    </row>
    <row r="29" spans="1:19">
      <c r="A29" s="1" t="s">
        <v>38</v>
      </c>
      <c r="B29" s="1" t="s">
        <v>49</v>
      </c>
      <c r="C29" s="1"/>
      <c r="D29" s="1"/>
      <c r="E29" s="1"/>
      <c r="F29" s="1"/>
      <c r="G29" s="1">
        <v>18</v>
      </c>
      <c r="H29" s="1">
        <v>15</v>
      </c>
      <c r="I29" s="2">
        <f>(H29*$M$18)/2</f>
        <v>0.15710931</v>
      </c>
      <c r="J29" s="2">
        <f>E30*I29</f>
        <v>0</v>
      </c>
      <c r="K29" s="27">
        <f>E30*J29</f>
        <v>0</v>
      </c>
    </row>
    <row r="30" spans="1:19">
      <c r="A30" s="1" t="s">
        <v>39</v>
      </c>
      <c r="B30" s="1" t="s">
        <v>88</v>
      </c>
      <c r="C30" s="2">
        <f>$D$16-J29</f>
        <v>49</v>
      </c>
      <c r="D30" s="2"/>
      <c r="E30" s="20">
        <v>0</v>
      </c>
      <c r="F30" s="21">
        <f>C30*E30</f>
        <v>0</v>
      </c>
      <c r="G30" s="1"/>
      <c r="H30" s="1"/>
      <c r="I30" s="1"/>
      <c r="J30" s="2"/>
    </row>
    <row r="31" spans="1:19">
      <c r="A31" s="1" t="s">
        <v>38</v>
      </c>
      <c r="B31" s="1" t="s">
        <v>49</v>
      </c>
      <c r="C31" s="1"/>
      <c r="D31" s="1"/>
      <c r="E31" s="1"/>
      <c r="F31" s="1"/>
      <c r="G31" s="1">
        <v>18</v>
      </c>
      <c r="H31" s="1">
        <v>15</v>
      </c>
      <c r="I31" s="2">
        <f>(H31*$M$18)/2</f>
        <v>0.15710931</v>
      </c>
      <c r="J31" s="2">
        <f>E32*I31</f>
        <v>0</v>
      </c>
      <c r="K31" s="27">
        <f>E32*J31</f>
        <v>0</v>
      </c>
    </row>
    <row r="32" spans="1:19">
      <c r="A32" s="1" t="s">
        <v>39</v>
      </c>
      <c r="B32" s="1" t="s">
        <v>89</v>
      </c>
      <c r="C32" s="2">
        <f>$D$16-J31</f>
        <v>49</v>
      </c>
      <c r="D32" s="2"/>
      <c r="E32" s="20">
        <v>0</v>
      </c>
      <c r="F32" s="21">
        <f>C32*E32</f>
        <v>0</v>
      </c>
      <c r="G32" s="1"/>
      <c r="H32" s="1"/>
      <c r="I32" s="1"/>
      <c r="J32" s="2"/>
    </row>
    <row r="33" spans="10:11">
      <c r="K33" s="3">
        <f>SUM(K7:K32)</f>
        <v>253.51179374564126</v>
      </c>
    </row>
    <row r="34" spans="10:11">
      <c r="J34" s="29">
        <v>253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Tether Measurements</vt:lpstr>
      <vt:lpstr>BCM - System Losses</vt:lpstr>
      <vt:lpstr>Copper Losses</vt:lpstr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2012-02-21T20:21:22Z</cp:lastPrinted>
  <dcterms:created xsi:type="dcterms:W3CDTF">2012-02-21T17:20:45Z</dcterms:created>
  <dcterms:modified xsi:type="dcterms:W3CDTF">2012-10-03T18:54:50Z</dcterms:modified>
</cp:coreProperties>
</file>