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omments2.xml" ContentType="application/vnd.openxmlformats-officedocument.spreadsheetml.comments+xml"/>
  <Override PartName="/xl/tables/table3.xml" ContentType="application/vnd.openxmlformats-officedocument.spreadsheetml.table+xml"/>
  <Override PartName="/xl/comments3.xml" ContentType="application/vnd.openxmlformats-officedocument.spreadsheetml.comments+xml"/>
  <Override PartName="/xl/tables/table4.xml" ContentType="application/vnd.openxmlformats-officedocument.spreadsheetml.table+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3"/>
  <workbookPr/>
  <mc:AlternateContent xmlns:mc="http://schemas.openxmlformats.org/markup-compatibility/2006">
    <mc:Choice Requires="x15">
      <x15ac:absPath xmlns:x15ac="http://schemas.microsoft.com/office/spreadsheetml/2010/11/ac" url="Q:\BillsOfMaterials\"/>
    </mc:Choice>
  </mc:AlternateContent>
  <xr:revisionPtr revIDLastSave="0" documentId="8_{1896B5B7-D01F-4E10-A5B6-3BB7AD226A7E}" xr6:coauthVersionLast="36" xr6:coauthVersionMax="36" xr10:uidLastSave="{00000000-0000-0000-0000-000000000000}"/>
  <bookViews>
    <workbookView xWindow="0" yWindow="-120" windowWidth="23040" windowHeight="6120" firstSheet="4" activeTab="4" xr2:uid="{00000000-000D-0000-FFFF-FFFF00000000}"/>
  </bookViews>
  <sheets>
    <sheet name="Revision Log" sheetId="5" state="hidden" r:id="rId1"/>
    <sheet name="Task List" sheetId="6" state="hidden" r:id="rId2"/>
    <sheet name="Build List" sheetId="8" state="hidden" r:id="rId3"/>
    <sheet name="IO Matrix" sheetId="9" state="hidden" r:id="rId4"/>
    <sheet name="Core Vehicle" sheetId="16" r:id="rId5"/>
    <sheet name="Payload Noses" sheetId="17" r:id="rId6"/>
    <sheet name="Auxilary Equip" sheetId="19" r:id="rId7"/>
    <sheet name="HOW TO USE" sheetId="13" r:id="rId8"/>
    <sheet name="BOM TEMPLATE" sheetId="15" r:id="rId9"/>
    <sheet name="VENDOR LIST" sheetId="20" r:id="rId10"/>
  </sheets>
  <definedNames>
    <definedName name="_xlnm._FilterDatabase" localSheetId="6" hidden="1">'Auxilary Equip'!$A$3:$AH$125</definedName>
    <definedName name="_xlnm._FilterDatabase" localSheetId="8" hidden="1">'BOM TEMPLATE'!$A$3:$AH$119</definedName>
    <definedName name="_xlnm._FilterDatabase" localSheetId="4" hidden="1">'Core Vehicle'!$A$3:$AB$587</definedName>
    <definedName name="_xlnm._FilterDatabase" localSheetId="5" hidden="1">'Payload Noses'!$A$4:$AC$313</definedName>
    <definedName name="DPN" localSheetId="6">'Auxilary Equip'!$C$4:$C$59</definedName>
    <definedName name="DPN" localSheetId="8">'BOM TEMPLATE'!$C$4:$C$7</definedName>
    <definedName name="DPN" localSheetId="4">'Core Vehicle'!$C$4:$C$585</definedName>
    <definedName name="DPN" localSheetId="5">'Payload Noses'!$D$5:$D$201</definedName>
    <definedName name="PART" localSheetId="6">'Auxilary Equip'!$B$4:$B$171</definedName>
    <definedName name="PART" localSheetId="8">'BOM TEMPLATE'!$B$4:$B$119</definedName>
    <definedName name="PART" localSheetId="4">'Core Vehicle'!$B$4:$B$697</definedName>
    <definedName name="PART" localSheetId="5">'Payload Noses'!$C$5:$C$313</definedName>
    <definedName name="StatusList">'HOW TO USE'!$A$49:$A$57</definedName>
    <definedName name="TypeList">'HOW TO USE'!$A$60:$A$71</definedName>
  </definedNames>
  <calcPr calcId="191029"/>
</workbook>
</file>

<file path=xl/calcChain.xml><?xml version="1.0" encoding="utf-8"?>
<calcChain xmlns="http://schemas.openxmlformats.org/spreadsheetml/2006/main">
  <c r="N150" i="16" l="1"/>
  <c r="N576" i="16"/>
  <c r="N441" i="16"/>
  <c r="N246" i="16"/>
  <c r="Q244" i="16"/>
  <c r="N244" i="16"/>
  <c r="Q242" i="16"/>
  <c r="N242" i="16"/>
  <c r="N48" i="16"/>
  <c r="Q47" i="16"/>
  <c r="N47" i="16"/>
  <c r="Q44" i="16"/>
  <c r="N44" i="16"/>
  <c r="Q43" i="16"/>
  <c r="N43" i="16"/>
  <c r="Q41" i="16"/>
  <c r="N41" i="16"/>
  <c r="Q40" i="16"/>
  <c r="N40" i="16"/>
  <c r="N272" i="16"/>
  <c r="Q354" i="16"/>
  <c r="N354" i="16"/>
  <c r="Q349" i="16"/>
  <c r="N349" i="16"/>
  <c r="N347" i="16"/>
  <c r="N345" i="16"/>
  <c r="N344" i="16"/>
  <c r="N269" i="16"/>
  <c r="N268" i="16"/>
  <c r="N267" i="16"/>
  <c r="N23" i="16"/>
  <c r="N20" i="16"/>
  <c r="Q299" i="16"/>
  <c r="N299" i="16"/>
  <c r="Q58" i="16"/>
  <c r="N45" i="16"/>
  <c r="Q57" i="16"/>
  <c r="N57" i="16"/>
  <c r="N108" i="16"/>
  <c r="N107" i="16"/>
  <c r="N106" i="16"/>
  <c r="Q46" i="16"/>
  <c r="N46" i="16"/>
  <c r="Q395" i="16"/>
  <c r="N395" i="16"/>
  <c r="N34" i="16"/>
  <c r="N162" i="16"/>
  <c r="Q156" i="16"/>
  <c r="N156" i="16"/>
  <c r="N10" i="16"/>
  <c r="Q392" i="16"/>
  <c r="N153" i="16"/>
  <c r="N152" i="16"/>
  <c r="N151" i="16"/>
  <c r="N90" i="16"/>
  <c r="N482" i="16"/>
  <c r="N479" i="16"/>
  <c r="N93" i="16"/>
  <c r="Q42" i="16"/>
  <c r="N42" i="16"/>
  <c r="Q232" i="16" l="1"/>
  <c r="N232" i="16"/>
  <c r="N231" i="16"/>
  <c r="N133" i="16"/>
  <c r="N132" i="16"/>
  <c r="Q130" i="16"/>
  <c r="N130" i="16"/>
  <c r="Q131" i="16"/>
  <c r="N131" i="16"/>
  <c r="Q394" i="16"/>
  <c r="N128" i="16"/>
  <c r="N154" i="16"/>
  <c r="Q127" i="16"/>
  <c r="N127" i="16"/>
  <c r="N126" i="16"/>
  <c r="Q125" i="16"/>
  <c r="N125" i="16"/>
  <c r="Q124" i="16"/>
  <c r="N124" i="16"/>
  <c r="Q158" i="16"/>
  <c r="N158" i="16"/>
  <c r="N159" i="16"/>
  <c r="Q288" i="16"/>
  <c r="N288" i="16"/>
  <c r="N286" i="16"/>
  <c r="N285" i="16"/>
  <c r="N455" i="16"/>
  <c r="Q451" i="16"/>
  <c r="N451" i="16"/>
  <c r="Q157" i="16"/>
  <c r="N157" i="16"/>
  <c r="Q129" i="16"/>
  <c r="N129" i="16"/>
  <c r="Q416" i="16"/>
  <c r="N416" i="16"/>
  <c r="Q414" i="16"/>
  <c r="N414" i="16"/>
  <c r="N413" i="16"/>
  <c r="N412" i="16"/>
  <c r="N410" i="16"/>
  <c r="N409" i="16"/>
  <c r="N408" i="16"/>
  <c r="Q407" i="16"/>
  <c r="N407" i="16"/>
  <c r="N406" i="16"/>
  <c r="Q316" i="16"/>
  <c r="N316" i="16"/>
  <c r="Q315" i="16"/>
  <c r="N315" i="16"/>
  <c r="O199" i="17"/>
  <c r="P199" i="17" s="1"/>
  <c r="S199" i="17"/>
  <c r="T199" i="17" s="1"/>
  <c r="U199" i="17" s="1"/>
  <c r="S4" i="16"/>
  <c r="O584" i="16"/>
  <c r="P584" i="16" s="1"/>
  <c r="S584" i="16"/>
  <c r="T584" i="16" s="1"/>
  <c r="U584" i="16" s="1"/>
  <c r="G586" i="16"/>
  <c r="O201" i="17" l="1"/>
  <c r="P201" i="17" s="1"/>
  <c r="S201" i="17"/>
  <c r="T201" i="17" s="1"/>
  <c r="U201" i="17" s="1"/>
  <c r="O196" i="17"/>
  <c r="P196" i="17" s="1"/>
  <c r="S196" i="17"/>
  <c r="T196" i="17" s="1"/>
  <c r="U196" i="17" s="1"/>
  <c r="O197" i="17"/>
  <c r="P197" i="17" s="1"/>
  <c r="S197" i="17"/>
  <c r="T197" i="17" s="1"/>
  <c r="U197" i="17" s="1"/>
  <c r="O198" i="17"/>
  <c r="P198" i="17" s="1"/>
  <c r="S198" i="17"/>
  <c r="T198" i="17" s="1"/>
  <c r="U198" i="17" s="1"/>
  <c r="O200" i="17"/>
  <c r="P200" i="17" s="1"/>
  <c r="S200" i="17"/>
  <c r="T200" i="17" s="1"/>
  <c r="U200" i="17" s="1"/>
  <c r="O580" i="16"/>
  <c r="P580" i="16" s="1"/>
  <c r="S580" i="16"/>
  <c r="T580" i="16" s="1"/>
  <c r="U580" i="16" s="1"/>
  <c r="O581" i="16"/>
  <c r="P581" i="16" s="1"/>
  <c r="S581" i="16"/>
  <c r="T581" i="16" s="1"/>
  <c r="U581" i="16" s="1"/>
  <c r="O582" i="16"/>
  <c r="P582" i="16" s="1"/>
  <c r="S582" i="16"/>
  <c r="T582" i="16" s="1"/>
  <c r="U582" i="16" s="1"/>
  <c r="O583" i="16"/>
  <c r="P583" i="16" s="1"/>
  <c r="S583" i="16"/>
  <c r="T583" i="16" s="1"/>
  <c r="U583" i="16" s="1"/>
  <c r="O579" i="16" l="1"/>
  <c r="O62" i="16"/>
  <c r="O325" i="16"/>
  <c r="S230" i="16" l="1"/>
  <c r="T230" i="16" s="1"/>
  <c r="N388" i="16"/>
  <c r="N387" i="16"/>
  <c r="N385" i="16"/>
  <c r="N382" i="16"/>
  <c r="N381" i="16"/>
  <c r="N230" i="16"/>
  <c r="N189" i="16"/>
  <c r="N188" i="16"/>
  <c r="N187" i="16"/>
  <c r="N186" i="16"/>
  <c r="N185" i="16"/>
  <c r="N184" i="16"/>
  <c r="N183" i="16"/>
  <c r="N174" i="16"/>
  <c r="S585" i="16"/>
  <c r="T585" i="16" s="1"/>
  <c r="U585" i="16" s="1"/>
  <c r="S579" i="16"/>
  <c r="T579" i="16" s="1"/>
  <c r="U579" i="16" s="1"/>
  <c r="S578" i="16"/>
  <c r="T578" i="16" s="1"/>
  <c r="U578" i="16" s="1"/>
  <c r="S576" i="16"/>
  <c r="T576" i="16" s="1"/>
  <c r="U576" i="16" s="1"/>
  <c r="S577" i="16"/>
  <c r="T577" i="16" s="1"/>
  <c r="U577" i="16" s="1"/>
  <c r="S575" i="16"/>
  <c r="T575" i="16" s="1"/>
  <c r="U575" i="16" s="1"/>
  <c r="S574" i="16"/>
  <c r="T574" i="16" s="1"/>
  <c r="U574" i="16" s="1"/>
  <c r="S573" i="16"/>
  <c r="T573" i="16" s="1"/>
  <c r="U573" i="16" s="1"/>
  <c r="S550" i="16"/>
  <c r="T550" i="16" s="1"/>
  <c r="U550" i="16" s="1"/>
  <c r="S549" i="16"/>
  <c r="T549" i="16" s="1"/>
  <c r="U549" i="16" s="1"/>
  <c r="S548" i="16"/>
  <c r="T548" i="16" s="1"/>
  <c r="U548" i="16" s="1"/>
  <c r="S547" i="16"/>
  <c r="T547" i="16" s="1"/>
  <c r="U547" i="16" s="1"/>
  <c r="S546" i="16"/>
  <c r="T546" i="16" s="1"/>
  <c r="U546" i="16" s="1"/>
  <c r="S545" i="16"/>
  <c r="T545" i="16" s="1"/>
  <c r="U545" i="16" s="1"/>
  <c r="S572" i="16"/>
  <c r="T572" i="16" s="1"/>
  <c r="U572" i="16" s="1"/>
  <c r="S571" i="16"/>
  <c r="T571" i="16" s="1"/>
  <c r="U571" i="16" s="1"/>
  <c r="S570" i="16"/>
  <c r="T570" i="16" s="1"/>
  <c r="U570" i="16" s="1"/>
  <c r="S569" i="16"/>
  <c r="T569" i="16" s="1"/>
  <c r="U569" i="16" s="1"/>
  <c r="S568" i="16"/>
  <c r="T568" i="16" s="1"/>
  <c r="U568" i="16" s="1"/>
  <c r="S567" i="16"/>
  <c r="T567" i="16" s="1"/>
  <c r="U567" i="16" s="1"/>
  <c r="S566" i="16"/>
  <c r="T566" i="16" s="1"/>
  <c r="U566" i="16" s="1"/>
  <c r="S565" i="16"/>
  <c r="T565" i="16" s="1"/>
  <c r="U565" i="16" s="1"/>
  <c r="S564" i="16"/>
  <c r="T564" i="16" s="1"/>
  <c r="U564" i="16" s="1"/>
  <c r="S563" i="16"/>
  <c r="T563" i="16" s="1"/>
  <c r="U563" i="16" s="1"/>
  <c r="S562" i="16"/>
  <c r="T562" i="16" s="1"/>
  <c r="U562" i="16" s="1"/>
  <c r="S561" i="16"/>
  <c r="T561" i="16" s="1"/>
  <c r="U561" i="16" s="1"/>
  <c r="S560" i="16"/>
  <c r="T560" i="16" s="1"/>
  <c r="U560" i="16" s="1"/>
  <c r="S559" i="16"/>
  <c r="T559" i="16" s="1"/>
  <c r="U559" i="16" s="1"/>
  <c r="S558" i="16"/>
  <c r="T558" i="16" s="1"/>
  <c r="U558" i="16" s="1"/>
  <c r="S557" i="16"/>
  <c r="T557" i="16" s="1"/>
  <c r="U557" i="16" s="1"/>
  <c r="S556" i="16"/>
  <c r="T556" i="16" s="1"/>
  <c r="U556" i="16" s="1"/>
  <c r="S555" i="16"/>
  <c r="T555" i="16" s="1"/>
  <c r="U555" i="16" s="1"/>
  <c r="S554" i="16"/>
  <c r="T554" i="16" s="1"/>
  <c r="U554" i="16" s="1"/>
  <c r="S553" i="16"/>
  <c r="T553" i="16" s="1"/>
  <c r="U553" i="16" s="1"/>
  <c r="S552" i="16"/>
  <c r="T552" i="16" s="1"/>
  <c r="U552" i="16" s="1"/>
  <c r="S551" i="16"/>
  <c r="T551" i="16" s="1"/>
  <c r="U551" i="16" s="1"/>
  <c r="S544" i="16"/>
  <c r="T544" i="16" s="1"/>
  <c r="U544" i="16" s="1"/>
  <c r="S543" i="16"/>
  <c r="T543" i="16" s="1"/>
  <c r="U543" i="16" s="1"/>
  <c r="S542" i="16"/>
  <c r="T542" i="16" s="1"/>
  <c r="U542" i="16" s="1"/>
  <c r="S541" i="16"/>
  <c r="T541" i="16" s="1"/>
  <c r="U541" i="16" s="1"/>
  <c r="S540" i="16"/>
  <c r="T540" i="16" s="1"/>
  <c r="U540" i="16" s="1"/>
  <c r="S539" i="16"/>
  <c r="T539" i="16" s="1"/>
  <c r="U539" i="16" s="1"/>
  <c r="S538" i="16"/>
  <c r="T538" i="16" s="1"/>
  <c r="U538" i="16" s="1"/>
  <c r="S537" i="16"/>
  <c r="T537" i="16" s="1"/>
  <c r="U537" i="16" s="1"/>
  <c r="S536" i="16"/>
  <c r="T536" i="16" s="1"/>
  <c r="U536" i="16" s="1"/>
  <c r="S535" i="16"/>
  <c r="T535" i="16" s="1"/>
  <c r="U535" i="16" s="1"/>
  <c r="S532" i="16"/>
  <c r="T532" i="16" s="1"/>
  <c r="U532" i="16" s="1"/>
  <c r="S534" i="16"/>
  <c r="T534" i="16" s="1"/>
  <c r="U534" i="16" s="1"/>
  <c r="S533" i="16"/>
  <c r="T533" i="16" s="1"/>
  <c r="U533" i="16" s="1"/>
  <c r="S531" i="16"/>
  <c r="T531" i="16" s="1"/>
  <c r="U531" i="16" s="1"/>
  <c r="S530" i="16"/>
  <c r="T530" i="16" s="1"/>
  <c r="U530" i="16" s="1"/>
  <c r="S529" i="16"/>
  <c r="T529" i="16" s="1"/>
  <c r="U529" i="16" s="1"/>
  <c r="S524" i="16"/>
  <c r="T524" i="16" s="1"/>
  <c r="U524" i="16" s="1"/>
  <c r="S528" i="16"/>
  <c r="T528" i="16" s="1"/>
  <c r="U528" i="16" s="1"/>
  <c r="S527" i="16"/>
  <c r="T527" i="16" s="1"/>
  <c r="U527" i="16" s="1"/>
  <c r="S526" i="16"/>
  <c r="T526" i="16" s="1"/>
  <c r="U526" i="16" s="1"/>
  <c r="S522" i="16"/>
  <c r="T522" i="16" s="1"/>
  <c r="U522" i="16" s="1"/>
  <c r="S525" i="16"/>
  <c r="T525" i="16" s="1"/>
  <c r="U525" i="16" s="1"/>
  <c r="S523" i="16"/>
  <c r="T523" i="16" s="1"/>
  <c r="U523" i="16" s="1"/>
  <c r="S521" i="16"/>
  <c r="T521" i="16" s="1"/>
  <c r="U521" i="16" s="1"/>
  <c r="S520" i="16"/>
  <c r="T520" i="16" s="1"/>
  <c r="U520" i="16" s="1"/>
  <c r="S517" i="16"/>
  <c r="T517" i="16" s="1"/>
  <c r="U517" i="16" s="1"/>
  <c r="S519" i="16"/>
  <c r="T519" i="16" s="1"/>
  <c r="U519" i="16" s="1"/>
  <c r="S518" i="16"/>
  <c r="T518" i="16" s="1"/>
  <c r="U518" i="16" s="1"/>
  <c r="S516" i="16"/>
  <c r="T516" i="16" s="1"/>
  <c r="U516" i="16" s="1"/>
  <c r="S515" i="16"/>
  <c r="T515" i="16" s="1"/>
  <c r="U515" i="16" s="1"/>
  <c r="S514" i="16"/>
  <c r="T514" i="16" s="1"/>
  <c r="U514" i="16" s="1"/>
  <c r="S513" i="16"/>
  <c r="T513" i="16" s="1"/>
  <c r="U513" i="16" s="1"/>
  <c r="S512" i="16"/>
  <c r="T512" i="16" s="1"/>
  <c r="U512" i="16" s="1"/>
  <c r="S511" i="16"/>
  <c r="T511" i="16" s="1"/>
  <c r="U511" i="16" s="1"/>
  <c r="S510" i="16"/>
  <c r="T510" i="16" s="1"/>
  <c r="U510" i="16" s="1"/>
  <c r="S509" i="16"/>
  <c r="T509" i="16" s="1"/>
  <c r="U509" i="16" s="1"/>
  <c r="S508" i="16"/>
  <c r="T508" i="16" s="1"/>
  <c r="U508" i="16" s="1"/>
  <c r="S507" i="16"/>
  <c r="T507" i="16" s="1"/>
  <c r="U507" i="16" s="1"/>
  <c r="S506" i="16"/>
  <c r="T506" i="16" s="1"/>
  <c r="U506" i="16" s="1"/>
  <c r="S505" i="16"/>
  <c r="T505" i="16" s="1"/>
  <c r="U505" i="16" s="1"/>
  <c r="S504" i="16"/>
  <c r="T504" i="16" s="1"/>
  <c r="U504" i="16" s="1"/>
  <c r="S503" i="16"/>
  <c r="T503" i="16" s="1"/>
  <c r="U503" i="16" s="1"/>
  <c r="S502" i="16"/>
  <c r="T502" i="16" s="1"/>
  <c r="U502" i="16" s="1"/>
  <c r="S501" i="16"/>
  <c r="T501" i="16" s="1"/>
  <c r="U501" i="16" s="1"/>
  <c r="S500" i="16"/>
  <c r="T500" i="16" s="1"/>
  <c r="U500" i="16" s="1"/>
  <c r="S499" i="16"/>
  <c r="T499" i="16" s="1"/>
  <c r="U499" i="16" s="1"/>
  <c r="S498" i="16"/>
  <c r="T498" i="16" s="1"/>
  <c r="U498" i="16" s="1"/>
  <c r="S497" i="16"/>
  <c r="T497" i="16" s="1"/>
  <c r="U497" i="16" s="1"/>
  <c r="S496" i="16"/>
  <c r="T496" i="16" s="1"/>
  <c r="U496" i="16" s="1"/>
  <c r="S495" i="16"/>
  <c r="T495" i="16" s="1"/>
  <c r="U495" i="16" s="1"/>
  <c r="S494" i="16"/>
  <c r="T494" i="16" s="1"/>
  <c r="U494" i="16" s="1"/>
  <c r="S493" i="16"/>
  <c r="T493" i="16" s="1"/>
  <c r="U493" i="16" s="1"/>
  <c r="S492" i="16"/>
  <c r="T492" i="16" s="1"/>
  <c r="U492" i="16" s="1"/>
  <c r="S491" i="16"/>
  <c r="T491" i="16" s="1"/>
  <c r="U491" i="16" s="1"/>
  <c r="S490" i="16"/>
  <c r="T490" i="16" s="1"/>
  <c r="U490" i="16" s="1"/>
  <c r="S489" i="16"/>
  <c r="T489" i="16" s="1"/>
  <c r="U489" i="16" s="1"/>
  <c r="S488" i="16"/>
  <c r="T488" i="16" s="1"/>
  <c r="U488" i="16" s="1"/>
  <c r="S487" i="16"/>
  <c r="T487" i="16" s="1"/>
  <c r="U487" i="16" s="1"/>
  <c r="S486" i="16"/>
  <c r="T486" i="16" s="1"/>
  <c r="U486" i="16" s="1"/>
  <c r="S485" i="16"/>
  <c r="T485" i="16" s="1"/>
  <c r="U485" i="16" s="1"/>
  <c r="S484" i="16"/>
  <c r="T484" i="16" s="1"/>
  <c r="U484" i="16" s="1"/>
  <c r="S483" i="16"/>
  <c r="T483" i="16" s="1"/>
  <c r="U483" i="16" s="1"/>
  <c r="S482" i="16"/>
  <c r="T482" i="16" s="1"/>
  <c r="U482" i="16" s="1"/>
  <c r="S481" i="16"/>
  <c r="T481" i="16" s="1"/>
  <c r="U481" i="16" s="1"/>
  <c r="S480" i="16"/>
  <c r="T480" i="16" s="1"/>
  <c r="U480" i="16" s="1"/>
  <c r="S479" i="16"/>
  <c r="T479" i="16" s="1"/>
  <c r="U479" i="16" s="1"/>
  <c r="S478" i="16"/>
  <c r="T478" i="16" s="1"/>
  <c r="U478" i="16" s="1"/>
  <c r="S477" i="16"/>
  <c r="T477" i="16" s="1"/>
  <c r="U477" i="16" s="1"/>
  <c r="S476" i="16"/>
  <c r="T476" i="16" s="1"/>
  <c r="U476" i="16" s="1"/>
  <c r="S475" i="16"/>
  <c r="T475" i="16" s="1"/>
  <c r="U475" i="16" s="1"/>
  <c r="S474" i="16"/>
  <c r="T474" i="16" s="1"/>
  <c r="U474" i="16" s="1"/>
  <c r="S473" i="16"/>
  <c r="T473" i="16" s="1"/>
  <c r="U473" i="16" s="1"/>
  <c r="S472" i="16"/>
  <c r="T472" i="16" s="1"/>
  <c r="U472" i="16" s="1"/>
  <c r="S471" i="16"/>
  <c r="T471" i="16" s="1"/>
  <c r="U471" i="16" s="1"/>
  <c r="S470" i="16"/>
  <c r="T470" i="16" s="1"/>
  <c r="U470" i="16" s="1"/>
  <c r="S469" i="16"/>
  <c r="T469" i="16" s="1"/>
  <c r="U469" i="16" s="1"/>
  <c r="S468" i="16"/>
  <c r="T468" i="16" s="1"/>
  <c r="U468" i="16" s="1"/>
  <c r="S467" i="16"/>
  <c r="T467" i="16" s="1"/>
  <c r="U467" i="16" s="1"/>
  <c r="S466" i="16"/>
  <c r="T466" i="16" s="1"/>
  <c r="U466" i="16" s="1"/>
  <c r="S465" i="16"/>
  <c r="T465" i="16" s="1"/>
  <c r="U465" i="16" s="1"/>
  <c r="S464" i="16"/>
  <c r="T464" i="16" s="1"/>
  <c r="U464" i="16" s="1"/>
  <c r="S463" i="16"/>
  <c r="T463" i="16" s="1"/>
  <c r="U463" i="16" s="1"/>
  <c r="S462" i="16"/>
  <c r="T462" i="16" s="1"/>
  <c r="U462" i="16" s="1"/>
  <c r="S461" i="16"/>
  <c r="T461" i="16" s="1"/>
  <c r="U461" i="16" s="1"/>
  <c r="S460" i="16"/>
  <c r="T460" i="16" s="1"/>
  <c r="U460" i="16" s="1"/>
  <c r="S459" i="16"/>
  <c r="T459" i="16" s="1"/>
  <c r="U459" i="16" s="1"/>
  <c r="S458" i="16"/>
  <c r="T458" i="16" s="1"/>
  <c r="U458" i="16" s="1"/>
  <c r="S457" i="16"/>
  <c r="T457" i="16" s="1"/>
  <c r="U457" i="16" s="1"/>
  <c r="S456" i="16"/>
  <c r="T456" i="16" s="1"/>
  <c r="U456" i="16" s="1"/>
  <c r="S455" i="16"/>
  <c r="T455" i="16" s="1"/>
  <c r="U455" i="16" s="1"/>
  <c r="S451" i="16"/>
  <c r="T451" i="16" s="1"/>
  <c r="U451" i="16" s="1"/>
  <c r="S450" i="16"/>
  <c r="T450" i="16" s="1"/>
  <c r="U450" i="16" s="1"/>
  <c r="S454" i="16"/>
  <c r="T454" i="16" s="1"/>
  <c r="U454" i="16" s="1"/>
  <c r="S453" i="16"/>
  <c r="T453" i="16" s="1"/>
  <c r="U453" i="16" s="1"/>
  <c r="S452" i="16"/>
  <c r="T452" i="16" s="1"/>
  <c r="U452" i="16" s="1"/>
  <c r="S449" i="16"/>
  <c r="T449" i="16" s="1"/>
  <c r="U449" i="16" s="1"/>
  <c r="S448" i="16"/>
  <c r="T448" i="16" s="1"/>
  <c r="U448" i="16" s="1"/>
  <c r="S447" i="16"/>
  <c r="T447" i="16" s="1"/>
  <c r="U447" i="16" s="1"/>
  <c r="S446" i="16"/>
  <c r="T446" i="16" s="1"/>
  <c r="U446" i="16" s="1"/>
  <c r="S445" i="16"/>
  <c r="T445" i="16" s="1"/>
  <c r="U445" i="16" s="1"/>
  <c r="S444" i="16"/>
  <c r="T444" i="16" s="1"/>
  <c r="U444" i="16" s="1"/>
  <c r="S443" i="16"/>
  <c r="T443" i="16" s="1"/>
  <c r="U443" i="16" s="1"/>
  <c r="S442" i="16"/>
  <c r="T442" i="16" s="1"/>
  <c r="U442" i="16" s="1"/>
  <c r="S441" i="16"/>
  <c r="T441" i="16" s="1"/>
  <c r="U441" i="16" s="1"/>
  <c r="S440" i="16"/>
  <c r="T440" i="16" s="1"/>
  <c r="U440" i="16" s="1"/>
  <c r="S439" i="16"/>
  <c r="T439" i="16" s="1"/>
  <c r="U439" i="16" s="1"/>
  <c r="S438" i="16"/>
  <c r="T438" i="16" s="1"/>
  <c r="U438" i="16" s="1"/>
  <c r="S435" i="16"/>
  <c r="T435" i="16" s="1"/>
  <c r="U435" i="16" s="1"/>
  <c r="S434" i="16"/>
  <c r="T434" i="16" s="1"/>
  <c r="U434" i="16" s="1"/>
  <c r="S433" i="16"/>
  <c r="T433" i="16" s="1"/>
  <c r="U433" i="16" s="1"/>
  <c r="S432" i="16"/>
  <c r="T432" i="16" s="1"/>
  <c r="U432" i="16" s="1"/>
  <c r="S431" i="16"/>
  <c r="T431" i="16" s="1"/>
  <c r="U431" i="16" s="1"/>
  <c r="S430" i="16"/>
  <c r="T430" i="16" s="1"/>
  <c r="U430" i="16" s="1"/>
  <c r="S429" i="16"/>
  <c r="T429" i="16" s="1"/>
  <c r="U429" i="16" s="1"/>
  <c r="S428" i="16"/>
  <c r="T428" i="16" s="1"/>
  <c r="U428" i="16" s="1"/>
  <c r="S427" i="16"/>
  <c r="T427" i="16" s="1"/>
  <c r="U427" i="16" s="1"/>
  <c r="S437" i="16"/>
  <c r="T437" i="16" s="1"/>
  <c r="U437" i="16" s="1"/>
  <c r="S426" i="16"/>
  <c r="T426" i="16" s="1"/>
  <c r="U426" i="16" s="1"/>
  <c r="S425" i="16"/>
  <c r="T425" i="16" s="1"/>
  <c r="U425" i="16" s="1"/>
  <c r="S424" i="16"/>
  <c r="T424" i="16" s="1"/>
  <c r="U424" i="16" s="1"/>
  <c r="S423" i="16"/>
  <c r="T423" i="16" s="1"/>
  <c r="U423" i="16" s="1"/>
  <c r="S422" i="16"/>
  <c r="T422" i="16" s="1"/>
  <c r="U422" i="16" s="1"/>
  <c r="S421" i="16"/>
  <c r="T421" i="16" s="1"/>
  <c r="U421" i="16" s="1"/>
  <c r="S420" i="16"/>
  <c r="T420" i="16" s="1"/>
  <c r="U420" i="16" s="1"/>
  <c r="S419" i="16"/>
  <c r="T419" i="16" s="1"/>
  <c r="U419" i="16" s="1"/>
  <c r="S418" i="16"/>
  <c r="T418" i="16" s="1"/>
  <c r="U418" i="16" s="1"/>
  <c r="S417" i="16"/>
  <c r="T417" i="16" s="1"/>
  <c r="U417" i="16" s="1"/>
  <c r="S416" i="16"/>
  <c r="T416" i="16" s="1"/>
  <c r="U416" i="16" s="1"/>
  <c r="S415" i="16"/>
  <c r="T415" i="16" s="1"/>
  <c r="U415" i="16" s="1"/>
  <c r="S414" i="16"/>
  <c r="T414" i="16" s="1"/>
  <c r="U414" i="16" s="1"/>
  <c r="S413" i="16"/>
  <c r="T413" i="16" s="1"/>
  <c r="U413" i="16" s="1"/>
  <c r="S412" i="16"/>
  <c r="T412" i="16" s="1"/>
  <c r="U412" i="16" s="1"/>
  <c r="S411" i="16"/>
  <c r="T411" i="16" s="1"/>
  <c r="U411" i="16" s="1"/>
  <c r="S410" i="16"/>
  <c r="T410" i="16" s="1"/>
  <c r="U410" i="16" s="1"/>
  <c r="S409" i="16"/>
  <c r="T409" i="16" s="1"/>
  <c r="U409" i="16" s="1"/>
  <c r="S408" i="16"/>
  <c r="T408" i="16" s="1"/>
  <c r="U408" i="16" s="1"/>
  <c r="S407" i="16"/>
  <c r="T407" i="16" s="1"/>
  <c r="U407" i="16" s="1"/>
  <c r="S406" i="16"/>
  <c r="T406" i="16" s="1"/>
  <c r="U406" i="16" s="1"/>
  <c r="S405" i="16"/>
  <c r="T405" i="16" s="1"/>
  <c r="U405" i="16" s="1"/>
  <c r="S436" i="16"/>
  <c r="T436" i="16" s="1"/>
  <c r="U436" i="16" s="1"/>
  <c r="S404" i="16"/>
  <c r="T404" i="16" s="1"/>
  <c r="U404" i="16" s="1"/>
  <c r="S393" i="16"/>
  <c r="T393" i="16" s="1"/>
  <c r="U393" i="16" s="1"/>
  <c r="S403" i="16"/>
  <c r="T403" i="16" s="1"/>
  <c r="U403" i="16" s="1"/>
  <c r="S402" i="16"/>
  <c r="T402" i="16" s="1"/>
  <c r="U402" i="16" s="1"/>
  <c r="S400" i="16"/>
  <c r="T400" i="16" s="1"/>
  <c r="U400" i="16" s="1"/>
  <c r="S401" i="16"/>
  <c r="T401" i="16" s="1"/>
  <c r="U401" i="16" s="1"/>
  <c r="S399" i="16"/>
  <c r="T399" i="16" s="1"/>
  <c r="U399" i="16" s="1"/>
  <c r="S398" i="16"/>
  <c r="T398" i="16" s="1"/>
  <c r="U398" i="16" s="1"/>
  <c r="S397" i="16"/>
  <c r="T397" i="16" s="1"/>
  <c r="U397" i="16" s="1"/>
  <c r="S396" i="16"/>
  <c r="T396" i="16" s="1"/>
  <c r="U396" i="16" s="1"/>
  <c r="S395" i="16"/>
  <c r="T395" i="16" s="1"/>
  <c r="U395" i="16" s="1"/>
  <c r="S394" i="16"/>
  <c r="T394" i="16" s="1"/>
  <c r="U394" i="16" s="1"/>
  <c r="S392" i="16"/>
  <c r="T392" i="16" s="1"/>
  <c r="U392" i="16" s="1"/>
  <c r="S391" i="16"/>
  <c r="T391" i="16" s="1"/>
  <c r="U391" i="16" s="1"/>
  <c r="S390" i="16"/>
  <c r="T390" i="16" s="1"/>
  <c r="U390" i="16" s="1"/>
  <c r="S386" i="16"/>
  <c r="T386" i="16" s="1"/>
  <c r="U386" i="16" s="1"/>
  <c r="S181" i="16"/>
  <c r="T181" i="16" s="1"/>
  <c r="U181" i="16" s="1"/>
  <c r="S180" i="16"/>
  <c r="T180" i="16" s="1"/>
  <c r="U180" i="16" s="1"/>
  <c r="S179" i="16"/>
  <c r="T179" i="16" s="1"/>
  <c r="U179" i="16" s="1"/>
  <c r="S178" i="16"/>
  <c r="T178" i="16" s="1"/>
  <c r="U178" i="16" s="1"/>
  <c r="S175" i="16"/>
  <c r="T175" i="16" s="1"/>
  <c r="U175" i="16" s="1"/>
  <c r="S173" i="16"/>
  <c r="T173" i="16" s="1"/>
  <c r="U173" i="16" s="1"/>
  <c r="S155" i="16"/>
  <c r="T155" i="16" s="1"/>
  <c r="U155" i="16" s="1"/>
  <c r="S177" i="16"/>
  <c r="T177" i="16" s="1"/>
  <c r="U177" i="16" s="1"/>
  <c r="S380" i="16"/>
  <c r="T380" i="16" s="1"/>
  <c r="U380" i="16" s="1"/>
  <c r="S379" i="16"/>
  <c r="T379" i="16" s="1"/>
  <c r="U379" i="16" s="1"/>
  <c r="S377" i="16"/>
  <c r="T377" i="16" s="1"/>
  <c r="U377" i="16" s="1"/>
  <c r="S376" i="16"/>
  <c r="T376" i="16" s="1"/>
  <c r="U376" i="16" s="1"/>
  <c r="S375" i="16"/>
  <c r="T375" i="16" s="1"/>
  <c r="U375" i="16" s="1"/>
  <c r="S374" i="16"/>
  <c r="T374" i="16" s="1"/>
  <c r="U374" i="16" s="1"/>
  <c r="S378" i="16"/>
  <c r="T378" i="16" s="1"/>
  <c r="U378" i="16" s="1"/>
  <c r="S373" i="16"/>
  <c r="T373" i="16" s="1"/>
  <c r="U373" i="16" s="1"/>
  <c r="S340" i="16"/>
  <c r="T340" i="16" s="1"/>
  <c r="U340" i="16" s="1"/>
  <c r="S352" i="16"/>
  <c r="T352" i="16" s="1"/>
  <c r="U352" i="16" s="1"/>
  <c r="S353" i="16"/>
  <c r="T353" i="16" s="1"/>
  <c r="U353" i="16" s="1"/>
  <c r="S350" i="16"/>
  <c r="T350" i="16" s="1"/>
  <c r="U350" i="16" s="1"/>
  <c r="S372" i="16"/>
  <c r="T372" i="16" s="1"/>
  <c r="U372" i="16" s="1"/>
  <c r="S371" i="16"/>
  <c r="T371" i="16" s="1"/>
  <c r="U371" i="16" s="1"/>
  <c r="S370" i="16"/>
  <c r="T370" i="16" s="1"/>
  <c r="U370" i="16" s="1"/>
  <c r="S369" i="16"/>
  <c r="T369" i="16" s="1"/>
  <c r="U369" i="16" s="1"/>
  <c r="S368" i="16"/>
  <c r="T368" i="16" s="1"/>
  <c r="U368" i="16" s="1"/>
  <c r="S367" i="16"/>
  <c r="T367" i="16" s="1"/>
  <c r="U367" i="16" s="1"/>
  <c r="S366" i="16"/>
  <c r="T366" i="16" s="1"/>
  <c r="U366" i="16" s="1"/>
  <c r="S365" i="16"/>
  <c r="T365" i="16" s="1"/>
  <c r="U365" i="16" s="1"/>
  <c r="S364" i="16"/>
  <c r="T364" i="16" s="1"/>
  <c r="U364" i="16" s="1"/>
  <c r="S363" i="16"/>
  <c r="T363" i="16" s="1"/>
  <c r="U363" i="16" s="1"/>
  <c r="S362" i="16"/>
  <c r="T362" i="16" s="1"/>
  <c r="U362" i="16" s="1"/>
  <c r="S361" i="16"/>
  <c r="T361" i="16" s="1"/>
  <c r="U361" i="16" s="1"/>
  <c r="S360" i="16"/>
  <c r="T360" i="16" s="1"/>
  <c r="U360" i="16" s="1"/>
  <c r="S359" i="16"/>
  <c r="T359" i="16" s="1"/>
  <c r="U359" i="16" s="1"/>
  <c r="S358" i="16"/>
  <c r="T358" i="16" s="1"/>
  <c r="U358" i="16" s="1"/>
  <c r="S357" i="16"/>
  <c r="T357" i="16" s="1"/>
  <c r="U357" i="16" s="1"/>
  <c r="S356" i="16"/>
  <c r="T356" i="16" s="1"/>
  <c r="U356" i="16" s="1"/>
  <c r="S351" i="16"/>
  <c r="T351" i="16" s="1"/>
  <c r="U351" i="16" s="1"/>
  <c r="S355" i="16"/>
  <c r="T355" i="16" s="1"/>
  <c r="U355" i="16" s="1"/>
  <c r="S354" i="16"/>
  <c r="T354" i="16" s="1"/>
  <c r="U354" i="16" s="1"/>
  <c r="S349" i="16"/>
  <c r="T349" i="16" s="1"/>
  <c r="U349" i="16" s="1"/>
  <c r="S348" i="16"/>
  <c r="T348" i="16" s="1"/>
  <c r="U348" i="16" s="1"/>
  <c r="S347" i="16"/>
  <c r="T347" i="16" s="1"/>
  <c r="U347" i="16" s="1"/>
  <c r="S346" i="16"/>
  <c r="T346" i="16" s="1"/>
  <c r="U346" i="16" s="1"/>
  <c r="S345" i="16"/>
  <c r="T345" i="16" s="1"/>
  <c r="U345" i="16" s="1"/>
  <c r="S344" i="16"/>
  <c r="T344" i="16" s="1"/>
  <c r="U344" i="16" s="1"/>
  <c r="S343" i="16"/>
  <c r="T343" i="16" s="1"/>
  <c r="U343" i="16" s="1"/>
  <c r="S342" i="16"/>
  <c r="T342" i="16" s="1"/>
  <c r="U342" i="16" s="1"/>
  <c r="S341" i="16"/>
  <c r="T341" i="16" s="1"/>
  <c r="U341" i="16" s="1"/>
  <c r="S339" i="16"/>
  <c r="T339" i="16" s="1"/>
  <c r="U339" i="16" s="1"/>
  <c r="S338" i="16"/>
  <c r="T338" i="16" s="1"/>
  <c r="U338" i="16" s="1"/>
  <c r="S337" i="16"/>
  <c r="T337" i="16" s="1"/>
  <c r="U337" i="16" s="1"/>
  <c r="S336" i="16"/>
  <c r="T336" i="16" s="1"/>
  <c r="U336" i="16" s="1"/>
  <c r="S335" i="16"/>
  <c r="T335" i="16" s="1"/>
  <c r="U335" i="16" s="1"/>
  <c r="S334" i="16"/>
  <c r="T334" i="16" s="1"/>
  <c r="U334" i="16" s="1"/>
  <c r="S310" i="16"/>
  <c r="T310" i="16" s="1"/>
  <c r="U310" i="16" s="1"/>
  <c r="S333" i="16"/>
  <c r="T333" i="16" s="1"/>
  <c r="U333" i="16" s="1"/>
  <c r="S332" i="16"/>
  <c r="T332" i="16" s="1"/>
  <c r="U332" i="16" s="1"/>
  <c r="S331" i="16"/>
  <c r="T331" i="16" s="1"/>
  <c r="U331" i="16" s="1"/>
  <c r="S329" i="16"/>
  <c r="T329" i="16" s="1"/>
  <c r="U329" i="16" s="1"/>
  <c r="S330" i="16"/>
  <c r="T330" i="16" s="1"/>
  <c r="U330" i="16" s="1"/>
  <c r="S328" i="16"/>
  <c r="T328" i="16" s="1"/>
  <c r="U328" i="16" s="1"/>
  <c r="S326" i="16"/>
  <c r="T326" i="16" s="1"/>
  <c r="U326" i="16" s="1"/>
  <c r="S325" i="16"/>
  <c r="T325" i="16" s="1"/>
  <c r="U325" i="16" s="1"/>
  <c r="S327" i="16"/>
  <c r="T327" i="16" s="1"/>
  <c r="U327" i="16" s="1"/>
  <c r="S324" i="16"/>
  <c r="T324" i="16" s="1"/>
  <c r="U324" i="16" s="1"/>
  <c r="S323" i="16"/>
  <c r="T323" i="16" s="1"/>
  <c r="U323" i="16" s="1"/>
  <c r="S322" i="16"/>
  <c r="T322" i="16" s="1"/>
  <c r="U322" i="16" s="1"/>
  <c r="S318" i="16"/>
  <c r="T318" i="16" s="1"/>
  <c r="U318" i="16" s="1"/>
  <c r="S317" i="16"/>
  <c r="T317" i="16" s="1"/>
  <c r="U317" i="16" s="1"/>
  <c r="S316" i="16"/>
  <c r="T316" i="16" s="1"/>
  <c r="U316" i="16" s="1"/>
  <c r="S315" i="16"/>
  <c r="T315" i="16" s="1"/>
  <c r="U315" i="16" s="1"/>
  <c r="S314" i="16"/>
  <c r="T314" i="16" s="1"/>
  <c r="U314" i="16" s="1"/>
  <c r="S313" i="16"/>
  <c r="T313" i="16" s="1"/>
  <c r="U313" i="16" s="1"/>
  <c r="S312" i="16"/>
  <c r="T312" i="16" s="1"/>
  <c r="U312" i="16" s="1"/>
  <c r="S311" i="16"/>
  <c r="T311" i="16" s="1"/>
  <c r="U311" i="16" s="1"/>
  <c r="S309" i="16"/>
  <c r="T309" i="16" s="1"/>
  <c r="U309" i="16" s="1"/>
  <c r="S320" i="16"/>
  <c r="T320" i="16" s="1"/>
  <c r="U320" i="16" s="1"/>
  <c r="S319" i="16"/>
  <c r="T319" i="16" s="1"/>
  <c r="U319" i="16" s="1"/>
  <c r="S308" i="16"/>
  <c r="T308" i="16" s="1"/>
  <c r="U308" i="16" s="1"/>
  <c r="S307" i="16"/>
  <c r="T307" i="16" s="1"/>
  <c r="U307" i="16" s="1"/>
  <c r="S306" i="16"/>
  <c r="T306" i="16" s="1"/>
  <c r="U306" i="16" s="1"/>
  <c r="S305" i="16"/>
  <c r="T305" i="16" s="1"/>
  <c r="U305" i="16" s="1"/>
  <c r="S321" i="16"/>
  <c r="T321" i="16" s="1"/>
  <c r="U321" i="16" s="1"/>
  <c r="S304" i="16"/>
  <c r="T304" i="16" s="1"/>
  <c r="U304" i="16" s="1"/>
  <c r="S303" i="16"/>
  <c r="T303" i="16" s="1"/>
  <c r="U303" i="16" s="1"/>
  <c r="S302" i="16"/>
  <c r="T302" i="16" s="1"/>
  <c r="U302" i="16" s="1"/>
  <c r="S301" i="16"/>
  <c r="T301" i="16" s="1"/>
  <c r="U301" i="16" s="1"/>
  <c r="S300" i="16"/>
  <c r="T300" i="16" s="1"/>
  <c r="U300" i="16" s="1"/>
  <c r="S299" i="16"/>
  <c r="T299" i="16" s="1"/>
  <c r="U299" i="16" s="1"/>
  <c r="S298" i="16"/>
  <c r="T298" i="16" s="1"/>
  <c r="U298" i="16" s="1"/>
  <c r="S297" i="16"/>
  <c r="T297" i="16" s="1"/>
  <c r="U297" i="16" s="1"/>
  <c r="S296" i="16"/>
  <c r="T296" i="16" s="1"/>
  <c r="U296" i="16" s="1"/>
  <c r="S295" i="16"/>
  <c r="T295" i="16" s="1"/>
  <c r="U295" i="16" s="1"/>
  <c r="S294" i="16"/>
  <c r="T294" i="16" s="1"/>
  <c r="U294" i="16" s="1"/>
  <c r="S293" i="16"/>
  <c r="T293" i="16" s="1"/>
  <c r="U293" i="16" s="1"/>
  <c r="S292" i="16"/>
  <c r="T292" i="16" s="1"/>
  <c r="U292" i="16" s="1"/>
  <c r="S291" i="16"/>
  <c r="T291" i="16" s="1"/>
  <c r="U291" i="16" s="1"/>
  <c r="S290" i="16"/>
  <c r="T290" i="16" s="1"/>
  <c r="U290" i="16" s="1"/>
  <c r="S289" i="16"/>
  <c r="T289" i="16" s="1"/>
  <c r="U289" i="16" s="1"/>
  <c r="S288" i="16"/>
  <c r="T288" i="16" s="1"/>
  <c r="U288" i="16" s="1"/>
  <c r="S287" i="16"/>
  <c r="T287" i="16" s="1"/>
  <c r="U287" i="16" s="1"/>
  <c r="S286" i="16"/>
  <c r="T286" i="16" s="1"/>
  <c r="U286" i="16" s="1"/>
  <c r="S285" i="16"/>
  <c r="T285" i="16" s="1"/>
  <c r="U285" i="16" s="1"/>
  <c r="S284" i="16"/>
  <c r="T284" i="16" s="1"/>
  <c r="U284" i="16" s="1"/>
  <c r="S283" i="16"/>
  <c r="T283" i="16" s="1"/>
  <c r="U283" i="16" s="1"/>
  <c r="S282" i="16"/>
  <c r="T282" i="16" s="1"/>
  <c r="U282" i="16" s="1"/>
  <c r="S281" i="16"/>
  <c r="T281" i="16" s="1"/>
  <c r="U281" i="16" s="1"/>
  <c r="S279" i="16"/>
  <c r="T279" i="16" s="1"/>
  <c r="U279" i="16" s="1"/>
  <c r="S280" i="16"/>
  <c r="T280" i="16" s="1"/>
  <c r="U280" i="16" s="1"/>
  <c r="S278" i="16"/>
  <c r="T278" i="16" s="1"/>
  <c r="U278" i="16" s="1"/>
  <c r="S273" i="16"/>
  <c r="T273" i="16" s="1"/>
  <c r="U273" i="16" s="1"/>
  <c r="S275" i="16"/>
  <c r="T275" i="16" s="1"/>
  <c r="U275" i="16" s="1"/>
  <c r="S277" i="16"/>
  <c r="T277" i="16" s="1"/>
  <c r="U277" i="16" s="1"/>
  <c r="S276" i="16"/>
  <c r="T276" i="16" s="1"/>
  <c r="U276" i="16" s="1"/>
  <c r="S274" i="16"/>
  <c r="T274" i="16" s="1"/>
  <c r="U274" i="16" s="1"/>
  <c r="S272" i="16"/>
  <c r="T272" i="16" s="1"/>
  <c r="U272" i="16" s="1"/>
  <c r="S271" i="16"/>
  <c r="T271" i="16" s="1"/>
  <c r="U271" i="16" s="1"/>
  <c r="S270" i="16"/>
  <c r="T270" i="16" s="1"/>
  <c r="U270" i="16" s="1"/>
  <c r="S269" i="16"/>
  <c r="T269" i="16" s="1"/>
  <c r="U269" i="16" s="1"/>
  <c r="S268" i="16"/>
  <c r="T268" i="16" s="1"/>
  <c r="U268" i="16" s="1"/>
  <c r="S267" i="16"/>
  <c r="T267" i="16" s="1"/>
  <c r="U267" i="16" s="1"/>
  <c r="S266" i="16"/>
  <c r="T266" i="16" s="1"/>
  <c r="U266" i="16" s="1"/>
  <c r="S265" i="16"/>
  <c r="T265" i="16" s="1"/>
  <c r="U265" i="16" s="1"/>
  <c r="S264" i="16"/>
  <c r="T264" i="16" s="1"/>
  <c r="U264" i="16" s="1"/>
  <c r="S263" i="16"/>
  <c r="T263" i="16" s="1"/>
  <c r="U263" i="16" s="1"/>
  <c r="S262" i="16"/>
  <c r="T262" i="16" s="1"/>
  <c r="U262" i="16" s="1"/>
  <c r="S261" i="16"/>
  <c r="T261" i="16" s="1"/>
  <c r="U261" i="16" s="1"/>
  <c r="S260" i="16"/>
  <c r="T260" i="16" s="1"/>
  <c r="U260" i="16" s="1"/>
  <c r="S259" i="16"/>
  <c r="T259" i="16" s="1"/>
  <c r="U259" i="16" s="1"/>
  <c r="S257" i="16"/>
  <c r="T257" i="16" s="1"/>
  <c r="U257" i="16" s="1"/>
  <c r="S258" i="16"/>
  <c r="T258" i="16" s="1"/>
  <c r="U258" i="16" s="1"/>
  <c r="S256" i="16"/>
  <c r="T256" i="16" s="1"/>
  <c r="U256" i="16" s="1"/>
  <c r="S255" i="16"/>
  <c r="T255" i="16" s="1"/>
  <c r="U255" i="16" s="1"/>
  <c r="S254" i="16"/>
  <c r="T254" i="16" s="1"/>
  <c r="U254" i="16" s="1"/>
  <c r="S253" i="16"/>
  <c r="T253" i="16" s="1"/>
  <c r="U253" i="16" s="1"/>
  <c r="S252" i="16"/>
  <c r="T252" i="16" s="1"/>
  <c r="U252" i="16" s="1"/>
  <c r="S251" i="16"/>
  <c r="T251" i="16" s="1"/>
  <c r="U251" i="16" s="1"/>
  <c r="S250" i="16"/>
  <c r="T250" i="16" s="1"/>
  <c r="U250" i="16" s="1"/>
  <c r="S249" i="16"/>
  <c r="T249" i="16" s="1"/>
  <c r="U249" i="16" s="1"/>
  <c r="S248" i="16"/>
  <c r="T248" i="16" s="1"/>
  <c r="U248" i="16" s="1"/>
  <c r="S247" i="16"/>
  <c r="T247" i="16" s="1"/>
  <c r="U247" i="16" s="1"/>
  <c r="S246" i="16"/>
  <c r="T246" i="16" s="1"/>
  <c r="U246" i="16" s="1"/>
  <c r="S245" i="16"/>
  <c r="T245" i="16" s="1"/>
  <c r="U245" i="16" s="1"/>
  <c r="S244" i="16"/>
  <c r="T244" i="16" s="1"/>
  <c r="U244" i="16" s="1"/>
  <c r="S243" i="16"/>
  <c r="T243" i="16" s="1"/>
  <c r="U243" i="16" s="1"/>
  <c r="S242" i="16"/>
  <c r="T242" i="16" s="1"/>
  <c r="U242" i="16" s="1"/>
  <c r="S241" i="16"/>
  <c r="T241" i="16" s="1"/>
  <c r="U241" i="16" s="1"/>
  <c r="S240" i="16"/>
  <c r="T240" i="16" s="1"/>
  <c r="U240" i="16" s="1"/>
  <c r="S239" i="16"/>
  <c r="T239" i="16" s="1"/>
  <c r="U239" i="16" s="1"/>
  <c r="S238" i="16"/>
  <c r="T238" i="16" s="1"/>
  <c r="U238" i="16" s="1"/>
  <c r="S237" i="16"/>
  <c r="T237" i="16" s="1"/>
  <c r="U237" i="16" s="1"/>
  <c r="S236" i="16"/>
  <c r="T236" i="16" s="1"/>
  <c r="U236" i="16" s="1"/>
  <c r="S235" i="16"/>
  <c r="T235" i="16" s="1"/>
  <c r="U235" i="16" s="1"/>
  <c r="S234" i="16"/>
  <c r="T234" i="16" s="1"/>
  <c r="U234" i="16" s="1"/>
  <c r="S232" i="16"/>
  <c r="T232" i="16" s="1"/>
  <c r="U232" i="16" s="1"/>
  <c r="S231" i="16"/>
  <c r="T231" i="16" s="1"/>
  <c r="U231" i="16" s="1"/>
  <c r="S233" i="16"/>
  <c r="T233" i="16" s="1"/>
  <c r="U233" i="16" s="1"/>
  <c r="S176" i="16"/>
  <c r="T176" i="16" s="1"/>
  <c r="U176" i="16" s="1"/>
  <c r="S229" i="16"/>
  <c r="T229" i="16" s="1"/>
  <c r="U229" i="16" s="1"/>
  <c r="S228" i="16"/>
  <c r="T228" i="16" s="1"/>
  <c r="U228" i="16" s="1"/>
  <c r="S227" i="16"/>
  <c r="T227" i="16" s="1"/>
  <c r="U227" i="16" s="1"/>
  <c r="S226" i="16"/>
  <c r="T226" i="16" s="1"/>
  <c r="U226" i="16" s="1"/>
  <c r="S225" i="16"/>
  <c r="T225" i="16" s="1"/>
  <c r="U225" i="16" s="1"/>
  <c r="S224" i="16"/>
  <c r="T224" i="16" s="1"/>
  <c r="U224" i="16" s="1"/>
  <c r="S223" i="16"/>
  <c r="T223" i="16" s="1"/>
  <c r="U223" i="16" s="1"/>
  <c r="S222" i="16"/>
  <c r="T222" i="16" s="1"/>
  <c r="U222" i="16" s="1"/>
  <c r="S221" i="16"/>
  <c r="T221" i="16" s="1"/>
  <c r="U221" i="16" s="1"/>
  <c r="S220" i="16"/>
  <c r="T220" i="16" s="1"/>
  <c r="U220" i="16" s="1"/>
  <c r="S219" i="16"/>
  <c r="T219" i="16" s="1"/>
  <c r="U219" i="16" s="1"/>
  <c r="S218" i="16"/>
  <c r="T218" i="16" s="1"/>
  <c r="U218" i="16" s="1"/>
  <c r="S217" i="16"/>
  <c r="T217" i="16" s="1"/>
  <c r="U217" i="16" s="1"/>
  <c r="S216" i="16"/>
  <c r="T216" i="16" s="1"/>
  <c r="U216" i="16" s="1"/>
  <c r="S215" i="16"/>
  <c r="T215" i="16" s="1"/>
  <c r="U215" i="16" s="1"/>
  <c r="S214" i="16"/>
  <c r="T214" i="16" s="1"/>
  <c r="U214" i="16" s="1"/>
  <c r="S213" i="16"/>
  <c r="T213" i="16" s="1"/>
  <c r="U213" i="16" s="1"/>
  <c r="S212" i="16"/>
  <c r="T212" i="16" s="1"/>
  <c r="U212" i="16" s="1"/>
  <c r="S211" i="16"/>
  <c r="T211" i="16" s="1"/>
  <c r="U211" i="16" s="1"/>
  <c r="S210" i="16"/>
  <c r="T210" i="16" s="1"/>
  <c r="U210" i="16" s="1"/>
  <c r="S209" i="16"/>
  <c r="T209" i="16" s="1"/>
  <c r="U209" i="16" s="1"/>
  <c r="S208" i="16"/>
  <c r="T208" i="16" s="1"/>
  <c r="U208" i="16" s="1"/>
  <c r="S207" i="16"/>
  <c r="T207" i="16" s="1"/>
  <c r="U207" i="16" s="1"/>
  <c r="S206" i="16"/>
  <c r="T206" i="16" s="1"/>
  <c r="U206" i="16" s="1"/>
  <c r="S205" i="16"/>
  <c r="T205" i="16" s="1"/>
  <c r="U205" i="16" s="1"/>
  <c r="S204" i="16"/>
  <c r="T204" i="16" s="1"/>
  <c r="U204" i="16" s="1"/>
  <c r="S203" i="16"/>
  <c r="T203" i="16" s="1"/>
  <c r="U203" i="16" s="1"/>
  <c r="S202" i="16"/>
  <c r="T202" i="16" s="1"/>
  <c r="U202" i="16" s="1"/>
  <c r="S201" i="16"/>
  <c r="T201" i="16" s="1"/>
  <c r="U201" i="16" s="1"/>
  <c r="S200" i="16"/>
  <c r="T200" i="16" s="1"/>
  <c r="U200" i="16" s="1"/>
  <c r="S199" i="16"/>
  <c r="T199" i="16" s="1"/>
  <c r="U199" i="16" s="1"/>
  <c r="S198" i="16"/>
  <c r="T198" i="16" s="1"/>
  <c r="U198" i="16" s="1"/>
  <c r="S197" i="16"/>
  <c r="T197" i="16" s="1"/>
  <c r="U197" i="16" s="1"/>
  <c r="S196" i="16"/>
  <c r="T196" i="16" s="1"/>
  <c r="U196" i="16" s="1"/>
  <c r="S192" i="16"/>
  <c r="T192" i="16" s="1"/>
  <c r="U192" i="16" s="1"/>
  <c r="S195" i="16"/>
  <c r="T195" i="16" s="1"/>
  <c r="U195" i="16" s="1"/>
  <c r="S194" i="16"/>
  <c r="T194" i="16" s="1"/>
  <c r="U194" i="16" s="1"/>
  <c r="S193" i="16"/>
  <c r="T193" i="16" s="1"/>
  <c r="U193" i="16" s="1"/>
  <c r="S191" i="16"/>
  <c r="T191" i="16" s="1"/>
  <c r="U191" i="16" s="1"/>
  <c r="S190" i="16"/>
  <c r="T190" i="16" s="1"/>
  <c r="U190" i="16" s="1"/>
  <c r="S388" i="16"/>
  <c r="T388" i="16" s="1"/>
  <c r="S166" i="16"/>
  <c r="T166" i="16" s="1"/>
  <c r="U166" i="16" s="1"/>
  <c r="S150" i="16"/>
  <c r="T150" i="16" s="1"/>
  <c r="U150" i="16" s="1"/>
  <c r="S85" i="16"/>
  <c r="T85" i="16" s="1"/>
  <c r="U85" i="16" s="1"/>
  <c r="S82" i="16"/>
  <c r="T82" i="16" s="1"/>
  <c r="U82" i="16" s="1"/>
  <c r="S87" i="16"/>
  <c r="T87" i="16" s="1"/>
  <c r="U87" i="16" s="1"/>
  <c r="S88" i="16"/>
  <c r="T88" i="16" s="1"/>
  <c r="U88" i="16" s="1"/>
  <c r="S389" i="16"/>
  <c r="T389" i="16" s="1"/>
  <c r="U389" i="16" s="1"/>
  <c r="S384" i="16"/>
  <c r="T384" i="16" s="1"/>
  <c r="U384" i="16" s="1"/>
  <c r="S383" i="16"/>
  <c r="T383" i="16" s="1"/>
  <c r="U383" i="16" s="1"/>
  <c r="S382" i="16"/>
  <c r="T382" i="16" s="1"/>
  <c r="S381" i="16"/>
  <c r="T381" i="16" s="1"/>
  <c r="S184" i="16"/>
  <c r="T184" i="16" s="1"/>
  <c r="S182" i="16"/>
  <c r="T182" i="16" s="1"/>
  <c r="U182" i="16" s="1"/>
  <c r="S171" i="16"/>
  <c r="T171" i="16" s="1"/>
  <c r="U171" i="16" s="1"/>
  <c r="S169" i="16"/>
  <c r="T169" i="16" s="1"/>
  <c r="U169" i="16" s="1"/>
  <c r="S165" i="16"/>
  <c r="T165" i="16" s="1"/>
  <c r="U165" i="16" s="1"/>
  <c r="S164" i="16"/>
  <c r="T164" i="16" s="1"/>
  <c r="U164" i="16" s="1"/>
  <c r="S162" i="16"/>
  <c r="T162" i="16" s="1"/>
  <c r="U162" i="16" s="1"/>
  <c r="S161" i="16"/>
  <c r="T161" i="16" s="1"/>
  <c r="U161" i="16" s="1"/>
  <c r="S158" i="16"/>
  <c r="T158" i="16" s="1"/>
  <c r="U158" i="16" s="1"/>
  <c r="S157" i="16"/>
  <c r="T157" i="16" s="1"/>
  <c r="U157" i="16" s="1"/>
  <c r="S156" i="16"/>
  <c r="T156" i="16" s="1"/>
  <c r="U156" i="16" s="1"/>
  <c r="S153" i="16"/>
  <c r="T153" i="16" s="1"/>
  <c r="U153" i="16" s="1"/>
  <c r="S152" i="16"/>
  <c r="T152" i="16" s="1"/>
  <c r="U152" i="16" s="1"/>
  <c r="S151" i="16"/>
  <c r="T151" i="16" s="1"/>
  <c r="U151" i="16" s="1"/>
  <c r="S90" i="16"/>
  <c r="T90" i="16" s="1"/>
  <c r="U90" i="16" s="1"/>
  <c r="S86" i="16"/>
  <c r="T86" i="16" s="1"/>
  <c r="U86" i="16" s="1"/>
  <c r="S84" i="16"/>
  <c r="T84" i="16" s="1"/>
  <c r="U84" i="16" s="1"/>
  <c r="S83" i="16"/>
  <c r="T83" i="16" s="1"/>
  <c r="U83" i="16" s="1"/>
  <c r="S89" i="16"/>
  <c r="T89" i="16" s="1"/>
  <c r="U89" i="16" s="1"/>
  <c r="S81" i="16"/>
  <c r="T81" i="16" s="1"/>
  <c r="U81" i="16" s="1"/>
  <c r="S188" i="16"/>
  <c r="T188" i="16" s="1"/>
  <c r="S187" i="16"/>
  <c r="T187" i="16" s="1"/>
  <c r="S186" i="16"/>
  <c r="T186" i="16" s="1"/>
  <c r="S185" i="16"/>
  <c r="T185" i="16" s="1"/>
  <c r="S183" i="16"/>
  <c r="T183" i="16" s="1"/>
  <c r="S160" i="16"/>
  <c r="T160" i="16" s="1"/>
  <c r="U160" i="16" s="1"/>
  <c r="S154" i="16"/>
  <c r="T154" i="16" s="1"/>
  <c r="U154" i="16" s="1"/>
  <c r="S149" i="16"/>
  <c r="T149" i="16" s="1"/>
  <c r="U149" i="16" s="1"/>
  <c r="S148" i="16"/>
  <c r="T148" i="16" s="1"/>
  <c r="U148" i="16" s="1"/>
  <c r="S147" i="16"/>
  <c r="T147" i="16" s="1"/>
  <c r="U147" i="16" s="1"/>
  <c r="S146" i="16"/>
  <c r="T146" i="16" s="1"/>
  <c r="U146" i="16" s="1"/>
  <c r="S145" i="16"/>
  <c r="T145" i="16" s="1"/>
  <c r="U145" i="16" s="1"/>
  <c r="S144" i="16"/>
  <c r="T144" i="16" s="1"/>
  <c r="U144" i="16" s="1"/>
  <c r="S143" i="16"/>
  <c r="T143" i="16" s="1"/>
  <c r="U143" i="16" s="1"/>
  <c r="S142" i="16"/>
  <c r="T142" i="16" s="1"/>
  <c r="U142" i="16" s="1"/>
  <c r="S141" i="16"/>
  <c r="T141" i="16" s="1"/>
  <c r="U141" i="16" s="1"/>
  <c r="S140" i="16"/>
  <c r="T140" i="16" s="1"/>
  <c r="U140" i="16" s="1"/>
  <c r="S139" i="16"/>
  <c r="T139" i="16" s="1"/>
  <c r="U139" i="16" s="1"/>
  <c r="S138" i="16"/>
  <c r="T138" i="16" s="1"/>
  <c r="U138" i="16" s="1"/>
  <c r="S137" i="16"/>
  <c r="T137" i="16" s="1"/>
  <c r="U137" i="16" s="1"/>
  <c r="S136" i="16"/>
  <c r="T136" i="16" s="1"/>
  <c r="U136" i="16" s="1"/>
  <c r="S135" i="16"/>
  <c r="T135" i="16" s="1"/>
  <c r="U135" i="16" s="1"/>
  <c r="S134" i="16"/>
  <c r="T134" i="16" s="1"/>
  <c r="U134" i="16" s="1"/>
  <c r="S133" i="16"/>
  <c r="T133" i="16" s="1"/>
  <c r="U133" i="16" s="1"/>
  <c r="S132" i="16"/>
  <c r="T132" i="16" s="1"/>
  <c r="U132" i="16" s="1"/>
  <c r="S131" i="16"/>
  <c r="T131" i="16" s="1"/>
  <c r="U131" i="16" s="1"/>
  <c r="S130" i="16"/>
  <c r="T130" i="16" s="1"/>
  <c r="U130" i="16" s="1"/>
  <c r="S129" i="16"/>
  <c r="T129" i="16" s="1"/>
  <c r="U129" i="16" s="1"/>
  <c r="S128" i="16"/>
  <c r="T128" i="16" s="1"/>
  <c r="U128" i="16" s="1"/>
  <c r="S127" i="16"/>
  <c r="T127" i="16" s="1"/>
  <c r="U127" i="16" s="1"/>
  <c r="S126" i="16"/>
  <c r="T126" i="16" s="1"/>
  <c r="U126" i="16" s="1"/>
  <c r="S125" i="16"/>
  <c r="T125" i="16" s="1"/>
  <c r="U125" i="16" s="1"/>
  <c r="S124" i="16"/>
  <c r="T124" i="16" s="1"/>
  <c r="U124" i="16" s="1"/>
  <c r="S123" i="16"/>
  <c r="T123" i="16" s="1"/>
  <c r="U123" i="16" s="1"/>
  <c r="S122" i="16"/>
  <c r="T122" i="16" s="1"/>
  <c r="U122" i="16" s="1"/>
  <c r="S121" i="16"/>
  <c r="T121" i="16" s="1"/>
  <c r="U121" i="16" s="1"/>
  <c r="S120" i="16"/>
  <c r="T120" i="16" s="1"/>
  <c r="U120" i="16" s="1"/>
  <c r="S119" i="16"/>
  <c r="T119" i="16" s="1"/>
  <c r="U119" i="16" s="1"/>
  <c r="S118" i="16"/>
  <c r="T118" i="16" s="1"/>
  <c r="U118" i="16" s="1"/>
  <c r="S117" i="16"/>
  <c r="T117" i="16" s="1"/>
  <c r="U117" i="16" s="1"/>
  <c r="S116" i="16"/>
  <c r="T116" i="16" s="1"/>
  <c r="U116" i="16" s="1"/>
  <c r="S115" i="16"/>
  <c r="T115" i="16" s="1"/>
  <c r="U115" i="16" s="1"/>
  <c r="S114" i="16"/>
  <c r="T114" i="16" s="1"/>
  <c r="U114" i="16" s="1"/>
  <c r="S113" i="16"/>
  <c r="T113" i="16" s="1"/>
  <c r="U113" i="16" s="1"/>
  <c r="S112" i="16"/>
  <c r="T112" i="16" s="1"/>
  <c r="U112" i="16" s="1"/>
  <c r="S111" i="16"/>
  <c r="T111" i="16" s="1"/>
  <c r="U111" i="16" s="1"/>
  <c r="S110" i="16"/>
  <c r="T110" i="16" s="1"/>
  <c r="U110" i="16" s="1"/>
  <c r="S109" i="16"/>
  <c r="T109" i="16" s="1"/>
  <c r="U109" i="16" s="1"/>
  <c r="S108" i="16"/>
  <c r="T108" i="16" s="1"/>
  <c r="U108" i="16" s="1"/>
  <c r="S107" i="16"/>
  <c r="T107" i="16" s="1"/>
  <c r="U107" i="16" s="1"/>
  <c r="S106" i="16"/>
  <c r="T106" i="16" s="1"/>
  <c r="U106" i="16" s="1"/>
  <c r="S105" i="16"/>
  <c r="T105" i="16" s="1"/>
  <c r="U105" i="16" s="1"/>
  <c r="S104" i="16"/>
  <c r="T104" i="16" s="1"/>
  <c r="U104" i="16" s="1"/>
  <c r="S103" i="16"/>
  <c r="T103" i="16" s="1"/>
  <c r="U103" i="16" s="1"/>
  <c r="S102" i="16"/>
  <c r="T102" i="16" s="1"/>
  <c r="U102" i="16" s="1"/>
  <c r="S101" i="16"/>
  <c r="T101" i="16" s="1"/>
  <c r="U101" i="16" s="1"/>
  <c r="S100" i="16"/>
  <c r="T100" i="16" s="1"/>
  <c r="U100" i="16" s="1"/>
  <c r="S99" i="16"/>
  <c r="T99" i="16" s="1"/>
  <c r="U99" i="16" s="1"/>
  <c r="S98" i="16"/>
  <c r="T98" i="16" s="1"/>
  <c r="U98" i="16" s="1"/>
  <c r="S97" i="16"/>
  <c r="T97" i="16" s="1"/>
  <c r="U97" i="16" s="1"/>
  <c r="S96" i="16"/>
  <c r="T96" i="16" s="1"/>
  <c r="U96" i="16" s="1"/>
  <c r="S95" i="16"/>
  <c r="T95" i="16" s="1"/>
  <c r="U95" i="16" s="1"/>
  <c r="S94" i="16"/>
  <c r="T94" i="16" s="1"/>
  <c r="U94" i="16" s="1"/>
  <c r="S93" i="16"/>
  <c r="T93" i="16" s="1"/>
  <c r="U93" i="16" s="1"/>
  <c r="S92" i="16"/>
  <c r="T92" i="16" s="1"/>
  <c r="U92" i="16" s="1"/>
  <c r="S91" i="16"/>
  <c r="T91" i="16" s="1"/>
  <c r="U91" i="16" s="1"/>
  <c r="S167" i="16"/>
  <c r="T167" i="16" s="1"/>
  <c r="U167" i="16" s="1"/>
  <c r="S170" i="16"/>
  <c r="T170" i="16" s="1"/>
  <c r="U170" i="16" s="1"/>
  <c r="S387" i="16"/>
  <c r="T387" i="16" s="1"/>
  <c r="S385" i="16"/>
  <c r="T385" i="16" s="1"/>
  <c r="S172" i="16"/>
  <c r="T172" i="16" s="1"/>
  <c r="U172" i="16" s="1"/>
  <c r="S189" i="16"/>
  <c r="T189" i="16" s="1"/>
  <c r="S174" i="16"/>
  <c r="T174" i="16" s="1"/>
  <c r="S168" i="16"/>
  <c r="T168" i="16" s="1"/>
  <c r="U168" i="16" s="1"/>
  <c r="S159" i="16"/>
  <c r="T159" i="16" s="1"/>
  <c r="U159" i="16" s="1"/>
  <c r="S163" i="16"/>
  <c r="T163" i="16" s="1"/>
  <c r="U163" i="16" s="1"/>
  <c r="S78" i="16"/>
  <c r="T78" i="16" s="1"/>
  <c r="U78" i="16" s="1"/>
  <c r="S80" i="16"/>
  <c r="T80" i="16" s="1"/>
  <c r="U80" i="16" s="1"/>
  <c r="S79" i="16"/>
  <c r="T79" i="16" s="1"/>
  <c r="U79" i="16" s="1"/>
  <c r="S77" i="16"/>
  <c r="T77" i="16" s="1"/>
  <c r="U77" i="16" s="1"/>
  <c r="S76" i="16"/>
  <c r="T76" i="16" s="1"/>
  <c r="U76" i="16" s="1"/>
  <c r="S75" i="16"/>
  <c r="T75" i="16" s="1"/>
  <c r="U75" i="16" s="1"/>
  <c r="S74" i="16"/>
  <c r="T74" i="16" s="1"/>
  <c r="U74" i="16" s="1"/>
  <c r="S73" i="16"/>
  <c r="T73" i="16" s="1"/>
  <c r="U73" i="16" s="1"/>
  <c r="S72" i="16"/>
  <c r="T72" i="16" s="1"/>
  <c r="U72" i="16" s="1"/>
  <c r="S71" i="16"/>
  <c r="T71" i="16" s="1"/>
  <c r="U71" i="16" s="1"/>
  <c r="S70" i="16"/>
  <c r="T70" i="16" s="1"/>
  <c r="U70" i="16" s="1"/>
  <c r="S69" i="16"/>
  <c r="T69" i="16" s="1"/>
  <c r="U69" i="16" s="1"/>
  <c r="S68" i="16"/>
  <c r="T68" i="16" s="1"/>
  <c r="U68" i="16" s="1"/>
  <c r="S67" i="16"/>
  <c r="T67" i="16" s="1"/>
  <c r="U67" i="16" s="1"/>
  <c r="S66" i="16"/>
  <c r="T66" i="16" s="1"/>
  <c r="U66" i="16" s="1"/>
  <c r="S65" i="16"/>
  <c r="T65" i="16" s="1"/>
  <c r="U65" i="16" s="1"/>
  <c r="S64" i="16"/>
  <c r="T64" i="16" s="1"/>
  <c r="U64" i="16" s="1"/>
  <c r="S63" i="16"/>
  <c r="T63" i="16" s="1"/>
  <c r="U63" i="16" s="1"/>
  <c r="S62" i="16"/>
  <c r="T62" i="16" s="1"/>
  <c r="U62" i="16" s="1"/>
  <c r="S61" i="16"/>
  <c r="T61" i="16" s="1"/>
  <c r="U61" i="16" s="1"/>
  <c r="S60" i="16"/>
  <c r="T60" i="16" s="1"/>
  <c r="U60" i="16" s="1"/>
  <c r="S59" i="16"/>
  <c r="T59" i="16" s="1"/>
  <c r="U59" i="16" s="1"/>
  <c r="S58" i="16"/>
  <c r="T58" i="16" s="1"/>
  <c r="U58" i="16" s="1"/>
  <c r="S57" i="16"/>
  <c r="T57" i="16" s="1"/>
  <c r="U57" i="16" s="1"/>
  <c r="S56" i="16"/>
  <c r="T56" i="16" s="1"/>
  <c r="U56" i="16" s="1"/>
  <c r="S55" i="16"/>
  <c r="T55" i="16" s="1"/>
  <c r="U55" i="16" s="1"/>
  <c r="S54" i="16"/>
  <c r="T54" i="16" s="1"/>
  <c r="U54" i="16" s="1"/>
  <c r="S53" i="16"/>
  <c r="T53" i="16" s="1"/>
  <c r="U53" i="16" s="1"/>
  <c r="S51" i="16"/>
  <c r="T51" i="16" s="1"/>
  <c r="U51" i="16" s="1"/>
  <c r="S49" i="16"/>
  <c r="T49" i="16" s="1"/>
  <c r="U49" i="16" s="1"/>
  <c r="S52" i="16"/>
  <c r="T52" i="16" s="1"/>
  <c r="U52" i="16" s="1"/>
  <c r="S50" i="16"/>
  <c r="T50" i="16" s="1"/>
  <c r="U50" i="16" s="1"/>
  <c r="S48" i="16"/>
  <c r="T48" i="16" s="1"/>
  <c r="U48" i="16" s="1"/>
  <c r="S47" i="16"/>
  <c r="T47" i="16" s="1"/>
  <c r="U47" i="16" s="1"/>
  <c r="S46" i="16"/>
  <c r="T46" i="16" s="1"/>
  <c r="U46" i="16" s="1"/>
  <c r="S45" i="16"/>
  <c r="T45" i="16" s="1"/>
  <c r="U45" i="16" s="1"/>
  <c r="S44" i="16"/>
  <c r="T44" i="16" s="1"/>
  <c r="U44" i="16" s="1"/>
  <c r="S43" i="16"/>
  <c r="T43" i="16" s="1"/>
  <c r="U43" i="16" s="1"/>
  <c r="S42" i="16"/>
  <c r="T42" i="16" s="1"/>
  <c r="U42" i="16" s="1"/>
  <c r="S41" i="16"/>
  <c r="T41" i="16" s="1"/>
  <c r="U41" i="16" s="1"/>
  <c r="S40" i="16"/>
  <c r="T40" i="16" s="1"/>
  <c r="U40" i="16" s="1"/>
  <c r="S39" i="16"/>
  <c r="T39" i="16" s="1"/>
  <c r="U39" i="16" s="1"/>
  <c r="S38" i="16"/>
  <c r="T38" i="16" s="1"/>
  <c r="U38" i="16" s="1"/>
  <c r="S37" i="16"/>
  <c r="T37" i="16" s="1"/>
  <c r="U37" i="16" s="1"/>
  <c r="S36" i="16"/>
  <c r="T36" i="16" s="1"/>
  <c r="U36" i="16" s="1"/>
  <c r="S35" i="16"/>
  <c r="T35" i="16" s="1"/>
  <c r="U35" i="16" s="1"/>
  <c r="S34" i="16"/>
  <c r="T34" i="16" s="1"/>
  <c r="U34" i="16" s="1"/>
  <c r="S33" i="16"/>
  <c r="T33" i="16" s="1"/>
  <c r="U33" i="16" s="1"/>
  <c r="S19" i="16"/>
  <c r="T19" i="16" s="1"/>
  <c r="U19" i="16" s="1"/>
  <c r="S25" i="16"/>
  <c r="T25" i="16" s="1"/>
  <c r="U25" i="16" s="1"/>
  <c r="S24" i="16"/>
  <c r="T24" i="16" s="1"/>
  <c r="U24" i="16" s="1"/>
  <c r="S21" i="16"/>
  <c r="T21" i="16" s="1"/>
  <c r="U21" i="16" s="1"/>
  <c r="S22" i="16"/>
  <c r="T22" i="16" s="1"/>
  <c r="U22" i="16" s="1"/>
  <c r="S31" i="16"/>
  <c r="T31" i="16" s="1"/>
  <c r="U31" i="16" s="1"/>
  <c r="S30" i="16"/>
  <c r="T30" i="16" s="1"/>
  <c r="U30" i="16" s="1"/>
  <c r="S29" i="16"/>
  <c r="T29" i="16" s="1"/>
  <c r="U29" i="16" s="1"/>
  <c r="S28" i="16"/>
  <c r="T28" i="16" s="1"/>
  <c r="U28" i="16" s="1"/>
  <c r="S27" i="16"/>
  <c r="T27" i="16" s="1"/>
  <c r="U27" i="16" s="1"/>
  <c r="S17" i="16"/>
  <c r="T17" i="16" s="1"/>
  <c r="U17" i="16" s="1"/>
  <c r="S26" i="16"/>
  <c r="T26" i="16" s="1"/>
  <c r="U26" i="16" s="1"/>
  <c r="S32" i="16"/>
  <c r="T32" i="16" s="1"/>
  <c r="U32" i="16" s="1"/>
  <c r="S23" i="16"/>
  <c r="T23" i="16" s="1"/>
  <c r="U23" i="16" s="1"/>
  <c r="S20" i="16"/>
  <c r="T20" i="16" s="1"/>
  <c r="U20" i="16" s="1"/>
  <c r="S18" i="16"/>
  <c r="T18" i="16" s="1"/>
  <c r="U18" i="16" s="1"/>
  <c r="S16" i="16"/>
  <c r="T16" i="16" s="1"/>
  <c r="U16" i="16" s="1"/>
  <c r="S15" i="16"/>
  <c r="T15" i="16" s="1"/>
  <c r="U15" i="16" s="1"/>
  <c r="S14" i="16"/>
  <c r="T14" i="16" s="1"/>
  <c r="U14" i="16" s="1"/>
  <c r="S13" i="16"/>
  <c r="T13" i="16" s="1"/>
  <c r="U13" i="16" s="1"/>
  <c r="S12" i="16"/>
  <c r="T12" i="16" s="1"/>
  <c r="U12" i="16" s="1"/>
  <c r="S11" i="16"/>
  <c r="T11" i="16" s="1"/>
  <c r="U11" i="16" s="1"/>
  <c r="S10" i="16"/>
  <c r="T10" i="16" s="1"/>
  <c r="U10" i="16" s="1"/>
  <c r="S9" i="16"/>
  <c r="T9" i="16" s="1"/>
  <c r="U9" i="16" s="1"/>
  <c r="S8" i="16"/>
  <c r="T8" i="16" s="1"/>
  <c r="U8" i="16" s="1"/>
  <c r="S7" i="16"/>
  <c r="T7" i="16" s="1"/>
  <c r="U7" i="16" s="1"/>
  <c r="S6" i="16"/>
  <c r="T6" i="16" s="1"/>
  <c r="U6" i="16" s="1"/>
  <c r="S5" i="16"/>
  <c r="T5" i="16" s="1"/>
  <c r="U5" i="16" s="1"/>
  <c r="T4" i="16"/>
  <c r="U4" i="16" s="1"/>
  <c r="S5" i="17"/>
  <c r="O585" i="16"/>
  <c r="P585" i="16" s="1"/>
  <c r="P579" i="16"/>
  <c r="O578" i="16"/>
  <c r="P578" i="16" s="1"/>
  <c r="O576" i="16"/>
  <c r="P576" i="16" s="1"/>
  <c r="O577" i="16"/>
  <c r="P577" i="16" s="1"/>
  <c r="O575" i="16"/>
  <c r="P575" i="16" s="1"/>
  <c r="O574" i="16"/>
  <c r="P574" i="16" s="1"/>
  <c r="O573" i="16"/>
  <c r="P573" i="16" s="1"/>
  <c r="O550" i="16"/>
  <c r="P550" i="16" s="1"/>
  <c r="O549" i="16"/>
  <c r="P549" i="16" s="1"/>
  <c r="O548" i="16"/>
  <c r="P548" i="16" s="1"/>
  <c r="O547" i="16"/>
  <c r="P547" i="16" s="1"/>
  <c r="O546" i="16"/>
  <c r="P546" i="16" s="1"/>
  <c r="O545" i="16"/>
  <c r="P545" i="16" s="1"/>
  <c r="O572" i="16"/>
  <c r="P572" i="16" s="1"/>
  <c r="O571" i="16"/>
  <c r="P571" i="16" s="1"/>
  <c r="O570" i="16"/>
  <c r="P570" i="16" s="1"/>
  <c r="O569" i="16"/>
  <c r="P569" i="16" s="1"/>
  <c r="O568" i="16"/>
  <c r="P568" i="16" s="1"/>
  <c r="O567" i="16"/>
  <c r="P567" i="16" s="1"/>
  <c r="O566" i="16"/>
  <c r="P566" i="16" s="1"/>
  <c r="O565" i="16"/>
  <c r="P565" i="16" s="1"/>
  <c r="O564" i="16"/>
  <c r="P564" i="16" s="1"/>
  <c r="O563" i="16"/>
  <c r="P563" i="16" s="1"/>
  <c r="O562" i="16"/>
  <c r="P562" i="16" s="1"/>
  <c r="O561" i="16"/>
  <c r="P561" i="16" s="1"/>
  <c r="O560" i="16"/>
  <c r="P560" i="16" s="1"/>
  <c r="O559" i="16"/>
  <c r="P559" i="16" s="1"/>
  <c r="O558" i="16"/>
  <c r="P558" i="16" s="1"/>
  <c r="O557" i="16"/>
  <c r="P557" i="16" s="1"/>
  <c r="O556" i="16"/>
  <c r="P556" i="16" s="1"/>
  <c r="O555" i="16"/>
  <c r="P555" i="16" s="1"/>
  <c r="O554" i="16"/>
  <c r="P554" i="16" s="1"/>
  <c r="O553" i="16"/>
  <c r="P553" i="16" s="1"/>
  <c r="O552" i="16"/>
  <c r="P552" i="16" s="1"/>
  <c r="O551" i="16"/>
  <c r="P551" i="16" s="1"/>
  <c r="O544" i="16"/>
  <c r="P544" i="16" s="1"/>
  <c r="O543" i="16"/>
  <c r="P543" i="16" s="1"/>
  <c r="O542" i="16"/>
  <c r="P542" i="16" s="1"/>
  <c r="O541" i="16"/>
  <c r="P541" i="16" s="1"/>
  <c r="O540" i="16"/>
  <c r="P540" i="16" s="1"/>
  <c r="O539" i="16"/>
  <c r="P539" i="16" s="1"/>
  <c r="O538" i="16"/>
  <c r="P538" i="16" s="1"/>
  <c r="O537" i="16"/>
  <c r="P537" i="16" s="1"/>
  <c r="O536" i="16"/>
  <c r="P536" i="16" s="1"/>
  <c r="O535" i="16"/>
  <c r="P535" i="16" s="1"/>
  <c r="O532" i="16"/>
  <c r="P532" i="16" s="1"/>
  <c r="O534" i="16"/>
  <c r="P534" i="16" s="1"/>
  <c r="O533" i="16"/>
  <c r="P533" i="16" s="1"/>
  <c r="O531" i="16"/>
  <c r="P531" i="16" s="1"/>
  <c r="O530" i="16"/>
  <c r="P530" i="16" s="1"/>
  <c r="O529" i="16"/>
  <c r="P529" i="16" s="1"/>
  <c r="O524" i="16"/>
  <c r="P524" i="16" s="1"/>
  <c r="O528" i="16"/>
  <c r="P528" i="16" s="1"/>
  <c r="O527" i="16"/>
  <c r="P527" i="16" s="1"/>
  <c r="O526" i="16"/>
  <c r="P526" i="16" s="1"/>
  <c r="O522" i="16"/>
  <c r="P522" i="16" s="1"/>
  <c r="O525" i="16"/>
  <c r="P525" i="16" s="1"/>
  <c r="O523" i="16"/>
  <c r="P523" i="16" s="1"/>
  <c r="O521" i="16"/>
  <c r="P521" i="16" s="1"/>
  <c r="O520" i="16"/>
  <c r="P520" i="16" s="1"/>
  <c r="O517" i="16"/>
  <c r="P517" i="16" s="1"/>
  <c r="O519" i="16"/>
  <c r="P519" i="16" s="1"/>
  <c r="O518" i="16"/>
  <c r="P518" i="16" s="1"/>
  <c r="O516" i="16"/>
  <c r="P516" i="16" s="1"/>
  <c r="O515" i="16"/>
  <c r="P515" i="16" s="1"/>
  <c r="O514" i="16"/>
  <c r="P514" i="16" s="1"/>
  <c r="O513" i="16"/>
  <c r="P513" i="16" s="1"/>
  <c r="O512" i="16"/>
  <c r="P512" i="16" s="1"/>
  <c r="O511" i="16"/>
  <c r="P511" i="16" s="1"/>
  <c r="O510" i="16"/>
  <c r="P510" i="16" s="1"/>
  <c r="O509" i="16"/>
  <c r="P509" i="16" s="1"/>
  <c r="O508" i="16"/>
  <c r="P508" i="16" s="1"/>
  <c r="O507" i="16"/>
  <c r="P507" i="16" s="1"/>
  <c r="O506" i="16"/>
  <c r="P506" i="16" s="1"/>
  <c r="O505" i="16"/>
  <c r="P505" i="16" s="1"/>
  <c r="O504" i="16"/>
  <c r="P504" i="16" s="1"/>
  <c r="O503" i="16"/>
  <c r="P503" i="16" s="1"/>
  <c r="O502" i="16"/>
  <c r="P502" i="16" s="1"/>
  <c r="O501" i="16"/>
  <c r="P501" i="16" s="1"/>
  <c r="O500" i="16"/>
  <c r="P500" i="16" s="1"/>
  <c r="O499" i="16"/>
  <c r="P499" i="16" s="1"/>
  <c r="O498" i="16"/>
  <c r="P498" i="16" s="1"/>
  <c r="O497" i="16"/>
  <c r="P497" i="16" s="1"/>
  <c r="O496" i="16"/>
  <c r="P496" i="16" s="1"/>
  <c r="O495" i="16"/>
  <c r="P495" i="16" s="1"/>
  <c r="O494" i="16"/>
  <c r="P494" i="16" s="1"/>
  <c r="O493" i="16"/>
  <c r="P493" i="16" s="1"/>
  <c r="O492" i="16"/>
  <c r="P492" i="16" s="1"/>
  <c r="O491" i="16"/>
  <c r="P491" i="16" s="1"/>
  <c r="O490" i="16"/>
  <c r="P490" i="16" s="1"/>
  <c r="O489" i="16"/>
  <c r="P489" i="16" s="1"/>
  <c r="O488" i="16"/>
  <c r="P488" i="16" s="1"/>
  <c r="O487" i="16"/>
  <c r="P487" i="16" s="1"/>
  <c r="O486" i="16"/>
  <c r="P486" i="16" s="1"/>
  <c r="O485" i="16"/>
  <c r="P485" i="16" s="1"/>
  <c r="O484" i="16"/>
  <c r="P484" i="16" s="1"/>
  <c r="O483" i="16"/>
  <c r="P483" i="16" s="1"/>
  <c r="O482" i="16"/>
  <c r="P482" i="16" s="1"/>
  <c r="O481" i="16"/>
  <c r="P481" i="16" s="1"/>
  <c r="O480" i="16"/>
  <c r="P480" i="16" s="1"/>
  <c r="O479" i="16"/>
  <c r="P479" i="16" s="1"/>
  <c r="O478" i="16"/>
  <c r="P478" i="16" s="1"/>
  <c r="O477" i="16"/>
  <c r="P477" i="16" s="1"/>
  <c r="O476" i="16"/>
  <c r="P476" i="16" s="1"/>
  <c r="O475" i="16"/>
  <c r="P475" i="16" s="1"/>
  <c r="O474" i="16"/>
  <c r="P474" i="16" s="1"/>
  <c r="O473" i="16"/>
  <c r="P473" i="16" s="1"/>
  <c r="O472" i="16"/>
  <c r="P472" i="16" s="1"/>
  <c r="O471" i="16"/>
  <c r="P471" i="16" s="1"/>
  <c r="O470" i="16"/>
  <c r="P470" i="16" s="1"/>
  <c r="O469" i="16"/>
  <c r="P469" i="16" s="1"/>
  <c r="O468" i="16"/>
  <c r="P468" i="16" s="1"/>
  <c r="O467" i="16"/>
  <c r="P467" i="16" s="1"/>
  <c r="O466" i="16"/>
  <c r="P466" i="16" s="1"/>
  <c r="O465" i="16"/>
  <c r="P465" i="16" s="1"/>
  <c r="O464" i="16"/>
  <c r="P464" i="16" s="1"/>
  <c r="O463" i="16"/>
  <c r="P463" i="16" s="1"/>
  <c r="O462" i="16"/>
  <c r="P462" i="16" s="1"/>
  <c r="O461" i="16"/>
  <c r="P461" i="16" s="1"/>
  <c r="O460" i="16"/>
  <c r="P460" i="16" s="1"/>
  <c r="O459" i="16"/>
  <c r="P459" i="16" s="1"/>
  <c r="O458" i="16"/>
  <c r="P458" i="16" s="1"/>
  <c r="O457" i="16"/>
  <c r="P457" i="16" s="1"/>
  <c r="O456" i="16"/>
  <c r="P456" i="16" s="1"/>
  <c r="O455" i="16"/>
  <c r="P455" i="16" s="1"/>
  <c r="O451" i="16"/>
  <c r="P451" i="16" s="1"/>
  <c r="O450" i="16"/>
  <c r="P450" i="16" s="1"/>
  <c r="O454" i="16"/>
  <c r="P454" i="16" s="1"/>
  <c r="O453" i="16"/>
  <c r="P453" i="16" s="1"/>
  <c r="O452" i="16"/>
  <c r="P452" i="16" s="1"/>
  <c r="O449" i="16"/>
  <c r="P449" i="16" s="1"/>
  <c r="O448" i="16"/>
  <c r="P448" i="16" s="1"/>
  <c r="O447" i="16"/>
  <c r="P447" i="16" s="1"/>
  <c r="O446" i="16"/>
  <c r="P446" i="16" s="1"/>
  <c r="O445" i="16"/>
  <c r="P445" i="16" s="1"/>
  <c r="O444" i="16"/>
  <c r="P444" i="16" s="1"/>
  <c r="O443" i="16"/>
  <c r="P443" i="16" s="1"/>
  <c r="O442" i="16"/>
  <c r="P442" i="16" s="1"/>
  <c r="O441" i="16"/>
  <c r="P441" i="16" s="1"/>
  <c r="O440" i="16"/>
  <c r="P440" i="16" s="1"/>
  <c r="O439" i="16"/>
  <c r="P439" i="16" s="1"/>
  <c r="O438" i="16"/>
  <c r="P438" i="16" s="1"/>
  <c r="O435" i="16"/>
  <c r="P435" i="16" s="1"/>
  <c r="O434" i="16"/>
  <c r="P434" i="16" s="1"/>
  <c r="O433" i="16"/>
  <c r="P433" i="16" s="1"/>
  <c r="O432" i="16"/>
  <c r="P432" i="16" s="1"/>
  <c r="O431" i="16"/>
  <c r="P431" i="16" s="1"/>
  <c r="O430" i="16"/>
  <c r="P430" i="16" s="1"/>
  <c r="O429" i="16"/>
  <c r="P429" i="16" s="1"/>
  <c r="O428" i="16"/>
  <c r="P428" i="16" s="1"/>
  <c r="O427" i="16"/>
  <c r="P427" i="16" s="1"/>
  <c r="O437" i="16"/>
  <c r="P437" i="16" s="1"/>
  <c r="O426" i="16"/>
  <c r="P426" i="16" s="1"/>
  <c r="O425" i="16"/>
  <c r="P425" i="16" s="1"/>
  <c r="O424" i="16"/>
  <c r="P424" i="16" s="1"/>
  <c r="O423" i="16"/>
  <c r="P423" i="16" s="1"/>
  <c r="O422" i="16"/>
  <c r="P422" i="16" s="1"/>
  <c r="O421" i="16"/>
  <c r="P421" i="16" s="1"/>
  <c r="O420" i="16"/>
  <c r="P420" i="16" s="1"/>
  <c r="O419" i="16"/>
  <c r="P419" i="16" s="1"/>
  <c r="O418" i="16"/>
  <c r="P418" i="16" s="1"/>
  <c r="O417" i="16"/>
  <c r="P417" i="16" s="1"/>
  <c r="O416" i="16"/>
  <c r="P416" i="16" s="1"/>
  <c r="O415" i="16"/>
  <c r="P415" i="16" s="1"/>
  <c r="O414" i="16"/>
  <c r="P414" i="16" s="1"/>
  <c r="O413" i="16"/>
  <c r="P413" i="16" s="1"/>
  <c r="O412" i="16"/>
  <c r="P412" i="16" s="1"/>
  <c r="O411" i="16"/>
  <c r="P411" i="16" s="1"/>
  <c r="O410" i="16"/>
  <c r="P410" i="16" s="1"/>
  <c r="O409" i="16"/>
  <c r="P409" i="16" s="1"/>
  <c r="O408" i="16"/>
  <c r="P408" i="16" s="1"/>
  <c r="O407" i="16"/>
  <c r="P407" i="16" s="1"/>
  <c r="O406" i="16"/>
  <c r="P406" i="16" s="1"/>
  <c r="O405" i="16"/>
  <c r="P405" i="16" s="1"/>
  <c r="O436" i="16"/>
  <c r="P436" i="16" s="1"/>
  <c r="O404" i="16"/>
  <c r="P404" i="16" s="1"/>
  <c r="O393" i="16"/>
  <c r="P393" i="16" s="1"/>
  <c r="O403" i="16"/>
  <c r="P403" i="16" s="1"/>
  <c r="O402" i="16"/>
  <c r="P402" i="16" s="1"/>
  <c r="O400" i="16"/>
  <c r="P400" i="16" s="1"/>
  <c r="O401" i="16"/>
  <c r="P401" i="16" s="1"/>
  <c r="O399" i="16"/>
  <c r="P399" i="16" s="1"/>
  <c r="O398" i="16"/>
  <c r="P398" i="16" s="1"/>
  <c r="O397" i="16"/>
  <c r="P397" i="16" s="1"/>
  <c r="O396" i="16"/>
  <c r="P396" i="16" s="1"/>
  <c r="O395" i="16"/>
  <c r="P395" i="16" s="1"/>
  <c r="O394" i="16"/>
  <c r="P394" i="16" s="1"/>
  <c r="O392" i="16"/>
  <c r="P392" i="16" s="1"/>
  <c r="O391" i="16"/>
  <c r="P391" i="16" s="1"/>
  <c r="O390" i="16"/>
  <c r="P390" i="16" s="1"/>
  <c r="O386" i="16"/>
  <c r="P386" i="16" s="1"/>
  <c r="O181" i="16"/>
  <c r="P181" i="16" s="1"/>
  <c r="O180" i="16"/>
  <c r="P180" i="16" s="1"/>
  <c r="O179" i="16"/>
  <c r="P179" i="16" s="1"/>
  <c r="O178" i="16"/>
  <c r="P178" i="16" s="1"/>
  <c r="O175" i="16"/>
  <c r="P175" i="16" s="1"/>
  <c r="O173" i="16"/>
  <c r="P173" i="16" s="1"/>
  <c r="O155" i="16"/>
  <c r="P155" i="16" s="1"/>
  <c r="O177" i="16"/>
  <c r="P177" i="16" s="1"/>
  <c r="O380" i="16"/>
  <c r="P380" i="16" s="1"/>
  <c r="O379" i="16"/>
  <c r="P379" i="16" s="1"/>
  <c r="O377" i="16"/>
  <c r="P377" i="16" s="1"/>
  <c r="O376" i="16"/>
  <c r="P376" i="16" s="1"/>
  <c r="O375" i="16"/>
  <c r="P375" i="16" s="1"/>
  <c r="O374" i="16"/>
  <c r="P374" i="16" s="1"/>
  <c r="O378" i="16"/>
  <c r="P378" i="16" s="1"/>
  <c r="O373" i="16"/>
  <c r="P373" i="16" s="1"/>
  <c r="O340" i="16"/>
  <c r="P340" i="16" s="1"/>
  <c r="O352" i="16"/>
  <c r="P352" i="16" s="1"/>
  <c r="O353" i="16"/>
  <c r="P353" i="16" s="1"/>
  <c r="O350" i="16"/>
  <c r="P350" i="16" s="1"/>
  <c r="O372" i="16"/>
  <c r="P372" i="16" s="1"/>
  <c r="O371" i="16"/>
  <c r="P371" i="16" s="1"/>
  <c r="O370" i="16"/>
  <c r="P370" i="16" s="1"/>
  <c r="O369" i="16"/>
  <c r="P369" i="16" s="1"/>
  <c r="O368" i="16"/>
  <c r="P368" i="16" s="1"/>
  <c r="O367" i="16"/>
  <c r="P367" i="16" s="1"/>
  <c r="O366" i="16"/>
  <c r="P366" i="16" s="1"/>
  <c r="O365" i="16"/>
  <c r="P365" i="16" s="1"/>
  <c r="O364" i="16"/>
  <c r="P364" i="16" s="1"/>
  <c r="O363" i="16"/>
  <c r="P363" i="16" s="1"/>
  <c r="O362" i="16"/>
  <c r="P362" i="16" s="1"/>
  <c r="O361" i="16"/>
  <c r="P361" i="16" s="1"/>
  <c r="O360" i="16"/>
  <c r="P360" i="16" s="1"/>
  <c r="O359" i="16"/>
  <c r="P359" i="16" s="1"/>
  <c r="O358" i="16"/>
  <c r="P358" i="16" s="1"/>
  <c r="O357" i="16"/>
  <c r="P357" i="16" s="1"/>
  <c r="O356" i="16"/>
  <c r="P356" i="16" s="1"/>
  <c r="O351" i="16"/>
  <c r="P351" i="16" s="1"/>
  <c r="O355" i="16"/>
  <c r="P355" i="16" s="1"/>
  <c r="O354" i="16"/>
  <c r="P354" i="16" s="1"/>
  <c r="O349" i="16"/>
  <c r="P349" i="16" s="1"/>
  <c r="O348" i="16"/>
  <c r="P348" i="16" s="1"/>
  <c r="O347" i="16"/>
  <c r="P347" i="16" s="1"/>
  <c r="O346" i="16"/>
  <c r="P346" i="16" s="1"/>
  <c r="O345" i="16"/>
  <c r="P345" i="16" s="1"/>
  <c r="O344" i="16"/>
  <c r="P344" i="16" s="1"/>
  <c r="O343" i="16"/>
  <c r="P343" i="16" s="1"/>
  <c r="O342" i="16"/>
  <c r="P342" i="16" s="1"/>
  <c r="O341" i="16"/>
  <c r="P341" i="16" s="1"/>
  <c r="O339" i="16"/>
  <c r="P339" i="16" s="1"/>
  <c r="O338" i="16"/>
  <c r="P338" i="16" s="1"/>
  <c r="O337" i="16"/>
  <c r="P337" i="16" s="1"/>
  <c r="O336" i="16"/>
  <c r="P336" i="16" s="1"/>
  <c r="O335" i="16"/>
  <c r="P335" i="16" s="1"/>
  <c r="O334" i="16"/>
  <c r="P334" i="16" s="1"/>
  <c r="O310" i="16"/>
  <c r="P310" i="16" s="1"/>
  <c r="O333" i="16"/>
  <c r="P333" i="16" s="1"/>
  <c r="O332" i="16"/>
  <c r="P332" i="16" s="1"/>
  <c r="O331" i="16"/>
  <c r="P331" i="16" s="1"/>
  <c r="O329" i="16"/>
  <c r="P329" i="16" s="1"/>
  <c r="O330" i="16"/>
  <c r="P330" i="16" s="1"/>
  <c r="O328" i="16"/>
  <c r="P328" i="16" s="1"/>
  <c r="O326" i="16"/>
  <c r="P326" i="16" s="1"/>
  <c r="P325" i="16"/>
  <c r="O327" i="16"/>
  <c r="P327" i="16" s="1"/>
  <c r="O324" i="16"/>
  <c r="P324" i="16" s="1"/>
  <c r="O323" i="16"/>
  <c r="P323" i="16" s="1"/>
  <c r="O322" i="16"/>
  <c r="P322" i="16" s="1"/>
  <c r="O318" i="16"/>
  <c r="P318" i="16" s="1"/>
  <c r="O317" i="16"/>
  <c r="P317" i="16" s="1"/>
  <c r="O316" i="16"/>
  <c r="P316" i="16" s="1"/>
  <c r="O315" i="16"/>
  <c r="P315" i="16" s="1"/>
  <c r="O314" i="16"/>
  <c r="P314" i="16" s="1"/>
  <c r="O313" i="16"/>
  <c r="P313" i="16" s="1"/>
  <c r="O312" i="16"/>
  <c r="P312" i="16" s="1"/>
  <c r="O311" i="16"/>
  <c r="P311" i="16" s="1"/>
  <c r="O309" i="16"/>
  <c r="P309" i="16" s="1"/>
  <c r="O320" i="16"/>
  <c r="P320" i="16" s="1"/>
  <c r="O319" i="16"/>
  <c r="P319" i="16" s="1"/>
  <c r="O308" i="16"/>
  <c r="P308" i="16" s="1"/>
  <c r="O307" i="16"/>
  <c r="P307" i="16" s="1"/>
  <c r="O306" i="16"/>
  <c r="P306" i="16" s="1"/>
  <c r="O305" i="16"/>
  <c r="P305" i="16" s="1"/>
  <c r="O321" i="16"/>
  <c r="P321" i="16" s="1"/>
  <c r="O304" i="16"/>
  <c r="P304" i="16" s="1"/>
  <c r="O303" i="16"/>
  <c r="P303" i="16" s="1"/>
  <c r="O302" i="16"/>
  <c r="P302" i="16" s="1"/>
  <c r="O301" i="16"/>
  <c r="P301" i="16" s="1"/>
  <c r="O300" i="16"/>
  <c r="P300" i="16" s="1"/>
  <c r="O299" i="16"/>
  <c r="P299" i="16" s="1"/>
  <c r="O298" i="16"/>
  <c r="P298" i="16" s="1"/>
  <c r="O297" i="16"/>
  <c r="P297" i="16" s="1"/>
  <c r="O296" i="16"/>
  <c r="P296" i="16" s="1"/>
  <c r="O295" i="16"/>
  <c r="P295" i="16" s="1"/>
  <c r="O294" i="16"/>
  <c r="P294" i="16" s="1"/>
  <c r="O293" i="16"/>
  <c r="P293" i="16" s="1"/>
  <c r="O292" i="16"/>
  <c r="P292" i="16" s="1"/>
  <c r="O291" i="16"/>
  <c r="P291" i="16" s="1"/>
  <c r="O290" i="16"/>
  <c r="P290" i="16" s="1"/>
  <c r="O289" i="16"/>
  <c r="P289" i="16" s="1"/>
  <c r="O288" i="16"/>
  <c r="P288" i="16" s="1"/>
  <c r="O287" i="16"/>
  <c r="P287" i="16" s="1"/>
  <c r="O286" i="16"/>
  <c r="P286" i="16" s="1"/>
  <c r="O285" i="16"/>
  <c r="P285" i="16" s="1"/>
  <c r="O284" i="16"/>
  <c r="P284" i="16" s="1"/>
  <c r="O283" i="16"/>
  <c r="P283" i="16" s="1"/>
  <c r="O282" i="16"/>
  <c r="P282" i="16" s="1"/>
  <c r="O281" i="16"/>
  <c r="P281" i="16" s="1"/>
  <c r="O279" i="16"/>
  <c r="P279" i="16" s="1"/>
  <c r="O280" i="16"/>
  <c r="P280" i="16" s="1"/>
  <c r="O278" i="16"/>
  <c r="P278" i="16" s="1"/>
  <c r="O273" i="16"/>
  <c r="P273" i="16" s="1"/>
  <c r="O275" i="16"/>
  <c r="P275" i="16" s="1"/>
  <c r="O277" i="16"/>
  <c r="P277" i="16" s="1"/>
  <c r="O276" i="16"/>
  <c r="P276" i="16" s="1"/>
  <c r="O274" i="16"/>
  <c r="P274" i="16" s="1"/>
  <c r="O272" i="16"/>
  <c r="P272" i="16" s="1"/>
  <c r="O271" i="16"/>
  <c r="P271" i="16" s="1"/>
  <c r="O270" i="16"/>
  <c r="P270" i="16" s="1"/>
  <c r="O269" i="16"/>
  <c r="P269" i="16" s="1"/>
  <c r="O268" i="16"/>
  <c r="P268" i="16" s="1"/>
  <c r="O267" i="16"/>
  <c r="P267" i="16" s="1"/>
  <c r="O266" i="16"/>
  <c r="P266" i="16" s="1"/>
  <c r="O265" i="16"/>
  <c r="P265" i="16" s="1"/>
  <c r="P264" i="16"/>
  <c r="O263" i="16"/>
  <c r="P263" i="16" s="1"/>
  <c r="O262" i="16"/>
  <c r="P262" i="16" s="1"/>
  <c r="O261" i="16"/>
  <c r="P261" i="16" s="1"/>
  <c r="O260" i="16"/>
  <c r="P260" i="16" s="1"/>
  <c r="O259" i="16"/>
  <c r="P259" i="16" s="1"/>
  <c r="O257" i="16"/>
  <c r="P257" i="16" s="1"/>
  <c r="O258" i="16"/>
  <c r="P258" i="16" s="1"/>
  <c r="O256" i="16"/>
  <c r="P256" i="16" s="1"/>
  <c r="O255" i="16"/>
  <c r="P255" i="16" s="1"/>
  <c r="O254" i="16"/>
  <c r="P254" i="16" s="1"/>
  <c r="O253" i="16"/>
  <c r="P253" i="16" s="1"/>
  <c r="O252" i="16"/>
  <c r="P252" i="16" s="1"/>
  <c r="O251" i="16"/>
  <c r="P251" i="16" s="1"/>
  <c r="O250" i="16"/>
  <c r="P250" i="16" s="1"/>
  <c r="O249" i="16"/>
  <c r="P249" i="16" s="1"/>
  <c r="O248" i="16"/>
  <c r="P248" i="16" s="1"/>
  <c r="O247" i="16"/>
  <c r="P247" i="16" s="1"/>
  <c r="O246" i="16"/>
  <c r="P246" i="16" s="1"/>
  <c r="O245" i="16"/>
  <c r="P245" i="16" s="1"/>
  <c r="O244" i="16"/>
  <c r="P244" i="16" s="1"/>
  <c r="O243" i="16"/>
  <c r="P243" i="16" s="1"/>
  <c r="O242" i="16"/>
  <c r="P242" i="16" s="1"/>
  <c r="O241" i="16"/>
  <c r="P241" i="16" s="1"/>
  <c r="O240" i="16"/>
  <c r="P240" i="16" s="1"/>
  <c r="O239" i="16"/>
  <c r="P239" i="16" s="1"/>
  <c r="O238" i="16"/>
  <c r="P238" i="16" s="1"/>
  <c r="O237" i="16"/>
  <c r="P237" i="16" s="1"/>
  <c r="O236" i="16"/>
  <c r="P236" i="16" s="1"/>
  <c r="O235" i="16"/>
  <c r="P235" i="16" s="1"/>
  <c r="O234" i="16"/>
  <c r="P234" i="16" s="1"/>
  <c r="O232" i="16"/>
  <c r="P232" i="16" s="1"/>
  <c r="O231" i="16"/>
  <c r="P231" i="16" s="1"/>
  <c r="O233" i="16"/>
  <c r="P233" i="16" s="1"/>
  <c r="O176" i="16"/>
  <c r="P176" i="16" s="1"/>
  <c r="O229" i="16"/>
  <c r="P229" i="16" s="1"/>
  <c r="O228" i="16"/>
  <c r="P228" i="16" s="1"/>
  <c r="O227" i="16"/>
  <c r="P227" i="16" s="1"/>
  <c r="O226" i="16"/>
  <c r="P226" i="16" s="1"/>
  <c r="O225" i="16"/>
  <c r="P225" i="16" s="1"/>
  <c r="O224" i="16"/>
  <c r="P224" i="16" s="1"/>
  <c r="O223" i="16"/>
  <c r="P223" i="16" s="1"/>
  <c r="O222" i="16"/>
  <c r="P222" i="16" s="1"/>
  <c r="O221" i="16"/>
  <c r="P221" i="16" s="1"/>
  <c r="O220" i="16"/>
  <c r="P220" i="16" s="1"/>
  <c r="O219" i="16"/>
  <c r="P219" i="16" s="1"/>
  <c r="O218" i="16"/>
  <c r="P218" i="16" s="1"/>
  <c r="O217" i="16"/>
  <c r="P217" i="16" s="1"/>
  <c r="O216" i="16"/>
  <c r="P216" i="16" s="1"/>
  <c r="O215" i="16"/>
  <c r="P215" i="16" s="1"/>
  <c r="O214" i="16"/>
  <c r="P214" i="16" s="1"/>
  <c r="O213" i="16"/>
  <c r="P213" i="16" s="1"/>
  <c r="O212" i="16"/>
  <c r="P212" i="16" s="1"/>
  <c r="O211" i="16"/>
  <c r="P211" i="16" s="1"/>
  <c r="O210" i="16"/>
  <c r="P210" i="16" s="1"/>
  <c r="O209" i="16"/>
  <c r="P209" i="16" s="1"/>
  <c r="O208" i="16"/>
  <c r="P208" i="16" s="1"/>
  <c r="O207" i="16"/>
  <c r="P207" i="16" s="1"/>
  <c r="O206" i="16"/>
  <c r="P206" i="16" s="1"/>
  <c r="O205" i="16"/>
  <c r="P205" i="16" s="1"/>
  <c r="O204" i="16"/>
  <c r="P204" i="16" s="1"/>
  <c r="O203" i="16"/>
  <c r="P203" i="16" s="1"/>
  <c r="O202" i="16"/>
  <c r="P202" i="16" s="1"/>
  <c r="O201" i="16"/>
  <c r="P201" i="16" s="1"/>
  <c r="O200" i="16"/>
  <c r="P200" i="16" s="1"/>
  <c r="O199" i="16"/>
  <c r="P199" i="16" s="1"/>
  <c r="O198" i="16"/>
  <c r="P198" i="16" s="1"/>
  <c r="O197" i="16"/>
  <c r="P197" i="16" s="1"/>
  <c r="O196" i="16"/>
  <c r="P196" i="16" s="1"/>
  <c r="O192" i="16"/>
  <c r="P192" i="16" s="1"/>
  <c r="O195" i="16"/>
  <c r="P195" i="16" s="1"/>
  <c r="O194" i="16"/>
  <c r="P194" i="16" s="1"/>
  <c r="O193" i="16"/>
  <c r="P193" i="16" s="1"/>
  <c r="O191" i="16"/>
  <c r="P191" i="16" s="1"/>
  <c r="O190" i="16"/>
  <c r="P190" i="16" s="1"/>
  <c r="P388" i="16"/>
  <c r="O166" i="16"/>
  <c r="P166" i="16" s="1"/>
  <c r="O150" i="16"/>
  <c r="P150" i="16" s="1"/>
  <c r="O85" i="16"/>
  <c r="P85" i="16" s="1"/>
  <c r="O82" i="16"/>
  <c r="P82" i="16" s="1"/>
  <c r="O87" i="16"/>
  <c r="P87" i="16" s="1"/>
  <c r="O88" i="16"/>
  <c r="P88" i="16" s="1"/>
  <c r="O389" i="16"/>
  <c r="P389" i="16" s="1"/>
  <c r="O384" i="16"/>
  <c r="P384" i="16" s="1"/>
  <c r="O383" i="16"/>
  <c r="P383" i="16" s="1"/>
  <c r="P382" i="16"/>
  <c r="P381" i="16"/>
  <c r="P230" i="16"/>
  <c r="P184" i="16"/>
  <c r="O182" i="16"/>
  <c r="P182" i="16" s="1"/>
  <c r="O171" i="16"/>
  <c r="P171" i="16" s="1"/>
  <c r="O169" i="16"/>
  <c r="P169" i="16" s="1"/>
  <c r="O165" i="16"/>
  <c r="P165" i="16" s="1"/>
  <c r="O164" i="16"/>
  <c r="P164" i="16" s="1"/>
  <c r="O162" i="16"/>
  <c r="P162" i="16" s="1"/>
  <c r="O161" i="16"/>
  <c r="P161" i="16" s="1"/>
  <c r="O158" i="16"/>
  <c r="P158" i="16" s="1"/>
  <c r="O157" i="16"/>
  <c r="P157" i="16" s="1"/>
  <c r="O156" i="16"/>
  <c r="P156" i="16" s="1"/>
  <c r="O153" i="16"/>
  <c r="P153" i="16" s="1"/>
  <c r="O152" i="16"/>
  <c r="P152" i="16" s="1"/>
  <c r="O151" i="16"/>
  <c r="P151" i="16" s="1"/>
  <c r="O90" i="16"/>
  <c r="P90" i="16" s="1"/>
  <c r="O86" i="16"/>
  <c r="P86" i="16" s="1"/>
  <c r="O84" i="16"/>
  <c r="P84" i="16" s="1"/>
  <c r="O83" i="16"/>
  <c r="P83" i="16" s="1"/>
  <c r="O89" i="16"/>
  <c r="P89" i="16" s="1"/>
  <c r="O81" i="16"/>
  <c r="P81" i="16" s="1"/>
  <c r="P188" i="16"/>
  <c r="P187" i="16"/>
  <c r="P186" i="16"/>
  <c r="P185" i="16"/>
  <c r="P183" i="16"/>
  <c r="O160" i="16"/>
  <c r="P160" i="16" s="1"/>
  <c r="O154" i="16"/>
  <c r="P154" i="16" s="1"/>
  <c r="O149" i="16"/>
  <c r="P149" i="16" s="1"/>
  <c r="O148" i="16"/>
  <c r="P148" i="16" s="1"/>
  <c r="O147" i="16"/>
  <c r="P147" i="16" s="1"/>
  <c r="O146" i="16"/>
  <c r="P146" i="16" s="1"/>
  <c r="O145" i="16"/>
  <c r="P145" i="16" s="1"/>
  <c r="O144" i="16"/>
  <c r="P144" i="16" s="1"/>
  <c r="O143" i="16"/>
  <c r="P143" i="16" s="1"/>
  <c r="O142" i="16"/>
  <c r="P142" i="16" s="1"/>
  <c r="O141" i="16"/>
  <c r="P141" i="16" s="1"/>
  <c r="O140" i="16"/>
  <c r="P140" i="16" s="1"/>
  <c r="O139" i="16"/>
  <c r="P139" i="16" s="1"/>
  <c r="O138" i="16"/>
  <c r="P138" i="16" s="1"/>
  <c r="O137" i="16"/>
  <c r="P137" i="16" s="1"/>
  <c r="O136" i="16"/>
  <c r="P136" i="16" s="1"/>
  <c r="O135" i="16"/>
  <c r="P135" i="16" s="1"/>
  <c r="O134" i="16"/>
  <c r="P134" i="16" s="1"/>
  <c r="O133" i="16"/>
  <c r="P133" i="16" s="1"/>
  <c r="O132" i="16"/>
  <c r="P132" i="16" s="1"/>
  <c r="O131" i="16"/>
  <c r="P131" i="16" s="1"/>
  <c r="O130" i="16"/>
  <c r="P130" i="16" s="1"/>
  <c r="O129" i="16"/>
  <c r="P129" i="16" s="1"/>
  <c r="O128" i="16"/>
  <c r="P128" i="16" s="1"/>
  <c r="O127" i="16"/>
  <c r="P127" i="16" s="1"/>
  <c r="O126" i="16"/>
  <c r="P126" i="16" s="1"/>
  <c r="O125" i="16"/>
  <c r="P125" i="16" s="1"/>
  <c r="O124" i="16"/>
  <c r="P124" i="16" s="1"/>
  <c r="O123" i="16"/>
  <c r="P123" i="16" s="1"/>
  <c r="O122" i="16"/>
  <c r="P122" i="16" s="1"/>
  <c r="O121" i="16"/>
  <c r="P121" i="16" s="1"/>
  <c r="O120" i="16"/>
  <c r="P120" i="16" s="1"/>
  <c r="O119" i="16"/>
  <c r="P119" i="16" s="1"/>
  <c r="O118" i="16"/>
  <c r="P118" i="16" s="1"/>
  <c r="O117" i="16"/>
  <c r="P117" i="16" s="1"/>
  <c r="O116" i="16"/>
  <c r="P116" i="16" s="1"/>
  <c r="O115" i="16"/>
  <c r="P115" i="16" s="1"/>
  <c r="O114" i="16"/>
  <c r="P114" i="16" s="1"/>
  <c r="O113" i="16"/>
  <c r="P113" i="16" s="1"/>
  <c r="O112" i="16"/>
  <c r="P112" i="16" s="1"/>
  <c r="O111" i="16"/>
  <c r="P111" i="16" s="1"/>
  <c r="O110" i="16"/>
  <c r="P110" i="16" s="1"/>
  <c r="O109" i="16"/>
  <c r="P109" i="16" s="1"/>
  <c r="O108" i="16"/>
  <c r="P108" i="16" s="1"/>
  <c r="O107" i="16"/>
  <c r="P107" i="16" s="1"/>
  <c r="O106" i="16"/>
  <c r="P106" i="16" s="1"/>
  <c r="O105" i="16"/>
  <c r="P105" i="16" s="1"/>
  <c r="O104" i="16"/>
  <c r="P104" i="16" s="1"/>
  <c r="O103" i="16"/>
  <c r="P103" i="16" s="1"/>
  <c r="O102" i="16"/>
  <c r="P102" i="16" s="1"/>
  <c r="O101" i="16"/>
  <c r="P101" i="16" s="1"/>
  <c r="O100" i="16"/>
  <c r="P100" i="16" s="1"/>
  <c r="O99" i="16"/>
  <c r="P99" i="16" s="1"/>
  <c r="O98" i="16"/>
  <c r="P98" i="16" s="1"/>
  <c r="O97" i="16"/>
  <c r="P97" i="16" s="1"/>
  <c r="O96" i="16"/>
  <c r="P96" i="16" s="1"/>
  <c r="O95" i="16"/>
  <c r="P95" i="16" s="1"/>
  <c r="O94" i="16"/>
  <c r="P94" i="16" s="1"/>
  <c r="O93" i="16"/>
  <c r="P93" i="16" s="1"/>
  <c r="O92" i="16"/>
  <c r="P92" i="16" s="1"/>
  <c r="O91" i="16"/>
  <c r="P91" i="16" s="1"/>
  <c r="O167" i="16"/>
  <c r="P167" i="16" s="1"/>
  <c r="O170" i="16"/>
  <c r="P170" i="16" s="1"/>
  <c r="P387" i="16"/>
  <c r="P385" i="16"/>
  <c r="P172" i="16"/>
  <c r="P189" i="16"/>
  <c r="P174" i="16"/>
  <c r="O168" i="16"/>
  <c r="P168" i="16" s="1"/>
  <c r="O159" i="16"/>
  <c r="P159" i="16" s="1"/>
  <c r="O163" i="16"/>
  <c r="P163" i="16" s="1"/>
  <c r="O78" i="16"/>
  <c r="P78" i="16" s="1"/>
  <c r="O80" i="16"/>
  <c r="P80" i="16" s="1"/>
  <c r="O79" i="16"/>
  <c r="P79" i="16" s="1"/>
  <c r="O77" i="16"/>
  <c r="P77" i="16" s="1"/>
  <c r="O76" i="16"/>
  <c r="P76" i="16" s="1"/>
  <c r="O75" i="16"/>
  <c r="P75" i="16" s="1"/>
  <c r="O74" i="16"/>
  <c r="P74" i="16" s="1"/>
  <c r="O73" i="16"/>
  <c r="P73" i="16" s="1"/>
  <c r="O72" i="16"/>
  <c r="P72" i="16" s="1"/>
  <c r="O71" i="16"/>
  <c r="P71" i="16" s="1"/>
  <c r="O70" i="16"/>
  <c r="P70" i="16" s="1"/>
  <c r="O69" i="16"/>
  <c r="P69" i="16" s="1"/>
  <c r="O68" i="16"/>
  <c r="P68" i="16" s="1"/>
  <c r="O67" i="16"/>
  <c r="P67" i="16" s="1"/>
  <c r="O66" i="16"/>
  <c r="P66" i="16" s="1"/>
  <c r="O65" i="16"/>
  <c r="P65" i="16" s="1"/>
  <c r="O64" i="16"/>
  <c r="P64" i="16" s="1"/>
  <c r="O63" i="16"/>
  <c r="P63" i="16" s="1"/>
  <c r="P62" i="16"/>
  <c r="O61" i="16"/>
  <c r="P61" i="16" s="1"/>
  <c r="O60" i="16"/>
  <c r="P60" i="16" s="1"/>
  <c r="O59" i="16"/>
  <c r="P59" i="16" s="1"/>
  <c r="O58" i="16"/>
  <c r="P58" i="16" s="1"/>
  <c r="O57" i="16"/>
  <c r="P57" i="16" s="1"/>
  <c r="O56" i="16"/>
  <c r="P56" i="16" s="1"/>
  <c r="O55" i="16"/>
  <c r="P55" i="16" s="1"/>
  <c r="O54" i="16"/>
  <c r="P54" i="16" s="1"/>
  <c r="O53" i="16"/>
  <c r="P53" i="16" s="1"/>
  <c r="O51" i="16"/>
  <c r="P51" i="16" s="1"/>
  <c r="O49" i="16"/>
  <c r="P49" i="16" s="1"/>
  <c r="O52" i="16"/>
  <c r="P52" i="16" s="1"/>
  <c r="O50" i="16"/>
  <c r="P50" i="16" s="1"/>
  <c r="O48" i="16"/>
  <c r="P48" i="16" s="1"/>
  <c r="O47" i="16"/>
  <c r="P47" i="16" s="1"/>
  <c r="O46" i="16"/>
  <c r="P46" i="16" s="1"/>
  <c r="O45" i="16"/>
  <c r="P45" i="16" s="1"/>
  <c r="O44" i="16"/>
  <c r="P44" i="16" s="1"/>
  <c r="O43" i="16"/>
  <c r="P43" i="16" s="1"/>
  <c r="O42" i="16"/>
  <c r="P42" i="16" s="1"/>
  <c r="O41" i="16"/>
  <c r="P41" i="16" s="1"/>
  <c r="O40" i="16"/>
  <c r="P40" i="16" s="1"/>
  <c r="O39" i="16"/>
  <c r="P39" i="16" s="1"/>
  <c r="O38" i="16"/>
  <c r="P38" i="16" s="1"/>
  <c r="O37" i="16"/>
  <c r="P37" i="16" s="1"/>
  <c r="O36" i="16"/>
  <c r="P36" i="16" s="1"/>
  <c r="O35" i="16"/>
  <c r="P35" i="16" s="1"/>
  <c r="O34" i="16"/>
  <c r="P34" i="16" s="1"/>
  <c r="O33" i="16"/>
  <c r="P33" i="16" s="1"/>
  <c r="O19" i="16"/>
  <c r="P19" i="16" s="1"/>
  <c r="O25" i="16"/>
  <c r="P25" i="16" s="1"/>
  <c r="O24" i="16"/>
  <c r="P24" i="16" s="1"/>
  <c r="O21" i="16"/>
  <c r="P21" i="16" s="1"/>
  <c r="O22" i="16"/>
  <c r="P22" i="16" s="1"/>
  <c r="O31" i="16"/>
  <c r="P31" i="16" s="1"/>
  <c r="O30" i="16"/>
  <c r="P30" i="16" s="1"/>
  <c r="O29" i="16"/>
  <c r="P29" i="16" s="1"/>
  <c r="O28" i="16"/>
  <c r="P28" i="16" s="1"/>
  <c r="O27" i="16"/>
  <c r="P27" i="16" s="1"/>
  <c r="O17" i="16"/>
  <c r="P17" i="16" s="1"/>
  <c r="O26" i="16"/>
  <c r="P26" i="16" s="1"/>
  <c r="O32" i="16"/>
  <c r="P32" i="16" s="1"/>
  <c r="O23" i="16"/>
  <c r="P23" i="16" s="1"/>
  <c r="O20" i="16"/>
  <c r="P20" i="16" s="1"/>
  <c r="O18" i="16"/>
  <c r="P18" i="16" s="1"/>
  <c r="O16" i="16"/>
  <c r="P16" i="16" s="1"/>
  <c r="O15" i="16"/>
  <c r="P15" i="16" s="1"/>
  <c r="O14" i="16"/>
  <c r="P14" i="16" s="1"/>
  <c r="O13" i="16"/>
  <c r="P13" i="16" s="1"/>
  <c r="O12" i="16"/>
  <c r="P12" i="16" s="1"/>
  <c r="O11" i="16"/>
  <c r="P11" i="16" s="1"/>
  <c r="O10" i="16"/>
  <c r="P10" i="16" s="1"/>
  <c r="O9" i="16"/>
  <c r="P9" i="16" s="1"/>
  <c r="O8" i="16"/>
  <c r="P8" i="16" s="1"/>
  <c r="O7" i="16"/>
  <c r="P7" i="16" s="1"/>
  <c r="O6" i="16"/>
  <c r="P6" i="16" s="1"/>
  <c r="O5" i="16"/>
  <c r="P5" i="16" s="1"/>
  <c r="O4" i="16"/>
  <c r="P4" i="16" s="1"/>
  <c r="P586" i="16" l="1"/>
  <c r="U385" i="16"/>
  <c r="U387" i="16"/>
  <c r="U184" i="16"/>
  <c r="U174" i="16"/>
  <c r="U382" i="16"/>
  <c r="U188" i="16"/>
  <c r="U381" i="16"/>
  <c r="U187" i="16"/>
  <c r="U388" i="16"/>
  <c r="U189" i="16"/>
  <c r="U185" i="16"/>
  <c r="U230" i="16"/>
  <c r="U186" i="16"/>
  <c r="U183" i="16"/>
  <c r="O4" i="19"/>
  <c r="P4" i="19" s="1"/>
  <c r="O5" i="19"/>
  <c r="P5" i="19" s="1"/>
  <c r="O6" i="19"/>
  <c r="P6" i="19" s="1"/>
  <c r="O7" i="19"/>
  <c r="P7" i="19" s="1"/>
  <c r="O8" i="19"/>
  <c r="P8" i="19" s="1"/>
  <c r="O9" i="19"/>
  <c r="P9" i="19" s="1"/>
  <c r="O10" i="19"/>
  <c r="P10" i="19" s="1"/>
  <c r="O11" i="19"/>
  <c r="P11" i="19" s="1"/>
  <c r="O12" i="19"/>
  <c r="P12" i="19" s="1"/>
  <c r="O14" i="19"/>
  <c r="P14" i="19" s="1"/>
  <c r="O15" i="19"/>
  <c r="P15" i="19" s="1"/>
  <c r="O16" i="19"/>
  <c r="P16" i="19" s="1"/>
  <c r="O17" i="19"/>
  <c r="P17" i="19" s="1"/>
  <c r="O18" i="19"/>
  <c r="P18" i="19" s="1"/>
  <c r="O19" i="19"/>
  <c r="P19" i="19" s="1"/>
  <c r="O20" i="19"/>
  <c r="P20" i="19" s="1"/>
  <c r="O21" i="19"/>
  <c r="P21" i="19" s="1"/>
  <c r="O22" i="19"/>
  <c r="P22" i="19" s="1"/>
  <c r="O23" i="19"/>
  <c r="P23" i="19" s="1"/>
  <c r="O24" i="19"/>
  <c r="P24" i="19" s="1"/>
  <c r="O25" i="19"/>
  <c r="P25" i="19" s="1"/>
  <c r="O26" i="19"/>
  <c r="P26" i="19" s="1"/>
  <c r="O27" i="19"/>
  <c r="P27" i="19" s="1"/>
  <c r="O28" i="19"/>
  <c r="P28" i="19" s="1"/>
  <c r="O29" i="19"/>
  <c r="P29" i="19" s="1"/>
  <c r="O30" i="19"/>
  <c r="P30" i="19" s="1"/>
  <c r="O31" i="19"/>
  <c r="P31" i="19" s="1"/>
  <c r="O32" i="19"/>
  <c r="P32" i="19" s="1"/>
  <c r="O33" i="19"/>
  <c r="P33" i="19" s="1"/>
  <c r="O34" i="19"/>
  <c r="P34" i="19" s="1"/>
  <c r="O35" i="19"/>
  <c r="P35" i="19" s="1"/>
  <c r="O36" i="19"/>
  <c r="P36" i="19" s="1"/>
  <c r="O37" i="19"/>
  <c r="P37" i="19" s="1"/>
  <c r="O38" i="19"/>
  <c r="P38" i="19" s="1"/>
  <c r="O39" i="19"/>
  <c r="P39" i="19" s="1"/>
  <c r="O40" i="19"/>
  <c r="P40" i="19" s="1"/>
  <c r="O41" i="19"/>
  <c r="P41" i="19" s="1"/>
  <c r="O42" i="19"/>
  <c r="P42" i="19" s="1"/>
  <c r="O43" i="19"/>
  <c r="P43" i="19" s="1"/>
  <c r="O44" i="19"/>
  <c r="P44" i="19" s="1"/>
  <c r="O45" i="19"/>
  <c r="P45" i="19" s="1"/>
  <c r="O46" i="19"/>
  <c r="P46" i="19" s="1"/>
  <c r="O47" i="19"/>
  <c r="P47" i="19" s="1"/>
  <c r="O48" i="19"/>
  <c r="P48" i="19" s="1"/>
  <c r="O49" i="19"/>
  <c r="P49" i="19" s="1"/>
  <c r="O50" i="19"/>
  <c r="P50" i="19" s="1"/>
  <c r="O51" i="19"/>
  <c r="P51" i="19" s="1"/>
  <c r="O52" i="19"/>
  <c r="P52" i="19" s="1"/>
  <c r="O53" i="19"/>
  <c r="P53" i="19" s="1"/>
  <c r="O54" i="19"/>
  <c r="P54" i="19" s="1"/>
  <c r="O55" i="19"/>
  <c r="P55" i="19" s="1"/>
  <c r="O56" i="19"/>
  <c r="P56" i="19" s="1"/>
  <c r="O57" i="19"/>
  <c r="P57" i="19" s="1"/>
  <c r="O58" i="19"/>
  <c r="P58" i="19" s="1"/>
  <c r="O59" i="19"/>
  <c r="P59" i="19" s="1"/>
  <c r="S4" i="19"/>
  <c r="T4" i="19" s="1"/>
  <c r="U4" i="19" s="1"/>
  <c r="S5" i="19"/>
  <c r="T5" i="19" s="1"/>
  <c r="U5" i="19" s="1"/>
  <c r="S6" i="19"/>
  <c r="T6" i="19" s="1"/>
  <c r="U6" i="19" s="1"/>
  <c r="S7" i="19"/>
  <c r="T7" i="19" s="1"/>
  <c r="U7" i="19" s="1"/>
  <c r="S8" i="19"/>
  <c r="T8" i="19" s="1"/>
  <c r="U8" i="19" s="1"/>
  <c r="S9" i="19"/>
  <c r="T9" i="19" s="1"/>
  <c r="U9" i="19" s="1"/>
  <c r="S10" i="19"/>
  <c r="T10" i="19" s="1"/>
  <c r="U10" i="19" s="1"/>
  <c r="S11" i="19"/>
  <c r="T11" i="19" s="1"/>
  <c r="U11" i="19" s="1"/>
  <c r="S12" i="19"/>
  <c r="T12" i="19" s="1"/>
  <c r="U12" i="19" s="1"/>
  <c r="S13" i="19"/>
  <c r="T13" i="19" s="1"/>
  <c r="U13" i="19" s="1"/>
  <c r="S14" i="19"/>
  <c r="T14" i="19" s="1"/>
  <c r="U14" i="19" s="1"/>
  <c r="S15" i="19"/>
  <c r="T15" i="19" s="1"/>
  <c r="U15" i="19" s="1"/>
  <c r="S16" i="19"/>
  <c r="T16" i="19" s="1"/>
  <c r="U16" i="19" s="1"/>
  <c r="S17" i="19"/>
  <c r="T17" i="19" s="1"/>
  <c r="U17" i="19" s="1"/>
  <c r="S18" i="19"/>
  <c r="T18" i="19" s="1"/>
  <c r="U18" i="19" s="1"/>
  <c r="S19" i="19"/>
  <c r="T19" i="19" s="1"/>
  <c r="U19" i="19" s="1"/>
  <c r="S20" i="19"/>
  <c r="T20" i="19" s="1"/>
  <c r="U20" i="19" s="1"/>
  <c r="S21" i="19"/>
  <c r="T21" i="19" s="1"/>
  <c r="U21" i="19" s="1"/>
  <c r="S22" i="19"/>
  <c r="T22" i="19" s="1"/>
  <c r="U22" i="19" s="1"/>
  <c r="S23" i="19"/>
  <c r="T23" i="19" s="1"/>
  <c r="U23" i="19" s="1"/>
  <c r="S24" i="19"/>
  <c r="T24" i="19" s="1"/>
  <c r="U24" i="19" s="1"/>
  <c r="S25" i="19"/>
  <c r="T25" i="19" s="1"/>
  <c r="U25" i="19" s="1"/>
  <c r="S26" i="19"/>
  <c r="T26" i="19" s="1"/>
  <c r="U26" i="19" s="1"/>
  <c r="S27" i="19"/>
  <c r="T27" i="19" s="1"/>
  <c r="U27" i="19" s="1"/>
  <c r="S28" i="19"/>
  <c r="T28" i="19" s="1"/>
  <c r="U28" i="19" s="1"/>
  <c r="S29" i="19"/>
  <c r="T29" i="19" s="1"/>
  <c r="U29" i="19" s="1"/>
  <c r="S30" i="19"/>
  <c r="T30" i="19" s="1"/>
  <c r="U30" i="19" s="1"/>
  <c r="S31" i="19"/>
  <c r="T31" i="19" s="1"/>
  <c r="U31" i="19" s="1"/>
  <c r="S32" i="19"/>
  <c r="T32" i="19" s="1"/>
  <c r="U32" i="19" s="1"/>
  <c r="S33" i="19"/>
  <c r="T33" i="19" s="1"/>
  <c r="U33" i="19" s="1"/>
  <c r="S34" i="19"/>
  <c r="T34" i="19" s="1"/>
  <c r="U34" i="19" s="1"/>
  <c r="S35" i="19"/>
  <c r="T35" i="19" s="1"/>
  <c r="U35" i="19" s="1"/>
  <c r="S36" i="19"/>
  <c r="T36" i="19" s="1"/>
  <c r="U36" i="19" s="1"/>
  <c r="S37" i="19"/>
  <c r="T37" i="19" s="1"/>
  <c r="U37" i="19" s="1"/>
  <c r="S38" i="19"/>
  <c r="T38" i="19" s="1"/>
  <c r="U38" i="19" s="1"/>
  <c r="S39" i="19"/>
  <c r="T39" i="19" s="1"/>
  <c r="U39" i="19" s="1"/>
  <c r="S40" i="19"/>
  <c r="T40" i="19" s="1"/>
  <c r="U40" i="19" s="1"/>
  <c r="S41" i="19"/>
  <c r="T41" i="19" s="1"/>
  <c r="U41" i="19" s="1"/>
  <c r="S42" i="19"/>
  <c r="T42" i="19" s="1"/>
  <c r="U42" i="19" s="1"/>
  <c r="S43" i="19"/>
  <c r="T43" i="19" s="1"/>
  <c r="U43" i="19" s="1"/>
  <c r="S44" i="19"/>
  <c r="T44" i="19" s="1"/>
  <c r="U44" i="19" s="1"/>
  <c r="S45" i="19"/>
  <c r="T45" i="19" s="1"/>
  <c r="U45" i="19" s="1"/>
  <c r="S46" i="19"/>
  <c r="T46" i="19" s="1"/>
  <c r="U46" i="19" s="1"/>
  <c r="S47" i="19"/>
  <c r="T47" i="19" s="1"/>
  <c r="U47" i="19" s="1"/>
  <c r="S48" i="19"/>
  <c r="T48" i="19" s="1"/>
  <c r="U48" i="19" s="1"/>
  <c r="S49" i="19"/>
  <c r="T49" i="19" s="1"/>
  <c r="U49" i="19" s="1"/>
  <c r="S50" i="19"/>
  <c r="T50" i="19" s="1"/>
  <c r="U50" i="19" s="1"/>
  <c r="S51" i="19"/>
  <c r="T51" i="19" s="1"/>
  <c r="U51" i="19" s="1"/>
  <c r="S52" i="19"/>
  <c r="T52" i="19" s="1"/>
  <c r="U52" i="19" s="1"/>
  <c r="S53" i="19"/>
  <c r="T53" i="19" s="1"/>
  <c r="U53" i="19" s="1"/>
  <c r="S54" i="19"/>
  <c r="T54" i="19" s="1"/>
  <c r="U54" i="19" s="1"/>
  <c r="S55" i="19"/>
  <c r="T55" i="19" s="1"/>
  <c r="U55" i="19" s="1"/>
  <c r="S56" i="19"/>
  <c r="T56" i="19" s="1"/>
  <c r="U56" i="19" s="1"/>
  <c r="S57" i="19"/>
  <c r="T57" i="19" s="1"/>
  <c r="U57" i="19" s="1"/>
  <c r="S58" i="19"/>
  <c r="T58" i="19" s="1"/>
  <c r="U58" i="19" s="1"/>
  <c r="S59" i="19"/>
  <c r="U586" i="16" l="1"/>
  <c r="T59" i="19"/>
  <c r="U59" i="19" s="1"/>
  <c r="S195" i="17"/>
  <c r="T195" i="17" s="1"/>
  <c r="U195" i="17" s="1"/>
  <c r="S194" i="17"/>
  <c r="T194" i="17" s="1"/>
  <c r="U194" i="17" s="1"/>
  <c r="S193" i="17"/>
  <c r="T193" i="17" s="1"/>
  <c r="U193" i="17" s="1"/>
  <c r="S192" i="17"/>
  <c r="T192" i="17" s="1"/>
  <c r="U192" i="17" s="1"/>
  <c r="S191" i="17"/>
  <c r="T191" i="17" s="1"/>
  <c r="U191" i="17" s="1"/>
  <c r="S190" i="17"/>
  <c r="T190" i="17" s="1"/>
  <c r="U190" i="17" s="1"/>
  <c r="S189" i="17"/>
  <c r="T189" i="17" s="1"/>
  <c r="U189" i="17" s="1"/>
  <c r="S188" i="17"/>
  <c r="T188" i="17" s="1"/>
  <c r="U188" i="17" s="1"/>
  <c r="S187" i="17"/>
  <c r="T187" i="17" s="1"/>
  <c r="U187" i="17" s="1"/>
  <c r="S186" i="17"/>
  <c r="T186" i="17" s="1"/>
  <c r="U186" i="17" s="1"/>
  <c r="S185" i="17"/>
  <c r="T185" i="17" s="1"/>
  <c r="U185" i="17" s="1"/>
  <c r="S184" i="17"/>
  <c r="T184" i="17" s="1"/>
  <c r="U184" i="17" s="1"/>
  <c r="S183" i="17"/>
  <c r="T183" i="17" s="1"/>
  <c r="U183" i="17" s="1"/>
  <c r="S182" i="17"/>
  <c r="T182" i="17" s="1"/>
  <c r="U182" i="17" s="1"/>
  <c r="S181" i="17"/>
  <c r="T181" i="17" s="1"/>
  <c r="U181" i="17" s="1"/>
  <c r="S180" i="17"/>
  <c r="T180" i="17" s="1"/>
  <c r="U180" i="17" s="1"/>
  <c r="S179" i="17"/>
  <c r="T179" i="17" s="1"/>
  <c r="U179" i="17" s="1"/>
  <c r="S178" i="17"/>
  <c r="T178" i="17" s="1"/>
  <c r="U178" i="17" s="1"/>
  <c r="S177" i="17"/>
  <c r="T177" i="17" s="1"/>
  <c r="U177" i="17" s="1"/>
  <c r="S176" i="17"/>
  <c r="T176" i="17" s="1"/>
  <c r="U176" i="17" s="1"/>
  <c r="S175" i="17"/>
  <c r="T175" i="17" s="1"/>
  <c r="U175" i="17" s="1"/>
  <c r="S174" i="17"/>
  <c r="T174" i="17" s="1"/>
  <c r="U174" i="17" s="1"/>
  <c r="S173" i="17"/>
  <c r="T173" i="17" s="1"/>
  <c r="U173" i="17" s="1"/>
  <c r="S172" i="17"/>
  <c r="T172" i="17" s="1"/>
  <c r="U172" i="17" s="1"/>
  <c r="S171" i="17"/>
  <c r="T171" i="17" s="1"/>
  <c r="U171" i="17" s="1"/>
  <c r="S170" i="17"/>
  <c r="T170" i="17" s="1"/>
  <c r="U170" i="17" s="1"/>
  <c r="S169" i="17"/>
  <c r="T169" i="17" s="1"/>
  <c r="U169" i="17" s="1"/>
  <c r="S168" i="17"/>
  <c r="T168" i="17" s="1"/>
  <c r="U168" i="17" s="1"/>
  <c r="S167" i="17"/>
  <c r="T167" i="17" s="1"/>
  <c r="U167" i="17" s="1"/>
  <c r="S166" i="17"/>
  <c r="T166" i="17" s="1"/>
  <c r="U166" i="17" s="1"/>
  <c r="S165" i="17"/>
  <c r="T165" i="17" s="1"/>
  <c r="U165" i="17" s="1"/>
  <c r="S164" i="17"/>
  <c r="T164" i="17" s="1"/>
  <c r="U164" i="17" s="1"/>
  <c r="S163" i="17"/>
  <c r="T163" i="17" s="1"/>
  <c r="U163" i="17" s="1"/>
  <c r="S162" i="17"/>
  <c r="T162" i="17" s="1"/>
  <c r="U162" i="17" s="1"/>
  <c r="S161" i="17"/>
  <c r="T161" i="17" s="1"/>
  <c r="U161" i="17" s="1"/>
  <c r="S160" i="17"/>
  <c r="T160" i="17" s="1"/>
  <c r="U160" i="17" s="1"/>
  <c r="S159" i="17"/>
  <c r="T159" i="17" s="1"/>
  <c r="U159" i="17" s="1"/>
  <c r="S158" i="17"/>
  <c r="T158" i="17" s="1"/>
  <c r="U158" i="17" s="1"/>
  <c r="S157" i="17"/>
  <c r="T157" i="17" s="1"/>
  <c r="U157" i="17" s="1"/>
  <c r="S156" i="17"/>
  <c r="T156" i="17" s="1"/>
  <c r="U156" i="17" s="1"/>
  <c r="S155" i="17"/>
  <c r="T155" i="17" s="1"/>
  <c r="U155" i="17" s="1"/>
  <c r="S154" i="17"/>
  <c r="T154" i="17" s="1"/>
  <c r="U154" i="17" s="1"/>
  <c r="S153" i="17"/>
  <c r="T153" i="17" s="1"/>
  <c r="U153" i="17" s="1"/>
  <c r="S152" i="17"/>
  <c r="T152" i="17" s="1"/>
  <c r="U152" i="17" s="1"/>
  <c r="S151" i="17"/>
  <c r="T151" i="17" s="1"/>
  <c r="U151" i="17" s="1"/>
  <c r="S150" i="17"/>
  <c r="T150" i="17" s="1"/>
  <c r="U150" i="17" s="1"/>
  <c r="S149" i="17"/>
  <c r="T149" i="17" s="1"/>
  <c r="U149" i="17" s="1"/>
  <c r="S148" i="17"/>
  <c r="T148" i="17" s="1"/>
  <c r="U148" i="17" s="1"/>
  <c r="S147" i="17"/>
  <c r="T147" i="17" s="1"/>
  <c r="U147" i="17" s="1"/>
  <c r="S146" i="17"/>
  <c r="T146" i="17" s="1"/>
  <c r="U146" i="17" s="1"/>
  <c r="S145" i="17"/>
  <c r="T145" i="17" s="1"/>
  <c r="U145" i="17" s="1"/>
  <c r="S144" i="17"/>
  <c r="T144" i="17" s="1"/>
  <c r="U144" i="17" s="1"/>
  <c r="S143" i="17"/>
  <c r="T143" i="17" s="1"/>
  <c r="U143" i="17" s="1"/>
  <c r="S142" i="17"/>
  <c r="T142" i="17" s="1"/>
  <c r="U142" i="17" s="1"/>
  <c r="S141" i="17"/>
  <c r="T141" i="17" s="1"/>
  <c r="U141" i="17" s="1"/>
  <c r="S140" i="17"/>
  <c r="T140" i="17" s="1"/>
  <c r="U140" i="17" s="1"/>
  <c r="S139" i="17"/>
  <c r="T139" i="17" s="1"/>
  <c r="U139" i="17" s="1"/>
  <c r="S138" i="17"/>
  <c r="T138" i="17" s="1"/>
  <c r="U138" i="17" s="1"/>
  <c r="S137" i="17"/>
  <c r="T137" i="17" s="1"/>
  <c r="U137" i="17" s="1"/>
  <c r="S136" i="17"/>
  <c r="T136" i="17" s="1"/>
  <c r="U136" i="17" s="1"/>
  <c r="S135" i="17"/>
  <c r="T135" i="17" s="1"/>
  <c r="U135" i="17" s="1"/>
  <c r="S134" i="17"/>
  <c r="T134" i="17" s="1"/>
  <c r="U134" i="17" s="1"/>
  <c r="S133" i="17"/>
  <c r="T133" i="17" s="1"/>
  <c r="U133" i="17" s="1"/>
  <c r="S132" i="17"/>
  <c r="T132" i="17" s="1"/>
  <c r="U132" i="17" s="1"/>
  <c r="S131" i="17"/>
  <c r="T131" i="17" s="1"/>
  <c r="U131" i="17" s="1"/>
  <c r="S130" i="17"/>
  <c r="T130" i="17" s="1"/>
  <c r="U130" i="17" s="1"/>
  <c r="S129" i="17"/>
  <c r="T129" i="17" s="1"/>
  <c r="U129" i="17" s="1"/>
  <c r="S128" i="17"/>
  <c r="T128" i="17" s="1"/>
  <c r="U128" i="17" s="1"/>
  <c r="S127" i="17"/>
  <c r="T127" i="17" s="1"/>
  <c r="U127" i="17" s="1"/>
  <c r="S126" i="17"/>
  <c r="T126" i="17" s="1"/>
  <c r="U126" i="17" s="1"/>
  <c r="S125" i="17"/>
  <c r="T125" i="17" s="1"/>
  <c r="U125" i="17" s="1"/>
  <c r="S124" i="17"/>
  <c r="T124" i="17" s="1"/>
  <c r="U124" i="17" s="1"/>
  <c r="S123" i="17"/>
  <c r="T123" i="17" s="1"/>
  <c r="U123" i="17" s="1"/>
  <c r="S122" i="17"/>
  <c r="T122" i="17" s="1"/>
  <c r="U122" i="17" s="1"/>
  <c r="S121" i="17"/>
  <c r="T121" i="17" s="1"/>
  <c r="U121" i="17" s="1"/>
  <c r="S120" i="17"/>
  <c r="T120" i="17" s="1"/>
  <c r="U120" i="17" s="1"/>
  <c r="S119" i="17"/>
  <c r="T119" i="17" s="1"/>
  <c r="U119" i="17" s="1"/>
  <c r="S118" i="17"/>
  <c r="T118" i="17" s="1"/>
  <c r="U118" i="17" s="1"/>
  <c r="S117" i="17"/>
  <c r="T117" i="17" s="1"/>
  <c r="U117" i="17" s="1"/>
  <c r="S116" i="17"/>
  <c r="T116" i="17" s="1"/>
  <c r="U116" i="17" s="1"/>
  <c r="S115" i="17"/>
  <c r="T115" i="17" s="1"/>
  <c r="U115" i="17" s="1"/>
  <c r="S114" i="17"/>
  <c r="T114" i="17" s="1"/>
  <c r="U114" i="17" s="1"/>
  <c r="S113" i="17"/>
  <c r="T113" i="17" s="1"/>
  <c r="U113" i="17" s="1"/>
  <c r="S112" i="17"/>
  <c r="T112" i="17" s="1"/>
  <c r="U112" i="17" s="1"/>
  <c r="S111" i="17"/>
  <c r="T111" i="17" s="1"/>
  <c r="U111" i="17" s="1"/>
  <c r="S110" i="17"/>
  <c r="T110" i="17" s="1"/>
  <c r="U110" i="17" s="1"/>
  <c r="S109" i="17"/>
  <c r="T109" i="17" s="1"/>
  <c r="U109" i="17" s="1"/>
  <c r="S108" i="17"/>
  <c r="T108" i="17" s="1"/>
  <c r="U108" i="17" s="1"/>
  <c r="S107" i="17"/>
  <c r="T107" i="17" s="1"/>
  <c r="U107" i="17" s="1"/>
  <c r="S106" i="17"/>
  <c r="T106" i="17" s="1"/>
  <c r="U106" i="17" s="1"/>
  <c r="S105" i="17"/>
  <c r="T105" i="17" s="1"/>
  <c r="U105" i="17" s="1"/>
  <c r="S104" i="17"/>
  <c r="T104" i="17" s="1"/>
  <c r="U104" i="17" s="1"/>
  <c r="S103" i="17"/>
  <c r="T103" i="17" s="1"/>
  <c r="U103" i="17" s="1"/>
  <c r="S102" i="17"/>
  <c r="T102" i="17" s="1"/>
  <c r="U102" i="17" s="1"/>
  <c r="S101" i="17"/>
  <c r="T101" i="17" s="1"/>
  <c r="U101" i="17" s="1"/>
  <c r="S100" i="17"/>
  <c r="T100" i="17" s="1"/>
  <c r="U100" i="17" s="1"/>
  <c r="S99" i="17"/>
  <c r="T99" i="17" s="1"/>
  <c r="U99" i="17" s="1"/>
  <c r="T98" i="17"/>
  <c r="U98" i="17" s="1"/>
  <c r="T97" i="17"/>
  <c r="U97" i="17" s="1"/>
  <c r="S96" i="17"/>
  <c r="T96" i="17" s="1"/>
  <c r="U96" i="17" s="1"/>
  <c r="S95" i="17"/>
  <c r="T95" i="17" s="1"/>
  <c r="U95" i="17" s="1"/>
  <c r="S94" i="17"/>
  <c r="T94" i="17" s="1"/>
  <c r="U94" i="17" s="1"/>
  <c r="S93" i="17"/>
  <c r="T93" i="17" s="1"/>
  <c r="U93" i="17" s="1"/>
  <c r="S92" i="17"/>
  <c r="T92" i="17" s="1"/>
  <c r="U92" i="17" s="1"/>
  <c r="S91" i="17"/>
  <c r="T91" i="17" s="1"/>
  <c r="U91" i="17" s="1"/>
  <c r="S90" i="17"/>
  <c r="T90" i="17" s="1"/>
  <c r="U90" i="17" s="1"/>
  <c r="S89" i="17"/>
  <c r="T89" i="17" s="1"/>
  <c r="U89" i="17" s="1"/>
  <c r="S88" i="17"/>
  <c r="T88" i="17" s="1"/>
  <c r="U88" i="17" s="1"/>
  <c r="S87" i="17"/>
  <c r="T87" i="17" s="1"/>
  <c r="U87" i="17" s="1"/>
  <c r="S86" i="17"/>
  <c r="T86" i="17" s="1"/>
  <c r="U86" i="17" s="1"/>
  <c r="S85" i="17"/>
  <c r="T85" i="17" s="1"/>
  <c r="U85" i="17" s="1"/>
  <c r="S84" i="17"/>
  <c r="T84" i="17" s="1"/>
  <c r="U84" i="17" s="1"/>
  <c r="S83" i="17"/>
  <c r="T83" i="17" s="1"/>
  <c r="U83" i="17" s="1"/>
  <c r="S82" i="17"/>
  <c r="T82" i="17" s="1"/>
  <c r="U82" i="17" s="1"/>
  <c r="S81" i="17"/>
  <c r="T81" i="17" s="1"/>
  <c r="U81" i="17" s="1"/>
  <c r="S80" i="17"/>
  <c r="T80" i="17" s="1"/>
  <c r="U80" i="17" s="1"/>
  <c r="S79" i="17"/>
  <c r="T79" i="17" s="1"/>
  <c r="U79" i="17" s="1"/>
  <c r="S78" i="17"/>
  <c r="T78" i="17" s="1"/>
  <c r="U78" i="17" s="1"/>
  <c r="S77" i="17"/>
  <c r="T77" i="17" s="1"/>
  <c r="U77" i="17" s="1"/>
  <c r="S76" i="17"/>
  <c r="T76" i="17" s="1"/>
  <c r="U76" i="17" s="1"/>
  <c r="S75" i="17"/>
  <c r="T75" i="17" s="1"/>
  <c r="U75" i="17" s="1"/>
  <c r="S74" i="17"/>
  <c r="T74" i="17" s="1"/>
  <c r="U74" i="17" s="1"/>
  <c r="S73" i="17"/>
  <c r="T73" i="17" s="1"/>
  <c r="U73" i="17" s="1"/>
  <c r="S72" i="17"/>
  <c r="T72" i="17" s="1"/>
  <c r="U72" i="17" s="1"/>
  <c r="S71" i="17"/>
  <c r="T71" i="17" s="1"/>
  <c r="U71" i="17" s="1"/>
  <c r="S70" i="17"/>
  <c r="T70" i="17" s="1"/>
  <c r="U70" i="17" s="1"/>
  <c r="S69" i="17"/>
  <c r="T69" i="17" s="1"/>
  <c r="U69" i="17" s="1"/>
  <c r="S68" i="17"/>
  <c r="T68" i="17" s="1"/>
  <c r="U68" i="17" s="1"/>
  <c r="S67" i="17"/>
  <c r="T67" i="17" s="1"/>
  <c r="U67" i="17" s="1"/>
  <c r="S66" i="17"/>
  <c r="T66" i="17" s="1"/>
  <c r="U66" i="17" s="1"/>
  <c r="S65" i="17"/>
  <c r="T65" i="17" s="1"/>
  <c r="U65" i="17" s="1"/>
  <c r="S64" i="17"/>
  <c r="T64" i="17" s="1"/>
  <c r="U64" i="17" s="1"/>
  <c r="S63" i="17"/>
  <c r="T63" i="17" s="1"/>
  <c r="U63" i="17" s="1"/>
  <c r="S62" i="17"/>
  <c r="T62" i="17" s="1"/>
  <c r="U62" i="17" s="1"/>
  <c r="S61" i="17"/>
  <c r="T61" i="17" s="1"/>
  <c r="U61" i="17" s="1"/>
  <c r="S60" i="17"/>
  <c r="T60" i="17" s="1"/>
  <c r="U60" i="17" s="1"/>
  <c r="S59" i="17"/>
  <c r="T59" i="17" s="1"/>
  <c r="U59" i="17" s="1"/>
  <c r="S58" i="17"/>
  <c r="T58" i="17" s="1"/>
  <c r="U58" i="17" s="1"/>
  <c r="S57" i="17"/>
  <c r="T57" i="17" s="1"/>
  <c r="U57" i="17" s="1"/>
  <c r="S56" i="17"/>
  <c r="T56" i="17" s="1"/>
  <c r="U56" i="17" s="1"/>
  <c r="S55" i="17"/>
  <c r="T55" i="17" s="1"/>
  <c r="U55" i="17" s="1"/>
  <c r="S54" i="17"/>
  <c r="T54" i="17" s="1"/>
  <c r="U54" i="17" s="1"/>
  <c r="S53" i="17"/>
  <c r="T53" i="17" s="1"/>
  <c r="U53" i="17" s="1"/>
  <c r="S52" i="17"/>
  <c r="T52" i="17" s="1"/>
  <c r="U52" i="17" s="1"/>
  <c r="S51" i="17"/>
  <c r="T51" i="17" s="1"/>
  <c r="U51" i="17" s="1"/>
  <c r="S50" i="17"/>
  <c r="T50" i="17" s="1"/>
  <c r="U50" i="17" s="1"/>
  <c r="S49" i="17"/>
  <c r="T49" i="17" s="1"/>
  <c r="U49" i="17" s="1"/>
  <c r="S48" i="17"/>
  <c r="T48" i="17" s="1"/>
  <c r="U48" i="17" s="1"/>
  <c r="S47" i="17"/>
  <c r="T47" i="17" s="1"/>
  <c r="U47" i="17" s="1"/>
  <c r="S46" i="17"/>
  <c r="T46" i="17" s="1"/>
  <c r="U46" i="17" s="1"/>
  <c r="S45" i="17"/>
  <c r="T45" i="17" s="1"/>
  <c r="U45" i="17" s="1"/>
  <c r="S44" i="17"/>
  <c r="T44" i="17" s="1"/>
  <c r="U44" i="17" s="1"/>
  <c r="S43" i="17"/>
  <c r="T43" i="17" s="1"/>
  <c r="U43" i="17" s="1"/>
  <c r="S42" i="17"/>
  <c r="T42" i="17" s="1"/>
  <c r="U42" i="17" s="1"/>
  <c r="S41" i="17"/>
  <c r="T41" i="17" s="1"/>
  <c r="U41" i="17" s="1"/>
  <c r="S40" i="17"/>
  <c r="T40" i="17" s="1"/>
  <c r="U40" i="17" s="1"/>
  <c r="S39" i="17"/>
  <c r="T39" i="17" s="1"/>
  <c r="U39" i="17" s="1"/>
  <c r="S38" i="17"/>
  <c r="T38" i="17" s="1"/>
  <c r="U38" i="17" s="1"/>
  <c r="S37" i="17"/>
  <c r="T37" i="17" s="1"/>
  <c r="U37" i="17" s="1"/>
  <c r="S36" i="17"/>
  <c r="T36" i="17" s="1"/>
  <c r="U36" i="17" s="1"/>
  <c r="S35" i="17"/>
  <c r="T35" i="17" s="1"/>
  <c r="U35" i="17" s="1"/>
  <c r="S34" i="17"/>
  <c r="T34" i="17" s="1"/>
  <c r="U34" i="17" s="1"/>
  <c r="S33" i="17"/>
  <c r="T33" i="17" s="1"/>
  <c r="U33" i="17" s="1"/>
  <c r="S32" i="17"/>
  <c r="T32" i="17" s="1"/>
  <c r="U32" i="17" s="1"/>
  <c r="S31" i="17"/>
  <c r="T31" i="17" s="1"/>
  <c r="U31" i="17" s="1"/>
  <c r="S30" i="17"/>
  <c r="T30" i="17" s="1"/>
  <c r="U30" i="17" s="1"/>
  <c r="S29" i="17"/>
  <c r="T29" i="17" s="1"/>
  <c r="U29" i="17" s="1"/>
  <c r="S28" i="17"/>
  <c r="T28" i="17" s="1"/>
  <c r="U28" i="17" s="1"/>
  <c r="S27" i="17"/>
  <c r="T27" i="17" s="1"/>
  <c r="U27" i="17" s="1"/>
  <c r="S26" i="17"/>
  <c r="T26" i="17" s="1"/>
  <c r="U26" i="17" s="1"/>
  <c r="S25" i="17"/>
  <c r="T25" i="17" s="1"/>
  <c r="U25" i="17" s="1"/>
  <c r="S24" i="17"/>
  <c r="T24" i="17" s="1"/>
  <c r="U24" i="17" s="1"/>
  <c r="S23" i="17"/>
  <c r="T23" i="17" s="1"/>
  <c r="U23" i="17" s="1"/>
  <c r="S22" i="17"/>
  <c r="T22" i="17" s="1"/>
  <c r="U22" i="17" s="1"/>
  <c r="S21" i="17"/>
  <c r="T21" i="17" s="1"/>
  <c r="U21" i="17" s="1"/>
  <c r="S20" i="17"/>
  <c r="T20" i="17" s="1"/>
  <c r="U20" i="17" s="1"/>
  <c r="S19" i="17"/>
  <c r="T19" i="17" s="1"/>
  <c r="U19" i="17" s="1"/>
  <c r="S18" i="17"/>
  <c r="T18" i="17" s="1"/>
  <c r="U18" i="17" s="1"/>
  <c r="S17" i="17"/>
  <c r="T17" i="17" s="1"/>
  <c r="U17" i="17" s="1"/>
  <c r="S16" i="17"/>
  <c r="T16" i="17" s="1"/>
  <c r="U16" i="17" s="1"/>
  <c r="S15" i="17"/>
  <c r="T15" i="17" s="1"/>
  <c r="U15" i="17" s="1"/>
  <c r="S14" i="17"/>
  <c r="T14" i="17" s="1"/>
  <c r="U14" i="17" s="1"/>
  <c r="S13" i="17"/>
  <c r="T13" i="17" s="1"/>
  <c r="U13" i="17" s="1"/>
  <c r="S12" i="17"/>
  <c r="T12" i="17" s="1"/>
  <c r="U12" i="17" s="1"/>
  <c r="S11" i="17"/>
  <c r="T11" i="17" s="1"/>
  <c r="U11" i="17" s="1"/>
  <c r="S10" i="17"/>
  <c r="T10" i="17" s="1"/>
  <c r="U10" i="17" s="1"/>
  <c r="S9" i="17"/>
  <c r="T9" i="17" s="1"/>
  <c r="U9" i="17" s="1"/>
  <c r="S8" i="17"/>
  <c r="T8" i="17" s="1"/>
  <c r="U8" i="17" s="1"/>
  <c r="S7" i="17"/>
  <c r="T7" i="17" s="1"/>
  <c r="U7" i="17" s="1"/>
  <c r="S6" i="17"/>
  <c r="T6" i="17" s="1"/>
  <c r="U6" i="17" s="1"/>
  <c r="O195" i="17"/>
  <c r="P195" i="17" s="1"/>
  <c r="O194" i="17"/>
  <c r="P194" i="17" s="1"/>
  <c r="O193" i="17"/>
  <c r="P193" i="17" s="1"/>
  <c r="O192" i="17"/>
  <c r="P192" i="17" s="1"/>
  <c r="O191" i="17"/>
  <c r="P191" i="17" s="1"/>
  <c r="O190" i="17"/>
  <c r="P190" i="17" s="1"/>
  <c r="O189" i="17"/>
  <c r="P189" i="17" s="1"/>
  <c r="O188" i="17"/>
  <c r="P188" i="17" s="1"/>
  <c r="O187" i="17"/>
  <c r="P187" i="17" s="1"/>
  <c r="O186" i="17"/>
  <c r="P186" i="17" s="1"/>
  <c r="O185" i="17"/>
  <c r="P185" i="17" s="1"/>
  <c r="O184" i="17"/>
  <c r="P184" i="17" s="1"/>
  <c r="O183" i="17"/>
  <c r="P183" i="17" s="1"/>
  <c r="O182" i="17"/>
  <c r="P182" i="17" s="1"/>
  <c r="O181" i="17"/>
  <c r="P181" i="17" s="1"/>
  <c r="O180" i="17"/>
  <c r="P180" i="17" s="1"/>
  <c r="O179" i="17"/>
  <c r="P179" i="17" s="1"/>
  <c r="O178" i="17"/>
  <c r="P178" i="17" s="1"/>
  <c r="O177" i="17"/>
  <c r="P177" i="17" s="1"/>
  <c r="O176" i="17"/>
  <c r="P176" i="17" s="1"/>
  <c r="O175" i="17"/>
  <c r="P175" i="17" s="1"/>
  <c r="O174" i="17"/>
  <c r="P174" i="17" s="1"/>
  <c r="O173" i="17"/>
  <c r="P173" i="17" s="1"/>
  <c r="O172" i="17"/>
  <c r="P172" i="17" s="1"/>
  <c r="O171" i="17"/>
  <c r="P171" i="17" s="1"/>
  <c r="O170" i="17"/>
  <c r="P170" i="17" s="1"/>
  <c r="O169" i="17"/>
  <c r="P169" i="17" s="1"/>
  <c r="O168" i="17"/>
  <c r="P168" i="17" s="1"/>
  <c r="O167" i="17"/>
  <c r="P167" i="17" s="1"/>
  <c r="O166" i="17"/>
  <c r="P166" i="17" s="1"/>
  <c r="O165" i="17"/>
  <c r="P165" i="17" s="1"/>
  <c r="O164" i="17"/>
  <c r="P164" i="17" s="1"/>
  <c r="O163" i="17"/>
  <c r="P163" i="17" s="1"/>
  <c r="O162" i="17"/>
  <c r="P162" i="17" s="1"/>
  <c r="O161" i="17"/>
  <c r="P161" i="17" s="1"/>
  <c r="O160" i="17"/>
  <c r="P160" i="17" s="1"/>
  <c r="O159" i="17"/>
  <c r="P159" i="17" s="1"/>
  <c r="O158" i="17"/>
  <c r="P158" i="17" s="1"/>
  <c r="O157" i="17"/>
  <c r="P157" i="17" s="1"/>
  <c r="O156" i="17"/>
  <c r="P156" i="17" s="1"/>
  <c r="O155" i="17"/>
  <c r="P155" i="17" s="1"/>
  <c r="O154" i="17"/>
  <c r="P154" i="17" s="1"/>
  <c r="O153" i="17"/>
  <c r="P153" i="17" s="1"/>
  <c r="O152" i="17"/>
  <c r="P152" i="17" s="1"/>
  <c r="O151" i="17"/>
  <c r="P151" i="17" s="1"/>
  <c r="O150" i="17"/>
  <c r="P150" i="17" s="1"/>
  <c r="O149" i="17"/>
  <c r="P149" i="17" s="1"/>
  <c r="O148" i="17"/>
  <c r="P148" i="17" s="1"/>
  <c r="O147" i="17"/>
  <c r="P147" i="17" s="1"/>
  <c r="O146" i="17"/>
  <c r="P146" i="17" s="1"/>
  <c r="O145" i="17"/>
  <c r="P145" i="17" s="1"/>
  <c r="O144" i="17"/>
  <c r="P144" i="17" s="1"/>
  <c r="O143" i="17"/>
  <c r="P143" i="17" s="1"/>
  <c r="O142" i="17"/>
  <c r="P142" i="17" s="1"/>
  <c r="O141" i="17"/>
  <c r="P141" i="17" s="1"/>
  <c r="O140" i="17"/>
  <c r="P140" i="17" s="1"/>
  <c r="O139" i="17"/>
  <c r="P139" i="17" s="1"/>
  <c r="O138" i="17"/>
  <c r="P138" i="17" s="1"/>
  <c r="O137" i="17"/>
  <c r="P137" i="17" s="1"/>
  <c r="O136" i="17"/>
  <c r="P136" i="17" s="1"/>
  <c r="O135" i="17"/>
  <c r="P135" i="17" s="1"/>
  <c r="O134" i="17"/>
  <c r="P134" i="17" s="1"/>
  <c r="O133" i="17"/>
  <c r="P133" i="17" s="1"/>
  <c r="O132" i="17"/>
  <c r="P132" i="17" s="1"/>
  <c r="O131" i="17"/>
  <c r="P131" i="17" s="1"/>
  <c r="O130" i="17"/>
  <c r="P130" i="17" s="1"/>
  <c r="O129" i="17"/>
  <c r="P129" i="17" s="1"/>
  <c r="O128" i="17"/>
  <c r="P128" i="17" s="1"/>
  <c r="O127" i="17"/>
  <c r="P127" i="17" s="1"/>
  <c r="O126" i="17"/>
  <c r="P126" i="17" s="1"/>
  <c r="O125" i="17"/>
  <c r="P125" i="17" s="1"/>
  <c r="O124" i="17"/>
  <c r="P124" i="17" s="1"/>
  <c r="O123" i="17"/>
  <c r="P123" i="17" s="1"/>
  <c r="O122" i="17"/>
  <c r="P122" i="17" s="1"/>
  <c r="O121" i="17"/>
  <c r="P121" i="17" s="1"/>
  <c r="O120" i="17"/>
  <c r="P120" i="17" s="1"/>
  <c r="O119" i="17"/>
  <c r="P119" i="17" s="1"/>
  <c r="O118" i="17"/>
  <c r="P118" i="17" s="1"/>
  <c r="O117" i="17"/>
  <c r="P117" i="17" s="1"/>
  <c r="O116" i="17"/>
  <c r="P116" i="17" s="1"/>
  <c r="O115" i="17"/>
  <c r="P115" i="17" s="1"/>
  <c r="O114" i="17"/>
  <c r="P114" i="17" s="1"/>
  <c r="O113" i="17"/>
  <c r="P113" i="17" s="1"/>
  <c r="O112" i="17"/>
  <c r="P112" i="17" s="1"/>
  <c r="O111" i="17"/>
  <c r="P111" i="17" s="1"/>
  <c r="O110" i="17"/>
  <c r="P110" i="17" s="1"/>
  <c r="O109" i="17"/>
  <c r="P109" i="17" s="1"/>
  <c r="O108" i="17"/>
  <c r="P108" i="17" s="1"/>
  <c r="O107" i="17"/>
  <c r="P107" i="17" s="1"/>
  <c r="O106" i="17"/>
  <c r="P106" i="17" s="1"/>
  <c r="O105" i="17"/>
  <c r="P105" i="17" s="1"/>
  <c r="O104" i="17"/>
  <c r="P104" i="17" s="1"/>
  <c r="O103" i="17"/>
  <c r="P103" i="17" s="1"/>
  <c r="O102" i="17"/>
  <c r="P102" i="17" s="1"/>
  <c r="O101" i="17"/>
  <c r="P101" i="17" s="1"/>
  <c r="O100" i="17"/>
  <c r="P100" i="17" s="1"/>
  <c r="O99" i="17"/>
  <c r="P99" i="17" s="1"/>
  <c r="O98" i="17"/>
  <c r="P98" i="17" s="1"/>
  <c r="O97" i="17"/>
  <c r="P97" i="17" s="1"/>
  <c r="O96" i="17"/>
  <c r="P96" i="17" s="1"/>
  <c r="O95" i="17"/>
  <c r="P95" i="17" s="1"/>
  <c r="O94" i="17"/>
  <c r="P94" i="17" s="1"/>
  <c r="O93" i="17"/>
  <c r="P93" i="17" s="1"/>
  <c r="O92" i="17"/>
  <c r="P92" i="17" s="1"/>
  <c r="O91" i="17"/>
  <c r="P91" i="17" s="1"/>
  <c r="O90" i="17"/>
  <c r="P90" i="17" s="1"/>
  <c r="O89" i="17"/>
  <c r="P89" i="17" s="1"/>
  <c r="O88" i="17"/>
  <c r="P88" i="17" s="1"/>
  <c r="O87" i="17"/>
  <c r="P87" i="17" s="1"/>
  <c r="O86" i="17"/>
  <c r="P86" i="17" s="1"/>
  <c r="O85" i="17"/>
  <c r="P85" i="17" s="1"/>
  <c r="O84" i="17"/>
  <c r="P84" i="17" s="1"/>
  <c r="O83" i="17"/>
  <c r="P83" i="17" s="1"/>
  <c r="O82" i="17"/>
  <c r="P82" i="17" s="1"/>
  <c r="O81" i="17"/>
  <c r="P81" i="17" s="1"/>
  <c r="O80" i="17"/>
  <c r="P80" i="17" s="1"/>
  <c r="O79" i="17"/>
  <c r="P79" i="17" s="1"/>
  <c r="O78" i="17"/>
  <c r="P78" i="17" s="1"/>
  <c r="O77" i="17"/>
  <c r="P77" i="17" s="1"/>
  <c r="O76" i="17"/>
  <c r="P76" i="17" s="1"/>
  <c r="O75" i="17"/>
  <c r="P75" i="17" s="1"/>
  <c r="O74" i="17"/>
  <c r="P74" i="17" s="1"/>
  <c r="O73" i="17"/>
  <c r="P73" i="17" s="1"/>
  <c r="O72" i="17"/>
  <c r="P72" i="17" s="1"/>
  <c r="O71" i="17"/>
  <c r="P71" i="17" s="1"/>
  <c r="O70" i="17"/>
  <c r="P70" i="17" s="1"/>
  <c r="O69" i="17"/>
  <c r="P69" i="17" s="1"/>
  <c r="O68" i="17"/>
  <c r="P68" i="17" s="1"/>
  <c r="O67" i="17"/>
  <c r="P67" i="17" s="1"/>
  <c r="O66" i="17"/>
  <c r="P66" i="17" s="1"/>
  <c r="O65" i="17"/>
  <c r="P65" i="17" s="1"/>
  <c r="O64" i="17"/>
  <c r="P64" i="17" s="1"/>
  <c r="O63" i="17"/>
  <c r="P63" i="17" s="1"/>
  <c r="O62" i="17"/>
  <c r="P62" i="17" s="1"/>
  <c r="O61" i="17"/>
  <c r="P61" i="17" s="1"/>
  <c r="O60" i="17"/>
  <c r="P60" i="17" s="1"/>
  <c r="O59" i="17"/>
  <c r="P59" i="17" s="1"/>
  <c r="O58" i="17"/>
  <c r="P58" i="17" s="1"/>
  <c r="O57" i="17"/>
  <c r="P57" i="17" s="1"/>
  <c r="O56" i="17"/>
  <c r="P56" i="17" s="1"/>
  <c r="O55" i="17"/>
  <c r="P55" i="17" s="1"/>
  <c r="O54" i="17"/>
  <c r="P54" i="17" s="1"/>
  <c r="O53" i="17"/>
  <c r="P53" i="17" s="1"/>
  <c r="O52" i="17"/>
  <c r="P52" i="17" s="1"/>
  <c r="O51" i="17"/>
  <c r="P51" i="17" s="1"/>
  <c r="O50" i="17"/>
  <c r="P50" i="17" s="1"/>
  <c r="O49" i="17"/>
  <c r="P49" i="17" s="1"/>
  <c r="O48" i="17"/>
  <c r="P48" i="17" s="1"/>
  <c r="O47" i="17"/>
  <c r="P47" i="17" s="1"/>
  <c r="O46" i="17"/>
  <c r="P46" i="17" s="1"/>
  <c r="O45" i="17"/>
  <c r="P45" i="17" s="1"/>
  <c r="O44" i="17"/>
  <c r="P44" i="17" s="1"/>
  <c r="O43" i="17"/>
  <c r="P43" i="17" s="1"/>
  <c r="O42" i="17"/>
  <c r="P42" i="17" s="1"/>
  <c r="O41" i="17"/>
  <c r="P41" i="17" s="1"/>
  <c r="O40" i="17"/>
  <c r="P40" i="17" s="1"/>
  <c r="O39" i="17"/>
  <c r="P39" i="17" s="1"/>
  <c r="O38" i="17"/>
  <c r="P38" i="17" s="1"/>
  <c r="O37" i="17"/>
  <c r="P37" i="17" s="1"/>
  <c r="O36" i="17"/>
  <c r="P36" i="17" s="1"/>
  <c r="O35" i="17"/>
  <c r="P35" i="17" s="1"/>
  <c r="O34" i="17"/>
  <c r="P34" i="17" s="1"/>
  <c r="O33" i="17"/>
  <c r="P33" i="17" s="1"/>
  <c r="O32" i="17"/>
  <c r="P32" i="17" s="1"/>
  <c r="O31" i="17"/>
  <c r="P31" i="17" s="1"/>
  <c r="O30" i="17"/>
  <c r="P30" i="17" s="1"/>
  <c r="O29" i="17"/>
  <c r="P29" i="17" s="1"/>
  <c r="O28" i="17"/>
  <c r="P28" i="17" s="1"/>
  <c r="O27" i="17"/>
  <c r="P27" i="17" s="1"/>
  <c r="O26" i="17"/>
  <c r="P26" i="17" s="1"/>
  <c r="O25" i="17"/>
  <c r="P25" i="17" s="1"/>
  <c r="O24" i="17"/>
  <c r="P24" i="17" s="1"/>
  <c r="O23" i="17"/>
  <c r="P23" i="17" s="1"/>
  <c r="O22" i="17"/>
  <c r="P22" i="17" s="1"/>
  <c r="O21" i="17"/>
  <c r="P21" i="17" s="1"/>
  <c r="O20" i="17"/>
  <c r="P20" i="17" s="1"/>
  <c r="O19" i="17"/>
  <c r="P19" i="17" s="1"/>
  <c r="O18" i="17"/>
  <c r="P18" i="17" s="1"/>
  <c r="O17" i="17"/>
  <c r="P17" i="17" s="1"/>
  <c r="O16" i="17"/>
  <c r="P16" i="17" s="1"/>
  <c r="O15" i="17"/>
  <c r="P15" i="17" s="1"/>
  <c r="O14" i="17"/>
  <c r="P14" i="17" s="1"/>
  <c r="O13" i="17"/>
  <c r="P13" i="17" s="1"/>
  <c r="O12" i="17"/>
  <c r="P12" i="17" s="1"/>
  <c r="O11" i="17"/>
  <c r="P11" i="17" s="1"/>
  <c r="O10" i="17"/>
  <c r="P10" i="17" s="1"/>
  <c r="O9" i="17"/>
  <c r="P9" i="17" s="1"/>
  <c r="O8" i="17"/>
  <c r="P8" i="17" s="1"/>
  <c r="O7" i="17"/>
  <c r="P7" i="17" s="1"/>
  <c r="O6" i="17"/>
  <c r="P6" i="17" s="1"/>
  <c r="O5" i="17"/>
  <c r="P5" i="17" s="1"/>
  <c r="T5" i="17"/>
  <c r="U5" i="17" s="1"/>
  <c r="O5" i="15" l="1"/>
  <c r="P5" i="15" s="1"/>
  <c r="S5" i="15"/>
  <c r="T5" i="15" s="1"/>
  <c r="O6" i="15"/>
  <c r="P6" i="15" s="1"/>
  <c r="S6" i="15"/>
  <c r="T6" i="15" s="1"/>
  <c r="O7" i="15"/>
  <c r="P7" i="15" s="1"/>
  <c r="S7" i="15"/>
  <c r="T7" i="15" s="1"/>
  <c r="O4" i="15"/>
  <c r="P4" i="15" s="1"/>
  <c r="D202" i="17" l="1"/>
  <c r="G202" i="17"/>
  <c r="C77" i="16"/>
  <c r="C76" i="16"/>
  <c r="C4" i="16"/>
  <c r="K514" i="16"/>
  <c r="K495" i="16"/>
  <c r="K494" i="16"/>
  <c r="K493" i="16"/>
  <c r="K492" i="16"/>
  <c r="K491" i="16"/>
  <c r="K490" i="16"/>
  <c r="K477" i="16"/>
  <c r="M172" i="19"/>
  <c r="L60" i="19"/>
  <c r="L172" i="19" s="1"/>
  <c r="E172" i="19"/>
  <c r="G60" i="19"/>
  <c r="C60" i="19"/>
  <c r="A1" i="19"/>
  <c r="S4" i="15"/>
  <c r="T4" i="15" s="1"/>
  <c r="A1" i="17"/>
  <c r="A1" i="16"/>
  <c r="M120" i="15"/>
  <c r="E120" i="15"/>
  <c r="L8" i="15"/>
  <c r="L120" i="15" s="1"/>
  <c r="G8" i="15"/>
  <c r="C8" i="15"/>
  <c r="A1" i="15"/>
  <c r="B27" i="9"/>
  <c r="B24" i="9"/>
  <c r="B21" i="9"/>
  <c r="B18" i="9"/>
  <c r="E15" i="9"/>
  <c r="E14" i="9"/>
  <c r="E13" i="9"/>
  <c r="E12" i="9"/>
  <c r="E11" i="9"/>
  <c r="E10" i="9"/>
  <c r="E9" i="9"/>
  <c r="E8" i="9"/>
  <c r="E7" i="9"/>
  <c r="E6" i="9"/>
  <c r="E5" i="9"/>
  <c r="A1" i="9"/>
  <c r="A1" i="8"/>
  <c r="A1" i="6"/>
  <c r="B92" i="5"/>
  <c r="B91" i="5"/>
  <c r="B90" i="5"/>
  <c r="B89" i="5"/>
  <c r="B88" i="5"/>
  <c r="B87" i="5"/>
  <c r="B86" i="5"/>
  <c r="B85" i="5"/>
  <c r="B84" i="5"/>
  <c r="B83" i="5"/>
  <c r="B82" i="5"/>
  <c r="B81" i="5"/>
  <c r="B80" i="5"/>
  <c r="B79" i="5"/>
  <c r="B78" i="5"/>
  <c r="B77" i="5"/>
  <c r="B76" i="5"/>
  <c r="B75" i="5"/>
  <c r="B74" i="5"/>
  <c r="B73" i="5"/>
  <c r="B72" i="5"/>
  <c r="B71" i="5"/>
  <c r="B70" i="5"/>
  <c r="B69" i="5"/>
  <c r="B68" i="5"/>
  <c r="B67" i="5"/>
  <c r="B66" i="5"/>
  <c r="B65" i="5"/>
  <c r="B64" i="5"/>
  <c r="B63" i="5"/>
  <c r="B62" i="5"/>
  <c r="B61" i="5"/>
  <c r="B60" i="5"/>
  <c r="B59" i="5"/>
  <c r="B58" i="5"/>
  <c r="B57" i="5"/>
  <c r="B56" i="5"/>
  <c r="B55" i="5"/>
  <c r="B54" i="5"/>
  <c r="B53" i="5"/>
  <c r="B52" i="5"/>
  <c r="B51" i="5"/>
  <c r="B50" i="5"/>
  <c r="B49" i="5"/>
  <c r="B48" i="5"/>
  <c r="B47" i="5"/>
  <c r="B46" i="5"/>
  <c r="B45" i="5"/>
  <c r="B44" i="5"/>
  <c r="B43" i="5"/>
  <c r="B42" i="5"/>
  <c r="B41" i="5"/>
  <c r="B40" i="5"/>
  <c r="B39" i="5"/>
  <c r="B38" i="5"/>
  <c r="B37" i="5"/>
  <c r="B36" i="5"/>
  <c r="B35" i="5"/>
  <c r="B34" i="5"/>
  <c r="B33" i="5"/>
  <c r="B32" i="5"/>
  <c r="B31" i="5"/>
  <c r="B30" i="5"/>
  <c r="B29" i="5"/>
  <c r="B28" i="5"/>
  <c r="B27" i="5"/>
  <c r="B26" i="5"/>
  <c r="B25" i="5"/>
  <c r="B24" i="5"/>
  <c r="B23" i="5"/>
  <c r="B22" i="5"/>
  <c r="B21" i="5"/>
  <c r="B20" i="5"/>
  <c r="B19" i="5"/>
  <c r="B18" i="5"/>
  <c r="B17" i="5"/>
  <c r="B16" i="5"/>
  <c r="B15" i="5"/>
  <c r="B14" i="5"/>
  <c r="B13" i="5"/>
  <c r="B12" i="5"/>
  <c r="B11" i="5"/>
  <c r="B10" i="5"/>
  <c r="B9" i="5"/>
  <c r="B8" i="5"/>
  <c r="B7" i="5"/>
  <c r="B6" i="5"/>
  <c r="B5" i="5"/>
  <c r="B4" i="5"/>
  <c r="B3" i="5"/>
  <c r="A1" i="5"/>
  <c r="C586" i="16" l="1"/>
  <c r="U60" i="19"/>
  <c r="O13" i="19"/>
  <c r="P13" i="19" s="1"/>
  <c r="P60" i="19" s="1"/>
  <c r="P8" i="15"/>
  <c r="T8" i="15"/>
  <c r="P202" i="17" l="1"/>
  <c r="U202"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Manyu</author>
  </authors>
  <commentList>
    <comment ref="X3" authorId="0" shapeId="0" xr:uid="{00000000-0006-0000-0400-000001000000}">
      <text>
        <r>
          <rPr>
            <sz val="9"/>
            <color indexed="81"/>
            <rFont val="Tahoma"/>
            <family val="2"/>
          </rPr>
          <t>Enter the Purchase Order number here, or put "Credit Card" if the order is on the Purchaser's credit card. If on another card, include the card owner's WHOI ID.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Manyu</author>
  </authors>
  <commentList>
    <comment ref="X4" authorId="0" shapeId="0" xr:uid="{00000000-0006-0000-0500-000001000000}">
      <text>
        <r>
          <rPr>
            <b/>
            <sz val="9"/>
            <color indexed="81"/>
            <rFont val="Tahoma"/>
            <family val="2"/>
          </rPr>
          <t>Manyu:</t>
        </r>
        <r>
          <rPr>
            <sz val="9"/>
            <color indexed="81"/>
            <rFont val="Tahoma"/>
            <family val="2"/>
          </rPr>
          <t xml:space="preserve">
PO ### or "Credit Card"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Manyu</author>
  </authors>
  <commentList>
    <comment ref="X3" authorId="0" shapeId="0" xr:uid="{00000000-0006-0000-0600-000001000000}">
      <text>
        <r>
          <rPr>
            <sz val="9"/>
            <color indexed="81"/>
            <rFont val="Tahoma"/>
            <family val="2"/>
          </rPr>
          <t>Enter the Purchase Order number here, or put "Credit Card" if the order is on the Purchaser's credit card. If on another card, include the card owner's WHOI ID.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Manyu</author>
  </authors>
  <commentList>
    <comment ref="W3" authorId="0" shapeId="0" xr:uid="{00000000-0006-0000-0800-000001000000}">
      <text>
        <r>
          <rPr>
            <sz val="9"/>
            <color indexed="81"/>
            <rFont val="Tahoma"/>
            <family val="2"/>
          </rPr>
          <t>Enter the Purchase Order number here, or put "Credit Card" if the order is on the Purchaser's credit card. If on another card, include the card owner's WHOI ID.</t>
        </r>
      </text>
    </comment>
  </commentList>
</comments>
</file>

<file path=xl/sharedStrings.xml><?xml version="1.0" encoding="utf-8"?>
<sst xmlns="http://schemas.openxmlformats.org/spreadsheetml/2006/main" count="7416" uniqueCount="2355">
  <si>
    <t>STATUS</t>
  </si>
  <si>
    <t>STA.</t>
  </si>
  <si>
    <t>PART/ASSY DESCRIPTION</t>
  </si>
  <si>
    <t>COMPASS P/N</t>
  </si>
  <si>
    <t>MFR</t>
  </si>
  <si>
    <t>TYPE</t>
  </si>
  <si>
    <t>SPECIAL REMARKS</t>
  </si>
  <si>
    <t>DSGND</t>
  </si>
  <si>
    <t>DTLD</t>
  </si>
  <si>
    <t>SPRS</t>
  </si>
  <si>
    <t>DATE</t>
  </si>
  <si>
    <t>DESCRIPTION</t>
  </si>
  <si>
    <t>Total</t>
  </si>
  <si>
    <t>ITEM</t>
  </si>
  <si>
    <t>INDEX</t>
  </si>
  <si>
    <t>REV</t>
  </si>
  <si>
    <t>BUILT</t>
  </si>
  <si>
    <t>Item</t>
  </si>
  <si>
    <t>Station</t>
  </si>
  <si>
    <t>Task</t>
  </si>
  <si>
    <t>Duration</t>
  </si>
  <si>
    <t>Priority</t>
  </si>
  <si>
    <t>Responsible</t>
  </si>
  <si>
    <t>Remarks/Solution</t>
  </si>
  <si>
    <t>COMPLETE</t>
  </si>
  <si>
    <t>Black</t>
  </si>
  <si>
    <t>M01</t>
  </si>
  <si>
    <t>M02</t>
  </si>
  <si>
    <t>M03</t>
  </si>
  <si>
    <t>M04</t>
  </si>
  <si>
    <t>M05</t>
  </si>
  <si>
    <t>M06</t>
  </si>
  <si>
    <t>M07</t>
  </si>
  <si>
    <t>M08</t>
  </si>
  <si>
    <t>M09</t>
  </si>
  <si>
    <t>M11</t>
  </si>
  <si>
    <t>M12</t>
  </si>
  <si>
    <t>M13</t>
  </si>
  <si>
    <t>M14</t>
  </si>
  <si>
    <t>M15</t>
  </si>
  <si>
    <t>M16</t>
  </si>
  <si>
    <t>M17</t>
  </si>
  <si>
    <t>M18</t>
  </si>
  <si>
    <t>M19</t>
  </si>
  <si>
    <t>M20</t>
  </si>
  <si>
    <t>M21</t>
  </si>
  <si>
    <t>M22</t>
  </si>
  <si>
    <t>M23</t>
  </si>
  <si>
    <t>M24</t>
  </si>
  <si>
    <t>M25</t>
  </si>
  <si>
    <t>M26</t>
  </si>
  <si>
    <t>M27</t>
  </si>
  <si>
    <t>M28</t>
  </si>
  <si>
    <t>M29</t>
  </si>
  <si>
    <t>M30</t>
  </si>
  <si>
    <t>M31</t>
  </si>
  <si>
    <t>M32</t>
  </si>
  <si>
    <t>M33</t>
  </si>
  <si>
    <t>M34</t>
  </si>
  <si>
    <t>M35</t>
  </si>
  <si>
    <t>M36</t>
  </si>
  <si>
    <t>M37</t>
  </si>
  <si>
    <t>M38</t>
  </si>
  <si>
    <t>M39</t>
  </si>
  <si>
    <t>M40</t>
  </si>
  <si>
    <t>M41</t>
  </si>
  <si>
    <t>M42</t>
  </si>
  <si>
    <t>M43</t>
  </si>
  <si>
    <t>M44</t>
  </si>
  <si>
    <t>M45</t>
  </si>
  <si>
    <t>M46</t>
  </si>
  <si>
    <t>M47</t>
  </si>
  <si>
    <t>M48</t>
  </si>
  <si>
    <t>M49</t>
  </si>
  <si>
    <t>M50</t>
  </si>
  <si>
    <t>M51</t>
  </si>
  <si>
    <t>M52</t>
  </si>
  <si>
    <t>M53</t>
  </si>
  <si>
    <t>M54</t>
  </si>
  <si>
    <t>M55</t>
  </si>
  <si>
    <t>M56</t>
  </si>
  <si>
    <t>M57</t>
  </si>
  <si>
    <t>M58</t>
  </si>
  <si>
    <t>M59</t>
  </si>
  <si>
    <t>M60</t>
  </si>
  <si>
    <t>M61</t>
  </si>
  <si>
    <t>M62</t>
  </si>
  <si>
    <t>M63</t>
  </si>
  <si>
    <t>M64</t>
  </si>
  <si>
    <t>M65</t>
  </si>
  <si>
    <t>M66</t>
  </si>
  <si>
    <t>M67</t>
  </si>
  <si>
    <t>M68</t>
  </si>
  <si>
    <t>M69</t>
  </si>
  <si>
    <t>M70</t>
  </si>
  <si>
    <t>M71</t>
  </si>
  <si>
    <t>M72</t>
  </si>
  <si>
    <t>M73</t>
  </si>
  <si>
    <t>M74</t>
  </si>
  <si>
    <t>M75</t>
  </si>
  <si>
    <t>M76</t>
  </si>
  <si>
    <t>M77</t>
  </si>
  <si>
    <t>M78</t>
  </si>
  <si>
    <t>M79</t>
  </si>
  <si>
    <t>M80</t>
  </si>
  <si>
    <t>M81</t>
  </si>
  <si>
    <t>M82</t>
  </si>
  <si>
    <t>M83</t>
  </si>
  <si>
    <t>M84</t>
  </si>
  <si>
    <t>M85</t>
  </si>
  <si>
    <t>M86</t>
  </si>
  <si>
    <t>M87</t>
  </si>
  <si>
    <t>M88</t>
  </si>
  <si>
    <t>M89</t>
  </si>
  <si>
    <t>M90</t>
  </si>
  <si>
    <t>BLACK</t>
  </si>
  <si>
    <t>(TASK CANCELLED)</t>
  </si>
  <si>
    <t>GREEN</t>
  </si>
  <si>
    <t>(TASK COMPLETE)</t>
  </si>
  <si>
    <t>AMBER</t>
  </si>
  <si>
    <t>(TASK IN PROGRESS)</t>
  </si>
  <si>
    <t>RED</t>
  </si>
  <si>
    <t>(TASK TO DO)</t>
  </si>
  <si>
    <t>ACTION</t>
  </si>
  <si>
    <t>FUNCTION</t>
  </si>
  <si>
    <t>MODEL</t>
  </si>
  <si>
    <t>INPUTS</t>
  </si>
  <si>
    <t>OUTPUTS</t>
  </si>
  <si>
    <t>PORT</t>
  </si>
  <si>
    <t>OD</t>
  </si>
  <si>
    <t>LENGTH</t>
  </si>
  <si>
    <t>PRESSURE</t>
  </si>
  <si>
    <t>CHECK VALVE</t>
  </si>
  <si>
    <t>END CONNECTION</t>
  </si>
  <si>
    <t>JUNCTION BLOCK</t>
  </si>
  <si>
    <t>ACTUATOR</t>
  </si>
  <si>
    <t>ESCAPEMENT</t>
  </si>
  <si>
    <t>M5</t>
  </si>
  <si>
    <t>6mm</t>
  </si>
  <si>
    <t>1m</t>
  </si>
  <si>
    <t>90 psi</t>
  </si>
  <si>
    <t>NONE</t>
  </si>
  <si>
    <t>EXAMPLE</t>
  </si>
  <si>
    <t>SENSOR</t>
  </si>
  <si>
    <t>ESCAPEMENT ADVANCE</t>
  </si>
  <si>
    <t>PIGTAIL</t>
  </si>
  <si>
    <t>4mm</t>
  </si>
  <si>
    <t>M8</t>
  </si>
  <si>
    <t>ESCAPEMENT RETRACT</t>
  </si>
  <si>
    <t>M8 QD</t>
  </si>
  <si>
    <t>ACTUATORS</t>
  </si>
  <si>
    <t>SENSORS</t>
  </si>
  <si>
    <t>A</t>
  </si>
  <si>
    <t>EXAMPLE PART</t>
  </si>
  <si>
    <t>SKU</t>
  </si>
  <si>
    <t>SKU QTY</t>
  </si>
  <si>
    <t>Stock Keeping Unit - the number that one uses to order something from a vendor or retailer, usually specific to that vendor. For example, a Parker O-ring could have a manufacturer's part number of 2-017, but the SKU from Mcmaster might be 9452K71 to describe that part.</t>
  </si>
  <si>
    <t>INCOMPLETE</t>
  </si>
  <si>
    <t>RELEASED</t>
  </si>
  <si>
    <t>ORDERED</t>
  </si>
  <si>
    <t>DESIGNED</t>
  </si>
  <si>
    <t>RECEIVED</t>
  </si>
  <si>
    <t>ASM QTY</t>
  </si>
  <si>
    <t>STATE</t>
  </si>
  <si>
    <t>ITEM INFORMATION</t>
  </si>
  <si>
    <t>Order/PO date</t>
  </si>
  <si>
    <t>COTS</t>
  </si>
  <si>
    <t>PCBA</t>
  </si>
  <si>
    <t>CABLE</t>
  </si>
  <si>
    <t>MACHINED PART</t>
  </si>
  <si>
    <t>MOLDED PART</t>
  </si>
  <si>
    <t>OTHER</t>
  </si>
  <si>
    <t>SUPPRESSED</t>
  </si>
  <si>
    <t>SOURCING INFORMATION</t>
  </si>
  <si>
    <t>ORDER INFORMATION</t>
  </si>
  <si>
    <t>QTY in Inventory</t>
  </si>
  <si>
    <t>QTY</t>
  </si>
  <si>
    <t>Quantity</t>
  </si>
  <si>
    <t>ASM</t>
  </si>
  <si>
    <t>Assembly</t>
  </si>
  <si>
    <t>Glossary</t>
  </si>
  <si>
    <t>Values for Drop Down Menus</t>
  </si>
  <si>
    <t>Tracking Item Status</t>
  </si>
  <si>
    <t>BEADFAD-03</t>
  </si>
  <si>
    <t>QTY to Order</t>
  </si>
  <si>
    <t>Unit Cost</t>
  </si>
  <si>
    <t>Assembly Cost</t>
  </si>
  <si>
    <t>Lead Time</t>
  </si>
  <si>
    <t>SKU Cost</t>
  </si>
  <si>
    <t>Vendor</t>
  </si>
  <si>
    <t>Type</t>
  </si>
  <si>
    <t>Manufacturer</t>
  </si>
  <si>
    <t>Part Number</t>
  </si>
  <si>
    <t>Spare QTY Needed</t>
  </si>
  <si>
    <t>Project Number</t>
  </si>
  <si>
    <t>Date Expected</t>
  </si>
  <si>
    <t>Date Received</t>
  </si>
  <si>
    <t>Order Cost</t>
  </si>
  <si>
    <t>Purchase Method</t>
  </si>
  <si>
    <t>Subconn</t>
  </si>
  <si>
    <t>MacArtney</t>
  </si>
  <si>
    <t>Purchaser</t>
  </si>
  <si>
    <t>Notes</t>
  </si>
  <si>
    <t>Released By</t>
  </si>
  <si>
    <t>Released By and Purchaser</t>
  </si>
  <si>
    <t>Put someone's name in these fields! Suggested value is the email ID of the person, so that it is easy to contact them. For example, Manyu Belani would enter "abelani" because his email is abelani@whoi.edu.</t>
  </si>
  <si>
    <t>Cost of Order</t>
  </si>
  <si>
    <t>abelani</t>
  </si>
  <si>
    <t>WHOI ACOMMS</t>
  </si>
  <si>
    <t>GPCTD</t>
  </si>
  <si>
    <t>Seabird</t>
  </si>
  <si>
    <t>Thruster Motor Assy</t>
  </si>
  <si>
    <t>A-200503-17</t>
  </si>
  <si>
    <t>A-000000-00</t>
  </si>
  <si>
    <t>1/4-20 x 3/4 Soc Hd Cap</t>
  </si>
  <si>
    <t>92185A540</t>
  </si>
  <si>
    <t>McMaster-Carr</t>
  </si>
  <si>
    <t>M5 0.4 x 10mm</t>
  </si>
  <si>
    <t>92605A538</t>
  </si>
  <si>
    <t>O-Ring</t>
  </si>
  <si>
    <t>#6-32 x 3/8 Soc Hd Cap</t>
  </si>
  <si>
    <t>92185A147</t>
  </si>
  <si>
    <t>#4-40 x 3/8 Soc Hd Cap</t>
  </si>
  <si>
    <t>92185A108</t>
  </si>
  <si>
    <t>Thruster Motor Press Tube</t>
  </si>
  <si>
    <t>P-200532-08</t>
  </si>
  <si>
    <t>Int Retaining Ring</t>
  </si>
  <si>
    <t>98394A440</t>
  </si>
  <si>
    <t>Deep Groove Ceramic Bearing</t>
  </si>
  <si>
    <t>#00608-CBCBT</t>
  </si>
  <si>
    <t>Jilson</t>
  </si>
  <si>
    <t>Thrust Bearing Mount</t>
  </si>
  <si>
    <t>P-200531-08</t>
  </si>
  <si>
    <t>B</t>
  </si>
  <si>
    <t>Composite Propeller Shaft</t>
  </si>
  <si>
    <t>A-200567-08</t>
  </si>
  <si>
    <t>Composite Tube</t>
  </si>
  <si>
    <t>P-200566-08</t>
  </si>
  <si>
    <t>Prop Shaft Fwd Journal</t>
  </si>
  <si>
    <t>F</t>
  </si>
  <si>
    <t>Prop Shaft Aft Journal</t>
  </si>
  <si>
    <t>P-200568-08</t>
  </si>
  <si>
    <t>Devcon Epoxy</t>
  </si>
  <si>
    <t>DP420</t>
  </si>
  <si>
    <t>Prop Shaft Cross Pin</t>
  </si>
  <si>
    <t>P-200574-08</t>
  </si>
  <si>
    <t>Magnetic Coupling Shroud</t>
  </si>
  <si>
    <t>P-200530-08</t>
  </si>
  <si>
    <t>Magnetic Coupling Outer Cup</t>
  </si>
  <si>
    <t>MTC-1.0-005</t>
  </si>
  <si>
    <t>Mag. Technologies Ltd</t>
  </si>
  <si>
    <t>Celera Motion Motor Assy</t>
  </si>
  <si>
    <t>A-200508-17</t>
  </si>
  <si>
    <t>90585A202</t>
  </si>
  <si>
    <t>#4-40 x 3/8 Flt Hd Soc</t>
  </si>
  <si>
    <t>Magnetic Coupler Inner Plug</t>
  </si>
  <si>
    <t>MTC-1.0</t>
  </si>
  <si>
    <t>Split Bearing</t>
  </si>
  <si>
    <t>6679K13</t>
  </si>
  <si>
    <t>92185A115</t>
  </si>
  <si>
    <t>#4-40 x 1 Soc Hd Cap</t>
  </si>
  <si>
    <t>#4-40 x UNC-2A x 5/8 Flt Hd Soc</t>
  </si>
  <si>
    <t>90585A205</t>
  </si>
  <si>
    <t>Ext. Retaining Ring</t>
  </si>
  <si>
    <t>90967A155</t>
  </si>
  <si>
    <t>Spring Ring</t>
  </si>
  <si>
    <t>VHM-17</t>
  </si>
  <si>
    <t>Smalley</t>
  </si>
  <si>
    <t>Plastic Shim Stock 1 x 2 x 0.020</t>
  </si>
  <si>
    <t>9513K18</t>
  </si>
  <si>
    <t>Motor Stator Retainer</t>
  </si>
  <si>
    <t>P-200512-08</t>
  </si>
  <si>
    <t>Deep Groove Ball Bearing</t>
  </si>
  <si>
    <t>7804K118</t>
  </si>
  <si>
    <t>Locktite 242 Blue</t>
  </si>
  <si>
    <t>Motor Rotor Shaft</t>
  </si>
  <si>
    <t>P-200510-08</t>
  </si>
  <si>
    <t>7467A51</t>
  </si>
  <si>
    <t>ScotchWeld DP420</t>
  </si>
  <si>
    <t>Glue-on Rotor Hub</t>
  </si>
  <si>
    <t>P-200509-08</t>
  </si>
  <si>
    <t>Celera Motion</t>
  </si>
  <si>
    <t>Stator Retainer Clip</t>
  </si>
  <si>
    <t>P-200511-08</t>
  </si>
  <si>
    <t>Thruster Motor Rear End Cap</t>
  </si>
  <si>
    <t>P-200462-08</t>
  </si>
  <si>
    <t>Tail Control Assy</t>
  </si>
  <si>
    <t>A-200502-08</t>
  </si>
  <si>
    <t>Zinc Anode -- O-Ring Assy</t>
  </si>
  <si>
    <t>A-201xxx-13</t>
  </si>
  <si>
    <t xml:space="preserve">1/4-20 x 1 Brass Stud </t>
  </si>
  <si>
    <t>93025A961</t>
  </si>
  <si>
    <t>Zinc Anode from Bar Stock</t>
  </si>
  <si>
    <t>P-201030-11</t>
  </si>
  <si>
    <t>Control Fin Assy</t>
  </si>
  <si>
    <t>A-200618-08</t>
  </si>
  <si>
    <t>A-201717-15 not in assembly drawing but details weld of P-201715-15 and P-201716-15.</t>
  </si>
  <si>
    <t>1/8 Polyporpylene Welding Rod</t>
  </si>
  <si>
    <t>7889A44</t>
  </si>
  <si>
    <t>#8-32 UNC-2A x 2 1/2 Soc Hd Cap</t>
  </si>
  <si>
    <t>Fin Axel Tab (Ver 6)</t>
  </si>
  <si>
    <t>P-201715-15</t>
  </si>
  <si>
    <t>Fin Axel (Ver 6)</t>
  </si>
  <si>
    <t>P-201716-15</t>
  </si>
  <si>
    <t>Control Fin (Ver 5)</t>
  </si>
  <si>
    <t>P-200617-08</t>
  </si>
  <si>
    <t>A-201717-15</t>
  </si>
  <si>
    <t>A-200924-10</t>
  </si>
  <si>
    <t>1/4-20 x 3/4 Truss Hd Phill Screw</t>
  </si>
  <si>
    <t>91770A540</t>
  </si>
  <si>
    <t>Abrasion Resistant Rubber Washer</t>
  </si>
  <si>
    <t>90131A305</t>
  </si>
  <si>
    <t>1/4 Polyurethane tube</t>
  </si>
  <si>
    <t>1/4" OD 0.50 wall Parflex Tube</t>
  </si>
  <si>
    <t>Positionable Male Elbow (SAE/MS Straight Thread) - Fractional</t>
  </si>
  <si>
    <t>SS-400-2-4ST</t>
  </si>
  <si>
    <t>Swagelok</t>
  </si>
  <si>
    <t>SAE-4 Port QD</t>
  </si>
  <si>
    <t>QC4-B-400</t>
  </si>
  <si>
    <t>Saddle Bag Equilizer Tube</t>
  </si>
  <si>
    <t>P-200719-09</t>
  </si>
  <si>
    <t>Straight Pipe Plug Special</t>
  </si>
  <si>
    <t>P-200804-10</t>
  </si>
  <si>
    <t>External Bladder Assy</t>
  </si>
  <si>
    <t>CS Actuator Assy</t>
  </si>
  <si>
    <t>A-200711-10</t>
  </si>
  <si>
    <t>1/8 tube - SAE#4</t>
  </si>
  <si>
    <t>SS-200-1-4ST</t>
  </si>
  <si>
    <t>Electrical-Insulating Sleeve Washer, #8</t>
  </si>
  <si>
    <t>90097A150</t>
  </si>
  <si>
    <t>Nylon Washer</t>
  </si>
  <si>
    <t>90295A340</t>
  </si>
  <si>
    <t>QM Series Quick Disconnect</t>
  </si>
  <si>
    <t>SS-QM2-D-200</t>
  </si>
  <si>
    <t>1/8 x .028 SS Tube</t>
  </si>
  <si>
    <t>SS-T2-S-028</t>
  </si>
  <si>
    <t>2-56 x 1/4 Soc Hd Cap</t>
  </si>
  <si>
    <t>92185A077</t>
  </si>
  <si>
    <t>#4-40 x 1/4 Soc Hd Cap</t>
  </si>
  <si>
    <t>MKS-310-FCR</t>
  </si>
  <si>
    <t>SAE-2 Solid Plug</t>
  </si>
  <si>
    <t>SS-2-HPST</t>
  </si>
  <si>
    <t>92185A106</t>
  </si>
  <si>
    <t>Tethys LDA Encoder Cap Retainer</t>
  </si>
  <si>
    <t>P-200952-10</t>
  </si>
  <si>
    <t>#6-32 x 1/4 100deg Flt Hd</t>
  </si>
  <si>
    <t>93085A144</t>
  </si>
  <si>
    <t>Part number wrong (93085K144) on assy drawing</t>
  </si>
  <si>
    <t>O-Ring Cap</t>
  </si>
  <si>
    <t>P-200710-09</t>
  </si>
  <si>
    <t>#6-32 x 3/8 100deg Flt Hd</t>
  </si>
  <si>
    <t>93085A146</t>
  </si>
  <si>
    <t>3/8-5 Five Start Acme Nut</t>
  </si>
  <si>
    <t>6350K36</t>
  </si>
  <si>
    <t>CS LDA Nut</t>
  </si>
  <si>
    <t>P-200706-09</t>
  </si>
  <si>
    <t>18-8 SS Sealing Pn Hd, Buna O-ring 2-56 1/8</t>
  </si>
  <si>
    <t>90825A120</t>
  </si>
  <si>
    <t>Encoder Torque Arm</t>
  </si>
  <si>
    <t>P-200713-09</t>
  </si>
  <si>
    <t>92185A194</t>
  </si>
  <si>
    <t>M2 x 4mm Flt Hd</t>
  </si>
  <si>
    <t>92125A050</t>
  </si>
  <si>
    <t>P-200708-09</t>
  </si>
  <si>
    <t>C</t>
  </si>
  <si>
    <t>LRAUV CS Motor Cap</t>
  </si>
  <si>
    <t>P-201087-11</t>
  </si>
  <si>
    <t>Encoder Cap</t>
  </si>
  <si>
    <t>P-201532-13</t>
  </si>
  <si>
    <t>CS LDA Motor Body</t>
  </si>
  <si>
    <t>P-201091-11</t>
  </si>
  <si>
    <t>E</t>
  </si>
  <si>
    <t>P-200705-09</t>
  </si>
  <si>
    <t>D</t>
  </si>
  <si>
    <t>CS Actuator Encoder Body</t>
  </si>
  <si>
    <t>Motor Mount Plate</t>
  </si>
  <si>
    <t>P-200712-09</t>
  </si>
  <si>
    <t>3-4mm Flex Shaft Coupling</t>
  </si>
  <si>
    <t>Helical</t>
  </si>
  <si>
    <t>CS LDA Pivot Pin</t>
  </si>
  <si>
    <t>P-200707-09</t>
  </si>
  <si>
    <t>4-6mm Flex Shaft Coupling</t>
  </si>
  <si>
    <t>16mm Internal Snap Ring</t>
  </si>
  <si>
    <t>98394A431</t>
  </si>
  <si>
    <t>6mm External Snap Ring</t>
  </si>
  <si>
    <t>98317A214</t>
  </si>
  <si>
    <t>CS LDA Lead Screw</t>
  </si>
  <si>
    <t>P-200704-09</t>
  </si>
  <si>
    <t>Open Ball Bearing 5mm</t>
  </si>
  <si>
    <t>6153K113</t>
  </si>
  <si>
    <t>P3 America</t>
  </si>
  <si>
    <t>Suggested Use</t>
  </si>
  <si>
    <t>Field Descriptions</t>
  </si>
  <si>
    <t>State</t>
  </si>
  <si>
    <t>Name</t>
  </si>
  <si>
    <t>Release Notes</t>
  </si>
  <si>
    <t>Order/PO Date</t>
  </si>
  <si>
    <t>Shipping Cost</t>
  </si>
  <si>
    <t>Tracking Number</t>
  </si>
  <si>
    <t>The date that the order is placed.</t>
  </si>
  <si>
    <t>The date that the item arrived and went through the receiving process. This field will turn red if today's date is after the Date Expected.</t>
  </si>
  <si>
    <t>This person is responsible for all the documentation that specifies the item. Often, it is the engineer who designed the item.</t>
  </si>
  <si>
    <t>This person is responsible for the purchase of the item, and is usually the point of contact with the vendor.</t>
  </si>
  <si>
    <t>[Calculated] This is the cost of the order based on the QTY to Order and the SKU Cost.</t>
  </si>
  <si>
    <t>[Calculated] The cost of one item, based on the SKU QTY and SKU Cost</t>
  </si>
  <si>
    <t>This is a descriptive field, to make clear what information is needed to purchase a part, or what it might look like for receiving.</t>
  </si>
  <si>
    <t>The quantity of individual items of this type in one complete build of this Bill of Materials. Used to calculate the BOM Cost, as well as determine the Order QTY, if ordering multiple copies of the BOM.</t>
  </si>
  <si>
    <t>[Calculated] The cost of the items in one full build, based on the Unit Cost and BOM QTY. The total in this column is the total cost of one copy of the BOM.</t>
  </si>
  <si>
    <t>A descriptive field to show how far along an item is in the design and purchasing process.</t>
  </si>
  <si>
    <t>The human-readable name of an item.</t>
  </si>
  <si>
    <t>The Revision of this item that will be purchased.</t>
  </si>
  <si>
    <t>Order Qty</t>
  </si>
  <si>
    <t>Order QTY</t>
  </si>
  <si>
    <t>QTY on Order</t>
  </si>
  <si>
    <t>Purchase Notes</t>
  </si>
  <si>
    <t>A catchall field for notes from the Purchaser</t>
  </si>
  <si>
    <t>A catchall field for notes from the Release person</t>
  </si>
  <si>
    <t>The organization or entity that owns the design of this item, usually also the entity that makes the item. May match Vendor, if the item is purchased directly from the Manufacturer.</t>
  </si>
  <si>
    <t>The organization or entity that the item is being purchased from. May match Vendor, if the item is purchased directly from the Manufacturer.</t>
  </si>
  <si>
    <t>Tail Foam Assy</t>
  </si>
  <si>
    <t>A-201916-17</t>
  </si>
  <si>
    <t>#6-32 Flanged Insert</t>
  </si>
  <si>
    <t>95110A113</t>
  </si>
  <si>
    <t>G-10 Garolite Tube 5/16 x 3/16</t>
  </si>
  <si>
    <t>8668K92</t>
  </si>
  <si>
    <t>ScotchWeld 3M DP100</t>
  </si>
  <si>
    <t>7467A55</t>
  </si>
  <si>
    <t>Not listed in assy drawing, but referenced in notes</t>
  </si>
  <si>
    <t>Tail Cone Foam Flotation V6</t>
  </si>
  <si>
    <t>P-200497-17</t>
  </si>
  <si>
    <t>Pivot Bearing Assy</t>
  </si>
  <si>
    <t>A-200xxx-09</t>
  </si>
  <si>
    <t>Deep Grove Ball Bearing</t>
  </si>
  <si>
    <t>6455K800</t>
  </si>
  <si>
    <t>Pivot Bearing Cup</t>
  </si>
  <si>
    <t>P-200714-09</t>
  </si>
  <si>
    <t>A-200732-17</t>
  </si>
  <si>
    <t xml:space="preserve">Elevator Crank </t>
  </si>
  <si>
    <t>Rudder Crank</t>
  </si>
  <si>
    <t>A-200731-17</t>
  </si>
  <si>
    <t>CS Connector Sleeve</t>
  </si>
  <si>
    <t>P-200715-17</t>
  </si>
  <si>
    <t>Bell Crank Plate</t>
  </si>
  <si>
    <t>P-200730-17</t>
  </si>
  <si>
    <t>CS Crank Plate</t>
  </si>
  <si>
    <t>P-200729-17</t>
  </si>
  <si>
    <t>Rudder Crank Plate</t>
  </si>
  <si>
    <t>P-200727-17</t>
  </si>
  <si>
    <t>Elevator Crank Plate</t>
  </si>
  <si>
    <t>P-200726-17</t>
  </si>
  <si>
    <t>Bell Crank Bridge</t>
  </si>
  <si>
    <t>P-200728-17</t>
  </si>
  <si>
    <t>CS Link Weld Jig Block</t>
  </si>
  <si>
    <t>P-200733-17</t>
  </si>
  <si>
    <t>#2-56 x 1/4 Soc Hd Cap</t>
  </si>
  <si>
    <t>Bell Crank F-Dog Link</t>
  </si>
  <si>
    <t>P-200494-08</t>
  </si>
  <si>
    <t>Dog End Weld Jig</t>
  </si>
  <si>
    <t>P-201337-12</t>
  </si>
  <si>
    <t>VB System Ver 2</t>
  </si>
  <si>
    <t>A-201330-12</t>
  </si>
  <si>
    <t>VB Valve Assy</t>
  </si>
  <si>
    <t>A-200991-11</t>
  </si>
  <si>
    <t>Valve Mount Rib</t>
  </si>
  <si>
    <t>P-200992-11</t>
  </si>
  <si>
    <t>221024_110340</t>
  </si>
  <si>
    <t>Maxon</t>
  </si>
  <si>
    <t>Shaft Coupling</t>
  </si>
  <si>
    <t>P-200986-11</t>
  </si>
  <si>
    <t>Magnet Carrier</t>
  </si>
  <si>
    <t>P-201066-11</t>
  </si>
  <si>
    <t>NdFeB Magnet</t>
  </si>
  <si>
    <t>D101-N52</t>
  </si>
  <si>
    <t>K&amp;J Magnetics</t>
  </si>
  <si>
    <t>Mag-Pole Piece</t>
  </si>
  <si>
    <t>Spring Pin Coiled 1/8 x 0.750</t>
  </si>
  <si>
    <t>Valve Base</t>
  </si>
  <si>
    <t>P-201351-12</t>
  </si>
  <si>
    <t>Panel Mount Bracket</t>
  </si>
  <si>
    <t>P-201302-12</t>
  </si>
  <si>
    <t>Dog Pt Soc Set Screw</t>
  </si>
  <si>
    <t>92845A190</t>
  </si>
  <si>
    <t>92010A018</t>
  </si>
  <si>
    <t>#8-32 x 1/4 Soc Hd Cap</t>
  </si>
  <si>
    <t>92185A190</t>
  </si>
  <si>
    <t>91735A102</t>
  </si>
  <si>
    <t>#4-40 x 3/8 Flt Hd Phil</t>
  </si>
  <si>
    <t>#4-40 x 1/4 Pan Hd Phil</t>
  </si>
  <si>
    <t>M2.5 x 8 Flt Hd Phil</t>
  </si>
  <si>
    <t>91500A126</t>
  </si>
  <si>
    <t>#4-40 Threaded Bushing</t>
  </si>
  <si>
    <t>96110A008</t>
  </si>
  <si>
    <t>#4 Nylon Washer</t>
  </si>
  <si>
    <t>94639A202</t>
  </si>
  <si>
    <t>#4-40 x 0.1875 Cup Pt Set Screw</t>
  </si>
  <si>
    <t>91375A105</t>
  </si>
  <si>
    <t>Nupro Ball Valve 1/4T - 1/4T</t>
  </si>
  <si>
    <t>SS-4P4T</t>
  </si>
  <si>
    <t>10020689rA</t>
  </si>
  <si>
    <t>10020864rA</t>
  </si>
  <si>
    <t>VB Reservoir</t>
  </si>
  <si>
    <t>A-200620-08</t>
  </si>
  <si>
    <t>Cylinder End</t>
  </si>
  <si>
    <t>P-200652-09</t>
  </si>
  <si>
    <t>Cylinder Body</t>
  </si>
  <si>
    <t>P-200591-08</t>
  </si>
  <si>
    <t>VB Reservoir Cap</t>
  </si>
  <si>
    <t>P-200642-08</t>
  </si>
  <si>
    <t>Bellofram Piston</t>
  </si>
  <si>
    <t>P-200619-08</t>
  </si>
  <si>
    <t>Curved Lip Pison Retainer Plate</t>
  </si>
  <si>
    <t>P-200643-08</t>
  </si>
  <si>
    <t>Class 1A Diaphragm</t>
  </si>
  <si>
    <t>1A-375x375</t>
  </si>
  <si>
    <t>Bellofram</t>
  </si>
  <si>
    <t>Piston Shaft Tube End</t>
  </si>
  <si>
    <t>P-200624-08</t>
  </si>
  <si>
    <t>Piston Shaft Tube</t>
  </si>
  <si>
    <t>89785K849</t>
  </si>
  <si>
    <t>Comp Spring</t>
  </si>
  <si>
    <t>#4011</t>
  </si>
  <si>
    <t>Century Spring</t>
  </si>
  <si>
    <t>Sleeve Bearing</t>
  </si>
  <si>
    <t>6377K61</t>
  </si>
  <si>
    <t>Rod end #10-32</t>
  </si>
  <si>
    <t>2447K110</t>
  </si>
  <si>
    <t>Fully Threaded Stud</t>
  </si>
  <si>
    <t>90575A410</t>
  </si>
  <si>
    <t>Torpedo Lock Welding Rod</t>
  </si>
  <si>
    <t>#6-32 x 1/2 Soc Hd Cap</t>
  </si>
  <si>
    <t>92185A148</t>
  </si>
  <si>
    <t>1/4 Tube - SAE #4 Elbow</t>
  </si>
  <si>
    <t>Mounting Plate for VB Resevoir</t>
  </si>
  <si>
    <t>P-201331-12</t>
  </si>
  <si>
    <t>1/4 Tube - SAE #4 Street T</t>
  </si>
  <si>
    <t>SS-400-3TST</t>
  </si>
  <si>
    <t>1/8 NPT Female Adapter (Tapered Thread) - 1/4 Tube</t>
  </si>
  <si>
    <t>SS-4-TA-7-2</t>
  </si>
  <si>
    <t>Omega Pressure Switch</t>
  </si>
  <si>
    <t>Omega</t>
  </si>
  <si>
    <t>Clark Solutions Inc.</t>
  </si>
  <si>
    <t>String Pot</t>
  </si>
  <si>
    <t>SP1-12</t>
  </si>
  <si>
    <t>Celesco Technologies</t>
  </si>
  <si>
    <t>1/4 x 0.035 wall Tube</t>
  </si>
  <si>
    <t>SS-T4-S-035</t>
  </si>
  <si>
    <t>1/4 Tube - 1/8 NPTM</t>
  </si>
  <si>
    <t>SS-400-1-2</t>
  </si>
  <si>
    <t>#10-32 x 1/2 Soc Hd Cap</t>
  </si>
  <si>
    <t>92185A989</t>
  </si>
  <si>
    <t>#10-32 Hex Nut</t>
  </si>
  <si>
    <t>90257A411</t>
  </si>
  <si>
    <t>String Pot Adjuster</t>
  </si>
  <si>
    <t>P-201493-13</t>
  </si>
  <si>
    <t>1/4 Tube Stub - 1/8 NPT</t>
  </si>
  <si>
    <t>SS-4-TA-1-2</t>
  </si>
  <si>
    <t>1/4 x 1/4 Tube Elbow</t>
  </si>
  <si>
    <t>SS-400-9</t>
  </si>
  <si>
    <t>92185A105</t>
  </si>
  <si>
    <t>#8-32 x 1/2 Soc Hd Cap</t>
  </si>
  <si>
    <t>Port Side EZSV Assy</t>
  </si>
  <si>
    <t>A-201908-17</t>
  </si>
  <si>
    <t>#4-40 x 5/8 UNC-2A Slot Pan Hd</t>
  </si>
  <si>
    <t>93135A112</t>
  </si>
  <si>
    <t>STBD Side EZSV Assy</t>
  </si>
  <si>
    <t>#4-40 x 3/8 UNC-2A Slot Pan Hd</t>
  </si>
  <si>
    <t>EZSV Double Bracket</t>
  </si>
  <si>
    <t>P-200697</t>
  </si>
  <si>
    <t>All Motion</t>
  </si>
  <si>
    <t>#4 x 3/16 x 1/8 Stand Off</t>
  </si>
  <si>
    <t>#4-40 UNC-2B Hex Nut</t>
  </si>
  <si>
    <t>Complete Drive Assembly V4</t>
  </si>
  <si>
    <t>A-201567-14</t>
  </si>
  <si>
    <t>ESC-08010-RAEL-4L-270 / ENC-08010-RZN / S</t>
  </si>
  <si>
    <t>NOOK Industries</t>
  </si>
  <si>
    <t>NOOK Ball Screw Assy</t>
  </si>
  <si>
    <t>Motor Shaft Coupling</t>
  </si>
  <si>
    <t>Helical Products</t>
  </si>
  <si>
    <t>Flat Hd Phillips</t>
  </si>
  <si>
    <t>92010A001</t>
  </si>
  <si>
    <t>Mount Flange for NOOK Ball Nut</t>
  </si>
  <si>
    <t>P-200560-08</t>
  </si>
  <si>
    <t>#4-40 x 3/16 Dog Point Set Screw</t>
  </si>
  <si>
    <t>92845A110</t>
  </si>
  <si>
    <t>Motor Drive Mount V2</t>
  </si>
  <si>
    <t>P-201562-13</t>
  </si>
  <si>
    <t>Gimbal Drive Yoke V4</t>
  </si>
  <si>
    <t>P-201561-14</t>
  </si>
  <si>
    <t>#10-32 x 1/25 Soc Hd Cap</t>
  </si>
  <si>
    <t>92185A993</t>
  </si>
  <si>
    <t>#10-24 x 1/4 x 5/16 x 3/8 Soc Hd Sldr</t>
  </si>
  <si>
    <t>97345A163</t>
  </si>
  <si>
    <t>Cradlepoint - Iridium Radio Assembly</t>
  </si>
  <si>
    <t>A-201882-17</t>
  </si>
  <si>
    <t>#8 Nylon Washer</t>
  </si>
  <si>
    <t>90295A100</t>
  </si>
  <si>
    <t>#2-56 x 1/4 Flt Hd Phil</t>
  </si>
  <si>
    <t>91500A084</t>
  </si>
  <si>
    <t>Bolt to go through this washer and plate in pressure hull assy.</t>
  </si>
  <si>
    <t>3 Way Mux Assy</t>
  </si>
  <si>
    <t>3 Way Mux Box</t>
  </si>
  <si>
    <t>3 Way Mux Cover</t>
  </si>
  <si>
    <t xml:space="preserve">#1-72 Fil Hd </t>
  </si>
  <si>
    <t>#2-56 Pan Hd</t>
  </si>
  <si>
    <t>SMA Female RF Connector PCB Edge Mount</t>
  </si>
  <si>
    <t>SMA Lock Nut</t>
  </si>
  <si>
    <t>Keystone solder lug 8</t>
  </si>
  <si>
    <t>#8-32 Feed Through Capacitor</t>
  </si>
  <si>
    <t>SMA Straight Crimp Connector Plug</t>
  </si>
  <si>
    <t>142-0403-011 / RG-58</t>
  </si>
  <si>
    <t>Johnson</t>
  </si>
  <si>
    <t>CradlePoint Radio</t>
  </si>
  <si>
    <t>COR IBR600LE-VZ</t>
  </si>
  <si>
    <t>CradlePoint</t>
  </si>
  <si>
    <t>#4-40 UNC-2A x 1/4 Flt Soc Hd Cap</t>
  </si>
  <si>
    <t>90585A200</t>
  </si>
  <si>
    <t>Iridium Satellite Tracker</t>
  </si>
  <si>
    <t>NAL-9602-LP</t>
  </si>
  <si>
    <t>NAL Research Corp.</t>
  </si>
  <si>
    <t>CradlePoint-NAL Bracket Assy</t>
  </si>
  <si>
    <t>A-201654-16</t>
  </si>
  <si>
    <t>3/32 x 3/16 Flt Hd Rivet</t>
  </si>
  <si>
    <t>97483A050</t>
  </si>
  <si>
    <t>CradlePoint Radio Bracket</t>
  </si>
  <si>
    <t>P-201652-14</t>
  </si>
  <si>
    <t>CradlePoint - NAL Bracket</t>
  </si>
  <si>
    <t>P-201653-14</t>
  </si>
  <si>
    <t>Drop Weight Assy Hard Parts</t>
  </si>
  <si>
    <t>A-201500-17</t>
  </si>
  <si>
    <t>P-200793-09</t>
  </si>
  <si>
    <t>P-200794-09</t>
  </si>
  <si>
    <t>P-200795-09</t>
  </si>
  <si>
    <t>Bladder Mount</t>
  </si>
  <si>
    <t>Bladder Mount Aft</t>
  </si>
  <si>
    <t>DW Cross Plate Port</t>
  </si>
  <si>
    <t>DW Crossbar Stbd</t>
  </si>
  <si>
    <t>P-200796-09</t>
  </si>
  <si>
    <t>Burn Wire Ground Point</t>
  </si>
  <si>
    <t>P-200801-09</t>
  </si>
  <si>
    <t>302 SS 2.5L .469"od .054 Wire diameter</t>
  </si>
  <si>
    <t>1986K114</t>
  </si>
  <si>
    <t>Drop Weight Spring Piston</t>
  </si>
  <si>
    <t>P-201152-11</t>
  </si>
  <si>
    <t>DW Sensor Plate</t>
  </si>
  <si>
    <t>P-200797-09</t>
  </si>
  <si>
    <t>Reed Switch</t>
  </si>
  <si>
    <t>RSBH2F</t>
  </si>
  <si>
    <t>RSIL-2-M</t>
  </si>
  <si>
    <t>Magnet Support Lever</t>
  </si>
  <si>
    <t>P-201161-11</t>
  </si>
  <si>
    <t>3D printed by MBARI.</t>
  </si>
  <si>
    <t>Button Magnet</t>
  </si>
  <si>
    <t>5688K51</t>
  </si>
  <si>
    <t>DW Magnet Compr. Spring</t>
  </si>
  <si>
    <t>1692K13</t>
  </si>
  <si>
    <t>#4-40 x 3/4 Flt Hd Soc</t>
  </si>
  <si>
    <t>#10-32 Nylok Nut</t>
  </si>
  <si>
    <t>90715A115</t>
  </si>
  <si>
    <t>Drop Weight Cross Bar</t>
  </si>
  <si>
    <t>P-201154-11</t>
  </si>
  <si>
    <t>Drop Weight Support Plate</t>
  </si>
  <si>
    <t>P-201153-11</t>
  </si>
  <si>
    <t>DW Adjustment Guide</t>
  </si>
  <si>
    <t>P-201155-11</t>
  </si>
  <si>
    <t>#10-32 x 1/2 Flt Pt Set Screw</t>
  </si>
  <si>
    <t>94564A047</t>
  </si>
  <si>
    <t>Burn Wire</t>
  </si>
  <si>
    <t>Malin</t>
  </si>
  <si>
    <t>NicoPress 0.031</t>
  </si>
  <si>
    <t>3/32 Shrink Tube (Clear)</t>
  </si>
  <si>
    <t>Lead Drop Weight</t>
  </si>
  <si>
    <t>RotoMetals</t>
  </si>
  <si>
    <t>#4-40 x 1/2 Flt Hd Soc</t>
  </si>
  <si>
    <t>#6-32 x 1.2 Soc Hd Cap</t>
  </si>
  <si>
    <t>90585A204</t>
  </si>
  <si>
    <t>90585A235</t>
  </si>
  <si>
    <t>#8-32 x 1 1/4</t>
  </si>
  <si>
    <t>Hex Jam Nut 3/8 - 24</t>
  </si>
  <si>
    <t>94805A217</t>
  </si>
  <si>
    <t>#4-40 x 3/16 Soc Hd Cap</t>
  </si>
  <si>
    <t>#10-32 x 1 1/4 Soc Hd Cap</t>
  </si>
  <si>
    <t>92185A227</t>
  </si>
  <si>
    <t>#10-32 x 2 1/2 Soc Hd Cap</t>
  </si>
  <si>
    <t>92185A230</t>
  </si>
  <si>
    <t>#8 SAE Flt Washer</t>
  </si>
  <si>
    <t>DW Sensor Cable Brace</t>
  </si>
  <si>
    <t>P-201630-14</t>
  </si>
  <si>
    <t>RMA-MP</t>
  </si>
  <si>
    <t>1/8 Shrink Tube (clear)</t>
  </si>
  <si>
    <t>3/16 Shrink Tube</t>
  </si>
  <si>
    <t>RMA-FS</t>
  </si>
  <si>
    <t>Lug Ring 18-22 AWG #2</t>
  </si>
  <si>
    <t>#2-56 UNC-2A x 1/8</t>
  </si>
  <si>
    <t>91735A003</t>
  </si>
  <si>
    <t>Scotch Cast 2131</t>
  </si>
  <si>
    <t>3M</t>
  </si>
  <si>
    <t>#8-32 x 3/4 Flt Hd Soc</t>
  </si>
  <si>
    <t>90585A230</t>
  </si>
  <si>
    <t>Load Control Sub Assy</t>
  </si>
  <si>
    <t>A-201904-17</t>
  </si>
  <si>
    <t>Load Control Backplane Board Assy</t>
  </si>
  <si>
    <t>Load Control Bracket Assy</t>
  </si>
  <si>
    <t>A-201675-14</t>
  </si>
  <si>
    <t>Load Control Backplane Isolator Board</t>
  </si>
  <si>
    <t>P-201772-15</t>
  </si>
  <si>
    <t>Listed under P-201675-14</t>
  </si>
  <si>
    <t>Load Control Retaining Bar Long</t>
  </si>
  <si>
    <t>P-201677-14</t>
  </si>
  <si>
    <t>Load Control Card Guide Port V2</t>
  </si>
  <si>
    <t>P-201679-14</t>
  </si>
  <si>
    <t>#8-32 UNC-2A x 5/8 Flt Soc Hd</t>
  </si>
  <si>
    <t>90585A229</t>
  </si>
  <si>
    <t>Card Guide Port V2 Mirror</t>
  </si>
  <si>
    <t>#8-32 x 1/4 Threaded StandOff</t>
  </si>
  <si>
    <t>This is the weldment of two parts in different assemblies (one in the thruster motor assy and the other in the Press Hull Assy). Build starts from this assembly.</t>
  </si>
  <si>
    <t>A-200578-08</t>
  </si>
  <si>
    <t>Aft Dome / Motor Tube</t>
  </si>
  <si>
    <t>LRAUV Alum Press. Hull</t>
  </si>
  <si>
    <t>A-200467-17</t>
  </si>
  <si>
    <t>Internal Elect. / Batt Chassis Weldment</t>
  </si>
  <si>
    <t>A-200579-14</t>
  </si>
  <si>
    <t>Chassis Rod End</t>
  </si>
  <si>
    <t>P-201471-12</t>
  </si>
  <si>
    <t>Adaptor Lug Chassis End Cap</t>
  </si>
  <si>
    <t>P-200425-07</t>
  </si>
  <si>
    <t>New Chassis Rail Box Truss</t>
  </si>
  <si>
    <t>P-200881-14</t>
  </si>
  <si>
    <t>8-32 x 1/2 Soc Hd Cap</t>
  </si>
  <si>
    <t>Chassis Tie Rod</t>
  </si>
  <si>
    <t>P-200569-08</t>
  </si>
  <si>
    <t>Chassis Tie Rod End Fix</t>
  </si>
  <si>
    <t>P-201326-12</t>
  </si>
  <si>
    <t>Gr. 2 Titanium Threaded Stud</t>
  </si>
  <si>
    <t>96095A155</t>
  </si>
  <si>
    <t>Seamless Drawn Alum Tube</t>
  </si>
  <si>
    <t>P-200465-08</t>
  </si>
  <si>
    <t>Press Hull End Dome Aft</t>
  </si>
  <si>
    <t>P-200466-08</t>
  </si>
  <si>
    <t>Press Hull End Dome Fwd</t>
  </si>
  <si>
    <t>P-200626-08</t>
  </si>
  <si>
    <t>1100001-101</t>
  </si>
  <si>
    <t>D.G. O'Brien Inc.</t>
  </si>
  <si>
    <t>DGO Adaptor (SAE #6)</t>
  </si>
  <si>
    <t>P-201709-15</t>
  </si>
  <si>
    <t>Male SAE /MS Straight Thread</t>
  </si>
  <si>
    <t>SS-400-1-4ST</t>
  </si>
  <si>
    <t>ISUS Probe Bulkhead Blank</t>
  </si>
  <si>
    <t>ISUS Adaptor Custom Jamm Nut</t>
  </si>
  <si>
    <t>P-200686-09</t>
  </si>
  <si>
    <t>#2-017-70N</t>
  </si>
  <si>
    <t>#2-014</t>
  </si>
  <si>
    <t>4 SAE to 1/4 Tube Adaptor</t>
  </si>
  <si>
    <t>1/4 Tube "T"</t>
  </si>
  <si>
    <t>SS-400-3</t>
  </si>
  <si>
    <t>Female Adapter (ISO Parallel Thread) - Fractional</t>
  </si>
  <si>
    <t>SS-4-TA-7-4RP</t>
  </si>
  <si>
    <t>SS-4-TA-1-4ST</t>
  </si>
  <si>
    <t>Fitting Plug</t>
  </si>
  <si>
    <t>SS-400-P</t>
  </si>
  <si>
    <t>1/4 - 20 Hex Nut</t>
  </si>
  <si>
    <t>90545A029</t>
  </si>
  <si>
    <t>Bellville Spring Washer</t>
  </si>
  <si>
    <t>Nylon Shoulder Bushing</t>
  </si>
  <si>
    <t>C27460</t>
  </si>
  <si>
    <t>1/4 Flat Washer</t>
  </si>
  <si>
    <t>94051A220</t>
  </si>
  <si>
    <t>93996A710</t>
  </si>
  <si>
    <t>Grounding Spring Ver. 3</t>
  </si>
  <si>
    <t>P-200882-10</t>
  </si>
  <si>
    <t>#8-32 x 3/16 x 1/8 Soc Shoulder Screw</t>
  </si>
  <si>
    <t>Seacon</t>
  </si>
  <si>
    <t>LRAUV MINK Adapter</t>
  </si>
  <si>
    <t>P-201623-14</t>
  </si>
  <si>
    <t>#2-015</t>
  </si>
  <si>
    <t>#2-020</t>
  </si>
  <si>
    <t>#3-905</t>
  </si>
  <si>
    <t>1/2 -  20 Hex Nut</t>
  </si>
  <si>
    <t>92174A440</t>
  </si>
  <si>
    <t>PVDF Compression Tube Fitting</t>
  </si>
  <si>
    <t>5533K433</t>
  </si>
  <si>
    <t>Pressure Relief Valve</t>
  </si>
  <si>
    <t>701-00006</t>
  </si>
  <si>
    <t>DeepSea Power &amp; Light</t>
  </si>
  <si>
    <t>#8 Helicoil / G10 Thread Repair Plug</t>
  </si>
  <si>
    <t>A-201xxx-16</t>
  </si>
  <si>
    <t>1/4-20 UNC-2A x 3/4 Hex Cap</t>
  </si>
  <si>
    <t>93190A540</t>
  </si>
  <si>
    <t>92185A213</t>
  </si>
  <si>
    <t>P-200792-09</t>
  </si>
  <si>
    <t>132-NUT SMA GLD</t>
  </si>
  <si>
    <t>MOLEX 0732512120</t>
  </si>
  <si>
    <t>P-201705-15_ISUS-BlkHd-1-2-20 port</t>
  </si>
  <si>
    <t>Listed as "1 Litre Oil Bladder" in assy, not as a part number.</t>
  </si>
  <si>
    <t>VB Bladder - CFT-18-MBARI-2</t>
  </si>
  <si>
    <t>P-201941-17</t>
  </si>
  <si>
    <t>Drop Weight Mold</t>
  </si>
  <si>
    <t>Tapered Mold Base</t>
  </si>
  <si>
    <t>P-201xxx-11</t>
  </si>
  <si>
    <t>P-201163-11</t>
  </si>
  <si>
    <t>FFS Drop Weight Mold Side Plate</t>
  </si>
  <si>
    <t>P-201164-11</t>
  </si>
  <si>
    <t>Bottom Drop Weight Center Mold Plug</t>
  </si>
  <si>
    <t>P-201165-11</t>
  </si>
  <si>
    <t>A-201501-13</t>
  </si>
  <si>
    <t>Top Drop Weight Center Mold Plug</t>
  </si>
  <si>
    <t>P-201166-11</t>
  </si>
  <si>
    <t>Drop Weight Mold Spring Pocket Plug</t>
  </si>
  <si>
    <t>P-201167-11</t>
  </si>
  <si>
    <t>Thruster Motor A-200503-17</t>
  </si>
  <si>
    <t>Prop Shaft A-200567-08</t>
  </si>
  <si>
    <t>Motor A-200508-17</t>
  </si>
  <si>
    <t>Zinc Anode A-201xxx-13</t>
  </si>
  <si>
    <t>Tail Control A-200502-08</t>
  </si>
  <si>
    <t>Fin Control A-200618-08</t>
  </si>
  <si>
    <t>Ext Bladder A-200924-10</t>
  </si>
  <si>
    <t>CS Actuator A-200711-10</t>
  </si>
  <si>
    <t>Tail Foam A-201916-17</t>
  </si>
  <si>
    <t>Pivot Bearing A-200xxx-09</t>
  </si>
  <si>
    <t>Rudder Crank A-200732-17 / Elevator Crank A-200731-17</t>
  </si>
  <si>
    <t>Elevator Crank A-200731-17</t>
  </si>
  <si>
    <t>Rudder Crank A-200732-17</t>
  </si>
  <si>
    <t>Press Hull Assy A-201902-17</t>
  </si>
  <si>
    <t>VB System A-201330-12</t>
  </si>
  <si>
    <t>VB Valve A-200991-11</t>
  </si>
  <si>
    <t>VB Reservoir A-200620-08</t>
  </si>
  <si>
    <t>EZSV Port A-201908-17</t>
  </si>
  <si>
    <t>EZSV STBD A-201908-17</t>
  </si>
  <si>
    <t>Complete Drive A-201567-14</t>
  </si>
  <si>
    <t>Iridium A-201882-17</t>
  </si>
  <si>
    <t>3 Way Mux 11021196</t>
  </si>
  <si>
    <t>NAL Bracket A-201654-16</t>
  </si>
  <si>
    <t>Drop Weight A-201500-17</t>
  </si>
  <si>
    <t>DW Mold A-201501-13</t>
  </si>
  <si>
    <t>Load Control A-201904-17</t>
  </si>
  <si>
    <t>Press Hull A-200467-17</t>
  </si>
  <si>
    <t>Chassis A-200579-14</t>
  </si>
  <si>
    <t>Tail Control A-200502-08 / Press Hull A-200467-17</t>
  </si>
  <si>
    <t>91771A164</t>
  </si>
  <si>
    <t>Product Component Corp</t>
  </si>
  <si>
    <t>C21003</t>
  </si>
  <si>
    <t>Depends on endcap config. Be sure to use P-201705-15_ISUS-BlkHd-1-2-20 port version of P-201705-15 drawing</t>
  </si>
  <si>
    <t>Fin Control A-200618-08 / VB Reservoir A-200620-08</t>
  </si>
  <si>
    <t>4 in fin assy not needed if fin 3D printed. 2 in VB assy.</t>
  </si>
  <si>
    <t>Motor A-200508-17 / Pivot Bearing A-200xxx-09</t>
  </si>
  <si>
    <t>16 for pivot bearing assy. 4 for motor assy (not in assy drawing but in CAD and referenced by build notes).</t>
  </si>
  <si>
    <t>Drop Weight A-201500-17 / 3 Way Mux 11021196</t>
  </si>
  <si>
    <t>2 in 3 way mux, 1 in drop weight.</t>
  </si>
  <si>
    <t>CS Actuator A-200711-10 / Rudder Crank A-200732-17 / Elevator Crank A-200731-17</t>
  </si>
  <si>
    <t>8 in cs actuator, 8 in elevator and 8 in rudder</t>
  </si>
  <si>
    <t>VB System A-201330-12 / Drop Weight A-201500-17</t>
  </si>
  <si>
    <t>4 in vb system, 1 in dw assy.</t>
  </si>
  <si>
    <t>Thruster Motor A-200503-17 / CS Actuator A-200711-10</t>
  </si>
  <si>
    <t>6 in thruster motor, 4 in cs actuator (not needed if strongback 3D printed).</t>
  </si>
  <si>
    <t>Thruster Motor A-200503-17 / Drop Weight A-201500-17</t>
  </si>
  <si>
    <t>6 in thruster motor, 3 in dw assy.</t>
  </si>
  <si>
    <t>VB Reservoir A-200620-08 / Drop Weight A-201500-17</t>
  </si>
  <si>
    <t>6 in vb reservoir, 1 in dw assy.</t>
  </si>
  <si>
    <t>VB Valve A-200991-11 / VB System A-201330-12 / Press Hull A-200467-17</t>
  </si>
  <si>
    <t>#8-32 x 1/2 SST Soc Hd Cap</t>
  </si>
  <si>
    <t>CS Actuator A-200711-10 / VB System A-201330-12 / Chassis A-200579-14</t>
  </si>
  <si>
    <t>16 in cs actuator, 6 in vb system and 6 in chassis.</t>
  </si>
  <si>
    <t>ParFlex</t>
  </si>
  <si>
    <t>Parker</t>
  </si>
  <si>
    <t>Impulse</t>
  </si>
  <si>
    <t>Teledyne</t>
  </si>
  <si>
    <t>WELDED ASSY</t>
  </si>
  <si>
    <t>Fin Axel Assy</t>
  </si>
  <si>
    <t>3D PRINT</t>
  </si>
  <si>
    <t>Press Hull Assy</t>
  </si>
  <si>
    <t>A-201902-17</t>
  </si>
  <si>
    <t>Secondary Battery Assy</t>
  </si>
  <si>
    <t>A-201541-13</t>
  </si>
  <si>
    <t>The number of individual items included in the SKU when ordered, e.g. a box of screws from Mcmaster might contain 100 individual screws.</t>
  </si>
  <si>
    <t>The cost of one ordering quantity one of this SKU from the vendor.</t>
  </si>
  <si>
    <t>How many are you going to break?</t>
  </si>
  <si>
    <t>The number of individual items that are available for the build before this order.</t>
  </si>
  <si>
    <t>The expected time between when an order is sent to the vendor and when the vendor will deliver the items.</t>
  </si>
  <si>
    <t>Purchase ID</t>
  </si>
  <si>
    <t>Where Used</t>
  </si>
  <si>
    <t>Number of Assemblies to Order:</t>
  </si>
  <si>
    <t>ASM Cost</t>
  </si>
  <si>
    <t>Order ID</t>
  </si>
  <si>
    <t>A unique identifier for the order, such as the Purchase Order number, or the method of payment, like a credit card or cash. If paid by someone other than the Purchaser, make sure to include that person's ID for clarity.</t>
  </si>
  <si>
    <t>Tail Shell Assy</t>
  </si>
  <si>
    <t>A-200751-09</t>
  </si>
  <si>
    <t>Drop Weight Fence</t>
  </si>
  <si>
    <t>P-201671-14</t>
  </si>
  <si>
    <t>Tail Shell A-200751-09</t>
  </si>
  <si>
    <t>Drop Weight Fence Hatch</t>
  </si>
  <si>
    <t>G-10 Fiber Nut Plates</t>
  </si>
  <si>
    <t>P-201670-14</t>
  </si>
  <si>
    <t>P-200514-08</t>
  </si>
  <si>
    <t>P-200517-08</t>
  </si>
  <si>
    <t>Tail Shell Assy Hatch</t>
  </si>
  <si>
    <t>Compensator Assy</t>
  </si>
  <si>
    <t>A-201176-17</t>
  </si>
  <si>
    <t>Tecnadyne Compensator PC1X</t>
  </si>
  <si>
    <t>PC1X</t>
  </si>
  <si>
    <t>Comp Assy A-201176-17</t>
  </si>
  <si>
    <t>P-201547-13</t>
  </si>
  <si>
    <t>1/4-28 Flangeless Nut</t>
  </si>
  <si>
    <t>P-330X</t>
  </si>
  <si>
    <t>Up Church Corp.</t>
  </si>
  <si>
    <t>1/8 Inch Ferrule</t>
  </si>
  <si>
    <t>P-340</t>
  </si>
  <si>
    <t>Peek Comp Tube 0.13</t>
  </si>
  <si>
    <t>ZX-02006-30</t>
  </si>
  <si>
    <t>Mini QC to 1/8 Tube</t>
  </si>
  <si>
    <t>SS-QM2-B-200</t>
  </si>
  <si>
    <t>6-32 x 1 1/12 Flat Head</t>
  </si>
  <si>
    <t>91771A157</t>
  </si>
  <si>
    <t>Tail Foam Block</t>
  </si>
  <si>
    <t>P-201119-17</t>
  </si>
  <si>
    <t>Swagelok Positionable Elbow 1/4 Tube</t>
  </si>
  <si>
    <t>#6-32 Threaded Insert</t>
  </si>
  <si>
    <t>92394A113</t>
  </si>
  <si>
    <t>Parfelx 1/4" OD PolyurethaneTube</t>
  </si>
  <si>
    <t>Swagelok QD</t>
  </si>
  <si>
    <t>QC4-B1-400</t>
  </si>
  <si>
    <t>Antenna Assy</t>
  </si>
  <si>
    <t>1/8 x 1 1/4 Dowel Pin</t>
  </si>
  <si>
    <t>97395A453</t>
  </si>
  <si>
    <t>10-24 x 1.5 Soc Hd Cap</t>
  </si>
  <si>
    <t>92185A215</t>
  </si>
  <si>
    <t>Foam Mount Plate</t>
  </si>
  <si>
    <t>P-200627-08</t>
  </si>
  <si>
    <t>Fin Bearing Mount</t>
  </si>
  <si>
    <t>P-200950-10</t>
  </si>
  <si>
    <t>Aceta / Glass Bearing</t>
  </si>
  <si>
    <t>Tail Shell Lock Ring</t>
  </si>
  <si>
    <t>P-200682-09</t>
  </si>
  <si>
    <t>Propeller</t>
  </si>
  <si>
    <t>P-200625-08</t>
  </si>
  <si>
    <t>1/4-28 Hex Jamm Nut</t>
  </si>
  <si>
    <t>91841A215</t>
  </si>
  <si>
    <t>1/4-28 Nylok Nut</t>
  </si>
  <si>
    <t>90715A130</t>
  </si>
  <si>
    <t>CS Fin Actuator Mount</t>
  </si>
  <si>
    <t>P-200702-09</t>
  </si>
  <si>
    <t>1/4-20 x 7/16 Flt Hd Soc</t>
  </si>
  <si>
    <t>90585A038</t>
  </si>
  <si>
    <t>#8-32 x 5/16 Flt Hd Soc</t>
  </si>
  <si>
    <t>90585A225</t>
  </si>
  <si>
    <t>#6-32 x 3/8 Button Hd</t>
  </si>
  <si>
    <t>98164A107</t>
  </si>
  <si>
    <t>#6-32 x 1/2 Flt Hd Soc</t>
  </si>
  <si>
    <t>90585A214</t>
  </si>
  <si>
    <t>Buss Wire Grounding Assy</t>
  </si>
  <si>
    <t>P-201xxx-12</t>
  </si>
  <si>
    <t>Telonics</t>
  </si>
  <si>
    <t>Cylinder Mag. Axially Magnetized 15.5 lbf</t>
  </si>
  <si>
    <t>D8C</t>
  </si>
  <si>
    <t>10-24 x 1/4 x 3/4 Soc Hd Shldr</t>
  </si>
  <si>
    <t>97345A540</t>
  </si>
  <si>
    <t>1/4-20 x 3/4 Flt Hd Soc</t>
  </si>
  <si>
    <t>90585A540</t>
  </si>
  <si>
    <t>Jilson Plastic Bearing</t>
  </si>
  <si>
    <t>06003 DGN</t>
  </si>
  <si>
    <t>CS Centering Sleeve</t>
  </si>
  <si>
    <t>P-200700-09</t>
  </si>
  <si>
    <t xml:space="preserve">Tail assy calls for rev A, but assuming rev B </t>
  </si>
  <si>
    <t>PVC Flat Washer</t>
  </si>
  <si>
    <t>95611A037</t>
  </si>
  <si>
    <t>17mm External Retaining Ring</t>
  </si>
  <si>
    <t>90967A210</t>
  </si>
  <si>
    <t>A-201534-13</t>
  </si>
  <si>
    <t>Flag Assy</t>
  </si>
  <si>
    <t>A-201907-17</t>
  </si>
  <si>
    <t>A-201906-17</t>
  </si>
  <si>
    <t>Flag Mount</t>
  </si>
  <si>
    <t>Clevis Pin</t>
  </si>
  <si>
    <t>2449K110</t>
  </si>
  <si>
    <t>Flag Assy A-201907-17</t>
  </si>
  <si>
    <t>Optical Flag</t>
  </si>
  <si>
    <t>P-201543-13</t>
  </si>
  <si>
    <t>#10-32 x 3/8 Flt Hd</t>
  </si>
  <si>
    <t>90585A287</t>
  </si>
  <si>
    <t>A-201621-14</t>
  </si>
  <si>
    <t>Bulkhead Assy</t>
  </si>
  <si>
    <t>Battery Cicuit Board Assy</t>
  </si>
  <si>
    <t>Bulkhead Assy A-201621-14</t>
  </si>
  <si>
    <t>#4 x 5/8 Alumn Standoff</t>
  </si>
  <si>
    <t>Battery Circuit  Board A-201534-13</t>
  </si>
  <si>
    <t>91780A534</t>
  </si>
  <si>
    <t>91780A505</t>
  </si>
  <si>
    <t>#4 x 1/4 Alumn Standoff</t>
  </si>
  <si>
    <t>91772A122</t>
  </si>
  <si>
    <t>#4-40 x 1 3/8 UNC</t>
  </si>
  <si>
    <t>Battery Pack Support Plate</t>
  </si>
  <si>
    <t>Currently 3D printed</t>
  </si>
  <si>
    <t>92185A110</t>
  </si>
  <si>
    <t>P-201537-13</t>
  </si>
  <si>
    <t>#4-40 x 1/2 Soc Hd Cap</t>
  </si>
  <si>
    <t>92395A112</t>
  </si>
  <si>
    <t>#4-40 Brass Press-Fit expansion Insert</t>
  </si>
  <si>
    <t>NH2034HD34</t>
  </si>
  <si>
    <t>Battery Pack Sub-Assy</t>
  </si>
  <si>
    <t xml:space="preserve">Battery Pack Sub-Assy A-201906-17 </t>
  </si>
  <si>
    <t>P-201539-13</t>
  </si>
  <si>
    <t>Battery Pack Support Plate Half</t>
  </si>
  <si>
    <t>8627K129</t>
  </si>
  <si>
    <t>#10 Phenolic Stand-off x 1/2</t>
  </si>
  <si>
    <t>455K-ND</t>
  </si>
  <si>
    <t>Battery Pack Bulkhead Plate</t>
  </si>
  <si>
    <t>P-201538-13</t>
  </si>
  <si>
    <t>Idler Wheel Assy</t>
  </si>
  <si>
    <t>#6-32 x 3/8 Flt Hd Soc</t>
  </si>
  <si>
    <t>90585A212</t>
  </si>
  <si>
    <t>#4-40 x 12in UNC-2A Threaded Rod</t>
  </si>
  <si>
    <t>93250A002</t>
  </si>
  <si>
    <t>90295A059</t>
  </si>
  <si>
    <t>#4 x 1/4 Alumn Stand Off</t>
  </si>
  <si>
    <t>91841A005</t>
  </si>
  <si>
    <t>#4-40 Hex Nut</t>
  </si>
  <si>
    <t>92395A319</t>
  </si>
  <si>
    <t>#6-32 Brass Insert</t>
  </si>
  <si>
    <t>92395A113</t>
  </si>
  <si>
    <t>#6-32 Brass Press-Fit Expansion Insert</t>
  </si>
  <si>
    <t>#8 Cradle Clamp</t>
  </si>
  <si>
    <t>Avery Dennison</t>
  </si>
  <si>
    <t>91735A192</t>
  </si>
  <si>
    <t xml:space="preserve">#8-32 x 3/8 Pan Hd Phill </t>
  </si>
  <si>
    <t>Battery Pack Mid Support Plate</t>
  </si>
  <si>
    <t>P-201540-13</t>
  </si>
  <si>
    <t>Second Battery Assy A-201541-13</t>
  </si>
  <si>
    <t>#10 SAE Flt Washer</t>
  </si>
  <si>
    <t>94435A336</t>
  </si>
  <si>
    <t>#10-32 Threaded Rod</t>
  </si>
  <si>
    <t>8627K159</t>
  </si>
  <si>
    <t>P-201582-13</t>
  </si>
  <si>
    <t>Battery Shear Plate</t>
  </si>
  <si>
    <t>P-201583-13</t>
  </si>
  <si>
    <t>Wire Guard</t>
  </si>
  <si>
    <t>#4-40 x 3/8 Standoffs</t>
  </si>
  <si>
    <t>92185A144</t>
  </si>
  <si>
    <t>#6-32 x 1/4 Soc Hd Cap</t>
  </si>
  <si>
    <t>P-201702-15</t>
  </si>
  <si>
    <t>Nook Ball Screw Aft Cover</t>
  </si>
  <si>
    <t>UTH-114-A-20-B-H-000</t>
  </si>
  <si>
    <t>Applimotion</t>
  </si>
  <si>
    <t>Motor Rotor &amp; Stator</t>
  </si>
  <si>
    <t>BC14-42</t>
  </si>
  <si>
    <t>Leadertec</t>
  </si>
  <si>
    <t>Brantner &amp; Assoc (SeaCon)</t>
  </si>
  <si>
    <t>Inspired Energy</t>
  </si>
  <si>
    <t>Keller PA-6ST 50 bar FS 3.5kohm 20% Pressure Sensor</t>
  </si>
  <si>
    <t>PA-6ST</t>
  </si>
  <si>
    <t>Keller</t>
  </si>
  <si>
    <t>10021076-B</t>
  </si>
  <si>
    <t>MBARI</t>
  </si>
  <si>
    <t>Circuits West/Indtec</t>
  </si>
  <si>
    <t>Motherboard Assembly</t>
  </si>
  <si>
    <t>10020881rC</t>
  </si>
  <si>
    <t>Power Interface PCB Assembly</t>
  </si>
  <si>
    <t>10021057-PIB1</t>
  </si>
  <si>
    <t>Load Control Backplane</t>
  </si>
  <si>
    <t>11021164rA</t>
  </si>
  <si>
    <t>Low Voltage Converter Board Assembly</t>
  </si>
  <si>
    <t>11021173rA</t>
  </si>
  <si>
    <t>Wire Harness Internal Pressure Vessel (Consolidated Harness Set)</t>
  </si>
  <si>
    <t>MCElectronics</t>
  </si>
  <si>
    <t>Charge Distribution Cables</t>
  </si>
  <si>
    <t>10021057-CDC1</t>
  </si>
  <si>
    <t>10021057-CDC2</t>
  </si>
  <si>
    <t>10021057-H01</t>
  </si>
  <si>
    <t>Aft Bulkhead Charge Harness</t>
  </si>
  <si>
    <t>10021057-H02</t>
  </si>
  <si>
    <t>Power Interface Charge Harness</t>
  </si>
  <si>
    <t>10021057-H03</t>
  </si>
  <si>
    <t>Motherboard Charge/Dischage Harness</t>
  </si>
  <si>
    <t>10021057-H04</t>
  </si>
  <si>
    <t>RS-232 Half-Pack FRW Harness</t>
  </si>
  <si>
    <t>10021057-H05</t>
  </si>
  <si>
    <t>RS-232 Half-Pack AFT Harness</t>
  </si>
  <si>
    <t>10021057-H06</t>
  </si>
  <si>
    <t>Battery Pack Control Harness</t>
  </si>
  <si>
    <t>10021057-H07</t>
  </si>
  <si>
    <t>Wire Harness set 1/2 Pack (Consolidated Harness Set)</t>
  </si>
  <si>
    <t>10021057rC</t>
  </si>
  <si>
    <t>Wire Harness set A Pack (Consolidated Harness Set)</t>
  </si>
  <si>
    <t>10021057rD</t>
  </si>
  <si>
    <t>Half-Pack Serial Cable</t>
  </si>
  <si>
    <t>10021057-RS232</t>
  </si>
  <si>
    <t>Backplane Power Harness</t>
  </si>
  <si>
    <t>10021161-12-H1</t>
  </si>
  <si>
    <t>Backplane Boost Harness</t>
  </si>
  <si>
    <t>10021161-12-H2</t>
  </si>
  <si>
    <t>Converter PWM Clock Sync Harness</t>
  </si>
  <si>
    <t>10021161-12-H3</t>
  </si>
  <si>
    <t>Forward Section Wire Harness</t>
  </si>
  <si>
    <t>10021161-13-H1</t>
  </si>
  <si>
    <t>Forward Bulkhead Harness</t>
  </si>
  <si>
    <t>10021161-14-H1</t>
  </si>
  <si>
    <t>BLDC Motor Harness</t>
  </si>
  <si>
    <t>10021161-2-H1</t>
  </si>
  <si>
    <t>Thruster LCB Harness</t>
  </si>
  <si>
    <t>10021161-2-H2</t>
  </si>
  <si>
    <t>Elevator Bulkhead Harness</t>
  </si>
  <si>
    <t>10021161-3-H1</t>
  </si>
  <si>
    <t>Elevator LCB Harness</t>
  </si>
  <si>
    <t>10021161-3-H2</t>
  </si>
  <si>
    <t>Rudder Bulkhead Harness</t>
  </si>
  <si>
    <t>10021161-4-H1</t>
  </si>
  <si>
    <t>Rudder LCB Harness</t>
  </si>
  <si>
    <t>10021161-4-H2</t>
  </si>
  <si>
    <t>VB Valve Motor Harness</t>
  </si>
  <si>
    <t>10021161-5-H1</t>
  </si>
  <si>
    <t>VB Pressure Switch Harness</t>
  </si>
  <si>
    <t>10021161-5-H2</t>
  </si>
  <si>
    <t>Mass Shifter LCB Harness</t>
  </si>
  <si>
    <t>10021161-6-H1</t>
  </si>
  <si>
    <t>Mass Shifter Drive Harness</t>
  </si>
  <si>
    <t>10021161-6-H2</t>
  </si>
  <si>
    <t>Mass Shifter Optical Switch Harness</t>
  </si>
  <si>
    <t>10021161-6-H3</t>
  </si>
  <si>
    <t>MB Iridium Harness</t>
  </si>
  <si>
    <t>10021161-7-H1</t>
  </si>
  <si>
    <t>Iridium Pwr LCB Harness</t>
  </si>
  <si>
    <t>10021161-7-H2</t>
  </si>
  <si>
    <t>Cradlepoint PWR LCB Harness</t>
  </si>
  <si>
    <t>10021161-8-H1</t>
  </si>
  <si>
    <t>Aft DGO-Iridium Coax Cable</t>
  </si>
  <si>
    <t>10021161-9-H1</t>
  </si>
  <si>
    <t>MegaPhase</t>
  </si>
  <si>
    <t>Aft DGO-mux Coax Cable</t>
  </si>
  <si>
    <t>10021161-9-H2</t>
  </si>
  <si>
    <t>Quadplexer to Iridium GPS Coax Cable</t>
  </si>
  <si>
    <t>10021161-9-H4</t>
  </si>
  <si>
    <t>Quadplexer Wifi Coax Cable</t>
  </si>
  <si>
    <t>10021161-9-H5</t>
  </si>
  <si>
    <t>Quadplexer Cell Coax Cable</t>
  </si>
  <si>
    <t>10021161-9-H6</t>
  </si>
  <si>
    <t>Overdrive Umbilical</t>
  </si>
  <si>
    <t>100221160-03</t>
  </si>
  <si>
    <t>Teledyne Impulse</t>
  </si>
  <si>
    <t>100221164-04</t>
  </si>
  <si>
    <t>10020358r3-4</t>
  </si>
  <si>
    <t>10020568r1-3</t>
  </si>
  <si>
    <t>LCB Analog Pressure Sensor Assembly</t>
  </si>
  <si>
    <t>10021161-10-H1</t>
  </si>
  <si>
    <t>VB Oil Pump Harness</t>
  </si>
  <si>
    <t>10021161-5-H3</t>
  </si>
  <si>
    <t>Cradlepoint Ethernet Motherboard Harness</t>
  </si>
  <si>
    <t>10021161-8-H2</t>
  </si>
  <si>
    <t>Iridium to Motherboard Power Harness</t>
  </si>
  <si>
    <t>10021161-9-H3</t>
  </si>
  <si>
    <t>Acuator Motor Harness</t>
  </si>
  <si>
    <t>100221160-06-H2</t>
  </si>
  <si>
    <t>RF Multiplexer PCB</t>
  </si>
  <si>
    <t>100221186rB</t>
  </si>
  <si>
    <t>High Voltage Converter Board Assembly</t>
  </si>
  <si>
    <t>Motherboard to Backplane Flex PCB</t>
  </si>
  <si>
    <t>98267-0469</t>
  </si>
  <si>
    <t>Molex</t>
  </si>
  <si>
    <t>DigiKey</t>
  </si>
  <si>
    <t>Iridium/GPS Tracker</t>
  </si>
  <si>
    <t>9602-LP</t>
  </si>
  <si>
    <t>NAL Research</t>
  </si>
  <si>
    <t>Motherboard Processer SOM</t>
  </si>
  <si>
    <t>PCM-040-332EUPR.A0</t>
  </si>
  <si>
    <t>PHYTEC</t>
  </si>
  <si>
    <t>Drop Weight Release Sensor</t>
  </si>
  <si>
    <t>DLSA-M LOCKING SLEEVE</t>
  </si>
  <si>
    <t>DLSA-M</t>
  </si>
  <si>
    <t>DLSA-F LOCKING SLEEVE</t>
  </si>
  <si>
    <t>DLSA-F</t>
  </si>
  <si>
    <t>100221160-15-B</t>
  </si>
  <si>
    <t>Impulse Single Pin Socket RMA-FS on 2 feet of 1N2T cable</t>
  </si>
  <si>
    <t>Impulse A-FLS-P plastic locking sleeve</t>
  </si>
  <si>
    <t>A-FLS-P</t>
  </si>
  <si>
    <t>Impulse Single Pin Plug RMA-MP on 2 feet of 1N2T cable</t>
  </si>
  <si>
    <t>Impulse A-MLS-P plastic locking sleeve</t>
  </si>
  <si>
    <t>A-MLS-P</t>
  </si>
  <si>
    <t>Conformable Cable assembly 24in, DC-4 GHz,
SMA Female Bulkhead - SMA Female Bulkhead.  For antennae mold</t>
  </si>
  <si>
    <t>CC086-SBSB-24</t>
  </si>
  <si>
    <t>4U rolling rack, roto-molded</t>
  </si>
  <si>
    <t>Power conditioner/outlet strip</t>
  </si>
  <si>
    <t>2U rack chassis</t>
  </si>
  <si>
    <t>rack mount for power supply</t>
  </si>
  <si>
    <t>Rocker switch</t>
  </si>
  <si>
    <t>24V panel LED grn</t>
  </si>
  <si>
    <t>Panel Digital Ammeter</t>
  </si>
  <si>
    <t>Panel Digital Voltmeter</t>
  </si>
  <si>
    <t>Panel voltmeter bezel</t>
  </si>
  <si>
    <t>SPST Toggle switch</t>
  </si>
  <si>
    <t>12V panel LED yel</t>
  </si>
  <si>
    <t>D-sub 9 serial connector</t>
  </si>
  <si>
    <t>Panel ethernet connector</t>
  </si>
  <si>
    <t>Panel Ethernet connector</t>
  </si>
  <si>
    <t>19C Panel Umbilical connector</t>
  </si>
  <si>
    <t>10C Overdrive umbilical connector</t>
  </si>
  <si>
    <t>Charge input connector</t>
  </si>
  <si>
    <t>Auxilliary signals connector</t>
  </si>
  <si>
    <t>AC power receptacle</t>
  </si>
  <si>
    <t>Fuse holder 15A, 250V</t>
  </si>
  <si>
    <t>Fuse, 10A/250V, Slo</t>
  </si>
  <si>
    <t>RS232 Isolator/repeater</t>
  </si>
  <si>
    <t>24V power supply</t>
  </si>
  <si>
    <t>12V power supply</t>
  </si>
  <si>
    <t>power line filter module</t>
  </si>
  <si>
    <t>50mV/50A shunt</t>
  </si>
  <si>
    <t>Plastic DIN rail adapter</t>
  </si>
  <si>
    <t>DIN end stop</t>
  </si>
  <si>
    <t>3-cond DIN terminal</t>
  </si>
  <si>
    <t>4-cond DIN terminal</t>
  </si>
  <si>
    <t>2-cond DIN termnal</t>
  </si>
  <si>
    <t>Separator/cap, sm</t>
  </si>
  <si>
    <t>Separator/cap, lg</t>
  </si>
  <si>
    <t>Jumper</t>
  </si>
  <si>
    <t>Portable cord 12/3 SEOOW 600V</t>
  </si>
  <si>
    <t>Power plug NEMA 5-20</t>
  </si>
  <si>
    <t>Power cord 16AWG, 3ft</t>
  </si>
  <si>
    <t>19C Umbilical inline connector</t>
  </si>
  <si>
    <t>10C Overdrive umbilical inline conn</t>
  </si>
  <si>
    <t>2C Charge input inline connector</t>
  </si>
  <si>
    <t>8C Auxilliary signals inline connector</t>
  </si>
  <si>
    <t>10-12AWG ring term, 1/4" std</t>
  </si>
  <si>
    <t>Aluminum angle, 1.25x2.0x3L</t>
  </si>
  <si>
    <t>SKBR4W</t>
  </si>
  <si>
    <t>M-8X2</t>
  </si>
  <si>
    <t>ET2/35B</t>
  </si>
  <si>
    <t>XG40-38MGA</t>
  </si>
  <si>
    <t>RM-XG1</t>
  </si>
  <si>
    <t>R1966ABLKBLKIS</t>
  </si>
  <si>
    <t>609-1222-140F</t>
  </si>
  <si>
    <t>DCA5-20PC-1-DC4-RL-C</t>
  </si>
  <si>
    <t>DMS-20PC-1-DCM-C</t>
  </si>
  <si>
    <t>DMS-BZL4-C</t>
  </si>
  <si>
    <t>WT11S-RO</t>
  </si>
  <si>
    <t>609-1322-130F</t>
  </si>
  <si>
    <t>1757820-1</t>
  </si>
  <si>
    <t>MS3102E22-14P</t>
  </si>
  <si>
    <t>MS3102E18-1P</t>
  </si>
  <si>
    <t>MS3102E20-23P</t>
  </si>
  <si>
    <t>MS3102E20-7P</t>
  </si>
  <si>
    <t>703W-00/06</t>
  </si>
  <si>
    <t>BK/HKP-HH-R</t>
  </si>
  <si>
    <t>BK/MDA-10-R</t>
  </si>
  <si>
    <t>232OPDR</t>
  </si>
  <si>
    <t>HWS150A24/HD</t>
  </si>
  <si>
    <t>DSP10-12</t>
  </si>
  <si>
    <t>RSAN-2010D</t>
  </si>
  <si>
    <t>3020-01096-0</t>
  </si>
  <si>
    <t>249-116</t>
  </si>
  <si>
    <t>280-651</t>
  </si>
  <si>
    <t>280-646</t>
  </si>
  <si>
    <t>284-902</t>
  </si>
  <si>
    <t>280-313</t>
  </si>
  <si>
    <t>284-328</t>
  </si>
  <si>
    <t>280-402</t>
  </si>
  <si>
    <t>MS3106LC22-14S</t>
  </si>
  <si>
    <t>MS3106E18-1S</t>
  </si>
  <si>
    <t>MS3106E20-23S</t>
  </si>
  <si>
    <t>MS3106R20-7S</t>
  </si>
  <si>
    <t>SKB cases</t>
  </si>
  <si>
    <t>Furman</t>
  </si>
  <si>
    <t>web-tronics.com</t>
  </si>
  <si>
    <t>Ametek Sorenson</t>
  </si>
  <si>
    <t>E-Switch</t>
  </si>
  <si>
    <t>Dialight</t>
  </si>
  <si>
    <t>Murata Power Sol.</t>
  </si>
  <si>
    <t>NKK Switches</t>
  </si>
  <si>
    <t>TE Connectivity</t>
  </si>
  <si>
    <t>Harting</t>
  </si>
  <si>
    <t>Amphenol</t>
  </si>
  <si>
    <t>Qualtek</t>
  </si>
  <si>
    <t>Cooper/Bussman</t>
  </si>
  <si>
    <t>BB Electronics</t>
  </si>
  <si>
    <t>TDK Lambda</t>
  </si>
  <si>
    <t>Wago</t>
  </si>
  <si>
    <t>Amazon.com</t>
  </si>
  <si>
    <t>B&amp;H Photo</t>
  </si>
  <si>
    <t>Digi-Key</t>
  </si>
  <si>
    <t>PEI Genesis</t>
  </si>
  <si>
    <t>McMaster</t>
  </si>
  <si>
    <t>On-Line Electronics</t>
  </si>
  <si>
    <t>FUM8X2</t>
  </si>
  <si>
    <t>EG1844-ND</t>
  </si>
  <si>
    <t>350-1892-ND</t>
  </si>
  <si>
    <t>811-1089-ND</t>
  </si>
  <si>
    <t>811-1062-ND</t>
  </si>
  <si>
    <t>811-1128-ND</t>
  </si>
  <si>
    <t>360-1951-ND</t>
  </si>
  <si>
    <t>350-1897-ND</t>
  </si>
  <si>
    <t>A32575-ND</t>
  </si>
  <si>
    <t>1195-3540-ND</t>
  </si>
  <si>
    <t>MS3102E-22-14P</t>
  </si>
  <si>
    <t>MS3102E-18-1P</t>
  </si>
  <si>
    <t>Q334-ND</t>
  </si>
  <si>
    <t>283-2849-ND</t>
  </si>
  <si>
    <t>283-2722-ND</t>
  </si>
  <si>
    <t>1165-1001-ND</t>
  </si>
  <si>
    <t>285-2346-ND</t>
  </si>
  <si>
    <t>285-1225-ND</t>
  </si>
  <si>
    <t>RSAN-2010D-ND</t>
  </si>
  <si>
    <t>811-1094-ND</t>
  </si>
  <si>
    <t>8961K32</t>
  </si>
  <si>
    <t>7080K44</t>
  </si>
  <si>
    <t>7140K23</t>
  </si>
  <si>
    <t>71535K43</t>
  </si>
  <si>
    <t>A1083-ND</t>
  </si>
  <si>
    <t>Charger Box Face</t>
  </si>
  <si>
    <t>Charger Box Front</t>
  </si>
  <si>
    <t>Charger Box Back</t>
  </si>
  <si>
    <t>Charger Box Bottom</t>
  </si>
  <si>
    <t>AC Input Cable</t>
  </si>
  <si>
    <t>100221381-01</t>
  </si>
  <si>
    <t>Tethys Battery Charging System</t>
  </si>
  <si>
    <t>100221381-05</t>
  </si>
  <si>
    <t>Top-level block diagram, see also "ChargerBox_2017 exploded view"</t>
  </si>
  <si>
    <t>100221381-04</t>
  </si>
  <si>
    <t>100221381-02</t>
  </si>
  <si>
    <t>100221381-03</t>
  </si>
  <si>
    <t>Drawing missing - file with proper name contains "AC Input Cable"</t>
  </si>
  <si>
    <t>Chassis Wiring</t>
  </si>
  <si>
    <t>DC Input Cable</t>
  </si>
  <si>
    <t>Power Supply Control Cable</t>
  </si>
  <si>
    <t>Keller America</t>
  </si>
  <si>
    <t>QUOTE REQUESTED</t>
  </si>
  <si>
    <t>HARNESS</t>
  </si>
  <si>
    <t>ASSEMBLY</t>
  </si>
  <si>
    <t>FASTENER</t>
  </si>
  <si>
    <t xml:space="preserve">carbon steel </t>
  </si>
  <si>
    <t>P-200752-09</t>
  </si>
  <si>
    <t>Battery Stop Bracket</t>
  </si>
  <si>
    <t>1/4-20 x 1/2 Soc Hd Cap</t>
  </si>
  <si>
    <t>92185A537</t>
  </si>
  <si>
    <t>#4-40 x 5/16 Pan Hd Phil</t>
  </si>
  <si>
    <t>93135A274</t>
  </si>
  <si>
    <t>#4 x .125 Standoff</t>
  </si>
  <si>
    <t>#4 x 0.5 Standoff</t>
  </si>
  <si>
    <t>EZSV Port/STBD A-201908-17</t>
  </si>
  <si>
    <t>P-201923-17</t>
  </si>
  <si>
    <t>Optical Switch Bracket V5</t>
  </si>
  <si>
    <t>P-201542-13</t>
  </si>
  <si>
    <t>Optical Interruptor Switch</t>
  </si>
  <si>
    <t>OPB817</t>
  </si>
  <si>
    <t>OPTEK</t>
  </si>
  <si>
    <t>Amphenol-Bracket_(TVP-19-88)</t>
  </si>
  <si>
    <t>P-201546-13</t>
  </si>
  <si>
    <t>MS3476-W-22-55-P</t>
  </si>
  <si>
    <t>PLUG, MIL-C-26482 SERIES 2, BAYONET STRAIGHT CABLE PLUG, 55 FEMALE PINS, STRAIN RELIEF</t>
  </si>
  <si>
    <t>TVP00RW-19-88S Flanged Receptacle</t>
  </si>
  <si>
    <t>TVP00RW-19-88S</t>
  </si>
  <si>
    <t>Amphenol backshell wire clamp Base</t>
  </si>
  <si>
    <t>Amphenol Back Shell Clamp Block Top</t>
  </si>
  <si>
    <t>P-201700-15</t>
  </si>
  <si>
    <t>P-201701-15</t>
  </si>
  <si>
    <t>#4-40 Brass Shoulder Thrd Insert</t>
  </si>
  <si>
    <t>94615A112</t>
  </si>
  <si>
    <t>#4-40 x 7/8 Soc Hd Cap</t>
  </si>
  <si>
    <t>#4-40 x 1-1/2 Soc Hd Cap</t>
  </si>
  <si>
    <t>92185A113</t>
  </si>
  <si>
    <t>92185A121</t>
  </si>
  <si>
    <t>Benthos</t>
  </si>
  <si>
    <t>#8-32 x 1/4 Soc Hd Ca</t>
  </si>
  <si>
    <t>#6-32 x 1/4 Soc Button H</t>
  </si>
  <si>
    <t>98164A106</t>
  </si>
  <si>
    <t>Motherboard Assy</t>
  </si>
  <si>
    <t>10020881rb</t>
  </si>
  <si>
    <t>Ribbon Cable</t>
  </si>
  <si>
    <t xml:space="preserve">Subconn Molded Plug </t>
  </si>
  <si>
    <t xml:space="preserve"> COAX Plug Cable Assem. </t>
  </si>
  <si>
    <t>MCIL-12M</t>
  </si>
  <si>
    <t>1150446-103</t>
  </si>
  <si>
    <t>O'Brien</t>
  </si>
  <si>
    <t>MCBH8FAS-120cm</t>
  </si>
  <si>
    <t>DGI</t>
  </si>
  <si>
    <t>Dummy for MINK Bulkhead</t>
  </si>
  <si>
    <t>MCBH12FAS-120cm</t>
  </si>
  <si>
    <t>Micro-12F Bulkhead</t>
  </si>
  <si>
    <t>Micro-12F Lockring</t>
  </si>
  <si>
    <t>Micro-12F Dummy</t>
  </si>
  <si>
    <t>MCDC12M</t>
  </si>
  <si>
    <t>Micro-12F Dummy Lock Ring</t>
  </si>
  <si>
    <t>Micro-8 Bulkhead</t>
  </si>
  <si>
    <t>Micro-8 Dummy</t>
  </si>
  <si>
    <t>Micro-8 Lock Ring</t>
  </si>
  <si>
    <t>MCDC8M</t>
  </si>
  <si>
    <t>MCDLS-F</t>
  </si>
  <si>
    <t>Mcmaster carr</t>
  </si>
  <si>
    <t>Magnis nc/Monroe</t>
  </si>
  <si>
    <t>Lithium Ion Battery Pack, 4S2P, 14.4V, 6.4Ah, 92Wh</t>
  </si>
  <si>
    <t>EZSV23WV</t>
  </si>
  <si>
    <t>WHOI/OSL 109466</t>
  </si>
  <si>
    <t>Motorized VB Iso Valve Control Board, MBARI 10020689</t>
  </si>
  <si>
    <t>ORDER ASAP</t>
  </si>
  <si>
    <t>0974831F IW</t>
  </si>
  <si>
    <t>Xylem/YSI/Aanderaa</t>
  </si>
  <si>
    <t>Optode MKII Sensor &amp; cables</t>
  </si>
  <si>
    <t>Underwater Quantum Sensor &amp; cable</t>
  </si>
  <si>
    <t>LI-192SA</t>
  </si>
  <si>
    <t>Li-Cor</t>
  </si>
  <si>
    <t>Satellite Phone Store</t>
  </si>
  <si>
    <t>Teledyne Marine DGO</t>
  </si>
  <si>
    <t>Pocasset Machine</t>
  </si>
  <si>
    <t>digikey</t>
  </si>
  <si>
    <t>HC pacific</t>
  </si>
  <si>
    <t>WAC-15 4mm-6mm #2112</t>
  </si>
  <si>
    <t>WAC-15 3mm-4mm #2105</t>
  </si>
  <si>
    <t>W7C15-4MM-3MM</t>
  </si>
  <si>
    <t>VENDOR NAME</t>
  </si>
  <si>
    <t>CONTACT NAME</t>
  </si>
  <si>
    <t>EMAIL</t>
  </si>
  <si>
    <t>SPECIAL NOTES</t>
  </si>
  <si>
    <t>Barry Kent</t>
  </si>
  <si>
    <t>barry@pocassetmachine.com</t>
  </si>
  <si>
    <t>Roar</t>
  </si>
  <si>
    <t>Mac KcKinley</t>
  </si>
  <si>
    <t>mac_roar2@earthlink.net</t>
  </si>
  <si>
    <t>Zeropoint Precision</t>
  </si>
  <si>
    <t>Ron</t>
  </si>
  <si>
    <t>zeropointprec@comcast.net</t>
  </si>
  <si>
    <t>Draper Metals</t>
  </si>
  <si>
    <t xml:space="preserve"> Jim Draheim </t>
  </si>
  <si>
    <t>Re-max21 CLL 3.5 W + GP 22 Gearbox 370:1</t>
  </si>
  <si>
    <t>ECmax-16 5w Motor 283828-157:1 Gearbox 118186</t>
  </si>
  <si>
    <t>Maxon Amax 22 Motor + GP 22 Gearbox 84:1 + Encoder</t>
  </si>
  <si>
    <t>283828_118186</t>
  </si>
  <si>
    <t>Motor and Gear Pump 12V Combination</t>
  </si>
  <si>
    <t>Argos tag with VHF beacon and salt-water-switch</t>
  </si>
  <si>
    <t>TAM-4310-3</t>
  </si>
  <si>
    <t>EMI</t>
  </si>
  <si>
    <t>Dan Evans</t>
  </si>
  <si>
    <t>danjr@emievans.com</t>
  </si>
  <si>
    <t>Additive Manufacturing</t>
  </si>
  <si>
    <t>mvaldez@additivemanufacturingllc.com</t>
  </si>
  <si>
    <t>Maribel Valdez</t>
  </si>
  <si>
    <t>Rudder/Elevator Actuator Wet Cable Impulse</t>
  </si>
  <si>
    <t>100221160-07-B</t>
  </si>
  <si>
    <t>WHOI</t>
  </si>
  <si>
    <t>MKS(W)-3L10-FCR</t>
  </si>
  <si>
    <t>TBD Nose Wiring DGI</t>
  </si>
  <si>
    <t>100221216-10-B</t>
  </si>
  <si>
    <t>Get quote, if it's too crazy we may be able to redesign this assembly. Drawing in Box/LRAUV/Elec/RELEASED/100221216/B</t>
  </si>
  <si>
    <t>DVL Wet Cable Impulse</t>
  </si>
  <si>
    <t>DVL Bulkhead Impulse</t>
  </si>
  <si>
    <t>MKS-310-FCR Actuator Bulkhead Impulse</t>
  </si>
  <si>
    <t>110138/110356/MR-201935</t>
  </si>
  <si>
    <t>additive</t>
  </si>
  <si>
    <t>Sparton AHRS-M2</t>
  </si>
  <si>
    <t>AHRS-M2</t>
  </si>
  <si>
    <t>Sparton</t>
  </si>
  <si>
    <t>Sparton M-Series Optional Cables</t>
  </si>
  <si>
    <t>NDS-1E Navigation Development System Kit</t>
  </si>
  <si>
    <t>NDS-1E</t>
  </si>
  <si>
    <t>drapermetals@aol.com
drapermetals@gmail.com</t>
  </si>
  <si>
    <t>MS204XD0PT + MGCS04S</t>
  </si>
  <si>
    <t>Non-catalog part number. "S" means "Strong" magnets. (MG204XD0PT+MGCF04S is the standard version which appears in Clark Solutions catalog)</t>
  </si>
  <si>
    <t>Excellent RF Coax Cable</t>
  </si>
  <si>
    <t>Insulated Wire</t>
  </si>
  <si>
    <t>Low priority, rarely/never used, we already have one.</t>
  </si>
  <si>
    <t>Pocasset</t>
  </si>
  <si>
    <t>vanderveer</t>
  </si>
  <si>
    <t>PC1X Comp Manifold</t>
  </si>
  <si>
    <t>5648K74</t>
  </si>
  <si>
    <t>Potentiometer RP-20 500Ohm</t>
  </si>
  <si>
    <t>RP20 R500 W3% L0.5%</t>
  </si>
  <si>
    <t>Megatron</t>
  </si>
  <si>
    <t>95647A117</t>
  </si>
  <si>
    <t>90585A206</t>
  </si>
  <si>
    <t>3755T11</t>
  </si>
  <si>
    <t>94639A702</t>
  </si>
  <si>
    <t>94812A200</t>
  </si>
  <si>
    <t>93135A108</t>
  </si>
  <si>
    <t>94639A401</t>
  </si>
  <si>
    <t>O-Ring #2-017-90</t>
  </si>
  <si>
    <t>5308T126</t>
  </si>
  <si>
    <t>Maxon 21 Terminal Adapter PCB</t>
  </si>
  <si>
    <t>PCBWay</t>
  </si>
  <si>
    <t xml:space="preserve">	98195A520</t>
  </si>
  <si>
    <t>O-Ring #2-026-70</t>
  </si>
  <si>
    <t>9452K113</t>
  </si>
  <si>
    <t>O-Ring #2-029-70</t>
  </si>
  <si>
    <t>O-Ring #2-049-70</t>
  </si>
  <si>
    <t>9452K116</t>
  </si>
  <si>
    <t>9452K314</t>
  </si>
  <si>
    <t>94639A714</t>
  </si>
  <si>
    <t>94639A706</t>
  </si>
  <si>
    <t>#4-40 x 0.25 Standoff</t>
  </si>
  <si>
    <t>#4-40 x 1.25 Nylon Soc Head</t>
  </si>
  <si>
    <t>95868A267</t>
  </si>
  <si>
    <t xml:space="preserve">	95868A267</t>
  </si>
  <si>
    <t>evans</t>
  </si>
  <si>
    <t>P-201067-11</t>
  </si>
  <si>
    <t>V6</t>
  </si>
  <si>
    <t>Bonded Mounting Ring G-10</t>
  </si>
  <si>
    <t>Vanderveerplastics.com</t>
  </si>
  <si>
    <t>Davis Lombardo</t>
  </si>
  <si>
    <t>dlombardo@vanderveerplastics.com</t>
  </si>
  <si>
    <t>ftran@vanderveerplastics.com</t>
  </si>
  <si>
    <t>Besides WHOI shop, only shop that will machine G-10</t>
  </si>
  <si>
    <t>Tail Cone Composite</t>
  </si>
  <si>
    <t>Amazon</t>
  </si>
  <si>
    <t>NexLogic</t>
  </si>
  <si>
    <t>Mouser</t>
  </si>
  <si>
    <t>Drawing in same document as its mirror part - are we 3d printing this at WHOI?</t>
  </si>
  <si>
    <t>3/16 x 1/32wall ACETAL Tube x 9.7in long</t>
  </si>
  <si>
    <t>We need at least 20ft. (9.7in per part, 12 parts per build, 2 builds). Buy 7 lengths of 3ft.</t>
  </si>
  <si>
    <t>91780A162</t>
  </si>
  <si>
    <t>Part link</t>
  </si>
  <si>
    <t>1/2 x 1/16wall ACETAL Tube x 24.11 long</t>
  </si>
  <si>
    <t>Order 5ft</t>
  </si>
  <si>
    <t>91950A027</t>
  </si>
  <si>
    <t>9452K172</t>
  </si>
  <si>
    <t>O-Ring #2-109-70</t>
  </si>
  <si>
    <t>9452K31</t>
  </si>
  <si>
    <t>O-Ring #2-211-70</t>
  </si>
  <si>
    <t>O-Ring #2-010-70</t>
  </si>
  <si>
    <t>9452K18</t>
  </si>
  <si>
    <t>O-Ring #2-013-70</t>
  </si>
  <si>
    <t>O-Ring #2-016-70</t>
  </si>
  <si>
    <t>O-Ring #2-024-70</t>
  </si>
  <si>
    <t>9452K57</t>
  </si>
  <si>
    <t>9452K6</t>
  </si>
  <si>
    <t xml:space="preserve">	9452K78</t>
  </si>
  <si>
    <t>9452K83</t>
  </si>
  <si>
    <t>O-Ring #2-119-70</t>
  </si>
  <si>
    <t>9452K375</t>
  </si>
  <si>
    <t>O-Ring #2-276-70</t>
  </si>
  <si>
    <t>9452K376</t>
  </si>
  <si>
    <t>O-Ring #2-277-70</t>
  </si>
  <si>
    <t>O-Ring #2-013</t>
  </si>
  <si>
    <t>Keystone</t>
  </si>
  <si>
    <t>mouser</t>
  </si>
  <si>
    <t>Tail shell</t>
  </si>
  <si>
    <t>tail</t>
  </si>
  <si>
    <t>Pleskunas Design</t>
  </si>
  <si>
    <t>roar</t>
  </si>
  <si>
    <t>MINKPSRL</t>
  </si>
  <si>
    <t>MINKDSPL</t>
  </si>
  <si>
    <t>Ocean Innovations</t>
  </si>
  <si>
    <t>100 min continous length</t>
  </si>
  <si>
    <t>ocean innovations</t>
  </si>
  <si>
    <t>10021076-B Main Umbilical</t>
  </si>
  <si>
    <t xml:space="preserve">109623 TAIL WET CABLES and 10021076-B </t>
  </si>
  <si>
    <t>DGI doesn't like this part</t>
  </si>
  <si>
    <t>35mm DIN rail, total 16 inches</t>
  </si>
  <si>
    <t>8961K15</t>
  </si>
  <si>
    <t>Get 2 sticks, cut them to length.</t>
  </si>
  <si>
    <t>MODIFICATION of ET235B below. Drawing in Manyu's Shared With Me Google Drive folder: Files from MBARI Released Drawings Charger Box</t>
  </si>
  <si>
    <t>What is this for? Cant find it at McMaster. Possible Typo? Modified?</t>
  </si>
  <si>
    <t>circuit-specialists.com</t>
  </si>
  <si>
    <t>https://www.amazon.com/SKB-Inline-Wheels-Latches-Handle/dp/B001LNO9Q6/ref=sr_1_1?dchild=1&amp;keywords=SKB+R4W&amp;qid=1588778818&amp;s=automotive&amp;sr=1-1-catcorr</t>
  </si>
  <si>
    <t>ACP Waterjet</t>
  </si>
  <si>
    <t>CAPABILITY</t>
  </si>
  <si>
    <t>Machining</t>
  </si>
  <si>
    <t>(800) 951-5127</t>
  </si>
  <si>
    <t>PHONE NUMBER</t>
  </si>
  <si>
    <t>MTI Metal Studios</t>
  </si>
  <si>
    <t>Machining / Laser / Weld / Roller</t>
  </si>
  <si>
    <t>(508) 566-8132</t>
  </si>
  <si>
    <t>Marc</t>
  </si>
  <si>
    <t>marc@mtimetalstudios.com</t>
  </si>
  <si>
    <t>LOCATION</t>
  </si>
  <si>
    <t>4 Katie Marie Dr, Bourne, MA 02532</t>
  </si>
  <si>
    <t>Precision Laser</t>
  </si>
  <si>
    <t>Laser Cutting</t>
  </si>
  <si>
    <t>(401) 632-4866</t>
  </si>
  <si>
    <t>precisionlaserri@gmail.com</t>
  </si>
  <si>
    <t>40 Houghton St, Providence, RI 02904</t>
  </si>
  <si>
    <t>Gill</t>
  </si>
  <si>
    <t>quotes@acpwaterjet.com</t>
  </si>
  <si>
    <t>325A New Boston St, Woburn, MA 01801</t>
  </si>
  <si>
    <t>S &amp; T Precision Plate Cutting</t>
  </si>
  <si>
    <t>Waterjet</t>
  </si>
  <si>
    <t>(781) 447-1084</t>
  </si>
  <si>
    <t>Cale</t>
  </si>
  <si>
    <t>stprecision@comcast.net</t>
  </si>
  <si>
    <t>205 Commercial St Rear, Whitman, MA 02382</t>
  </si>
  <si>
    <t>Superior Alloy Technologies Co</t>
  </si>
  <si>
    <t>(508) 559-1125</t>
  </si>
  <si>
    <t>Regis</t>
  </si>
  <si>
    <t>rcoyne@supalloy.com</t>
  </si>
  <si>
    <t>40 Murphy Dr # 2, Avon, MA 02322</t>
  </si>
  <si>
    <t>https://www.circuitspecialists.com/rackmount-enclosure-et235b.html</t>
  </si>
  <si>
    <t>https://www.bhphotovideo.com/c/product/534413-REG/Furman_M_8X2_M_8x_Merit_Series_8.html</t>
  </si>
  <si>
    <t>https://www.digikey.com/products/en?WT.z_se_ps=1&amp;keywords=EG1844-ND</t>
  </si>
  <si>
    <t>https://www.digikey.com/products/en?keywords=350-1892-ND</t>
  </si>
  <si>
    <t>https://www.digikey.com/products/en?keywords=811-1089-ND</t>
  </si>
  <si>
    <t>https://www.digikey.com/products/en?keywords=811-1062-ND</t>
  </si>
  <si>
    <t>https://www.digikey.com/products/en?keywords=811-1128-ND</t>
  </si>
  <si>
    <t>https://www.digikey.com/products/en?keywords=360-1951-ND</t>
  </si>
  <si>
    <t>https://www.digikey.com/products/en?keywords=350-1897-ND</t>
  </si>
  <si>
    <t>https://www.digikey.com/products/en?keywords=A32575-ND</t>
  </si>
  <si>
    <t>https://www.digikey.com/products/en?keywords=1195-3540-ND</t>
  </si>
  <si>
    <t>https://www.digikey.com/products/en?keywords=Q334-ND</t>
  </si>
  <si>
    <t>https://www.digikey.com/products/en?keywords=283-2849-ND</t>
  </si>
  <si>
    <t>https://www.digikey.com/products/en?keywords=283-2722-ND</t>
  </si>
  <si>
    <t>https://www.digikey.com/products/en?keywords=1165-1001-ND</t>
  </si>
  <si>
    <t>https://www.digikey.com/products/en?keywords=285-2346-ND</t>
  </si>
  <si>
    <t>https://www.digikey.com/products/en?keywords=285-1225-ND</t>
  </si>
  <si>
    <t>https://www.digikey.com/products/en?keywords=811-1094-ND</t>
  </si>
  <si>
    <t>https://www.mcmaster.com/catalog/126/825</t>
  </si>
  <si>
    <t>https://www.onlineelec.com/parts/wago/terminal-block-accessories/series-249/wago-249-116/?campaign=238033583&amp;content=48239295983&amp;keyword=22494&amp;gclid=EAIaIQobChMI1q_W9oKg6QIVhbLICh3cJQ7YEAYYAiABEgInfPD_BwE</t>
  </si>
  <si>
    <t>https://www.onlineelec.com/parts/wago/rail-mounted-terminal-blocks/series-280/wago-280-651/</t>
  </si>
  <si>
    <t>https://www.onlineelec.com/parts/wago/rail-mounted-terminal-blocks/series-280/wago-280-646/</t>
  </si>
  <si>
    <t>https://www.onlineelec.com/parts/wago/rail-mounted-terminal-blocks/series-284/wago-284-902/</t>
  </si>
  <si>
    <t>https://www.onlineelec.com/parts/wago/rail-mounted-terminal-blocks/series-280/wago-280-313/</t>
  </si>
  <si>
    <t>https://www.onlineelec.com/parts/wago/rail-mounted-terminal-blocks/series-284/wago-284-328/</t>
  </si>
  <si>
    <t>https://www.onlineelec.com/parts/wago/rail-mounted-terminal-blocks/series-280/wago-280-402/</t>
  </si>
  <si>
    <t>https://www.digikey.com/products/en?WT.z_se_ps=1&amp;keywords=A1083-ND</t>
  </si>
  <si>
    <t>https://www.mcmaster.com/8961k15</t>
  </si>
  <si>
    <t>https://www.peigenesis.com/en/shop/part-information/MS3102E2214P/APH/EACH/60421.html</t>
  </si>
  <si>
    <t>https://www.peigenesis.com/en/shop/part-information/MS3102E181P/APH/EACH/60287.html</t>
  </si>
  <si>
    <t>https://www.peigenesis.com/en/shop/part-information/MS3102E2023P/APH/EACH/60367.html</t>
  </si>
  <si>
    <t>https://www.peigenesis.com/en/shop/part-information/MS3102E207P/APH/EACH/60405.html</t>
  </si>
  <si>
    <t>Could not locate part - Doublecheck w/ DGI for correct PN</t>
  </si>
  <si>
    <t>https://www.peigenesis.com/en/shop/part-information/MS3106E181S/APH/EACH/62666.html</t>
  </si>
  <si>
    <t>https://www.peigenesis.com/en/shop/part-information/MS3106E2023S/APH/EACH/62747.html</t>
  </si>
  <si>
    <t>See Quote "PG-Quote4357094, Charger Box, Line Item 56, Inline connector"</t>
  </si>
  <si>
    <t>Power supply</t>
  </si>
  <si>
    <t>See quote "PROQ22414 - Power Supply XG 1500, XG40-38MGA"</t>
  </si>
  <si>
    <t>s&amp;t</t>
  </si>
  <si>
    <t>See quote "S&amp;T Quote - LRAUV_Charger Box" - wil submit PO once we send them materials</t>
  </si>
  <si>
    <t>5-Pt Gigabit Ethernet Unmngd Switch</t>
  </si>
  <si>
    <t>GS105NA</t>
  </si>
  <si>
    <t>NETGEAR</t>
  </si>
  <si>
    <t>LBC</t>
  </si>
  <si>
    <t>CDW.com</t>
  </si>
  <si>
    <t>https://www.cdw.com/product/NETGEAR-5-Port-Gigabit-Ethernet-Unmanaged-Switch-Plug-and-Play-GS105NA/521943?cm_cat=google&amp;cm_ite=521943&amp;cm_pla=NA-NA-NETGEAR_NW&amp;cm_ven=acquirgy&amp;ef_id=EAIaIQobChMI_NDM086k6QIVjODICh2j3AVOEAQYAyABEgI52fD_BwE:G:s&amp;gclid=EAIaIQobChMI_NDM086k6QIVjODICh2j3AVOEAQYAyABEgI52fD_BwE&amp;s_kwcid=AL!4223!3!243462491255!!!g!305574539941</t>
  </si>
  <si>
    <t>WHOI/OSL</t>
  </si>
  <si>
    <t>BT-0014SMG-2</t>
  </si>
  <si>
    <t>IPP-7077</t>
  </si>
  <si>
    <t>Innovative Power Products</t>
  </si>
  <si>
    <t>Cplr,90Deg,800-2500MHz,150W,SMD</t>
  </si>
  <si>
    <t>RF Mux PCB 100221186rB</t>
  </si>
  <si>
    <t>RF Mux PCB 100221186rB and antenna</t>
  </si>
  <si>
    <t>Marki Microwave</t>
  </si>
  <si>
    <t>SM Bias Tee 14 GHz BTSM (I2) gold plated</t>
  </si>
  <si>
    <t>Falmat Extreme Green Cable, Ft, 100 min continuous</t>
  </si>
  <si>
    <t>FMXCAT51610K24</t>
  </si>
  <si>
    <t>Antenna Wet Cable SMA Termination</t>
  </si>
  <si>
    <t>Antenna Wet Cable DGO Termination</t>
  </si>
  <si>
    <t>Depends on first doing the SMA termination</t>
  </si>
  <si>
    <t>CS Strongback</t>
  </si>
  <si>
    <t>SKBR4UW</t>
  </si>
  <si>
    <t>MINK-10B-CRL-DO</t>
  </si>
  <si>
    <t>MINK-DSPL</t>
  </si>
  <si>
    <t>Q200507 Pathfinder Extended Range option</t>
  </si>
  <si>
    <t>OGI</t>
  </si>
  <si>
    <t>Quote 2005-122 DSPL HDMSC-3085 flat port color camera</t>
  </si>
  <si>
    <t>Quote 2005-123 Flexlink Media Converter</t>
  </si>
  <si>
    <t>Quote 2005-123 Coax SPF</t>
  </si>
  <si>
    <t>Quote 2005-123 MCIL8M-MCDLSF-1m FM022208-MCil8F-MCDLSF SeaCon cable assembly</t>
  </si>
  <si>
    <t>2425-018-X7R0-102PLF</t>
  </si>
  <si>
    <t>Tusonix</t>
  </si>
  <si>
    <t>8010K31</t>
  </si>
  <si>
    <t>Leadtec link. Choose #14 Malin nylon-coated SS wire</t>
  </si>
  <si>
    <t>item no longer available. McMaster recommends PN 91458A112 -- let amanda know if ok. Go ahead</t>
  </si>
  <si>
    <t>91458A112</t>
  </si>
  <si>
    <t>Need 2 "cut config" and 2 "default config". Both configs are detailed in the drawing</t>
  </si>
  <si>
    <t>This is actually an assembly. Order parts listed under Buss Wire Assy P-201xxx-12</t>
  </si>
  <si>
    <t>TERMINAL, RING TONGUE, 22-18 AWG FOR #4 STUD</t>
  </si>
  <si>
    <t>TERMINAL, RING TONGUE, 22-18 AWG FOR 1/4 STUD</t>
  </si>
  <si>
    <t>Buss Wire CDA 110 Copper</t>
  </si>
  <si>
    <t>538-19073-0036</t>
  </si>
  <si>
    <t>538-19069-0044</t>
  </si>
  <si>
    <t>Buss Wire Assy P-201xxx-12</t>
  </si>
  <si>
    <t>8054T14</t>
  </si>
  <si>
    <t>Buy shortest amount</t>
  </si>
  <si>
    <t>Use drop weight fence drawing. Ask for only the long edge and not the two short ones.</t>
  </si>
  <si>
    <t>Chassis Weldment Jig Assembly</t>
  </si>
  <si>
    <t>A-201922-17</t>
  </si>
  <si>
    <t>Chassis Weldment A-201922-17</t>
  </si>
  <si>
    <t>Type 420 Coiled Spring Pin</t>
  </si>
  <si>
    <t>95765A512</t>
  </si>
  <si>
    <t>Not a part, but specifies weld of axel and tab</t>
  </si>
  <si>
    <t>A-100221445-20</t>
  </si>
  <si>
    <t>Idler Wheel Assy No Tab</t>
  </si>
  <si>
    <t>Idler Wheel Assy Mirror</t>
  </si>
  <si>
    <t>Idler Wheel Assy No Tab Mirror</t>
  </si>
  <si>
    <t>A-100221447-20</t>
  </si>
  <si>
    <t>A-100221444 -20</t>
  </si>
  <si>
    <t>A-100221446-20</t>
  </si>
  <si>
    <t xml:space="preserve">Idler Wheel A-100221445-20 </t>
  </si>
  <si>
    <t xml:space="preserve">Idler Wheel No Tab A-100221447-20 </t>
  </si>
  <si>
    <t>Idler Wheel Mirror A-100221444-20</t>
  </si>
  <si>
    <t>Idler Wheel No Tab Mirror A-100221446-20</t>
  </si>
  <si>
    <t>P-100221461</t>
  </si>
  <si>
    <t>P-100221462</t>
  </si>
  <si>
    <t>P-100221463</t>
  </si>
  <si>
    <t>P-100221464</t>
  </si>
  <si>
    <t>Wheel Support No Tab</t>
  </si>
  <si>
    <t xml:space="preserve">Wheel Support </t>
  </si>
  <si>
    <t>Wheel Support Mirror</t>
  </si>
  <si>
    <t>Wheel Support No Tab Mirror</t>
  </si>
  <si>
    <t>94035A539</t>
  </si>
  <si>
    <t>A 7ZB5-URG07537</t>
  </si>
  <si>
    <t xml:space="preserve">Idler Wheels A-100221445-20 /A-100221447-20/A-100221444-20/A-100221446-20 </t>
  </si>
  <si>
    <t>SDP/SI</t>
  </si>
  <si>
    <t>1/4 Shldr Screw x 5/8L x 10-32</t>
  </si>
  <si>
    <t>Clear, 25ft</t>
  </si>
  <si>
    <t>Tecnadyne</t>
  </si>
  <si>
    <t xml:space="preserve">VB Valve A-200991-11 </t>
  </si>
  <si>
    <t>Amphenol RF</t>
  </si>
  <si>
    <t>7856K63</t>
  </si>
  <si>
    <t>Buy 2ft</t>
  </si>
  <si>
    <t>7496K42</t>
  </si>
  <si>
    <t xml:space="preserve">	8703K116</t>
  </si>
  <si>
    <t xml:space="preserve"> PO: LRAUV FE 5.8.20, Invoice: 73671818, Digikey</t>
  </si>
  <si>
    <t>P-100221229-18</t>
  </si>
  <si>
    <t>96246A130</t>
  </si>
  <si>
    <t xml:space="preserve">G10 Thread Repair A-201xxx-16 </t>
  </si>
  <si>
    <t>Nitronic 60 Stainless Steel Helical Inserts</t>
  </si>
  <si>
    <t>#8-32 HeliCoil G10 Carrier</t>
  </si>
  <si>
    <t>8668K83</t>
  </si>
  <si>
    <t xml:space="preserve"> </t>
  </si>
  <si>
    <t>Goodwinds</t>
  </si>
  <si>
    <t>Port Side CTD Flow Cover</t>
  </si>
  <si>
    <t>A-201814-18</t>
  </si>
  <si>
    <t>GPCTD Modifications</t>
  </si>
  <si>
    <t>Dunkworks</t>
  </si>
  <si>
    <t>A-201951-17</t>
  </si>
  <si>
    <t>P-201712-16</t>
  </si>
  <si>
    <t>CTD Payload Nose Bracket</t>
  </si>
  <si>
    <t>CTD Mount Nut Plate</t>
  </si>
  <si>
    <t>P-201742-15</t>
  </si>
  <si>
    <t>P-100221264-18</t>
  </si>
  <si>
    <t>P-100221424-20</t>
  </si>
  <si>
    <t>DO Mounting Saddle</t>
  </si>
  <si>
    <t>4-40 Screw To Expand Inserts</t>
  </si>
  <si>
    <t>92394A112</t>
  </si>
  <si>
    <t>Ametek</t>
  </si>
  <si>
    <t>POM 608</t>
  </si>
  <si>
    <t>VXB</t>
  </si>
  <si>
    <t>Jilson bearing from last build discontinued, now using VXB bearing</t>
  </si>
  <si>
    <t>96126A169</t>
  </si>
  <si>
    <t>1/4" 10-32 SS Shoulder Screw</t>
  </si>
  <si>
    <t>1/2" 6-32 SS Soc Hd Screws</t>
  </si>
  <si>
    <t>Belville Spring Washer</t>
  </si>
  <si>
    <t>9712K61</t>
  </si>
  <si>
    <t>10-32 SS Soc Hd Screws</t>
  </si>
  <si>
    <t>92185A991</t>
  </si>
  <si>
    <t>7/16" ID 9/16" OD Tygon Clear Tubing</t>
  </si>
  <si>
    <t>5155T37</t>
  </si>
  <si>
    <t>PCT281048</t>
  </si>
  <si>
    <t>Changed Mcmaster part 8668K11 to a carbon fiber version ordered from Goodwinds of PCT281048.  Reccommended that we contact Goodwinds with the mcmaster information and ask for composite version of the same part.  Misorderd the mcmaster part the first time.</t>
  </si>
  <si>
    <t>Load Control Bracket</t>
  </si>
  <si>
    <t>Load Control Bracket A-201675</t>
  </si>
  <si>
    <t xml:space="preserve">#8-32 THRU-HOLE THREADED STANDOFF </t>
  </si>
  <si>
    <t>SOA-6440-6</t>
  </si>
  <si>
    <t>PEM</t>
  </si>
  <si>
    <t>A-100221255-17</t>
  </si>
  <si>
    <t>Polaris Docking Nose Rev 3</t>
  </si>
  <si>
    <t>Up Down Pathfinder DVL Assembly</t>
  </si>
  <si>
    <t>A-100221228-18</t>
  </si>
  <si>
    <t>DVL Tube</t>
  </si>
  <si>
    <t>P-1002212230-18</t>
  </si>
  <si>
    <t>P-100221231-18</t>
  </si>
  <si>
    <t>TRDI OEM Pathfinder Elec</t>
  </si>
  <si>
    <t>71B-2051 120322</t>
  </si>
  <si>
    <t>TRDI OEM Pathfinder Transducer</t>
  </si>
  <si>
    <t>71B-1110 170322</t>
  </si>
  <si>
    <t>DVL Assy A-100221228-18</t>
  </si>
  <si>
    <t>Docking Nose Assy A-100221255-17</t>
  </si>
  <si>
    <t>Flat Hd Soc Cap Screw</t>
  </si>
  <si>
    <t>90585A208</t>
  </si>
  <si>
    <t>Soc Hd Cap Screw</t>
  </si>
  <si>
    <t>92185A153</t>
  </si>
  <si>
    <t>92125A204</t>
  </si>
  <si>
    <t>90585A228</t>
  </si>
  <si>
    <t>Pathfinder OEM Bracket</t>
  </si>
  <si>
    <t>Vent Plug</t>
  </si>
  <si>
    <t>PREVCO-4_DSVP</t>
  </si>
  <si>
    <t>MKS-3 Right Angle Block</t>
  </si>
  <si>
    <t>P-100221238-18</t>
  </si>
  <si>
    <t>Wet Labs Sea Owl</t>
  </si>
  <si>
    <t>Benthos UAT Transducer</t>
  </si>
  <si>
    <t>P-200885-17</t>
  </si>
  <si>
    <t>P-200886-17</t>
  </si>
  <si>
    <t>2-032</t>
  </si>
  <si>
    <t>Hardware</t>
  </si>
  <si>
    <t>92185A107</t>
  </si>
  <si>
    <t>Sensor Frame</t>
  </si>
  <si>
    <t>P-100221479-20</t>
  </si>
  <si>
    <t>P-100221478-20</t>
  </si>
  <si>
    <t>P-200743-09</t>
  </si>
  <si>
    <t>DVL Plate</t>
  </si>
  <si>
    <t>DVL Endcap Bottom</t>
  </si>
  <si>
    <t>DVL Endcap Top</t>
  </si>
  <si>
    <t>Nose Shell Mounting Ring</t>
  </si>
  <si>
    <t>P-201xxx-17</t>
  </si>
  <si>
    <t>Payload Shell Assembly</t>
  </si>
  <si>
    <t>Payload Shell Assy A-201951-17</t>
  </si>
  <si>
    <t>Syntactic Foam Loaf</t>
  </si>
  <si>
    <t>P-100221272-18</t>
  </si>
  <si>
    <t>PAR Adaptor Plate</t>
  </si>
  <si>
    <t>P-100221270</t>
  </si>
  <si>
    <t>Transducer Plate</t>
  </si>
  <si>
    <t>Titanium Flat Washer</t>
  </si>
  <si>
    <t>Nose Plate L-Stiffener</t>
  </si>
  <si>
    <t>P-100221263</t>
  </si>
  <si>
    <t>Brass Press Fit Insert</t>
  </si>
  <si>
    <t>92395A331</t>
  </si>
  <si>
    <t>92185A550</t>
  </si>
  <si>
    <t>Foam Bracket</t>
  </si>
  <si>
    <t>P-100221273</t>
  </si>
  <si>
    <t>LUMEN-ASM-LIGHT-R2</t>
  </si>
  <si>
    <t>Blue ROV Lights</t>
  </si>
  <si>
    <t>Avi Beacon Housing</t>
  </si>
  <si>
    <t>Seabird GPCTD Assembly</t>
  </si>
  <si>
    <t>GPCTD Assy A-201xxx-16</t>
  </si>
  <si>
    <t>Screw to Expand Inserts</t>
  </si>
  <si>
    <t>92394A515</t>
  </si>
  <si>
    <t>Whiskerbox Port Plate</t>
  </si>
  <si>
    <t>DUSBL Array</t>
  </si>
  <si>
    <t>DUSBL Mount</t>
  </si>
  <si>
    <t>GeoSpectrum</t>
  </si>
  <si>
    <t>Subcon</t>
  </si>
  <si>
    <t>Blue ROV</t>
  </si>
  <si>
    <t>Capture Drive Housing</t>
  </si>
  <si>
    <t>Capture Drive Assy 107547</t>
  </si>
  <si>
    <t>Housing Gasket</t>
  </si>
  <si>
    <t>Housing Cover</t>
  </si>
  <si>
    <t>Port Arm Shaft Assy</t>
  </si>
  <si>
    <t>Stbd Arm Shaft Assy</t>
  </si>
  <si>
    <t>S3K Bearing 0.375 x 0.875 x 0.219</t>
  </si>
  <si>
    <t>Port Arm Shaft Assy 107568</t>
  </si>
  <si>
    <t>S7K Bearing 0.625 x 1.375 x 0.281</t>
  </si>
  <si>
    <t>Shaft Capture Arm</t>
  </si>
  <si>
    <t>Worm Gear Port Arm</t>
  </si>
  <si>
    <t>Bearing Mount Arm</t>
  </si>
  <si>
    <t>Potentiometer Carrier Board</t>
  </si>
  <si>
    <t>4-40 x .188 PHMS</t>
  </si>
  <si>
    <t>91735A101</t>
  </si>
  <si>
    <t>4-40 x 0.625 Nylon Washer</t>
  </si>
  <si>
    <t>90295A040</t>
  </si>
  <si>
    <t>Port Arm Shaft Assy 107568/Stbd Arm Shaft Assy 107564</t>
  </si>
  <si>
    <t>S3K</t>
  </si>
  <si>
    <t>S7K</t>
  </si>
  <si>
    <t>Worm Gear Stbd Arm</t>
  </si>
  <si>
    <t>Stbd Arm Shaft Assy 107564</t>
  </si>
  <si>
    <t>Base Capture Arm Stbd</t>
  </si>
  <si>
    <t>Capture Arm Stbd Assy</t>
  </si>
  <si>
    <t>Capture Arm Port Assy</t>
  </si>
  <si>
    <t>Capture Arm Stbd Assy 107542</t>
  </si>
  <si>
    <t>Bushing Retaining Latch Arm</t>
  </si>
  <si>
    <t>Pin Retaining Latch Arm</t>
  </si>
  <si>
    <t>Extension Capture Arm</t>
  </si>
  <si>
    <t>Latch Cable Retaining CDU</t>
  </si>
  <si>
    <t>6-32 x 0.38 FLTHD</t>
  </si>
  <si>
    <t>91500A146</t>
  </si>
  <si>
    <t>Extension Spring</t>
  </si>
  <si>
    <t>9433K280</t>
  </si>
  <si>
    <t>Base Capture Arm Port</t>
  </si>
  <si>
    <t>Capture Arm Port Assy 107545</t>
  </si>
  <si>
    <t>Capture Arm Stbd Assy 107542 / Capture Arm Port Assy 107545</t>
  </si>
  <si>
    <t>Capture Arm Motor Assy</t>
  </si>
  <si>
    <t>Motor Mount</t>
  </si>
  <si>
    <t>Capture Arm Motor Assy 107540</t>
  </si>
  <si>
    <t>Motor Shaft Capture Arm</t>
  </si>
  <si>
    <t>WM Berg Worm Gear</t>
  </si>
  <si>
    <t>W16S-5S1</t>
  </si>
  <si>
    <t>Latch Motor Assy</t>
  </si>
  <si>
    <t>Capture Arm Motor Assy 107540 / Latch Motor Assy 107557</t>
  </si>
  <si>
    <t>Motor Shaft Latch</t>
  </si>
  <si>
    <t>Latch Motor Assy 107557</t>
  </si>
  <si>
    <t>Bearing Mount Motor Shaft</t>
  </si>
  <si>
    <t>R4 Bearing 0.25 x 0.625 x 0.196</t>
  </si>
  <si>
    <t>Latch Shaft Assy</t>
  </si>
  <si>
    <t>Latch Shaft</t>
  </si>
  <si>
    <t>Latch Shaft Assy 107561</t>
  </si>
  <si>
    <t>Port Arm Shaft Assy 107568/Stbd Arm Shaft Assy 107564 / Latch Shaft Assy 107561</t>
  </si>
  <si>
    <t>Worm Gear Latch</t>
  </si>
  <si>
    <t>Bearing Mount Latch Shaft</t>
  </si>
  <si>
    <t>Port Arm Shaft Assy 107568 / Latch Shaft Assy 107561</t>
  </si>
  <si>
    <t>Port Arm Shaft Assy 107568/Stbd Arm Shaft Assy 107564 / Capture Arm Motor Assy 107540 / Latch Motor Assy 107557 / Latch Shaft Assy 107561</t>
  </si>
  <si>
    <t>Leak Detect</t>
  </si>
  <si>
    <t xml:space="preserve">Shaft Latch </t>
  </si>
  <si>
    <t>Plate Cover Latch</t>
  </si>
  <si>
    <t>Latch Assy</t>
  </si>
  <si>
    <t xml:space="preserve">Latch </t>
  </si>
  <si>
    <t>Latch Assy 107556</t>
  </si>
  <si>
    <t>Link</t>
  </si>
  <si>
    <t>Pin Link Lift Latch</t>
  </si>
  <si>
    <t>Drive Arm</t>
  </si>
  <si>
    <t>Bushing Flange</t>
  </si>
  <si>
    <t>8-32 x 0.5 FLTHD</t>
  </si>
  <si>
    <t>91500A194</t>
  </si>
  <si>
    <t>Bushing Lift Latch</t>
  </si>
  <si>
    <t>Teledyne LPMBH4MP Bulkhead Connector</t>
  </si>
  <si>
    <t>LPMBH4MP</t>
  </si>
  <si>
    <t>Cover Optical Detector</t>
  </si>
  <si>
    <t>Zinc Anode</t>
  </si>
  <si>
    <t>Zinc Anode Assy</t>
  </si>
  <si>
    <t>Optical Cable Detector Assy</t>
  </si>
  <si>
    <t>10-32 Stud</t>
  </si>
  <si>
    <t>2-110</t>
  </si>
  <si>
    <t>Potting Optical Cable Detector</t>
  </si>
  <si>
    <t>105471B</t>
  </si>
  <si>
    <t>Optical Cable Detect Assy 105471</t>
  </si>
  <si>
    <t>Standoff</t>
  </si>
  <si>
    <t>Wiring Optical Cable Detector</t>
  </si>
  <si>
    <t>107921A</t>
  </si>
  <si>
    <t>Quick Connect Vent Port</t>
  </si>
  <si>
    <t>06359-72</t>
  </si>
  <si>
    <t>Cole Parmer</t>
  </si>
  <si>
    <t>Oil Comp Assy</t>
  </si>
  <si>
    <t>Bonnet 1.37 Bore</t>
  </si>
  <si>
    <t>Oil Comp Assy 108592</t>
  </si>
  <si>
    <t>Retainer Plate</t>
  </si>
  <si>
    <t>Bellofram Class 3 Rolling Diaphram 1.37 Bore 1.00 Half Stroke</t>
  </si>
  <si>
    <t>0.6 OD x 3.5 L Compression Spring</t>
  </si>
  <si>
    <t>9657K449</t>
  </si>
  <si>
    <t>Ring Mount</t>
  </si>
  <si>
    <t>Ring Clmap</t>
  </si>
  <si>
    <t>Cylinder</t>
  </si>
  <si>
    <t>6-32 x 0.5 SHCS</t>
  </si>
  <si>
    <t>Motor Controller Boards</t>
  </si>
  <si>
    <t>6-32 x 0.5 FLTHD</t>
  </si>
  <si>
    <t>91500A148</t>
  </si>
  <si>
    <t>8-32 x 0.5 SHCS</t>
  </si>
  <si>
    <t>8-32 x 0.38 SHCS</t>
  </si>
  <si>
    <t>92185A192</t>
  </si>
  <si>
    <t>4-40 x 0.31 SHCS</t>
  </si>
  <si>
    <t>10-32 x 0.75 SHCS</t>
  </si>
  <si>
    <t>91500A829</t>
  </si>
  <si>
    <t>10-32 x 0.38 FLTHD</t>
  </si>
  <si>
    <t>10-32 x 0.5 FLTHD</t>
  </si>
  <si>
    <t>91500A827</t>
  </si>
  <si>
    <t>Swagelok Tube Connector Male</t>
  </si>
  <si>
    <t>SS-6-TA-1-2</t>
  </si>
  <si>
    <t>Swagelok Tube Connector Female</t>
  </si>
  <si>
    <t>SS-6-TA-7-2</t>
  </si>
  <si>
    <t>Tubing</t>
  </si>
  <si>
    <t>5552K270</t>
  </si>
  <si>
    <t>Oil Comp Mount Base</t>
  </si>
  <si>
    <t>Oil Comp Mount Top</t>
  </si>
  <si>
    <t>WM Berg</t>
  </si>
  <si>
    <t>Faulhaber</t>
  </si>
  <si>
    <t>Drawing exists but needs modified for avi beacon</t>
  </si>
  <si>
    <t>Drawing number does not match</t>
  </si>
  <si>
    <t>P-200755-09 / P-100221266-18</t>
  </si>
  <si>
    <t>P-100221254</t>
  </si>
  <si>
    <t>No drawing but 3D printed part</t>
  </si>
  <si>
    <t>Needs drawing to be made based on polaris.</t>
  </si>
  <si>
    <t>not ordered, we own 4 sensors, using R-600 spare for Stella SN146, need cal info</t>
  </si>
  <si>
    <t>Pleskunas Design, LLC</t>
  </si>
  <si>
    <t>G10</t>
  </si>
  <si>
    <t>Vanderveer Industrial Plastics</t>
  </si>
  <si>
    <t>Pieps</t>
  </si>
  <si>
    <t>Avi Beacon Pieps Pro BT</t>
  </si>
  <si>
    <t>HDPE Shield Wrap</t>
  </si>
  <si>
    <t>Circuits West</t>
  </si>
  <si>
    <t>See "other equipment" for other accoms items.</t>
  </si>
  <si>
    <t>Geospectrum Oil Filled 10kHz Hemispherical Transducer</t>
  </si>
  <si>
    <t>M27-930</t>
  </si>
  <si>
    <t>First, this and Cables, then assembly, then Schmit potting.</t>
  </si>
  <si>
    <t>PCB Fab, Dual Antenna with Flasher</t>
  </si>
  <si>
    <t>Assembly, Dual Antenna with Flasher</t>
  </si>
  <si>
    <t>This  comes after fab, before Scmit potting.</t>
  </si>
  <si>
    <t>Nexlogic</t>
  </si>
  <si>
    <t>Evans</t>
  </si>
  <si>
    <t>Ez Servo to Maxon 10 Pin Connector Adaptor Board FR4 Fiberglass Epoxy Laminate Sheet</t>
  </si>
  <si>
    <t>LCB - Cradlepoint</t>
  </si>
  <si>
    <t>LCB - Keller</t>
  </si>
  <si>
    <t xml:space="preserve">LCB - Thruster </t>
  </si>
  <si>
    <t>LCB - Rudder Actuator</t>
  </si>
  <si>
    <t>LCB - Elevator Actuator</t>
  </si>
  <si>
    <t>LCB - Mass Mover</t>
  </si>
  <si>
    <t>LCB - Variable Ballast</t>
  </si>
  <si>
    <t>LCB - Iridium</t>
  </si>
  <si>
    <t>LCB - Sonar</t>
  </si>
  <si>
    <t>LCB - Micromodem</t>
  </si>
  <si>
    <t>LCB - DUSBL</t>
  </si>
  <si>
    <t>LCB - Whisker/Latch</t>
  </si>
  <si>
    <t>LCB - UP DVL</t>
  </si>
  <si>
    <t>LCB - DOWN DVL</t>
  </si>
  <si>
    <t>LCB - Seabird Seaowl</t>
  </si>
  <si>
    <t>LCB - Seabird GPCTD+O2</t>
  </si>
  <si>
    <t>LCB - Sparton AHRS-8</t>
  </si>
  <si>
    <t>LCB - LICOR PAR (Analog)</t>
  </si>
  <si>
    <t>LCB - Spare</t>
  </si>
  <si>
    <t>Electrical Boards</t>
  </si>
  <si>
    <t>Config: 12V</t>
  </si>
  <si>
    <t>Config: 24V</t>
  </si>
  <si>
    <t>Config: BAT5A RS485</t>
  </si>
  <si>
    <t>Config: 24V RS232</t>
  </si>
  <si>
    <t>Config: 12V RS232</t>
  </si>
  <si>
    <t xml:space="preserve">10020358r3-4 </t>
  </si>
  <si>
    <t>Config: PAR</t>
  </si>
  <si>
    <t>switching from analog to digital sensor</t>
  </si>
  <si>
    <t>WHOI Battery Pack Controller</t>
  </si>
  <si>
    <t xml:space="preserve">WHOI/OSL </t>
  </si>
  <si>
    <t>Wire Harness</t>
  </si>
  <si>
    <t>Aft Bulkhead Charge Harness (to Main Umbilical)</t>
  </si>
  <si>
    <t>Spare Payload Cable</t>
  </si>
  <si>
    <t>SMA cables that get potted with antenna board</t>
  </si>
  <si>
    <t>Drop Weight Release Sensor Dummy</t>
  </si>
  <si>
    <t>Acomms Harness</t>
  </si>
  <si>
    <t>TBD</t>
  </si>
  <si>
    <t>Wet Cables</t>
  </si>
  <si>
    <t>Wet cables</t>
  </si>
  <si>
    <t>Main Shore Power Umbilical</t>
  </si>
  <si>
    <t>MCIL12M Y split to whisker box and USBL (confirm connectors, whisker box was originally MKS-W-3L10 and LPMBH4MP)</t>
  </si>
  <si>
    <t>Norbit Multibeam Sonar</t>
  </si>
  <si>
    <t>Whisker Box and USBLWet Cable</t>
  </si>
  <si>
    <t>Acomms Diversity Array Wet Cable</t>
  </si>
  <si>
    <t>Wet Cables 109623</t>
  </si>
  <si>
    <t>Y split PMCIL-8-MP to PMCIL-6-FS (seaowl) and IE55-1204-CCP (GPCTD)</t>
  </si>
  <si>
    <t>Seabird GPCTD+O2 and Seabird Seaowl Wet Cable</t>
  </si>
  <si>
    <t>Bulkhead Connectors</t>
  </si>
  <si>
    <t>Electrical component from 3 Way Mux 11021196.  DGI indicates this is here as of 11/15/2020</t>
  </si>
  <si>
    <t>Electrical component from Iridium A-201882-17, In house as of 11/15/2020 according to DGI</t>
  </si>
  <si>
    <t>Motor Controller, BLDC Servo Driver, EZSV23 (All Motors)</t>
  </si>
  <si>
    <t>Micromodem Stack (Acomms?)</t>
  </si>
  <si>
    <t>Flasher Board</t>
  </si>
  <si>
    <t>Autonomy Computer</t>
  </si>
  <si>
    <t>Drop / Boost Bulkhead</t>
  </si>
  <si>
    <t>Main Umbilical Shore Power Blkhd</t>
  </si>
  <si>
    <t>50 Ohm Coax Bulkhead (Antenna 3 way and Iridium)</t>
  </si>
  <si>
    <t>Rudder Actuator Bulkhead</t>
  </si>
  <si>
    <t>Elevator Actuator Bulkhead</t>
  </si>
  <si>
    <t>WHOI Diversity Array (4 hydrophones, higher sensitivity Acomms, board is integrated into micromodem stack)</t>
  </si>
  <si>
    <t>MCBH8F-AS-120cm</t>
  </si>
  <si>
    <t>Acomms XDCR Bulkhead</t>
  </si>
  <si>
    <t>Seabird Seaowl Blkhd + Seabird GPCTD+O2 Bulkhead</t>
  </si>
  <si>
    <t>Up Down DVL  Bulkhead</t>
  </si>
  <si>
    <t>Spartan y PAR  Bulkhead</t>
  </si>
  <si>
    <t>Spare Bulkhead  Bulkhead</t>
  </si>
  <si>
    <t>Whisker Box  and USBL Bulkhead</t>
  </si>
  <si>
    <t>MCBH12F-AS-120cm</t>
  </si>
  <si>
    <t>Need to make adapter SAE to MCBH8</t>
  </si>
  <si>
    <t>Needs discussion Keenan</t>
  </si>
  <si>
    <t>Bulkhead</t>
  </si>
  <si>
    <t>Bulkhead Connector</t>
  </si>
  <si>
    <t>Bulkhead Connectors, Aft SAE Port</t>
  </si>
  <si>
    <t>Geospectrum XDCR Wet Cable</t>
  </si>
  <si>
    <t>MCBHRA8M</t>
  </si>
  <si>
    <t>Subcon Connector MCBHRA8M</t>
  </si>
  <si>
    <t xml:space="preserve">CAD model and mounting block are obsolete (was MKS-310), this is the correct part </t>
  </si>
  <si>
    <t>This was initially made for MKS-310 and needs to be remade for MKS(W)-3L10</t>
  </si>
  <si>
    <t>Aft Quad Cable (Boost and Drop Breakout)</t>
  </si>
  <si>
    <t>DIL13M to custom whip that came with Norbit</t>
  </si>
  <si>
    <t>Xcentric Mold</t>
  </si>
  <si>
    <t>Actually ordered SOS-6440-6</t>
  </si>
  <si>
    <t>Keller PAA33X 100 bar RS485</t>
  </si>
  <si>
    <t>51205K771</t>
  </si>
  <si>
    <t>Press Hull A-200467-17 / Internal Chasis, drawing TBD</t>
  </si>
  <si>
    <t>7/16-20 SAE Male to 1/4" BSPP Female</t>
  </si>
  <si>
    <t>New adapter from Press hull bulkhead to keller digital sensor</t>
  </si>
  <si>
    <t>6-32 x 3/8 Titanum philips head</t>
  </si>
  <si>
    <t>90233A546</t>
  </si>
  <si>
    <t>Faulhaber FM Motor+Gearhead Whiskers</t>
  </si>
  <si>
    <t>Faulhaber FM Motor+Gearhead Latch</t>
  </si>
  <si>
    <t>2444S024B+23/1 246:1</t>
  </si>
  <si>
    <t>O-Ring 2-110</t>
  </si>
  <si>
    <t>O-Ring 2-114</t>
  </si>
  <si>
    <t>9452K26</t>
  </si>
  <si>
    <t>Capture Drive Assy (whisker box) (see other sheet)</t>
  </si>
  <si>
    <t>Timken</t>
  </si>
  <si>
    <t>Hydroid</t>
  </si>
  <si>
    <t>Capture Detect Processor Board</t>
  </si>
  <si>
    <t>2250X024BX4+22GPT 41:1KL1</t>
  </si>
  <si>
    <t>Optical Cable Detector</t>
  </si>
  <si>
    <t>101485-2</t>
  </si>
  <si>
    <t>Oil Comp Pressure Board</t>
  </si>
  <si>
    <t>93025A861</t>
  </si>
  <si>
    <t>protolabs</t>
  </si>
  <si>
    <t>subconn macartney</t>
  </si>
  <si>
    <t>motionindustries</t>
  </si>
  <si>
    <t>Mcmaster</t>
  </si>
  <si>
    <t>60355K503</t>
  </si>
  <si>
    <t>Prevco</t>
  </si>
  <si>
    <t>109771B</t>
  </si>
  <si>
    <t>B1</t>
  </si>
  <si>
    <t>Cable, 8C Payload</t>
  </si>
  <si>
    <t>Cable, 12C Payload</t>
  </si>
  <si>
    <t>used in WHOI-made Whisker Box branching cable 301031</t>
  </si>
  <si>
    <t>used in WHOI-made Whisker Box branching cable 301031 and for Compass/PAR</t>
  </si>
  <si>
    <t>DBH13M-AS-1m</t>
  </si>
  <si>
    <t>Norbit Multibeam Sonar Bulkhead</t>
  </si>
  <si>
    <t>Anticipating possible forward mounting, Stella cable will be 35 inches, longer than Polaris version. MCIL8M to LPMIL-3-FS</t>
  </si>
  <si>
    <t>included under order for P/N 165826</t>
  </si>
  <si>
    <t>Hydroid p/n 165826</t>
  </si>
  <si>
    <t>hydroid</t>
  </si>
  <si>
    <t>https://cad.timken.com/item/deep-groove-ball-bearings/fafnir--miniature-ball-bearings--s--k-/s7k-fs50000</t>
  </si>
  <si>
    <t>https://cad.timken.com/item/deep-groove-ball-bearings/fafnir--miniature-ball-bearings--s--k-/s3k</t>
  </si>
  <si>
    <t>Housing Gasket Version 2</t>
  </si>
  <si>
    <t>Two versions of the housing gasket due to mistake in housing.</t>
  </si>
  <si>
    <t>WM Berg Gear, pre modification for latch and whiskers</t>
  </si>
  <si>
    <t>071-1553744</t>
  </si>
  <si>
    <t>Custom part from WM Berg</t>
  </si>
  <si>
    <t>SKU QTY to Order</t>
  </si>
  <si>
    <t>NOSE CONFIGURATION</t>
  </si>
  <si>
    <t>Short Science Nose</t>
  </si>
  <si>
    <t>Long Multibeam Nose (Stella)</t>
  </si>
  <si>
    <t>Medium Docking Nose (Polaris)</t>
  </si>
  <si>
    <t>QTY of Nose Configs:</t>
  </si>
  <si>
    <t>QTY of Each Nose Config to Order:</t>
  </si>
  <si>
    <t>PAR Compass Assembly</t>
  </si>
  <si>
    <t>SB-301069</t>
  </si>
  <si>
    <t>PAR Compass Assy SB-301069</t>
  </si>
  <si>
    <t>PAR Compass Upper Endcap</t>
  </si>
  <si>
    <t>PAR Compass Lower Endcap</t>
  </si>
  <si>
    <t>PAR Compass Housing</t>
  </si>
  <si>
    <t>All Nose Assemblies</t>
  </si>
  <si>
    <t>Docking Nose Side Plate Stbd</t>
  </si>
  <si>
    <t>Docking Nose Side Plate Port</t>
  </si>
  <si>
    <t>Multibeam Nose Side Plate Stbd</t>
  </si>
  <si>
    <t>Multibeam Nose Side Plate Port</t>
  </si>
  <si>
    <t>Sea Owl Puck Bracket MBARI</t>
  </si>
  <si>
    <t>Shared All</t>
  </si>
  <si>
    <t>Shared Science+Docking</t>
  </si>
  <si>
    <t>Sensor Frame DVL Stbd</t>
  </si>
  <si>
    <t>Sensor Frame DVL Port</t>
  </si>
  <si>
    <t>DVL Bracket Top</t>
  </si>
  <si>
    <t>DVL Bracket Port</t>
  </si>
  <si>
    <t>DVL Bracket Stbd</t>
  </si>
  <si>
    <t>DVL Bracket Weldment</t>
  </si>
  <si>
    <t>Multibeam Nose Assy</t>
  </si>
  <si>
    <t>Sea Owl Puck Bracket Multibeam</t>
  </si>
  <si>
    <t>Short Foam Loaf</t>
  </si>
  <si>
    <t>Shared Docking+Multibeam</t>
  </si>
  <si>
    <t>Payload Nose Short Shell</t>
  </si>
  <si>
    <t>Payload Nose Medium Docking Shell</t>
  </si>
  <si>
    <t>Payload Nose Long Multibeam Shell</t>
  </si>
  <si>
    <t>Future</t>
  </si>
  <si>
    <t>5ft</t>
  </si>
  <si>
    <t>Suggested meanings for the values in the drop-down list are:
INCOMPLETE: There is some error or blockage preventing this part from being ordered. Missing drawing, info, part redesign, etc. Refer to notes tab.
DESIGNED: There is no outstanding problem, but a supervisor has not yet approved this part to be ordered
RELEASED: All design data for this item are complete and have gone through the release process. Information can go out to vendors for quotes and the item can be ordered.                                                           
                                                                                                                                                     QUOTE REQUESTED: Info has been submitted to vendors for quote, but part not yet ordered.
                                                                                                                                               ORDERED: An order has been submitted for the item.
RECEIVED: The item has been received and no additional action is needed.</t>
  </si>
  <si>
    <t>The unique identifying number or string for an item, issued by the Manufacturer. This is where the Scibotics Part Number goes, or the McMaster part number for example.</t>
  </si>
  <si>
    <t>A descriptive field showing the next-higher item that this item belongs to. This is useful for splitting up the BOM into easily manage-able assemblies</t>
  </si>
  <si>
    <t>[Calculated] This is the number needed to order based on asm qty, spares, inventory etc</t>
  </si>
  <si>
    <t>[Calculated] This is the number of SKU needed based on how many per sku. This is the final ordering number!</t>
  </si>
  <si>
    <t>Please fill out ALL columns! For some parts, columns will seem redundant, for example it is obvious there is sku quantity 1 for a machined part that is being custom made and it may seem like an unnecessary value compared to a box of screws where the number per box is relevant. However, it helps all the columns calculate properly to have values even where obvious. Even more important, please do not overwrite any calculated columns with a fixed number value. If it is not autofilling with a useful calculated value please check what information you may have not filled in. Overwriting calculated values means if later on we decided to up the assembly quantity or add spares, none of the info will update accordingly.</t>
  </si>
  <si>
    <t>Use with Basecamp</t>
  </si>
  <si>
    <t>For this time around we will be keeping all the purchasing information on Basecamp to be accessable by team members. If you quoted a part and ordered or facilitated an order, please make sure the PO is uploaded to the Basecamp Build 3, puchases folder. Amanda should not have to do this for every order. Before you can mark a part ordered or recieved make sure you have filled in all the info.</t>
  </si>
  <si>
    <t>Antenna SB-301068</t>
  </si>
  <si>
    <t>Antenna Base Port</t>
  </si>
  <si>
    <t>SB-301063</t>
  </si>
  <si>
    <t>Antenna Base Stbd</t>
  </si>
  <si>
    <t>SB-301064</t>
  </si>
  <si>
    <t>Antenna Base Aft</t>
  </si>
  <si>
    <t>SB-301065</t>
  </si>
  <si>
    <t>Antenna Extension Port</t>
  </si>
  <si>
    <t>SB-301066</t>
  </si>
  <si>
    <t>Antenna Extension Stbd</t>
  </si>
  <si>
    <t>SB-301067</t>
  </si>
  <si>
    <t>Heat Inserts 4-40 Length 0.135" Stainless Steel</t>
  </si>
  <si>
    <t>97163A137</t>
  </si>
  <si>
    <t>Screw Inserts 10-32 Stainless Steel</t>
  </si>
  <si>
    <t>95110A115</t>
  </si>
  <si>
    <t>4-40 Stainless Steel Hex Head Screws 3/16"</t>
  </si>
  <si>
    <t>98164A429</t>
  </si>
  <si>
    <t>10-32 Stainless Steel Button Head Screw 7/16"</t>
  </si>
  <si>
    <t>98164A460</t>
  </si>
  <si>
    <t>Battery Backplane LRAUV</t>
  </si>
  <si>
    <t>Formerly battery circuit board 10021057 by MBARI, redesigned by Daniel</t>
  </si>
  <si>
    <t>Mold only needs to be bought once</t>
  </si>
  <si>
    <t>Should make ourselves from material</t>
  </si>
  <si>
    <t>Should already have our mold from past order</t>
  </si>
  <si>
    <t>Replaced with Depth keller 33x</t>
  </si>
  <si>
    <t>Just an adaptor, does not need to be a board</t>
  </si>
  <si>
    <t>SB-301068</t>
  </si>
  <si>
    <t>Formerly antenna assy A-201798-16 by MBARI</t>
  </si>
  <si>
    <t>Could be obselete, check with Brett about most recent shell manufacturing methods before ordering</t>
  </si>
  <si>
    <t>Check with Brett about most recent shell manufacturing methods before ordering</t>
  </si>
  <si>
    <t>Part of ASSY A-200578-08</t>
  </si>
  <si>
    <t>PSW-524</t>
  </si>
  <si>
    <t>Charger Box</t>
  </si>
  <si>
    <t>Link to Basecamp Order Info</t>
  </si>
  <si>
    <t>Notes2</t>
  </si>
  <si>
    <t>Link to Basecamp Purchase Info</t>
  </si>
  <si>
    <t>SKU Qty to Order</t>
  </si>
  <si>
    <t>abesaw</t>
  </si>
  <si>
    <t>PO</t>
  </si>
  <si>
    <t>Link to Basecamp Quote</t>
  </si>
  <si>
    <t>https://3.basecamp.com/4138768/buckets/18037174/uploads/5105638644</t>
  </si>
  <si>
    <t>RDI</t>
  </si>
  <si>
    <t>Full assy qty in inventory on hand. Checked by Owen.</t>
  </si>
  <si>
    <t>Stepped Tapered Drop weight Mold Endplate</t>
  </si>
  <si>
    <t>BOX8 - Full assy qty in inventory on hand. Checked by Owen.</t>
  </si>
  <si>
    <t>BOX 8 - Full assy qty in inventory on hand. Checked by Owen.</t>
  </si>
  <si>
    <t>BOX 8 - Full assm qty on hand. Typo in one mechanical drawing calls for psw-534 but 524 is correct</t>
  </si>
  <si>
    <t>Owen</t>
  </si>
  <si>
    <t>BOX 8. Fully qty on hand for assembly.</t>
  </si>
  <si>
    <t>Cam</t>
  </si>
  <si>
    <t>Kaitlyn</t>
  </si>
  <si>
    <t>Quote requested from Additive and Zeropoint</t>
  </si>
  <si>
    <t>Amanda</t>
  </si>
  <si>
    <t>Maxon Order</t>
  </si>
  <si>
    <t>ESS</t>
  </si>
  <si>
    <t>4 weeks from order</t>
  </si>
  <si>
    <t>8 units on hand from previous order</t>
  </si>
  <si>
    <t>5 ft minium length to order</t>
  </si>
  <si>
    <t>5 ft minimum length to order</t>
  </si>
  <si>
    <t>QTY ACCOUNTED FOR ON LINE 99</t>
  </si>
  <si>
    <t>1 on hand with ball screw assembly</t>
  </si>
  <si>
    <t>Quote received 10/4/22 - prices are similar to costs on build 2.</t>
  </si>
  <si>
    <t>in stock</t>
  </si>
  <si>
    <t>amanda</t>
  </si>
  <si>
    <t>amanda cc</t>
  </si>
  <si>
    <t>1 week</t>
  </si>
  <si>
    <t>backorder until 1/23/23</t>
  </si>
  <si>
    <t>6 weeks</t>
  </si>
  <si>
    <t>PO E124617</t>
  </si>
  <si>
    <t>16-20 weeks</t>
  </si>
  <si>
    <t>PO E124618</t>
  </si>
  <si>
    <t>4 weeks</t>
  </si>
  <si>
    <t>PO E124616</t>
  </si>
  <si>
    <t>5 weeks</t>
  </si>
  <si>
    <t>One on hand in AVAST 107 Box 8</t>
  </si>
  <si>
    <t>Full assembly in Avast Box 8</t>
  </si>
  <si>
    <t>I</t>
  </si>
  <si>
    <t>Modification made to drawing to replace smooth bore isus port with a 7/16 tapped hole. Also quoted by Pocasset Machine.</t>
  </si>
  <si>
    <t>8 weeks</t>
  </si>
  <si>
    <t>8-10 weeks</t>
  </si>
  <si>
    <t>9 spares on hand</t>
  </si>
  <si>
    <t>1 new spare on hand, minimum order quantity of 4 @ $286 each</t>
  </si>
  <si>
    <t>ADLE3800PC</t>
  </si>
  <si>
    <t>ADL Embedded Solutions</t>
  </si>
  <si>
    <t>Backseat Computer</t>
  </si>
  <si>
    <t>adl-usa</t>
  </si>
  <si>
    <t>P-201675-14</t>
  </si>
  <si>
    <t>PO E124676</t>
  </si>
  <si>
    <t>PO E124677</t>
  </si>
  <si>
    <t>PO E124681</t>
  </si>
  <si>
    <t>4-6 weeks</t>
  </si>
  <si>
    <t>using whoi shipping account for freight (cheapest method)</t>
  </si>
  <si>
    <t>Cetus will not have ISUS adaptor port on forward end dome</t>
  </si>
  <si>
    <t>Not used on stella and pyxisreplaced by a 3 connector mount</t>
  </si>
  <si>
    <t>Replace with McMaster Part# 97395A445</t>
  </si>
  <si>
    <t>6 on hand. 0.215" through hole untapped. Shelf A-4</t>
  </si>
  <si>
    <t>2 on hand (10/28/2022) Shelf A-4</t>
  </si>
  <si>
    <t>All-thread rod is on hand (10/2022) Needs to be cut to length. Stored on shelf A-4.</t>
  </si>
  <si>
    <t>One in hand (10/2022) Shelf A-4</t>
  </si>
  <si>
    <t>QTY 2 on hand (10/2022) Stored shelf A-4</t>
  </si>
  <si>
    <t>Electrical component from Iridium A-201882-17. One on hand (10/2022) stored shelf A-4</t>
  </si>
  <si>
    <t>One on hand (10/2022) Stored shelf A-4</t>
  </si>
  <si>
    <t>On hand (10/2022) Shelf A-4</t>
  </si>
  <si>
    <t>Full assembly QTY on hand (10/2022) Shelf A-4</t>
  </si>
  <si>
    <t>2 received (10/2022) Stored shelf A-4</t>
  </si>
  <si>
    <t>PO E124777</t>
  </si>
  <si>
    <t>PO K127081</t>
  </si>
  <si>
    <t>MINK10CCPL</t>
  </si>
  <si>
    <t>sending falmat cable to cut 50/50. TE providing MINK connectors</t>
  </si>
  <si>
    <t>10 weeks</t>
  </si>
  <si>
    <t>Location - Shelf A5</t>
  </si>
  <si>
    <t>Stored on shelf A5</t>
  </si>
  <si>
    <t>Stored on shelf A5. Additional spare ordered to replace part on Polaris due to corrosion.</t>
  </si>
  <si>
    <t>Stored on shelf A5. Group number (of encoder+gearbox+motor) is 339596</t>
  </si>
  <si>
    <t>Stored on shelf A5. Additional spare ordered due to decrease in overal cost for qty 5</t>
  </si>
  <si>
    <t>Stored on shelf A5. Full assembly in Avast Box 8</t>
  </si>
  <si>
    <t>owen</t>
  </si>
  <si>
    <t>2 on hand (10/28/2022) Stored shelf A-4</t>
  </si>
  <si>
    <t>ordered 2 new ones although we have 2 in inventory</t>
  </si>
  <si>
    <t>PO E124856</t>
  </si>
  <si>
    <t>additive broke into 2 different listings on quote _FINBRNGMNT and _CUT</t>
  </si>
  <si>
    <t>GPCTD with DO</t>
  </si>
  <si>
    <t>GPCTD.1301S</t>
  </si>
  <si>
    <t>43F.1113</t>
  </si>
  <si>
    <t>Sea Bird</t>
  </si>
  <si>
    <t>amy</t>
  </si>
  <si>
    <t>Sea Bird Electronics</t>
  </si>
  <si>
    <t>16-18 weeks</t>
  </si>
  <si>
    <t>PO E124838</t>
  </si>
  <si>
    <t>PATH-SC</t>
  </si>
  <si>
    <t>PATH-CP</t>
  </si>
  <si>
    <t>PATH-XRT</t>
  </si>
  <si>
    <t>KAA01168</t>
  </si>
  <si>
    <t>IX Blue</t>
  </si>
  <si>
    <t>Pathfinder Current Profiling Option</t>
  </si>
  <si>
    <t>Pathfinder extended range option</t>
  </si>
  <si>
    <t>Ixblue C3 INS</t>
  </si>
  <si>
    <t>Pathfinder 600 kHz DVL, Phased Array Transducer, Self Contained 300m depth rating, electronics with dual leak detectors, temperature sensor, ethernet and RS232, or RS422 comm ports, low altitude bottom tracking, status LED, includes 2m pigtail cable and RDI tools S/W</t>
  </si>
  <si>
    <t>PO E124209</t>
  </si>
  <si>
    <t>submitted Change Order on 10/20/22 for modified PN</t>
  </si>
  <si>
    <t>ISA500 Acetal Forward Looking with ARHS 1000m rated with 5 meter tail</t>
  </si>
  <si>
    <t>Impact Subsea</t>
  </si>
  <si>
    <t>Marinna requested -w as not included in budget but now needed</t>
  </si>
  <si>
    <t>PO E124629</t>
  </si>
  <si>
    <t>includes shipping and cable costs</t>
  </si>
  <si>
    <t>not sure which nose config or assembly (AB)</t>
  </si>
  <si>
    <t>1 on hand</t>
  </si>
  <si>
    <t>Stored of shelf A5</t>
  </si>
  <si>
    <t>Consumable 3D print this part. Stored on shelf A5</t>
  </si>
  <si>
    <t>Stored on Shelf A5</t>
  </si>
  <si>
    <t>Drawing needs additional tapped hole. Shelf A5</t>
  </si>
  <si>
    <t>This part is made from scratch even though listed as a modification. Shelf A5</t>
  </si>
  <si>
    <t>Shelf A5</t>
  </si>
  <si>
    <t>1 bulkhead shell on hand - ordering connector inserts, see MINK10CIRL</t>
  </si>
  <si>
    <t>MINK10CIRL</t>
  </si>
  <si>
    <t xml:space="preserve">MINK10CIRL Bulkhead Inserts </t>
  </si>
  <si>
    <t>inserts needed, have 1 bulkhead shell onhand (MINK-10B-CRL-DO). QTY min is 5</t>
  </si>
  <si>
    <t>Request terminals in a non standard orientation (off the back not perpendicular to the body or the potentiometer). Request a flat shaft.</t>
  </si>
  <si>
    <t>12-16 weeks</t>
  </si>
  <si>
    <t>cc will be charged once it ships</t>
  </si>
  <si>
    <t>PO K127252</t>
  </si>
  <si>
    <t>23 weeks</t>
  </si>
  <si>
    <t>ECO Triplet Puck MBA for LRAUV with MCIL 6FS Pigtail Cable</t>
  </si>
  <si>
    <t>FAS-544513 and 60037</t>
  </si>
  <si>
    <t>cam</t>
  </si>
  <si>
    <t>PO EK127270</t>
  </si>
  <si>
    <t>Owen CC</t>
  </si>
  <si>
    <t>12 total on order. 8-Cetus, 2-replacement stella+pyxis, 2 spare</t>
  </si>
  <si>
    <t>Tim Smith to make in AVAST FabLab</t>
  </si>
  <si>
    <t>PO K127298</t>
  </si>
  <si>
    <t>only avail in packs of qty 50</t>
  </si>
  <si>
    <t>only avail in packs of qty 100</t>
  </si>
  <si>
    <t>only available in packs of 25</t>
  </si>
  <si>
    <t>can only order in packs of qty 100</t>
  </si>
  <si>
    <t>can only order in packs of qty 50</t>
  </si>
  <si>
    <t>can only order in packs of 25</t>
  </si>
  <si>
    <t>can only order in packs of qty 25</t>
  </si>
  <si>
    <t>only comes in packs of 10</t>
  </si>
  <si>
    <t>comes in packs of 25</t>
  </si>
  <si>
    <t>only comes in packs of 25</t>
  </si>
  <si>
    <t>comes in packs of 100</t>
  </si>
  <si>
    <t xml:space="preserve">comes in packs of 10 </t>
  </si>
  <si>
    <t>comes in packs of 50</t>
  </si>
  <si>
    <t>comes in 5 pack</t>
  </si>
  <si>
    <t>coems in pack of 50</t>
  </si>
  <si>
    <t>comes in pack of 10</t>
  </si>
  <si>
    <t>comes in pack of 100</t>
  </si>
  <si>
    <t>comes in pack of 25</t>
  </si>
  <si>
    <t>comes in 10 pack</t>
  </si>
  <si>
    <t>comes in 50 pack</t>
  </si>
  <si>
    <t>comes in 100 pack</t>
  </si>
  <si>
    <t>comes in 25 pack</t>
  </si>
  <si>
    <t>packs of 5 only</t>
  </si>
  <si>
    <t>packs of 100</t>
  </si>
  <si>
    <t>pack of 25</t>
  </si>
  <si>
    <t>pack of 50</t>
  </si>
  <si>
    <t>pack of 100</t>
  </si>
  <si>
    <t xml:space="preserve">pack of 10 </t>
  </si>
  <si>
    <t>pack of 250</t>
  </si>
  <si>
    <t xml:space="preserve">packs of 10 </t>
  </si>
  <si>
    <t xml:space="preserve">pack of 5  </t>
  </si>
  <si>
    <t>10 pack</t>
  </si>
  <si>
    <t>100 pack</t>
  </si>
  <si>
    <t>25 pack</t>
  </si>
  <si>
    <t>pack of 10</t>
  </si>
  <si>
    <t>50 pack</t>
  </si>
  <si>
    <t>Kevin</t>
  </si>
  <si>
    <t>duplicate entry to line #68, dummy for mink bulkhead</t>
  </si>
  <si>
    <t>duplicate entry to line #69 which specs out all nose/tail Micro-12F bulkheads</t>
  </si>
  <si>
    <t>duplicate to line#389 question: this is the same p/n as the reed switch? Is this accurate? AB</t>
  </si>
  <si>
    <t>Sierra Circuits</t>
  </si>
  <si>
    <t xml:space="preserve">PCM-040-332EUPR.A4 is now in use, as PCM-040-332EUPR.A0 is end of life. </t>
  </si>
  <si>
    <t>vendor will call amanda directly for cc info and pmt once parts arrive to their facility</t>
  </si>
  <si>
    <t xml:space="preserve">amanda cc </t>
  </si>
  <si>
    <t>PO E124983</t>
  </si>
  <si>
    <t>owen: Not sure which vendor using for this as richardson rfpd fell through (AB)</t>
  </si>
  <si>
    <t>PO E125047</t>
  </si>
  <si>
    <t>PO E125012</t>
  </si>
  <si>
    <t>We have spares on hand, may want to order in the future</t>
  </si>
  <si>
    <t>VOK</t>
  </si>
  <si>
    <t>Attempting to find a fabricator. MBARI sent parts previously since we could not get a quote in this material from anyone</t>
  </si>
  <si>
    <t>3D printed on Fortus</t>
  </si>
  <si>
    <t>Build and assembled on battery backplane covers</t>
  </si>
  <si>
    <t>Invoice in Cetus build folder</t>
  </si>
  <si>
    <t>Vendor 1</t>
  </si>
  <si>
    <t>Vendor 2</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</si>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</sst>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_);[Red]\(&quot;$&quot;#,##0.00\)"/>
    <numFmt numFmtId="44" formatCode="_(&quot;$&quot;* #,##0.00_);_(&quot;$&quot;* \(#,##0.00\);_(&quot;$&quot;* &quot;-&quot;??_);_(@_)"/>
    <numFmt numFmtId="164" formatCode="00"/>
    <numFmt numFmtId="165" formatCode="000"/>
    <numFmt numFmtId="166" formatCode="0.000"/>
    <numFmt numFmtId="167" formatCode="0&quot;d&quot;"/>
    <numFmt numFmtId="168" formatCode="yyyy/mm/dd"/>
  </numFmts>
  <fonts count="46" x14ac:knownFonts="1">
    <font>
      <sz val="11"/>
      <color rgb="FF000000"/>
      <name val="Calibri"/>
    </font>
    <font>
      <b/>
      <sz val="10"/>
      <color rgb="FFFFFFFF"/>
      <name val="Courier New"/>
      <family val="3"/>
    </font>
    <font>
      <sz val="11"/>
      <name val="Calibri"/>
      <family val="2"/>
    </font>
    <font>
      <sz val="10"/>
      <color rgb="FF000000"/>
      <name val="Courier New"/>
      <family val="3"/>
    </font>
    <font>
      <b/>
      <sz val="10"/>
      <color rgb="FF000000"/>
      <name val="Courier New"/>
      <family val="3"/>
    </font>
    <font>
      <b/>
      <sz val="10"/>
      <color rgb="FFFF0000"/>
      <name val="Courier New"/>
      <family val="3"/>
    </font>
    <font>
      <b/>
      <sz val="10"/>
      <color rgb="FFFFFFFF"/>
      <name val="Courier New"/>
      <family val="3"/>
    </font>
    <font>
      <sz val="10"/>
      <color rgb="FF000000"/>
      <name val="Calibri"/>
      <family val="2"/>
    </font>
    <font>
      <sz val="10"/>
      <color rgb="FF000000"/>
      <name val="Calibri"/>
      <family val="2"/>
      <scheme val="minor"/>
    </font>
    <font>
      <b/>
      <sz val="10"/>
      <color rgb="FF000000"/>
      <name val="Calibri"/>
      <family val="2"/>
      <scheme val="minor"/>
    </font>
    <font>
      <sz val="9"/>
      <color indexed="81"/>
      <name val="Tahoma"/>
      <family val="2"/>
    </font>
    <font>
      <b/>
      <sz val="9"/>
      <color indexed="81"/>
      <name val="Tahoma"/>
      <family val="2"/>
    </font>
    <font>
      <sz val="10"/>
      <color rgb="FF000000"/>
      <name val="Calibri"/>
      <family val="2"/>
      <scheme val="minor"/>
    </font>
    <font>
      <sz val="10"/>
      <color rgb="FF000000"/>
      <name val="Calibri"/>
      <family val="2"/>
      <scheme val="minor"/>
    </font>
    <font>
      <sz val="10"/>
      <color rgb="FF000000"/>
      <name val="Calibri"/>
      <family val="2"/>
    </font>
    <font>
      <sz val="10"/>
      <color rgb="FF000000"/>
      <name val="Calibri"/>
      <family val="2"/>
      <scheme val="minor"/>
    </font>
    <font>
      <sz val="10"/>
      <name val="Calibri"/>
      <family val="2"/>
      <scheme val="minor"/>
    </font>
    <font>
      <sz val="10"/>
      <color theme="0"/>
      <name val="Calibri"/>
      <family val="2"/>
      <scheme val="minor"/>
    </font>
    <font>
      <sz val="11"/>
      <color rgb="FF000000"/>
      <name val="Calibri"/>
      <family val="2"/>
    </font>
    <font>
      <b/>
      <sz val="11"/>
      <color theme="1"/>
      <name val="Calibri"/>
      <family val="2"/>
      <scheme val="minor"/>
    </font>
    <font>
      <sz val="10"/>
      <color rgb="FF000000"/>
      <name val="Calibri"/>
      <family val="2"/>
      <scheme val="minor"/>
    </font>
    <font>
      <sz val="10"/>
      <color rgb="FF000000"/>
      <name val="Calibri"/>
      <family val="2"/>
    </font>
    <font>
      <sz val="10"/>
      <color rgb="FF000000"/>
      <name val="Calibri"/>
      <family val="2"/>
      <scheme val="minor"/>
    </font>
    <font>
      <u/>
      <sz val="11"/>
      <color theme="10"/>
      <name val="Calibri"/>
      <family val="2"/>
    </font>
    <font>
      <sz val="10"/>
      <color rgb="FF000000"/>
      <name val="Calibri"/>
      <family val="2"/>
      <scheme val="minor"/>
    </font>
    <font>
      <sz val="11"/>
      <color rgb="FF222222"/>
      <name val="Calibri"/>
      <family val="2"/>
      <scheme val="minor"/>
    </font>
    <font>
      <sz val="10"/>
      <color rgb="FF000000"/>
      <name val="Calibri"/>
      <family val="2"/>
      <scheme val="minor"/>
    </font>
    <font>
      <sz val="10"/>
      <color rgb="FF000000"/>
      <name val="Calibri"/>
      <family val="2"/>
      <scheme val="minor"/>
    </font>
    <font>
      <sz val="10"/>
      <color rgb="FF000000"/>
      <name val="Calibri"/>
      <family val="2"/>
      <scheme val="minor"/>
    </font>
    <font>
      <sz val="10"/>
      <color rgb="FF000000"/>
      <name val="Calibri"/>
      <family val="2"/>
    </font>
    <font>
      <sz val="10"/>
      <name val="Calibri"/>
      <family val="2"/>
    </font>
    <font>
      <sz val="10"/>
      <color rgb="FF000000"/>
      <name val="Calibri"/>
      <family val="2"/>
      <scheme val="minor"/>
    </font>
    <font>
      <sz val="10"/>
      <color rgb="FF000000"/>
      <name val="Arial"/>
      <family val="2"/>
    </font>
    <font>
      <sz val="10"/>
      <color rgb="FF000000"/>
      <name val="Calibri"/>
      <family val="2"/>
      <scheme val="minor"/>
    </font>
    <font>
      <sz val="10"/>
      <color rgb="FF000000"/>
      <name val="Calibri"/>
      <family val="2"/>
    </font>
    <font>
      <sz val="10"/>
      <color rgb="FF222222"/>
      <name val="Arial"/>
      <family val="2"/>
    </font>
    <font>
      <sz val="10"/>
      <color rgb="FF000000"/>
      <name val="Calibri"/>
      <family val="2"/>
      <scheme val="minor"/>
    </font>
    <font>
      <sz val="8"/>
      <name val="Calibri"/>
      <family val="2"/>
    </font>
    <font>
      <sz val="10"/>
      <color rgb="FF000000"/>
      <name val="Calibri"/>
      <family val="2"/>
    </font>
    <font>
      <sz val="10"/>
      <color rgb="FF000000"/>
      <name val="Calibri"/>
      <family val="2"/>
      <scheme val="minor"/>
    </font>
    <font>
      <sz val="10"/>
      <color rgb="FF000000"/>
      <name val="Calibri"/>
      <family val="2"/>
      <scheme val="minor"/>
    </font>
    <font>
      <sz val="10"/>
      <color rgb="FF000000"/>
      <name val="Calibri"/>
      <family val="2"/>
    </font>
    <font>
      <sz val="10"/>
      <color rgb="FF000000"/>
      <name val="Calibri"/>
      <family val="2"/>
      <scheme val="minor"/>
    </font>
    <font>
      <sz val="10"/>
      <color rgb="FF000000"/>
      <name val="Calibri"/>
      <family val="2"/>
      <scheme val="minor"/>
    </font>
    <font>
      <sz val="10"/>
      <color rgb="FF000000"/>
      <name val="Calibri"/>
      <family val="2"/>
    </font>
    <font>
      <sz val="10"/>
      <color theme="1"/>
      <name val="Calibri"/>
      <family val="2"/>
    </font>
  </fonts>
  <fills count="17">
    <fill>
      <patternFill patternType="none"/>
    </fill>
    <fill>
      <patternFill patternType="gray125"/>
    </fill>
    <fill>
      <patternFill patternType="solid">
        <fgColor rgb="FF000000"/>
        <bgColor rgb="FF000000"/>
      </patternFill>
    </fill>
    <fill>
      <patternFill patternType="solid">
        <fgColor rgb="FFFFFFFF"/>
        <bgColor rgb="FFFFFFFF"/>
      </patternFill>
    </fill>
    <fill>
      <patternFill patternType="solid">
        <fgColor rgb="FFBFBFBF"/>
        <bgColor rgb="FFBFBFBF"/>
      </patternFill>
    </fill>
    <fill>
      <patternFill patternType="solid">
        <fgColor rgb="FFFFFF00"/>
        <bgColor rgb="FFFFFF00"/>
      </patternFill>
    </fill>
    <fill>
      <patternFill patternType="solid">
        <fgColor rgb="FF00B050"/>
        <bgColor rgb="FF00B050"/>
      </patternFill>
    </fill>
    <fill>
      <patternFill patternType="solid">
        <fgColor rgb="FF0070C0"/>
        <bgColor rgb="FF0070C0"/>
      </patternFill>
    </fill>
    <fill>
      <patternFill patternType="solid">
        <fgColor theme="8"/>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rgb="FFFF0000"/>
        <bgColor indexed="64"/>
      </patternFill>
    </fill>
    <fill>
      <patternFill patternType="solid">
        <fgColor theme="0" tint="-0.14999847407452621"/>
        <bgColor indexed="64"/>
      </patternFill>
    </fill>
  </fills>
  <borders count="1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s>
  <cellStyleXfs count="2">
    <xf numFmtId="0" fontId="0" fillId="0" borderId="0"/>
    <xf numFmtId="0" fontId="23" fillId="0" borderId="0" applyNumberFormat="0" applyFill="0" applyBorder="0" applyAlignment="0" applyProtection="0"/>
  </cellStyleXfs>
  <cellXfs count="243">
    <xf numFmtId="0" fontId="0" fillId="0" borderId="0" xfId="0"/>
    <xf numFmtId="0" fontId="1" fillId="2" borderId="1" xfId="0" applyFont="1" applyFill="1" applyBorder="1"/>
    <xf numFmtId="0" fontId="1" fillId="2" borderId="2" xfId="0" applyFont="1" applyFill="1" applyBorder="1"/>
    <xf numFmtId="0" fontId="1" fillId="2" borderId="3" xfId="0" applyFont="1" applyFill="1" applyBorder="1"/>
    <xf numFmtId="0" fontId="1" fillId="2" borderId="4" xfId="0" applyFont="1" applyFill="1" applyBorder="1"/>
    <xf numFmtId="0" fontId="1" fillId="2" borderId="0" xfId="0" applyFont="1" applyFill="1"/>
    <xf numFmtId="0" fontId="3" fillId="0" borderId="0" xfId="0" applyFont="1"/>
    <xf numFmtId="0" fontId="3" fillId="3" borderId="0" xfId="0" applyFont="1" applyFill="1" applyAlignment="1">
      <alignment horizontal="center"/>
    </xf>
    <xf numFmtId="0" fontId="3" fillId="3" borderId="0" xfId="0" applyFont="1" applyFill="1"/>
    <xf numFmtId="0" fontId="3" fillId="0" borderId="5" xfId="0" applyFont="1" applyBorder="1" applyAlignment="1">
      <alignment horizontal="center" vertical="center"/>
    </xf>
    <xf numFmtId="0" fontId="4" fillId="3" borderId="0" xfId="0" applyFont="1" applyFill="1"/>
    <xf numFmtId="0" fontId="5" fillId="5" borderId="0" xfId="0" applyFont="1" applyFill="1"/>
    <xf numFmtId="165" fontId="3" fillId="3" borderId="0" xfId="0" applyNumberFormat="1" applyFont="1" applyFill="1" applyAlignment="1">
      <alignment horizontal="center" vertical="center"/>
    </xf>
    <xf numFmtId="0" fontId="3" fillId="3" borderId="0" xfId="0" applyFont="1" applyFill="1" applyAlignment="1">
      <alignment horizontal="center" vertical="center"/>
    </xf>
    <xf numFmtId="0" fontId="3" fillId="3" borderId="0" xfId="0" applyFont="1" applyFill="1" applyAlignment="1">
      <alignment horizontal="left" vertical="top" wrapText="1"/>
    </xf>
    <xf numFmtId="0" fontId="3" fillId="3" borderId="0" xfId="0" applyFont="1" applyFill="1" applyAlignment="1">
      <alignment vertical="center"/>
    </xf>
    <xf numFmtId="0" fontId="1" fillId="2" borderId="0" xfId="0" applyFont="1" applyFill="1" applyAlignment="1">
      <alignment horizontal="left"/>
    </xf>
    <xf numFmtId="165" fontId="3" fillId="3" borderId="0" xfId="0" applyNumberFormat="1" applyFont="1" applyFill="1" applyAlignment="1">
      <alignment horizontal="center"/>
    </xf>
    <xf numFmtId="166" fontId="3" fillId="3" borderId="0" xfId="0" applyNumberFormat="1" applyFont="1" applyFill="1" applyAlignment="1">
      <alignment horizontal="center"/>
    </xf>
    <xf numFmtId="14" fontId="3" fillId="3" borderId="0" xfId="0" applyNumberFormat="1" applyFont="1" applyFill="1" applyAlignment="1">
      <alignment horizontal="center"/>
    </xf>
    <xf numFmtId="164" fontId="3" fillId="3" borderId="0" xfId="0" applyNumberFormat="1" applyFont="1" applyFill="1" applyAlignment="1">
      <alignment horizontal="center"/>
    </xf>
    <xf numFmtId="0" fontId="3" fillId="3" borderId="0" xfId="0" applyFont="1" applyFill="1" applyAlignment="1">
      <alignment wrapText="1"/>
    </xf>
    <xf numFmtId="164" fontId="3" fillId="3" borderId="0" xfId="0" applyNumberFormat="1" applyFont="1" applyFill="1" applyAlignment="1">
      <alignment horizontal="center" vertical="center"/>
    </xf>
    <xf numFmtId="14" fontId="3" fillId="3" borderId="0" xfId="0" applyNumberFormat="1" applyFont="1" applyFill="1" applyAlignment="1">
      <alignment horizontal="left" vertical="center"/>
    </xf>
    <xf numFmtId="0" fontId="3" fillId="3" borderId="0" xfId="0" applyFont="1" applyFill="1" applyAlignment="1">
      <alignment horizontal="left" vertical="center"/>
    </xf>
    <xf numFmtId="0" fontId="3" fillId="0" borderId="6" xfId="0" applyFont="1" applyBorder="1" applyAlignment="1">
      <alignment horizontal="center" vertical="center"/>
    </xf>
    <xf numFmtId="165" fontId="3" fillId="0" borderId="7" xfId="0" applyNumberFormat="1" applyFont="1" applyBorder="1" applyAlignment="1">
      <alignment horizontal="center" vertical="center"/>
    </xf>
    <xf numFmtId="164" fontId="3" fillId="0" borderId="7" xfId="0" applyNumberFormat="1" applyFont="1" applyBorder="1" applyAlignment="1">
      <alignment horizontal="center" vertical="center"/>
    </xf>
    <xf numFmtId="0" fontId="3" fillId="0" borderId="7" xfId="0" applyFont="1" applyBorder="1" applyAlignment="1">
      <alignment horizontal="left" vertical="top" wrapText="1"/>
    </xf>
    <xf numFmtId="14" fontId="3" fillId="0" borderId="7" xfId="0" applyNumberFormat="1" applyFont="1" applyBorder="1" applyAlignment="1">
      <alignment horizontal="left" vertical="center"/>
    </xf>
    <xf numFmtId="0" fontId="3" fillId="0" borderId="7" xfId="0" applyFont="1" applyBorder="1" applyAlignment="1">
      <alignment horizontal="center" vertical="center"/>
    </xf>
    <xf numFmtId="165" fontId="4" fillId="3" borderId="0" xfId="0" applyNumberFormat="1" applyFont="1" applyFill="1" applyAlignment="1">
      <alignment horizontal="center"/>
    </xf>
    <xf numFmtId="0" fontId="3" fillId="0" borderId="8" xfId="0" applyFont="1" applyBorder="1" applyAlignment="1">
      <alignment horizontal="left" vertical="top" wrapText="1"/>
    </xf>
    <xf numFmtId="166" fontId="4" fillId="3" borderId="0" xfId="0" applyNumberFormat="1" applyFont="1" applyFill="1" applyAlignment="1">
      <alignment horizontal="center"/>
    </xf>
    <xf numFmtId="14" fontId="4" fillId="3" borderId="0" xfId="0" applyNumberFormat="1" applyFont="1" applyFill="1" applyAlignment="1">
      <alignment horizontal="center"/>
    </xf>
    <xf numFmtId="164" fontId="4" fillId="3" borderId="0" xfId="0" applyNumberFormat="1" applyFont="1" applyFill="1" applyAlignment="1">
      <alignment horizontal="center"/>
    </xf>
    <xf numFmtId="0" fontId="4" fillId="3" borderId="0" xfId="0" applyFont="1" applyFill="1" applyAlignment="1">
      <alignment wrapText="1"/>
    </xf>
    <xf numFmtId="0" fontId="4" fillId="3" borderId="0" xfId="0" applyFont="1" applyFill="1" applyAlignment="1">
      <alignment horizontal="center"/>
    </xf>
    <xf numFmtId="0" fontId="4" fillId="7" borderId="5" xfId="0" applyFont="1" applyFill="1" applyBorder="1" applyAlignment="1">
      <alignment vertical="center"/>
    </xf>
    <xf numFmtId="0" fontId="4" fillId="5" borderId="5" xfId="0" applyFont="1" applyFill="1" applyBorder="1" applyAlignment="1">
      <alignment vertical="center"/>
    </xf>
    <xf numFmtId="0" fontId="3" fillId="0" borderId="0" xfId="0" applyFont="1" applyAlignment="1">
      <alignment horizontal="center" vertical="center"/>
    </xf>
    <xf numFmtId="0" fontId="3" fillId="4" borderId="5" xfId="0" applyFont="1" applyFill="1" applyBorder="1" applyAlignment="1">
      <alignment horizontal="center" vertical="center"/>
    </xf>
    <xf numFmtId="0" fontId="6" fillId="2" borderId="0" xfId="0" applyFont="1" applyFill="1"/>
    <xf numFmtId="0" fontId="8" fillId="0" borderId="0" xfId="0" applyFont="1"/>
    <xf numFmtId="0" fontId="8" fillId="0" borderId="0" xfId="0" applyFont="1" applyAlignment="1">
      <alignment horizontal="left"/>
    </xf>
    <xf numFmtId="0" fontId="8" fillId="0" borderId="0" xfId="0" applyFont="1" applyAlignment="1">
      <alignment horizontal="right"/>
    </xf>
    <xf numFmtId="0" fontId="8" fillId="8" borderId="0" xfId="0" applyFont="1" applyFill="1" applyAlignment="1">
      <alignment horizontal="left"/>
    </xf>
    <xf numFmtId="0" fontId="8" fillId="9" borderId="0" xfId="0" applyFont="1" applyFill="1" applyAlignment="1">
      <alignment horizontal="left"/>
    </xf>
    <xf numFmtId="0" fontId="8" fillId="10" borderId="0" xfId="0" applyFont="1" applyFill="1" applyAlignment="1">
      <alignment horizontal="left"/>
    </xf>
    <xf numFmtId="0" fontId="8" fillId="11" borderId="0" xfId="0" applyFont="1" applyFill="1" applyAlignment="1">
      <alignment horizontal="left"/>
    </xf>
    <xf numFmtId="44" fontId="8" fillId="0" borderId="0" xfId="0" applyNumberFormat="1" applyFont="1" applyAlignment="1">
      <alignment horizontal="right"/>
    </xf>
    <xf numFmtId="44" fontId="8" fillId="12" borderId="0" xfId="0" applyNumberFormat="1" applyFont="1" applyFill="1" applyAlignment="1">
      <alignment horizontal="right"/>
    </xf>
    <xf numFmtId="0" fontId="8" fillId="0" borderId="12" xfId="0" applyFont="1" applyBorder="1" applyAlignment="1">
      <alignment horizontal="left"/>
    </xf>
    <xf numFmtId="0" fontId="8" fillId="12" borderId="0" xfId="0" applyFont="1" applyFill="1" applyAlignment="1">
      <alignment horizontal="right"/>
    </xf>
    <xf numFmtId="14" fontId="8" fillId="0" borderId="0" xfId="0" applyNumberFormat="1" applyFont="1" applyAlignment="1">
      <alignment horizontal="right"/>
    </xf>
    <xf numFmtId="0" fontId="7" fillId="0" borderId="0" xfId="0" applyFont="1" applyAlignment="1">
      <alignment horizontal="right"/>
    </xf>
    <xf numFmtId="0" fontId="7" fillId="0" borderId="0" xfId="0" applyFont="1" applyAlignment="1">
      <alignment horizontal="left"/>
    </xf>
    <xf numFmtId="0" fontId="8" fillId="10" borderId="0" xfId="0" applyFont="1" applyFill="1"/>
    <xf numFmtId="0" fontId="9" fillId="0" borderId="11" xfId="0" applyFont="1" applyBorder="1" applyAlignment="1">
      <alignment horizontal="left" vertical="top" wrapText="1"/>
    </xf>
    <xf numFmtId="0" fontId="8" fillId="0" borderId="11" xfId="0" applyFont="1" applyBorder="1" applyAlignment="1">
      <alignment horizontal="left" vertical="top" wrapText="1"/>
    </xf>
    <xf numFmtId="0" fontId="8" fillId="0" borderId="0" xfId="0" applyFont="1" applyAlignment="1">
      <alignment horizontal="left" vertical="top" wrapText="1"/>
    </xf>
    <xf numFmtId="0" fontId="9" fillId="0" borderId="0" xfId="0" applyFont="1" applyAlignment="1">
      <alignment horizontal="left" vertical="top" wrapText="1"/>
    </xf>
    <xf numFmtId="44" fontId="12" fillId="0" borderId="0" xfId="0" applyNumberFormat="1" applyFont="1" applyAlignment="1">
      <alignment horizontal="right"/>
    </xf>
    <xf numFmtId="167" fontId="8" fillId="0" borderId="0" xfId="0" applyNumberFormat="1" applyFont="1" applyAlignment="1">
      <alignment horizontal="right"/>
    </xf>
    <xf numFmtId="0" fontId="13" fillId="0" borderId="0" xfId="0" applyFont="1" applyAlignment="1">
      <alignment horizontal="left"/>
    </xf>
    <xf numFmtId="0" fontId="13" fillId="0" borderId="0" xfId="0" applyFont="1" applyAlignment="1">
      <alignment horizontal="right"/>
    </xf>
    <xf numFmtId="0" fontId="13" fillId="0" borderId="0" xfId="0" applyFont="1"/>
    <xf numFmtId="44" fontId="13" fillId="0" borderId="0" xfId="0" applyNumberFormat="1" applyFont="1" applyAlignment="1">
      <alignment horizontal="right"/>
    </xf>
    <xf numFmtId="44" fontId="13" fillId="12" borderId="0" xfId="0" applyNumberFormat="1" applyFont="1" applyFill="1" applyAlignment="1">
      <alignment horizontal="right"/>
    </xf>
    <xf numFmtId="167" fontId="13" fillId="0" borderId="0" xfId="0" applyNumberFormat="1" applyFont="1" applyAlignment="1">
      <alignment horizontal="right"/>
    </xf>
    <xf numFmtId="0" fontId="13" fillId="12" borderId="0" xfId="0" applyFont="1" applyFill="1" applyAlignment="1">
      <alignment horizontal="right"/>
    </xf>
    <xf numFmtId="14" fontId="13" fillId="0" borderId="0" xfId="0" applyNumberFormat="1" applyFont="1" applyAlignment="1">
      <alignment horizontal="right"/>
    </xf>
    <xf numFmtId="0" fontId="14" fillId="0" borderId="0" xfId="0" applyFont="1" applyAlignment="1">
      <alignment horizontal="left"/>
    </xf>
    <xf numFmtId="0" fontId="15" fillId="0" borderId="0" xfId="0" applyFont="1" applyAlignment="1">
      <alignment horizontal="left"/>
    </xf>
    <xf numFmtId="0" fontId="15" fillId="0" borderId="0" xfId="0" applyFont="1" applyAlignment="1">
      <alignment horizontal="right"/>
    </xf>
    <xf numFmtId="0" fontId="15" fillId="0" borderId="0" xfId="0" applyFont="1"/>
    <xf numFmtId="44" fontId="15" fillId="0" borderId="0" xfId="0" applyNumberFormat="1" applyFont="1" applyAlignment="1">
      <alignment horizontal="right"/>
    </xf>
    <xf numFmtId="167" fontId="15" fillId="0" borderId="0" xfId="0" applyNumberFormat="1" applyFont="1" applyAlignment="1">
      <alignment horizontal="right"/>
    </xf>
    <xf numFmtId="168" fontId="15" fillId="0" borderId="0" xfId="0" applyNumberFormat="1" applyFont="1" applyAlignment="1">
      <alignment horizontal="right"/>
    </xf>
    <xf numFmtId="1" fontId="8" fillId="11" borderId="0" xfId="0" applyNumberFormat="1" applyFont="1" applyFill="1" applyAlignment="1">
      <alignment horizontal="left"/>
    </xf>
    <xf numFmtId="1" fontId="13" fillId="0" borderId="0" xfId="0" applyNumberFormat="1" applyFont="1" applyAlignment="1">
      <alignment horizontal="right"/>
    </xf>
    <xf numFmtId="1" fontId="8" fillId="0" borderId="0" xfId="0" applyNumberFormat="1" applyFont="1" applyAlignment="1">
      <alignment horizontal="right"/>
    </xf>
    <xf numFmtId="1" fontId="15" fillId="0" borderId="0" xfId="0" applyNumberFormat="1" applyFont="1" applyAlignment="1">
      <alignment horizontal="right"/>
    </xf>
    <xf numFmtId="1" fontId="8" fillId="0" borderId="0" xfId="0" applyNumberFormat="1" applyFont="1" applyAlignment="1">
      <alignment horizontal="left"/>
    </xf>
    <xf numFmtId="14" fontId="15" fillId="0" borderId="0" xfId="0" applyNumberFormat="1" applyFont="1" applyAlignment="1">
      <alignment horizontal="right"/>
    </xf>
    <xf numFmtId="0" fontId="17" fillId="0" borderId="0" xfId="0" applyFont="1" applyAlignment="1">
      <alignment horizontal="right"/>
    </xf>
    <xf numFmtId="14" fontId="16" fillId="0" borderId="0" xfId="0" applyNumberFormat="1" applyFont="1" applyAlignment="1">
      <alignment horizontal="right"/>
    </xf>
    <xf numFmtId="0" fontId="19" fillId="0" borderId="0" xfId="0" applyFont="1"/>
    <xf numFmtId="0" fontId="18" fillId="0" borderId="0" xfId="0" applyFont="1"/>
    <xf numFmtId="0" fontId="20" fillId="0" borderId="0" xfId="0" applyFont="1" applyAlignment="1">
      <alignment horizontal="left"/>
    </xf>
    <xf numFmtId="0" fontId="20" fillId="0" borderId="0" xfId="0" applyFont="1" applyAlignment="1">
      <alignment horizontal="right"/>
    </xf>
    <xf numFmtId="44" fontId="20" fillId="0" borderId="0" xfId="0" applyNumberFormat="1" applyFont="1" applyAlignment="1">
      <alignment horizontal="right"/>
    </xf>
    <xf numFmtId="0" fontId="0" fillId="0" borderId="0" xfId="0" applyAlignment="1">
      <alignment horizontal="right"/>
    </xf>
    <xf numFmtId="0" fontId="20" fillId="12" borderId="0" xfId="0" applyFont="1" applyFill="1" applyAlignment="1">
      <alignment horizontal="right"/>
    </xf>
    <xf numFmtId="0" fontId="21" fillId="0" borderId="0" xfId="0" applyFont="1" applyAlignment="1">
      <alignment horizontal="left"/>
    </xf>
    <xf numFmtId="14" fontId="20" fillId="0" borderId="0" xfId="0" applyNumberFormat="1" applyFont="1" applyAlignment="1">
      <alignment horizontal="right"/>
    </xf>
    <xf numFmtId="0" fontId="18" fillId="0" borderId="0" xfId="0" applyFont="1" applyAlignment="1">
      <alignment wrapText="1"/>
    </xf>
    <xf numFmtId="16" fontId="8" fillId="0" borderId="0" xfId="0" applyNumberFormat="1" applyFont="1" applyAlignment="1">
      <alignment horizontal="right"/>
    </xf>
    <xf numFmtId="0" fontId="22" fillId="0" borderId="0" xfId="0" applyFont="1" applyAlignment="1">
      <alignment horizontal="right"/>
    </xf>
    <xf numFmtId="44" fontId="22" fillId="0" borderId="0" xfId="0" applyNumberFormat="1" applyFont="1" applyAlignment="1">
      <alignment horizontal="right"/>
    </xf>
    <xf numFmtId="44" fontId="22" fillId="12" borderId="0" xfId="0" applyNumberFormat="1" applyFont="1" applyFill="1" applyAlignment="1">
      <alignment horizontal="right"/>
    </xf>
    <xf numFmtId="14" fontId="22" fillId="0" borderId="0" xfId="0" applyNumberFormat="1" applyFont="1" applyAlignment="1">
      <alignment horizontal="right"/>
    </xf>
    <xf numFmtId="16" fontId="22" fillId="0" borderId="0" xfId="0" applyNumberFormat="1" applyFont="1" applyAlignment="1">
      <alignment horizontal="right"/>
    </xf>
    <xf numFmtId="44" fontId="8" fillId="0" borderId="0" xfId="0" applyNumberFormat="1" applyFont="1" applyAlignment="1">
      <alignment horizontal="left"/>
    </xf>
    <xf numFmtId="0" fontId="23" fillId="0" borderId="0" xfId="1" applyFill="1" applyAlignment="1"/>
    <xf numFmtId="0" fontId="24" fillId="0" borderId="0" xfId="0" applyFont="1" applyAlignment="1">
      <alignment horizontal="left"/>
    </xf>
    <xf numFmtId="0" fontId="24" fillId="0" borderId="0" xfId="0" applyFont="1" applyAlignment="1">
      <alignment horizontal="right"/>
    </xf>
    <xf numFmtId="0" fontId="24" fillId="0" borderId="0" xfId="0" applyFont="1"/>
    <xf numFmtId="44" fontId="24" fillId="0" borderId="0" xfId="0" applyNumberFormat="1" applyFont="1" applyAlignment="1">
      <alignment horizontal="right"/>
    </xf>
    <xf numFmtId="1" fontId="24" fillId="0" borderId="0" xfId="0" applyNumberFormat="1" applyFont="1" applyAlignment="1">
      <alignment horizontal="right"/>
    </xf>
    <xf numFmtId="44" fontId="24" fillId="12" borderId="0" xfId="0" applyNumberFormat="1" applyFont="1" applyFill="1" applyAlignment="1">
      <alignment horizontal="right"/>
    </xf>
    <xf numFmtId="0" fontId="24" fillId="12" borderId="0" xfId="0" applyFont="1" applyFill="1" applyAlignment="1">
      <alignment horizontal="right"/>
    </xf>
    <xf numFmtId="168" fontId="24" fillId="0" borderId="0" xfId="0" applyNumberFormat="1" applyFont="1" applyAlignment="1">
      <alignment horizontal="right"/>
    </xf>
    <xf numFmtId="14" fontId="24" fillId="0" borderId="0" xfId="0" applyNumberFormat="1" applyFont="1" applyAlignment="1">
      <alignment horizontal="right"/>
    </xf>
    <xf numFmtId="0" fontId="23" fillId="0" borderId="0" xfId="1" applyAlignment="1"/>
    <xf numFmtId="0" fontId="25" fillId="0" borderId="0" xfId="0" applyFont="1"/>
    <xf numFmtId="0" fontId="23" fillId="0" borderId="0" xfId="1" applyFill="1" applyAlignment="1">
      <alignment horizontal="left"/>
    </xf>
    <xf numFmtId="8" fontId="13" fillId="0" borderId="0" xfId="0" applyNumberFormat="1" applyFont="1" applyAlignment="1">
      <alignment horizontal="right"/>
    </xf>
    <xf numFmtId="44" fontId="13" fillId="0" borderId="0" xfId="0" applyNumberFormat="1" applyFont="1"/>
    <xf numFmtId="0" fontId="7" fillId="13" borderId="0" xfId="0" applyFont="1" applyFill="1" applyAlignment="1">
      <alignment horizontal="left"/>
    </xf>
    <xf numFmtId="44" fontId="8" fillId="13" borderId="0" xfId="0" applyNumberFormat="1" applyFont="1" applyFill="1" applyAlignment="1">
      <alignment horizontal="right"/>
    </xf>
    <xf numFmtId="0" fontId="16" fillId="0" borderId="0" xfId="0" applyFont="1" applyAlignment="1">
      <alignment vertical="center" wrapText="1"/>
    </xf>
    <xf numFmtId="0" fontId="16" fillId="0" borderId="0" xfId="0" applyFont="1" applyAlignment="1">
      <alignment horizontal="left"/>
    </xf>
    <xf numFmtId="0" fontId="16" fillId="0" borderId="0" xfId="0" applyFont="1" applyAlignment="1">
      <alignment horizontal="right"/>
    </xf>
    <xf numFmtId="0" fontId="8" fillId="14" borderId="0" xfId="0" applyFont="1" applyFill="1" applyAlignment="1">
      <alignment horizontal="right"/>
    </xf>
    <xf numFmtId="14" fontId="16" fillId="14" borderId="0" xfId="0" applyNumberFormat="1" applyFont="1" applyFill="1" applyAlignment="1">
      <alignment horizontal="right"/>
    </xf>
    <xf numFmtId="0" fontId="26" fillId="0" borderId="0" xfId="0" applyFont="1" applyAlignment="1">
      <alignment horizontal="right"/>
    </xf>
    <xf numFmtId="0" fontId="26" fillId="0" borderId="0" xfId="0" applyFont="1" applyAlignment="1">
      <alignment horizontal="left"/>
    </xf>
    <xf numFmtId="44" fontId="26" fillId="0" borderId="0" xfId="0" applyNumberFormat="1" applyFont="1" applyAlignment="1">
      <alignment horizontal="right"/>
    </xf>
    <xf numFmtId="167" fontId="26" fillId="0" borderId="0" xfId="0" applyNumberFormat="1" applyFont="1" applyAlignment="1">
      <alignment horizontal="right"/>
    </xf>
    <xf numFmtId="14" fontId="26" fillId="0" borderId="0" xfId="0" applyNumberFormat="1" applyFont="1" applyAlignment="1">
      <alignment horizontal="right"/>
    </xf>
    <xf numFmtId="0" fontId="26" fillId="0" borderId="0" xfId="0" applyFont="1"/>
    <xf numFmtId="1" fontId="26" fillId="0" borderId="0" xfId="0" applyNumberFormat="1" applyFont="1" applyAlignment="1">
      <alignment horizontal="right"/>
    </xf>
    <xf numFmtId="168" fontId="26" fillId="0" borderId="0" xfId="0" applyNumberFormat="1" applyFont="1" applyAlignment="1">
      <alignment horizontal="right"/>
    </xf>
    <xf numFmtId="0" fontId="23" fillId="0" borderId="0" xfId="1"/>
    <xf numFmtId="0" fontId="27" fillId="0" borderId="0" xfId="0" applyFont="1" applyAlignment="1">
      <alignment horizontal="left"/>
    </xf>
    <xf numFmtId="0" fontId="27" fillId="0" borderId="0" xfId="0" applyFont="1" applyAlignment="1">
      <alignment horizontal="right"/>
    </xf>
    <xf numFmtId="0" fontId="27" fillId="0" borderId="0" xfId="0" applyFont="1"/>
    <xf numFmtId="44" fontId="27" fillId="0" borderId="0" xfId="0" applyNumberFormat="1" applyFont="1" applyAlignment="1">
      <alignment horizontal="right"/>
    </xf>
    <xf numFmtId="1" fontId="27" fillId="0" borderId="0" xfId="0" applyNumberFormat="1" applyFont="1" applyAlignment="1">
      <alignment horizontal="right"/>
    </xf>
    <xf numFmtId="167" fontId="27" fillId="0" borderId="0" xfId="0" applyNumberFormat="1" applyFont="1" applyAlignment="1">
      <alignment horizontal="right"/>
    </xf>
    <xf numFmtId="168" fontId="27" fillId="0" borderId="0" xfId="0" applyNumberFormat="1" applyFont="1" applyAlignment="1">
      <alignment horizontal="right"/>
    </xf>
    <xf numFmtId="14" fontId="27" fillId="0" borderId="0" xfId="0" applyNumberFormat="1" applyFont="1" applyAlignment="1">
      <alignment horizontal="right"/>
    </xf>
    <xf numFmtId="0" fontId="28" fillId="0" borderId="0" xfId="0" applyFont="1" applyAlignment="1">
      <alignment horizontal="left"/>
    </xf>
    <xf numFmtId="0" fontId="28" fillId="0" borderId="0" xfId="0" applyFont="1" applyAlignment="1">
      <alignment horizontal="right"/>
    </xf>
    <xf numFmtId="44" fontId="28" fillId="0" borderId="0" xfId="0" applyNumberFormat="1" applyFont="1" applyAlignment="1">
      <alignment horizontal="right"/>
    </xf>
    <xf numFmtId="44" fontId="28" fillId="12" borderId="0" xfId="0" applyNumberFormat="1" applyFont="1" applyFill="1" applyAlignment="1">
      <alignment horizontal="right"/>
    </xf>
    <xf numFmtId="167" fontId="28" fillId="0" borderId="0" xfId="0" applyNumberFormat="1" applyFont="1" applyAlignment="1">
      <alignment horizontal="right"/>
    </xf>
    <xf numFmtId="14" fontId="28" fillId="0" borderId="0" xfId="0" applyNumberFormat="1" applyFont="1" applyAlignment="1">
      <alignment horizontal="right"/>
    </xf>
    <xf numFmtId="0" fontId="29" fillId="0" borderId="0" xfId="0" applyFont="1" applyAlignment="1">
      <alignment horizontal="left"/>
    </xf>
    <xf numFmtId="0" fontId="28" fillId="0" borderId="0" xfId="0" applyFont="1"/>
    <xf numFmtId="1" fontId="28" fillId="0" borderId="0" xfId="0" applyNumberFormat="1" applyFont="1" applyAlignment="1">
      <alignment horizontal="right"/>
    </xf>
    <xf numFmtId="168" fontId="28" fillId="0" borderId="0" xfId="0" applyNumberFormat="1" applyFont="1" applyAlignment="1">
      <alignment horizontal="right"/>
    </xf>
    <xf numFmtId="0" fontId="22" fillId="0" borderId="0" xfId="0" applyFont="1"/>
    <xf numFmtId="0" fontId="20" fillId="0" borderId="0" xfId="0" applyFont="1"/>
    <xf numFmtId="0" fontId="2" fillId="0" borderId="0" xfId="0" applyFont="1"/>
    <xf numFmtId="168" fontId="8" fillId="0" borderId="0" xfId="0" applyNumberFormat="1" applyFont="1" applyAlignment="1">
      <alignment horizontal="right"/>
    </xf>
    <xf numFmtId="0" fontId="30" fillId="0" borderId="0" xfId="0" applyFont="1"/>
    <xf numFmtId="0" fontId="30" fillId="0" borderId="0" xfId="0" applyFont="1" applyAlignment="1">
      <alignment horizontal="right"/>
    </xf>
    <xf numFmtId="0" fontId="2" fillId="0" borderId="0" xfId="0" applyFont="1" applyAlignment="1">
      <alignment horizontal="right"/>
    </xf>
    <xf numFmtId="14" fontId="31" fillId="0" borderId="0" xfId="0" applyNumberFormat="1" applyFont="1" applyAlignment="1">
      <alignment horizontal="right"/>
    </xf>
    <xf numFmtId="0" fontId="18" fillId="0" borderId="0" xfId="0" applyFont="1" applyAlignment="1">
      <alignment horizontal="right"/>
    </xf>
    <xf numFmtId="0" fontId="31" fillId="0" borderId="0" xfId="0" applyFont="1" applyAlignment="1">
      <alignment horizontal="left"/>
    </xf>
    <xf numFmtId="0" fontId="31" fillId="0" borderId="0" xfId="0" applyFont="1" applyAlignment="1">
      <alignment horizontal="right"/>
    </xf>
    <xf numFmtId="0" fontId="31" fillId="0" borderId="0" xfId="0" applyFont="1"/>
    <xf numFmtId="44" fontId="31" fillId="0" borderId="0" xfId="0" applyNumberFormat="1" applyFont="1" applyAlignment="1">
      <alignment horizontal="right"/>
    </xf>
    <xf numFmtId="1" fontId="31" fillId="0" borderId="0" xfId="0" applyNumberFormat="1" applyFont="1" applyAlignment="1">
      <alignment horizontal="right"/>
    </xf>
    <xf numFmtId="168" fontId="31" fillId="0" borderId="0" xfId="0" applyNumberFormat="1" applyFont="1" applyAlignment="1">
      <alignment horizontal="right"/>
    </xf>
    <xf numFmtId="167" fontId="31" fillId="0" borderId="0" xfId="0" applyNumberFormat="1" applyFont="1" applyAlignment="1">
      <alignment horizontal="right"/>
    </xf>
    <xf numFmtId="0" fontId="32" fillId="0" borderId="0" xfId="0" applyFont="1"/>
    <xf numFmtId="0" fontId="33" fillId="0" borderId="0" xfId="0" applyFont="1" applyAlignment="1">
      <alignment horizontal="left"/>
    </xf>
    <xf numFmtId="0" fontId="33" fillId="0" borderId="0" xfId="0" applyFont="1" applyAlignment="1">
      <alignment horizontal="right"/>
    </xf>
    <xf numFmtId="0" fontId="33" fillId="0" borderId="0" xfId="0" applyFont="1"/>
    <xf numFmtId="44" fontId="33" fillId="0" borderId="0" xfId="0" applyNumberFormat="1" applyFont="1" applyAlignment="1">
      <alignment horizontal="right"/>
    </xf>
    <xf numFmtId="44" fontId="33" fillId="12" borderId="0" xfId="0" applyNumberFormat="1" applyFont="1" applyFill="1" applyAlignment="1">
      <alignment horizontal="right"/>
    </xf>
    <xf numFmtId="14" fontId="33" fillId="0" borderId="0" xfId="0" applyNumberFormat="1" applyFont="1" applyAlignment="1">
      <alignment horizontal="right"/>
    </xf>
    <xf numFmtId="0" fontId="34" fillId="0" borderId="0" xfId="0" applyFont="1" applyAlignment="1">
      <alignment horizontal="left"/>
    </xf>
    <xf numFmtId="14" fontId="8" fillId="9" borderId="0" xfId="0" applyNumberFormat="1" applyFont="1" applyFill="1" applyAlignment="1">
      <alignment horizontal="left"/>
    </xf>
    <xf numFmtId="14" fontId="8" fillId="0" borderId="0" xfId="0" applyNumberFormat="1" applyFont="1" applyAlignment="1">
      <alignment horizontal="left"/>
    </xf>
    <xf numFmtId="167" fontId="33" fillId="0" borderId="0" xfId="0" applyNumberFormat="1" applyFont="1" applyAlignment="1">
      <alignment horizontal="right"/>
    </xf>
    <xf numFmtId="0" fontId="35" fillId="0" borderId="0" xfId="0" applyFont="1"/>
    <xf numFmtId="0" fontId="36" fillId="0" borderId="0" xfId="0" applyFont="1" applyAlignment="1">
      <alignment horizontal="right"/>
    </xf>
    <xf numFmtId="0" fontId="38" fillId="0" borderId="0" xfId="0" applyFont="1" applyAlignment="1">
      <alignment horizontal="left"/>
    </xf>
    <xf numFmtId="14" fontId="38" fillId="0" borderId="0" xfId="0" applyNumberFormat="1" applyFont="1" applyAlignment="1">
      <alignment horizontal="left"/>
    </xf>
    <xf numFmtId="0" fontId="36" fillId="9" borderId="13" xfId="0" applyFont="1" applyFill="1" applyBorder="1" applyAlignment="1">
      <alignment horizontal="left"/>
    </xf>
    <xf numFmtId="0" fontId="36" fillId="0" borderId="13" xfId="0" applyFont="1" applyBorder="1" applyAlignment="1">
      <alignment horizontal="left"/>
    </xf>
    <xf numFmtId="0" fontId="39" fillId="0" borderId="0" xfId="0" applyFont="1" applyAlignment="1">
      <alignment horizontal="right"/>
    </xf>
    <xf numFmtId="0" fontId="23" fillId="0" borderId="0" xfId="1" applyFill="1" applyAlignment="1">
      <alignment horizontal="right"/>
    </xf>
    <xf numFmtId="0" fontId="40" fillId="0" borderId="0" xfId="0" applyFont="1" applyAlignment="1">
      <alignment horizontal="left"/>
    </xf>
    <xf numFmtId="0" fontId="40" fillId="0" borderId="0" xfId="0" applyFont="1" applyAlignment="1">
      <alignment horizontal="right"/>
    </xf>
    <xf numFmtId="0" fontId="40" fillId="0" borderId="0" xfId="0" applyFont="1"/>
    <xf numFmtId="44" fontId="40" fillId="0" borderId="0" xfId="0" applyNumberFormat="1" applyFont="1" applyAlignment="1">
      <alignment horizontal="right"/>
    </xf>
    <xf numFmtId="1" fontId="40" fillId="0" borderId="0" xfId="0" applyNumberFormat="1" applyFont="1" applyAlignment="1">
      <alignment horizontal="right"/>
    </xf>
    <xf numFmtId="0" fontId="8" fillId="15" borderId="0" xfId="0" applyFont="1" applyFill="1" applyAlignment="1">
      <alignment horizontal="left"/>
    </xf>
    <xf numFmtId="0" fontId="8" fillId="15" borderId="0" xfId="0" applyFont="1" applyFill="1" applyAlignment="1">
      <alignment horizontal="right"/>
    </xf>
    <xf numFmtId="44" fontId="40" fillId="12" borderId="0" xfId="0" applyNumberFormat="1" applyFont="1" applyFill="1" applyAlignment="1">
      <alignment horizontal="right"/>
    </xf>
    <xf numFmtId="0" fontId="40" fillId="12" borderId="0" xfId="0" applyFont="1" applyFill="1" applyAlignment="1">
      <alignment horizontal="right"/>
    </xf>
    <xf numFmtId="168" fontId="40" fillId="0" borderId="0" xfId="0" applyNumberFormat="1" applyFont="1" applyAlignment="1">
      <alignment horizontal="right"/>
    </xf>
    <xf numFmtId="14" fontId="40" fillId="0" borderId="0" xfId="0" applyNumberFormat="1" applyFont="1" applyAlignment="1">
      <alignment horizontal="right"/>
    </xf>
    <xf numFmtId="0" fontId="41" fillId="0" borderId="0" xfId="0" applyFont="1" applyAlignment="1">
      <alignment horizontal="left"/>
    </xf>
    <xf numFmtId="0" fontId="42" fillId="0" borderId="0" xfId="0" applyFont="1" applyAlignment="1">
      <alignment horizontal="left"/>
    </xf>
    <xf numFmtId="0" fontId="42" fillId="0" borderId="0" xfId="0" applyFont="1" applyAlignment="1">
      <alignment horizontal="right"/>
    </xf>
    <xf numFmtId="0" fontId="42" fillId="0" borderId="0" xfId="0" applyFont="1"/>
    <xf numFmtId="44" fontId="42" fillId="0" borderId="0" xfId="0" applyNumberFormat="1" applyFont="1" applyAlignment="1">
      <alignment horizontal="right"/>
    </xf>
    <xf numFmtId="44" fontId="42" fillId="12" borderId="0" xfId="0" applyNumberFormat="1" applyFont="1" applyFill="1" applyAlignment="1">
      <alignment horizontal="right"/>
    </xf>
    <xf numFmtId="1" fontId="42" fillId="0" borderId="0" xfId="0" applyNumberFormat="1" applyFont="1" applyAlignment="1">
      <alignment horizontal="right"/>
    </xf>
    <xf numFmtId="0" fontId="42" fillId="12" borderId="0" xfId="0" applyFont="1" applyFill="1" applyAlignment="1">
      <alignment horizontal="right"/>
    </xf>
    <xf numFmtId="168" fontId="42" fillId="0" borderId="0" xfId="0" applyNumberFormat="1" applyFont="1" applyAlignment="1">
      <alignment horizontal="right"/>
    </xf>
    <xf numFmtId="14" fontId="42" fillId="0" borderId="0" xfId="0" applyNumberFormat="1" applyFont="1" applyAlignment="1">
      <alignment horizontal="right"/>
    </xf>
    <xf numFmtId="0" fontId="43" fillId="0" borderId="0" xfId="0" applyFont="1" applyAlignment="1">
      <alignment horizontal="left"/>
    </xf>
    <xf numFmtId="0" fontId="43" fillId="0" borderId="0" xfId="0" applyFont="1" applyAlignment="1">
      <alignment horizontal="right"/>
    </xf>
    <xf numFmtId="0" fontId="43" fillId="0" borderId="0" xfId="0" applyFont="1"/>
    <xf numFmtId="44" fontId="43" fillId="0" borderId="0" xfId="0" applyNumberFormat="1" applyFont="1" applyAlignment="1">
      <alignment horizontal="right"/>
    </xf>
    <xf numFmtId="44" fontId="43" fillId="12" borderId="0" xfId="0" applyNumberFormat="1" applyFont="1" applyFill="1" applyAlignment="1">
      <alignment horizontal="right"/>
    </xf>
    <xf numFmtId="0" fontId="43" fillId="12" borderId="0" xfId="0" applyFont="1" applyFill="1" applyAlignment="1">
      <alignment horizontal="right"/>
    </xf>
    <xf numFmtId="14" fontId="43" fillId="0" borderId="0" xfId="0" applyNumberFormat="1" applyFont="1" applyAlignment="1">
      <alignment horizontal="right"/>
    </xf>
    <xf numFmtId="0" fontId="44" fillId="0" borderId="0" xfId="0" applyFont="1" applyAlignment="1">
      <alignment horizontal="left"/>
    </xf>
    <xf numFmtId="16" fontId="13" fillId="0" borderId="0" xfId="0" applyNumberFormat="1" applyFont="1" applyAlignment="1">
      <alignment horizontal="right"/>
    </xf>
    <xf numFmtId="16" fontId="15" fillId="0" borderId="0" xfId="0" applyNumberFormat="1" applyFont="1" applyAlignment="1">
      <alignment horizontal="right"/>
    </xf>
    <xf numFmtId="0" fontId="24" fillId="16" borderId="0" xfId="0" applyFont="1" applyFill="1" applyAlignment="1">
      <alignment horizontal="left"/>
    </xf>
    <xf numFmtId="0" fontId="24" fillId="16" borderId="0" xfId="0" applyFont="1" applyFill="1" applyAlignment="1">
      <alignment horizontal="right"/>
    </xf>
    <xf numFmtId="0" fontId="8" fillId="16" borderId="0" xfId="0" applyFont="1" applyFill="1" applyAlignment="1">
      <alignment horizontal="right"/>
    </xf>
    <xf numFmtId="0" fontId="39" fillId="16" borderId="0" xfId="0" applyFont="1" applyFill="1" applyAlignment="1">
      <alignment horizontal="right"/>
    </xf>
    <xf numFmtId="0" fontId="8" fillId="16" borderId="0" xfId="0" applyFont="1" applyFill="1"/>
    <xf numFmtId="44" fontId="24" fillId="16" borderId="0" xfId="0" applyNumberFormat="1" applyFont="1" applyFill="1" applyAlignment="1">
      <alignment horizontal="right"/>
    </xf>
    <xf numFmtId="1" fontId="24" fillId="16" borderId="0" xfId="0" applyNumberFormat="1" applyFont="1" applyFill="1" applyAlignment="1">
      <alignment horizontal="right"/>
    </xf>
    <xf numFmtId="14" fontId="24" fillId="16" borderId="0" xfId="0" applyNumberFormat="1" applyFont="1" applyFill="1" applyAlignment="1">
      <alignment horizontal="right"/>
    </xf>
    <xf numFmtId="168" fontId="24" fillId="16" borderId="0" xfId="0" applyNumberFormat="1" applyFont="1" applyFill="1" applyAlignment="1">
      <alignment horizontal="right"/>
    </xf>
    <xf numFmtId="0" fontId="8" fillId="16" borderId="0" xfId="0" applyFont="1" applyFill="1" applyAlignment="1">
      <alignment horizontal="left"/>
    </xf>
    <xf numFmtId="0" fontId="13" fillId="16" borderId="0" xfId="0" applyFont="1" applyFill="1" applyAlignment="1">
      <alignment horizontal="right"/>
    </xf>
    <xf numFmtId="0" fontId="2" fillId="16" borderId="0" xfId="0" applyFont="1" applyFill="1"/>
    <xf numFmtId="44" fontId="13" fillId="16" borderId="0" xfId="0" applyNumberFormat="1" applyFont="1" applyFill="1" applyAlignment="1">
      <alignment horizontal="right"/>
    </xf>
    <xf numFmtId="1" fontId="13" fillId="16" borderId="0" xfId="0" applyNumberFormat="1" applyFont="1" applyFill="1" applyAlignment="1">
      <alignment horizontal="right"/>
    </xf>
    <xf numFmtId="44" fontId="8" fillId="16" borderId="0" xfId="0" applyNumberFormat="1" applyFont="1" applyFill="1" applyAlignment="1">
      <alignment horizontal="right"/>
    </xf>
    <xf numFmtId="167" fontId="13" fillId="16" borderId="0" xfId="0" applyNumberFormat="1" applyFont="1" applyFill="1" applyAlignment="1">
      <alignment horizontal="right"/>
    </xf>
    <xf numFmtId="14" fontId="13" fillId="16" borderId="0" xfId="0" applyNumberFormat="1" applyFont="1" applyFill="1" applyAlignment="1">
      <alignment horizontal="right"/>
    </xf>
    <xf numFmtId="1" fontId="8" fillId="16" borderId="0" xfId="0" applyNumberFormat="1" applyFont="1" applyFill="1" applyAlignment="1">
      <alignment horizontal="right"/>
    </xf>
    <xf numFmtId="167" fontId="8" fillId="16" borderId="0" xfId="0" applyNumberFormat="1" applyFont="1" applyFill="1" applyAlignment="1">
      <alignment horizontal="right"/>
    </xf>
    <xf numFmtId="168" fontId="8" fillId="16" borderId="0" xfId="0" applyNumberFormat="1" applyFont="1" applyFill="1" applyAlignment="1">
      <alignment horizontal="right"/>
    </xf>
    <xf numFmtId="14" fontId="8" fillId="16" borderId="0" xfId="0" applyNumberFormat="1" applyFont="1" applyFill="1" applyAlignment="1">
      <alignment horizontal="right"/>
    </xf>
    <xf numFmtId="0" fontId="45" fillId="0" borderId="0" xfId="0" applyFont="1"/>
    <xf numFmtId="0" fontId="4" fillId="6" borderId="9" xfId="0" applyFont="1" applyFill="1" applyBorder="1" applyAlignment="1">
      <alignment horizontal="center" vertical="center"/>
    </xf>
    <xf numFmtId="0" fontId="2" fillId="0" borderId="10" xfId="0" applyFont="1" applyBorder="1"/>
  </cellXfs>
  <cellStyles count="2">
    <cellStyle name="Hyperlink" xfId="1" builtinId="8"/>
    <cellStyle name="Normal" xfId="0" builtinId="0"/>
  </cellStyles>
  <dxfs count="527">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ill>
        <patternFill>
          <bgColor rgb="FF0070C0"/>
        </patternFill>
      </fill>
    </dxf>
    <dxf>
      <fill>
        <patternFill patternType="solid">
          <fgColor rgb="FF00B050"/>
          <bgColor rgb="FF00B050"/>
        </patternFill>
      </fill>
      <border>
        <left/>
        <right/>
        <top/>
        <bottom/>
      </border>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92D050"/>
        </patternFill>
      </fill>
    </dxf>
    <dxf>
      <fill>
        <patternFill>
          <bgColor rgb="FFFFFF00"/>
        </patternFill>
      </fill>
    </dxf>
    <dxf>
      <fill>
        <patternFill>
          <bgColor rgb="FFFF0000"/>
        </patternFill>
      </fill>
    </dxf>
    <dxf>
      <fill>
        <patternFill>
          <bgColor rgb="FFFFFF00"/>
        </patternFill>
      </fill>
    </dxf>
    <dxf>
      <font>
        <strike/>
      </font>
      <fill>
        <patternFill patternType="solid">
          <fgColor rgb="FFBFBFBF"/>
          <bgColor rgb="FFBFBFBF"/>
        </patternFill>
      </fill>
      <border>
        <left/>
        <right/>
        <top/>
        <bottom/>
      </border>
    </dxf>
    <dxf>
      <fill>
        <patternFill>
          <bgColor rgb="FF0070C0"/>
        </patternFill>
      </fill>
    </dxf>
    <dxf>
      <fill>
        <patternFill patternType="solid">
          <fgColor rgb="FF00B050"/>
          <bgColor rgb="FF92D050"/>
        </patternFill>
      </fill>
      <border>
        <left/>
        <right/>
        <top/>
        <bottom/>
      </border>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FFFF00"/>
        </patternFill>
      </fill>
    </dxf>
    <dxf>
      <fill>
        <patternFill>
          <bgColor rgb="FFFF0000"/>
        </patternFill>
      </fill>
    </dxf>
    <dxf>
      <fill>
        <patternFill>
          <bgColor rgb="FFFFFF00"/>
        </patternFill>
      </fill>
    </dxf>
    <dxf>
      <font>
        <strike/>
      </font>
      <fill>
        <patternFill patternType="solid">
          <fgColor rgb="FFBFBFBF"/>
          <bgColor rgb="FFBFBFBF"/>
        </patternFill>
      </fill>
      <border>
        <left/>
        <right/>
        <top/>
        <bottom/>
      </border>
    </dxf>
    <dxf>
      <fill>
        <patternFill>
          <bgColor rgb="FF92D050"/>
        </patternFill>
      </fill>
    </dxf>
    <dxf>
      <fill>
        <patternFill>
          <bgColor rgb="FF0070C0"/>
        </patternFill>
      </fill>
    </dxf>
    <dxf>
      <font>
        <color auto="1"/>
      </font>
      <fill>
        <patternFill patternType="solid">
          <fgColor rgb="FF00B050"/>
          <bgColor rgb="FF00B050"/>
        </patternFill>
      </fill>
      <border>
        <left/>
        <right/>
        <top/>
        <bottom/>
      </border>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92D050"/>
        </patternFill>
      </fill>
    </dxf>
    <dxf>
      <fill>
        <patternFill>
          <bgColor rgb="FF0070C0"/>
        </patternFill>
      </fill>
    </dxf>
    <dxf>
      <font>
        <color auto="1"/>
      </font>
      <fill>
        <patternFill patternType="solid">
          <fgColor rgb="FF00B050"/>
          <bgColor rgb="FF00B050"/>
        </patternFill>
      </fill>
      <border>
        <left/>
        <right/>
        <top/>
        <bottom/>
      </border>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92D050"/>
        </patternFill>
      </fill>
    </dxf>
    <dxf>
      <fill>
        <patternFill>
          <bgColor rgb="FF0070C0"/>
        </patternFill>
      </fill>
    </dxf>
    <dxf>
      <font>
        <color auto="1"/>
      </font>
      <fill>
        <patternFill patternType="solid">
          <fgColor rgb="FF00B050"/>
          <bgColor rgb="FF00B050"/>
        </patternFill>
      </fill>
      <border>
        <left/>
        <right/>
        <top/>
        <bottom/>
      </border>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92D050"/>
        </patternFill>
      </fill>
    </dxf>
    <dxf>
      <fill>
        <patternFill>
          <bgColor rgb="FF0070C0"/>
        </patternFill>
      </fill>
    </dxf>
    <dxf>
      <font>
        <color auto="1"/>
      </font>
      <fill>
        <patternFill patternType="solid">
          <fgColor rgb="FF00B050"/>
          <bgColor rgb="FF00B050"/>
        </patternFill>
      </fill>
      <border>
        <left/>
        <right/>
        <top/>
        <bottom/>
      </border>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92D050"/>
        </patternFill>
      </fill>
    </dxf>
    <dxf>
      <fill>
        <patternFill>
          <bgColor rgb="FF0070C0"/>
        </patternFill>
      </fill>
    </dxf>
    <dxf>
      <font>
        <color auto="1"/>
      </font>
      <fill>
        <patternFill patternType="solid">
          <fgColor rgb="FF00B050"/>
          <bgColor rgb="FF00B050"/>
        </patternFill>
      </fill>
      <border>
        <left/>
        <right/>
        <top/>
        <bottom/>
      </border>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92D050"/>
        </patternFill>
      </fill>
    </dxf>
    <dxf>
      <fill>
        <patternFill>
          <bgColor rgb="FF0070C0"/>
        </patternFill>
      </fill>
    </dxf>
    <dxf>
      <font>
        <color auto="1"/>
      </font>
      <fill>
        <patternFill patternType="solid">
          <fgColor rgb="FF00B050"/>
          <bgColor rgb="FF00B050"/>
        </patternFill>
      </fill>
      <border>
        <left/>
        <right/>
        <top/>
        <bottom/>
      </border>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FFFF00"/>
        </patternFill>
      </fill>
    </dxf>
    <dxf>
      <fill>
        <patternFill>
          <bgColor rgb="FFFFFF00"/>
        </patternFill>
      </fill>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font>
      <fill>
        <patternFill patternType="solid">
          <fgColor rgb="FFBFBFBF"/>
          <bgColor rgb="FFBFBFBF"/>
        </patternFill>
      </fill>
      <border>
        <left/>
        <right/>
        <top/>
        <bottom/>
      </border>
    </dxf>
    <dxf>
      <fill>
        <patternFill>
          <bgColor rgb="FFFFFF00"/>
        </patternFill>
      </fill>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ill>
        <patternFill>
          <bgColor rgb="FFFF0000"/>
        </patternFill>
      </fill>
    </dxf>
    <dxf>
      <fill>
        <patternFill>
          <bgColor rgb="FFFFFF00"/>
        </patternFill>
      </fill>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ill>
        <patternFill>
          <bgColor rgb="FFFF0000"/>
        </patternFill>
      </fill>
    </dxf>
    <dxf>
      <fill>
        <patternFill>
          <bgColor rgb="FFFFFF00"/>
        </patternFill>
      </fill>
    </dxf>
    <dxf>
      <font>
        <strike/>
      </font>
      <fill>
        <patternFill patternType="solid">
          <fgColor rgb="FFBFBFBF"/>
          <bgColor rgb="FFBFBFBF"/>
        </patternFill>
      </fill>
      <border>
        <left/>
        <right/>
        <top/>
        <bottom/>
      </border>
    </dxf>
    <dxf>
      <fill>
        <patternFill>
          <bgColor rgb="FFFF0000"/>
        </patternFill>
      </fill>
    </dxf>
    <dxf>
      <fill>
        <patternFill>
          <bgColor rgb="FFFFFF00"/>
        </patternFill>
      </fill>
    </dxf>
    <dxf>
      <font>
        <strike/>
      </font>
      <fill>
        <patternFill patternType="solid">
          <fgColor rgb="FFBFBFBF"/>
          <bgColor rgb="FFBFBFBF"/>
        </patternFill>
      </fill>
      <border>
        <left/>
        <right/>
        <top/>
        <bottom/>
      </border>
    </dxf>
    <dxf>
      <fill>
        <patternFill>
          <bgColor rgb="FFFF0000"/>
        </patternFill>
      </fill>
    </dxf>
    <dxf>
      <fill>
        <patternFill>
          <bgColor rgb="FFFFFF00"/>
        </patternFill>
      </fill>
    </dxf>
    <dxf>
      <font>
        <strike/>
      </font>
      <fill>
        <patternFill patternType="solid">
          <fgColor rgb="FFBFBFBF"/>
          <bgColor rgb="FFBFBFBF"/>
        </patternFill>
      </fill>
      <border>
        <left/>
        <right/>
        <top/>
        <bottom/>
      </border>
    </dxf>
    <dxf>
      <fill>
        <patternFill>
          <bgColor rgb="FFFF0000"/>
        </patternFill>
      </fill>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font>
      <fill>
        <patternFill patternType="solid">
          <fgColor rgb="FFBFBFBF"/>
          <bgColor rgb="FFBFBFBF"/>
        </patternFill>
      </fill>
      <border>
        <left/>
        <right/>
        <top/>
        <bottom/>
      </border>
    </dxf>
    <dxf>
      <fill>
        <patternFill>
          <bgColor rgb="FF0070C0"/>
        </patternFill>
      </fill>
    </dxf>
    <dxf>
      <fill>
        <patternFill patternType="solid">
          <fgColor rgb="FF00B050"/>
          <bgColor rgb="FF00B050"/>
        </patternFill>
      </fill>
      <border>
        <left/>
        <right/>
        <top/>
        <bottom/>
      </border>
    </dxf>
    <dxf>
      <fill>
        <patternFill>
          <bgColor rgb="FF92D050"/>
        </patternFill>
      </fill>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0070C0"/>
        </patternFill>
      </fill>
    </dxf>
    <dxf>
      <fill>
        <patternFill patternType="solid">
          <fgColor rgb="FF00B050"/>
          <bgColor rgb="FF00B050"/>
        </patternFill>
      </fill>
      <border>
        <left/>
        <right/>
        <top/>
        <bottom/>
      </border>
    </dxf>
    <dxf>
      <fill>
        <patternFill>
          <bgColor rgb="FF92D050"/>
        </patternFill>
      </fill>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0070C0"/>
        </patternFill>
      </fill>
    </dxf>
    <dxf>
      <fill>
        <patternFill patternType="solid">
          <fgColor rgb="FF00B050"/>
          <bgColor rgb="FF00B050"/>
        </patternFill>
      </fill>
      <border>
        <left/>
        <right/>
        <top/>
        <bottom/>
      </border>
    </dxf>
    <dxf>
      <fill>
        <patternFill>
          <bgColor rgb="FF92D050"/>
        </patternFill>
      </fill>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0070C0"/>
        </patternFill>
      </fill>
    </dxf>
    <dxf>
      <fill>
        <patternFill patternType="solid">
          <fgColor rgb="FF00B050"/>
          <bgColor rgb="FF00B050"/>
        </patternFill>
      </fill>
      <border>
        <left/>
        <right/>
        <top/>
        <bottom/>
      </border>
    </dxf>
    <dxf>
      <fill>
        <patternFill>
          <bgColor rgb="FF92D050"/>
        </patternFill>
      </fill>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0070C0"/>
        </patternFill>
      </fill>
    </dxf>
    <dxf>
      <fill>
        <patternFill patternType="solid">
          <fgColor rgb="FF00B050"/>
          <bgColor rgb="FF00B050"/>
        </patternFill>
      </fill>
      <border>
        <left/>
        <right/>
        <top/>
        <bottom/>
      </border>
    </dxf>
    <dxf>
      <fill>
        <patternFill>
          <bgColor rgb="FF92D050"/>
        </patternFill>
      </fill>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ill>
        <patternFill>
          <bgColor rgb="FF0070C0"/>
        </patternFill>
      </fill>
    </dxf>
    <dxf>
      <fill>
        <patternFill patternType="solid">
          <fgColor rgb="FF00B050"/>
          <bgColor rgb="FF00B050"/>
        </patternFill>
      </fill>
      <border>
        <left/>
        <right/>
        <top/>
        <bottom/>
      </border>
    </dxf>
    <dxf>
      <fill>
        <patternFill>
          <bgColor rgb="FF92D050"/>
        </patternFill>
      </fill>
    </dxf>
    <dxf>
      <fill>
        <patternFill patternType="solid">
          <fgColor rgb="FFFF0000"/>
          <bgColor rgb="FFFFFF00"/>
        </patternFill>
      </fill>
      <border>
        <left/>
        <right/>
        <top/>
        <bottom/>
      </border>
    </dxf>
    <dxf>
      <fill>
        <patternFill patternType="solid">
          <fgColor rgb="FF0070C0"/>
          <bgColor rgb="FFFFC000"/>
        </patternFill>
      </fill>
      <border>
        <left/>
        <right/>
        <top/>
        <bottom/>
      </border>
    </dxf>
    <dxf>
      <font>
        <color auto="1"/>
      </font>
      <fill>
        <patternFill patternType="solid">
          <fgColor rgb="FF000000"/>
          <bgColor rgb="FFFF0000"/>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ill>
        <patternFill>
          <bgColor rgb="FFFFFF00"/>
        </patternFill>
      </fill>
    </dxf>
    <dxf>
      <fill>
        <patternFill>
          <bgColor rgb="FFFF0000"/>
        </patternFill>
      </fill>
    </dxf>
    <dxf>
      <fill>
        <patternFill>
          <bgColor rgb="FFFFFF00"/>
        </patternFill>
      </fill>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ill>
        <patternFill>
          <bgColor rgb="FFFF0000"/>
        </patternFill>
      </fill>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ill>
        <patternFill>
          <bgColor rgb="FFFF0000"/>
        </patternFill>
      </fill>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ill>
        <patternFill>
          <bgColor rgb="FFFF0000"/>
        </patternFill>
      </fill>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ont>
        <strike/>
      </font>
      <fill>
        <patternFill patternType="solid">
          <fgColor rgb="FFBFBFBF"/>
          <bgColor rgb="FFBFBFBF"/>
        </patternFill>
      </fill>
      <border>
        <left/>
        <right/>
        <top/>
        <bottom/>
      </border>
    </dxf>
    <dxf>
      <fill>
        <patternFill>
          <bgColor rgb="FFFF0000"/>
        </patternFill>
      </fill>
    </dxf>
    <dxf>
      <font>
        <strike/>
      </font>
      <fill>
        <patternFill patternType="solid">
          <fgColor rgb="FFBFBFBF"/>
          <bgColor rgb="FFBFBFBF"/>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font>
      <fill>
        <patternFill patternType="solid">
          <fgColor rgb="FFBFBFBF"/>
          <bgColor rgb="FFBFBFBF"/>
        </patternFill>
      </fill>
      <border>
        <left/>
        <right/>
        <top/>
        <bottom/>
      </border>
    </dxf>
    <dxf>
      <fill>
        <patternFill patternType="solid">
          <fgColor rgb="FF00B050"/>
          <bgColor rgb="FF00B050"/>
        </patternFill>
      </fill>
      <border>
        <left/>
        <right/>
        <top/>
        <bottom/>
      </border>
    </dxf>
    <dxf>
      <fill>
        <patternFill patternType="solid">
          <fgColor rgb="FFFFFF00"/>
          <bgColor rgb="FFFFFF00"/>
        </patternFill>
      </fill>
      <border>
        <left/>
        <right/>
        <top/>
        <bottom/>
      </border>
    </dxf>
    <dxf>
      <fill>
        <patternFill patternType="solid">
          <fgColor rgb="FFFF0000"/>
          <bgColor rgb="FFFF0000"/>
        </patternFill>
      </fill>
      <border>
        <left/>
        <right/>
        <top/>
        <bottom/>
      </border>
    </dxf>
    <dxf>
      <fill>
        <patternFill patternType="solid">
          <fgColor rgb="FF0070C0"/>
          <bgColor rgb="FF0070C0"/>
        </patternFill>
      </fill>
      <border>
        <left/>
        <right/>
        <top/>
        <bottom/>
      </border>
    </dxf>
    <dxf>
      <font>
        <b/>
        <color rgb="FFFFFFFF"/>
      </font>
      <fill>
        <patternFill patternType="solid">
          <fgColor rgb="FF000000"/>
          <bgColor rgb="FF000000"/>
        </patternFill>
      </fill>
      <border>
        <left/>
        <right/>
        <top/>
        <bottom/>
      </border>
    </dxf>
    <dxf>
      <fill>
        <patternFill patternType="solid">
          <fgColor rgb="FF0070C0"/>
          <bgColor rgb="FF0070C0"/>
        </patternFill>
      </fill>
      <border>
        <left/>
        <right/>
        <top/>
        <bottom/>
      </border>
    </dxf>
    <dxf>
      <fill>
        <patternFill patternType="solid">
          <fgColor rgb="FF0070C0"/>
          <bgColor rgb="FF0070C0"/>
        </patternFill>
      </fill>
      <border>
        <left/>
        <right/>
        <top/>
        <bottom/>
      </border>
    </dxf>
    <dxf>
      <fill>
        <patternFill patternType="solid">
          <fgColor rgb="FF0070C0"/>
          <bgColor rgb="FF0070C0"/>
        </patternFill>
      </fill>
      <border>
        <left/>
        <right/>
        <top/>
        <bottom/>
      </border>
    </dxf>
    <dxf>
      <fill>
        <patternFill patternType="solid">
          <fgColor rgb="FF00B050"/>
          <bgColor rgb="FF00B050"/>
        </patternFill>
      </fill>
      <border>
        <left/>
        <right/>
        <top/>
        <bottom/>
      </border>
    </dxf>
    <dxf>
      <fill>
        <patternFill patternType="solid">
          <fgColor rgb="FFFFFF00"/>
          <bgColor rgb="FFFFFF00"/>
        </patternFill>
      </fill>
      <border>
        <left/>
        <right/>
        <top/>
        <bottom/>
      </border>
    </dxf>
    <dxf>
      <fill>
        <patternFill patternType="solid">
          <fgColor rgb="FFFF0000"/>
          <bgColor rgb="FFFF0000"/>
        </patternFill>
      </fill>
      <border>
        <left/>
        <right/>
        <top/>
        <bottom/>
      </border>
    </dxf>
    <dxf>
      <fill>
        <patternFill patternType="solid">
          <fgColor rgb="FF0070C0"/>
          <bgColor rgb="FF0070C0"/>
        </patternFill>
      </fill>
      <border>
        <left/>
        <right/>
        <top/>
        <bottom/>
      </border>
    </dxf>
    <dxf>
      <font>
        <b/>
        <color rgb="FFFFFFFF"/>
      </font>
      <fill>
        <patternFill patternType="solid">
          <fgColor rgb="FF000000"/>
          <bgColor rgb="FF000000"/>
        </patternFill>
      </fill>
      <border>
        <left/>
        <right/>
        <top/>
        <bottom/>
      </border>
    </dxf>
    <dxf>
      <fill>
        <patternFill patternType="solid">
          <fgColor rgb="FF00B050"/>
          <bgColor rgb="FF00B050"/>
        </patternFill>
      </fill>
      <border>
        <left/>
        <right/>
        <top/>
        <bottom/>
      </border>
    </dxf>
    <dxf>
      <fill>
        <patternFill patternType="solid">
          <fgColor rgb="FFFFFF00"/>
          <bgColor rgb="FFFFFF00"/>
        </patternFill>
      </fill>
      <border>
        <left/>
        <right/>
        <top/>
        <bottom/>
      </border>
    </dxf>
    <dxf>
      <fill>
        <patternFill patternType="solid">
          <fgColor rgb="FFFF0000"/>
          <bgColor rgb="FFFF0000"/>
        </patternFill>
      </fill>
      <border>
        <left/>
        <right/>
        <top/>
        <bottom/>
      </border>
    </dxf>
    <dxf>
      <fill>
        <patternFill patternType="solid">
          <fgColor rgb="FF0070C0"/>
          <bgColor rgb="FF0070C0"/>
        </patternFill>
      </fill>
      <border>
        <left/>
        <right/>
        <top/>
        <bottom/>
      </border>
    </dxf>
    <dxf>
      <font>
        <b/>
        <color rgb="FFFFFFFF"/>
      </font>
      <fill>
        <patternFill patternType="solid">
          <fgColor rgb="FF000000"/>
          <bgColor rgb="FF000000"/>
        </patternFill>
      </fill>
      <border>
        <left/>
        <right/>
        <top/>
        <bottom/>
      </border>
    </dxf>
    <dxf>
      <font>
        <strike/>
      </font>
      <fill>
        <patternFill patternType="solid">
          <fgColor rgb="FFBFBFBF"/>
          <bgColor rgb="FFBFBFBF"/>
        </patternFill>
      </fill>
      <border>
        <left/>
        <right/>
        <top/>
        <bottom/>
      </border>
    </dxf>
    <dxf>
      <font>
        <b val="0"/>
        <i val="0"/>
        <strike val="0"/>
        <condense val="0"/>
        <extend val="0"/>
        <outline val="0"/>
        <shadow val="0"/>
        <u val="none"/>
        <vertAlign val="baseline"/>
        <sz val="10"/>
        <color rgb="FF000000"/>
        <name val="Calibri"/>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numFmt numFmtId="34" formatCode="_(&quot;$&quot;* #,##0.00_);_(&quot;$&quot;* \(#,##0.00\);_(&quot;$&quot;* &quot;-&quot;??_);_(@_)"/>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numFmt numFmtId="34" formatCode="_(&quot;$&quot;* #,##0.00_);_(&quot;$&quot;* \(#,##0.00\);_(&quot;$&quot;* &quot;-&quot;??_);_(@_)"/>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numFmt numFmtId="34" formatCode="_(&quot;$&quot;* #,##0.00_);_(&quot;$&quot;* \(#,##0.00\);_(&quot;$&quot;* &quot;-&quot;??_);_(@_)"/>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numFmt numFmtId="34" formatCode="_(&quot;$&quot;* #,##0.00_);_(&quot;$&quot;* \(#,##0.00\);_(&quot;$&quot;* &quot;-&quot;??_);_(@_)"/>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numFmt numFmtId="19" formatCode="m/d/yyyy"/>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numFmt numFmtId="34" formatCode="_(&quot;$&quot;* #,##0.00_);_(&quot;$&quot;* \(#,##0.00\);_(&quot;$&quot;* &quot;-&quot;??_);_(@_)"/>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numFmt numFmtId="34" formatCode="_(&quot;$&quot;* #,##0.00_);_(&quot;$&quot;* \(#,##0.00\);_(&quot;$&quot;* &quot;-&quot;??_);_(@_)"/>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168" formatCode="yyyy/mm/dd"/>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167" formatCode="0&quot;d&quo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0" formatCode="General"/>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167" formatCode="0&quot;d&quo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none"/>
      </font>
      <fill>
        <patternFill patternType="none">
          <fgColor rgb="FF000000"/>
          <bgColor rgb="FFFFFFFF"/>
        </patternFill>
      </fill>
      <alignment horizontal="right" vertical="bottom" textRotation="0" wrapText="0" indent="0" justifyLastLine="0" shrinkToFit="0" readingOrder="0"/>
    </dxf>
    <dxf>
      <border outline="0">
        <top style="thin">
          <color rgb="FF000000"/>
        </top>
      </border>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border>
        <bottom style="thin">
          <color rgb="FF000000"/>
        </bottom>
      </border>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19" formatCode="m/d/yyyy"/>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168" formatCode="yyyy/mm/dd"/>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167" formatCode="0&quot;d&quo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0" formatCode="General"/>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0" formatCode="General"/>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167" formatCode="0&quot;d&quo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none"/>
      </font>
      <fill>
        <patternFill patternType="none">
          <fgColor rgb="FF000000"/>
          <bgColor rgb="FFFFFFFF"/>
        </patternFill>
      </fill>
      <alignment horizontal="right" vertical="bottom" textRotation="0" wrapText="0" indent="0" justifyLastLine="0" shrinkToFit="0" readingOrder="0"/>
    </dxf>
    <dxf>
      <border outline="0">
        <top style="thin">
          <color rgb="FF000000"/>
        </top>
      </border>
    </dxf>
    <dxf>
      <font>
        <b val="0"/>
        <i val="0"/>
        <strike val="0"/>
        <condense val="0"/>
        <extend val="0"/>
        <outline val="0"/>
        <shadow val="0"/>
        <u val="none"/>
        <vertAlign val="baseline"/>
        <sz val="10"/>
        <color rgb="FF000000"/>
        <name val="Calibri"/>
        <scheme val="none"/>
      </font>
      <fill>
        <patternFill patternType="none">
          <fgColor rgb="FF000000"/>
          <bgColor rgb="FFFFFFFF"/>
        </patternFill>
      </fill>
      <alignment horizontal="right" vertical="bottom" textRotation="0" wrapText="0" indent="0" justifyLastLine="0" shrinkToFit="0" readingOrder="0"/>
    </dxf>
    <dxf>
      <border>
        <bottom style="thin">
          <color rgb="FF000000"/>
        </bottom>
      </border>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none"/>
      </font>
      <fill>
        <patternFill patternType="none">
          <fgColor rgb="FF000000"/>
          <bgColor rgb="FFFFFFFF"/>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none"/>
      </font>
      <fill>
        <patternFill patternType="none">
          <fgColor rgb="FF000000"/>
          <bgColor rgb="FFFFFFFF"/>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none"/>
      </font>
      <fill>
        <patternFill patternType="none">
          <fgColor rgb="FF000000"/>
          <bgColor rgb="FFFFFFFF"/>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19" formatCode="m/d/yyyy"/>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0" formatCode="General"/>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none"/>
      </font>
      <fill>
        <patternFill patternType="none">
          <fgColor rgb="FF000000"/>
          <bgColor rgb="FFFFFFFF"/>
        </patternFill>
      </fill>
      <alignment horizontal="right" vertical="bottom" textRotation="0" wrapText="0" indent="0" justifyLastLine="0" shrinkToFit="0" readingOrder="0"/>
    </dxf>
    <dxf>
      <border outline="0">
        <top style="thin">
          <color rgb="FF000000"/>
        </top>
      </border>
    </dxf>
    <dxf>
      <font>
        <b val="0"/>
        <i val="0"/>
        <strike val="0"/>
        <condense val="0"/>
        <extend val="0"/>
        <outline val="0"/>
        <shadow val="0"/>
        <u val="none"/>
        <vertAlign val="baseline"/>
        <sz val="10"/>
        <color rgb="FF000000"/>
        <name val="Calibri"/>
        <scheme val="none"/>
      </font>
      <fill>
        <patternFill patternType="none">
          <fgColor rgb="FF000000"/>
          <bgColor rgb="FFFFFFFF"/>
        </patternFill>
      </fill>
      <alignment horizontal="left" vertical="bottom" textRotation="0" wrapText="0" indent="0" justifyLastLine="0" shrinkToFit="0" readingOrder="0"/>
    </dxf>
    <dxf>
      <border>
        <bottom style="thin">
          <color rgb="FF000000"/>
        </bottom>
      </border>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168" formatCode="yyyy/mm/dd"/>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167" formatCode="0&quot;d&quo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0" formatCode="General"/>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0" formatCode="General"/>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1"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34" formatCode="_(&quot;$&quot;* #,##0.00_);_(&quot;$&quot;* \(#,##0.00\);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scheme val="none"/>
      </font>
      <fill>
        <patternFill patternType="none">
          <fgColor rgb="FF000000"/>
          <bgColor rgb="FFFFFFFF"/>
        </patternFill>
      </fill>
      <alignment horizontal="right" vertical="bottom" textRotation="0" wrapText="0" indent="0" justifyLastLine="0" shrinkToFit="0" readingOrder="0"/>
    </dxf>
    <dxf>
      <border outline="0">
        <top style="thin">
          <color rgb="FF000000"/>
        </top>
      </border>
    </dxf>
    <dxf>
      <border>
        <bottom style="thin">
          <color rgb="FF000000"/>
        </bottom>
      </border>
    </dxf>
    <dxf>
      <font>
        <b val="0"/>
        <i val="0"/>
        <strike val="0"/>
        <condense val="0"/>
        <extend val="0"/>
        <outline val="0"/>
        <shadow val="0"/>
        <u val="none"/>
        <vertAlign val="baseline"/>
        <sz val="10"/>
        <color rgb="FF000000"/>
        <name val="Calibri"/>
        <scheme val="minor"/>
      </font>
      <fill>
        <patternFill patternType="none">
          <fgColor indexed="64"/>
          <bgColor indexed="65"/>
        </patternFill>
      </fill>
      <alignment horizontal="left" vertical="bottom" textRotation="0" wrapText="0" indent="0" justifyLastLine="0" shrinkToFit="0" readingOrder="0"/>
    </dxf>
  </dxfs>
  <tableStyles count="0" defaultTableStyle="TableStyleMedium2" defaultPivotStyle="PivotStyleLight16"/>
  <colors>
    <mruColors>
      <color rgb="FFD5D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BOM_table6" displayName="BOM_table6" ref="A3:AB586" totalsRowCount="1" headerRowDxfId="526" totalsRowDxfId="523" headerRowBorderDxfId="525" tableBorderDxfId="524">
  <autoFilter ref="A3:AB585" xr:uid="{00000000-0009-0000-0100-000005000000}"/>
  <tableColumns count="28">
    <tableColumn id="1" xr3:uid="{00000000-0010-0000-0000-000001000000}" name="STATE" dataDxfId="522" totalsRowDxfId="288"/>
    <tableColumn id="3" xr3:uid="{00000000-0010-0000-0000-000003000000}" name="PART/ASSY DESCRIPTION" totalsRowLabel="Total" dataDxfId="521" totalsRowDxfId="287"/>
    <tableColumn id="4" xr3:uid="{00000000-0010-0000-0000-000004000000}" name="Part Number" totalsRowFunction="count" dataDxfId="520" totalsRowDxfId="286"/>
    <tableColumn id="22" xr3:uid="{00000000-0010-0000-0000-000016000000}" name="REV" dataDxfId="519" totalsRowDxfId="285"/>
    <tableColumn id="5" xr3:uid="{00000000-0010-0000-0000-000005000000}" name="Manufacturer" dataDxfId="518" totalsRowDxfId="284"/>
    <tableColumn id="2" xr3:uid="{00000000-0010-0000-0000-000002000000}" name="Where Used" dataDxfId="517" totalsRowDxfId="283"/>
    <tableColumn id="8" xr3:uid="{00000000-0010-0000-0000-000008000000}" name="ASM QTY" totalsRowFunction="sum" dataDxfId="516" totalsRowDxfId="282"/>
    <tableColumn id="33" xr3:uid="{00000000-0010-0000-0000-000021000000}" name="Released By" dataDxfId="515" totalsRowDxfId="281"/>
    <tableColumn id="18" xr3:uid="{00000000-0010-0000-0000-000012000000}" name="Release Notes" dataDxfId="514" totalsRowDxfId="280"/>
    <tableColumn id="13" xr3:uid="{00000000-0010-0000-0000-00000D000000}" name="Type" dataDxfId="513" totalsRowDxfId="279"/>
    <tableColumn id="7" xr3:uid="{00000000-0010-0000-0000-000007000000}" name="Vendor 1" dataDxfId="512" totalsRowDxfId="278"/>
    <tableColumn id="6" xr3:uid="{7466F843-F3E1-46BA-960A-0C936B48D671}" name="Vendor 2" dataDxfId="0" totalsRowDxfId="1"/>
    <tableColumn id="9" xr3:uid="{00000000-0010-0000-0000-000009000000}" name="SKU QTY" dataDxfId="511" totalsRowDxfId="277"/>
    <tableColumn id="10" xr3:uid="{00000000-0010-0000-0000-00000A000000}" name="SKU Cost" dataDxfId="510" totalsRowDxfId="276"/>
    <tableColumn id="11" xr3:uid="{00000000-0010-0000-0000-00000B000000}" name="Unit Cost" dataDxfId="509" totalsRowDxfId="275">
      <calculatedColumnFormula>IF(OR(ISBLANK(BOM_table6[[#This Row],[SKU QTY]]),BOM_table6[[#This Row],[SKU Cost]]=0),0,BOM_table6[[#This Row],[SKU Cost]]/BOM_table6[[#This Row],[SKU QTY]])</calculatedColumnFormula>
    </tableColumn>
    <tableColumn id="24" xr3:uid="{00000000-0010-0000-0000-000018000000}" name="Assembly Cost" totalsRowFunction="sum" dataDxfId="508" totalsRowDxfId="274">
      <calculatedColumnFormula>IF(OR(ISBLANK(BOM_table6[[#This Row],[ASM QTY]]),ISBLANK(BOM_table6[[#This Row],[Unit Cost]])),0,BOM_table6[[#This Row],[ASM QTY]]*BOM_table6[[#This Row],[Unit Cost]])</calculatedColumnFormula>
    </tableColumn>
    <tableColumn id="23" xr3:uid="{00000000-0010-0000-0000-000017000000}" name="Spare QTY Needed" dataDxfId="507" totalsRowDxfId="273"/>
    <tableColumn id="25" xr3:uid="{00000000-0010-0000-0000-000019000000}" name="QTY in Inventory" dataDxfId="506" totalsRowDxfId="272"/>
    <tableColumn id="26" xr3:uid="{00000000-0010-0000-0000-00001A000000}" name="QTY to Order" dataDxfId="505" totalsRowDxfId="271">
      <calculatedColumnFormula>BOM_table6[[#This Row],[ASM QTY]]*$Q$2+BOM_table6[[#This Row],[Spare QTY Needed]]-BOM_table6[[#This Row],[QTY in Inventory]]</calculatedColumnFormula>
    </tableColumn>
    <tableColumn id="36" xr3:uid="{00000000-0010-0000-0000-000024000000}" name="SKU QTY to Order" dataDxfId="504" totalsRowDxfId="270">
      <calculatedColumnFormula>ROUNDUP((BOM_table6[[#This Row],[QTY to Order]]/BOM_table6[[#This Row],[SKU QTY]]),0)</calculatedColumnFormula>
    </tableColumn>
    <tableColumn id="28" xr3:uid="{00000000-0010-0000-0000-00001C000000}" name="Order Cost" totalsRowFunction="sum" dataDxfId="503" totalsRowDxfId="269">
      <calculatedColumnFormula>BOM_table6[[#This Row],[SKU QTY to Order]]*BOM_table6[[#This Row],[SKU Cost]]</calculatedColumnFormula>
    </tableColumn>
    <tableColumn id="12" xr3:uid="{00000000-0010-0000-0000-00000C000000}" name="Lead Time" dataDxfId="502" totalsRowDxfId="268"/>
    <tableColumn id="19" xr3:uid="{00000000-0010-0000-0000-000013000000}" name="Purchaser" dataDxfId="501" totalsRowDxfId="267"/>
    <tableColumn id="30" xr3:uid="{00000000-0010-0000-0000-00001E000000}" name="Purchase ID" dataDxfId="500" totalsRowDxfId="266"/>
    <tableColumn id="14" xr3:uid="{00000000-0010-0000-0000-00000E000000}" name="Order/PO date" dataDxfId="499" totalsRowDxfId="265"/>
    <tableColumn id="20" xr3:uid="{00000000-0010-0000-0000-000014000000}" name="Date Expected" totalsRowLabel=" " dataDxfId="498" totalsRowDxfId="264"/>
    <tableColumn id="27" xr3:uid="{00000000-0010-0000-0000-00001B000000}" name="Date Received" dataDxfId="497" totalsRowDxfId="263"/>
    <tableColumn id="21" xr3:uid="{00000000-0010-0000-0000-000015000000}" name="Link to Basecamp Order Info" dataDxfId="496" totalsRowDxfId="262"/>
  </tableColumns>
  <tableStyleInfo name="TableStyleLight1"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BOM_table7" displayName="BOM_table7" ref="A4:AF202" totalsRowCount="1" headerRowDxfId="495" dataDxfId="493" totalsRowDxfId="491" headerRowBorderDxfId="494" tableBorderDxfId="492">
  <autoFilter ref="A4:AF201" xr:uid="{00000000-000C-0000-FFFF-FFFF01000000}"/>
  <tableColumns count="32">
    <tableColumn id="1" xr3:uid="{00000000-0010-0000-0100-000001000000}" name="STATE" dataDxfId="490" totalsRowDxfId="352"/>
    <tableColumn id="2" xr3:uid="{00000000-0010-0000-0100-000002000000}" name="NOSE CONFIGURATION" dataDxfId="489" totalsRowDxfId="351"/>
    <tableColumn id="3" xr3:uid="{00000000-0010-0000-0100-000003000000}" name="PART/ASSY DESCRIPTION" totalsRowLabel="Total" dataDxfId="488" totalsRowDxfId="350"/>
    <tableColumn id="4" xr3:uid="{00000000-0010-0000-0100-000004000000}" name="Part Number" totalsRowFunction="count" dataDxfId="487" totalsRowDxfId="349"/>
    <tableColumn id="18" xr3:uid="{00000000-0010-0000-0100-000012000000}" name="Assembly" dataDxfId="486" totalsRowDxfId="348"/>
    <tableColumn id="22" xr3:uid="{00000000-0010-0000-0100-000016000000}" name="REV" dataDxfId="485" totalsRowDxfId="347"/>
    <tableColumn id="8" xr3:uid="{00000000-0010-0000-0100-000008000000}" name="ASM QTY" totalsRowFunction="sum" dataDxfId="484" totalsRowDxfId="346"/>
    <tableColumn id="5" xr3:uid="{00000000-0010-0000-0100-000005000000}" name="Manufacturer" dataDxfId="483" totalsRowDxfId="345"/>
    <tableColumn id="33" xr3:uid="{00000000-0010-0000-0100-000021000000}" name="Released By" dataDxfId="482" totalsRowDxfId="344"/>
    <tableColumn id="29" xr3:uid="{00000000-0010-0000-0100-00001D000000}" name="Notes" dataDxfId="481" totalsRowDxfId="343"/>
    <tableColumn id="13" xr3:uid="{00000000-0010-0000-0100-00000D000000}" name="Type" dataDxfId="480" totalsRowDxfId="342"/>
    <tableColumn id="7" xr3:uid="{00000000-0010-0000-0100-000007000000}" name="Vendor" dataDxfId="479" totalsRowDxfId="341"/>
    <tableColumn id="9" xr3:uid="{00000000-0010-0000-0100-000009000000}" name="SKU QTY" dataDxfId="478" totalsRowDxfId="340"/>
    <tableColumn id="10" xr3:uid="{00000000-0010-0000-0100-00000A000000}" name="SKU Cost" dataDxfId="477" totalsRowDxfId="339"/>
    <tableColumn id="11" xr3:uid="{00000000-0010-0000-0100-00000B000000}" name="Unit Cost" dataDxfId="476" totalsRowDxfId="338">
      <calculatedColumnFormula>IF(OR(ISBLANK(BOM_table7[[#This Row],[SKU QTY]]),BOM_table7[[#This Row],[SKU Cost]]=0),0,BOM_table7[[#This Row],[SKU Cost]]/BOM_table7[[#This Row],[SKU QTY]])</calculatedColumnFormula>
    </tableColumn>
    <tableColumn id="24" xr3:uid="{00000000-0010-0000-0100-000018000000}" name="Assembly Cost" totalsRowFunction="sum" dataDxfId="475" totalsRowDxfId="337">
      <calculatedColumnFormula>IF(OR(ISBLANK(BOM_table7[[#This Row],[ASM QTY]]),ISBLANK(BOM_table7[[#This Row],[Unit Cost]])),0,BOM_table7[[#This Row],[ASM QTY]]*BOM_table7[[#This Row],[Unit Cost]])</calculatedColumnFormula>
    </tableColumn>
    <tableColumn id="23" xr3:uid="{00000000-0010-0000-0100-000017000000}" name="Spare QTY Needed" dataDxfId="474" totalsRowDxfId="336"/>
    <tableColumn id="25" xr3:uid="{00000000-0010-0000-0100-000019000000}" name="QTY in Inventory" dataDxfId="473" totalsRowDxfId="335"/>
    <tableColumn id="26" xr3:uid="{00000000-0010-0000-0100-00001A000000}" name="QTY to Order" dataDxfId="472" totalsRowDxfId="334">
      <calculatedColumnFormula>IF(B5="Shared All",$M$3,1)*IF(B5="Shared Science+Docking",2,1)*IF(B5="Shared Docking+Multibeam",2,1)*BOM_table7[[#This Row],[ASM QTY]]*$Q$3+BOM_table7[[#This Row],[Spare QTY Needed]]-BOM_table7[[#This Row],[QTY in Inventory]]</calculatedColumnFormula>
    </tableColumn>
    <tableColumn id="21" xr3:uid="{00000000-0010-0000-0100-000015000000}" name="SKU QTY to Order" dataDxfId="471" totalsRowDxfId="333">
      <calculatedColumnFormula>ROUNDUP((BOM_table7[[#This Row],[QTY to Order]]/BOM_table7[[#This Row],[SKU QTY]]),0)</calculatedColumnFormula>
    </tableColumn>
    <tableColumn id="28" xr3:uid="{00000000-0010-0000-0100-00001C000000}" name="Order Cost" totalsRowFunction="sum" dataDxfId="470" totalsRowDxfId="332">
      <calculatedColumnFormula>BOM_table7[[#This Row],[SKU QTY to Order]]*BOM_table7[[#This Row],[SKU Cost]]</calculatedColumnFormula>
    </tableColumn>
    <tableColumn id="12" xr3:uid="{00000000-0010-0000-0100-00000C000000}" name="Lead Time" dataDxfId="469" totalsRowDxfId="331"/>
    <tableColumn id="19" xr3:uid="{00000000-0010-0000-0100-000013000000}" name="Purchaser" dataDxfId="468" totalsRowDxfId="330"/>
    <tableColumn id="30" xr3:uid="{00000000-0010-0000-0100-00001E000000}" name="Purchase Method" dataDxfId="467" totalsRowDxfId="329"/>
    <tableColumn id="14" xr3:uid="{00000000-0010-0000-0100-00000E000000}" name="Order/PO date" dataDxfId="466" totalsRowDxfId="328"/>
    <tableColumn id="16" xr3:uid="{00000000-0010-0000-0100-000010000000}" name="Cost of Order" dataDxfId="465" totalsRowDxfId="327"/>
    <tableColumn id="17" xr3:uid="{00000000-0010-0000-0100-000011000000}" name="Project Number" dataDxfId="464" totalsRowDxfId="326"/>
    <tableColumn id="20" xr3:uid="{00000000-0010-0000-0100-000014000000}" name="Date Expected" dataDxfId="463" totalsRowDxfId="325"/>
    <tableColumn id="27" xr3:uid="{00000000-0010-0000-0100-00001B000000}" name="Date Received" dataDxfId="462" totalsRowDxfId="324"/>
    <tableColumn id="6" xr3:uid="{00000000-0010-0000-0100-000006000000}" name="Link to Basecamp Order Info" dataDxfId="461" totalsRowDxfId="323"/>
    <tableColumn id="15" xr3:uid="{00000000-0010-0000-0100-00000F000000}" name="Notes2" dataDxfId="460" totalsRowDxfId="322"/>
    <tableColumn id="31" xr3:uid="{00000000-0010-0000-0100-00001F000000}" name="Link to Basecamp Quote" dataDxfId="459" totalsRowDxfId="321"/>
  </tableColumns>
  <tableStyleInfo name="TableStyleLight1"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BOM_table2" displayName="BOM_table2" ref="A3:AF60" totalsRowCount="1" headerRowDxfId="458" dataDxfId="456" totalsRowDxfId="454" headerRowBorderDxfId="457" tableBorderDxfId="455">
  <autoFilter ref="A3:AF59" xr:uid="{00000000-0009-0000-0100-000001000000}"/>
  <sortState ref="A4:AO51">
    <sortCondition descending="1" ref="G3:G50"/>
    <sortCondition ref="J3:J50"/>
    <sortCondition ref="B3:B50"/>
    <sortCondition ref="D3:D50"/>
  </sortState>
  <tableColumns count="32">
    <tableColumn id="1" xr3:uid="{00000000-0010-0000-0200-000001000000}" name="State" dataDxfId="453" totalsRowDxfId="320"/>
    <tableColumn id="3" xr3:uid="{00000000-0010-0000-0200-000003000000}" name="Name" totalsRowLabel="Total" dataDxfId="452" totalsRowDxfId="319"/>
    <tableColumn id="4" xr3:uid="{00000000-0010-0000-0200-000004000000}" name="Part Number" totalsRowFunction="count" dataDxfId="451" totalsRowDxfId="318"/>
    <tableColumn id="22" xr3:uid="{00000000-0010-0000-0200-000016000000}" name="REV" dataDxfId="450" totalsRowDxfId="317"/>
    <tableColumn id="5" xr3:uid="{00000000-0010-0000-0200-000005000000}" name="Manufacturer" dataDxfId="449" totalsRowDxfId="316"/>
    <tableColumn id="2" xr3:uid="{00000000-0010-0000-0200-000002000000}" name="Where Used" dataDxfId="448" totalsRowDxfId="315"/>
    <tableColumn id="8" xr3:uid="{00000000-0010-0000-0200-000008000000}" name="ASM QTY" totalsRowFunction="sum" dataDxfId="447" totalsRowDxfId="314"/>
    <tableColumn id="33" xr3:uid="{00000000-0010-0000-0200-000021000000}" name="Released By" dataDxfId="446" totalsRowDxfId="313"/>
    <tableColumn id="18" xr3:uid="{00000000-0010-0000-0200-000012000000}" name="Release Notes" dataDxfId="445" totalsRowDxfId="312"/>
    <tableColumn id="13" xr3:uid="{00000000-0010-0000-0200-00000D000000}" name="Type" dataDxfId="444" totalsRowDxfId="311"/>
    <tableColumn id="7" xr3:uid="{00000000-0010-0000-0200-000007000000}" name="Vendor" dataDxfId="443" totalsRowDxfId="310"/>
    <tableColumn id="6" xr3:uid="{00000000-0010-0000-0200-000006000000}" name="SKU" totalsRowFunction="count" dataDxfId="442" totalsRowDxfId="309"/>
    <tableColumn id="9" xr3:uid="{00000000-0010-0000-0200-000009000000}" name="SKU QTY" dataDxfId="441" totalsRowDxfId="308"/>
    <tableColumn id="10" xr3:uid="{00000000-0010-0000-0200-00000A000000}" name="SKU Cost" dataDxfId="440" totalsRowDxfId="307"/>
    <tableColumn id="11" xr3:uid="{00000000-0010-0000-0200-00000B000000}" name="Unit Cost" dataDxfId="439" totalsRowDxfId="306">
      <calculatedColumnFormula>IF(OR(ISBLANK(BOM_table2[[#This Row],[SKU QTY]]),BOM_table2[[#This Row],[SKU Cost]]=0),0,BOM_table2[[#This Row],[SKU Cost]]/BOM_table2[[#This Row],[SKU QTY]])</calculatedColumnFormula>
    </tableColumn>
    <tableColumn id="24" xr3:uid="{00000000-0010-0000-0200-000018000000}" name="Assembly Cost" totalsRowFunction="sum" dataDxfId="438" totalsRowDxfId="305">
      <calculatedColumnFormula>IF(OR(ISBLANK(BOM_table2[[#This Row],[ASM QTY]]),ISBLANK(BOM_table2[[#This Row],[Unit Cost]])),0,BOM_table2[[#This Row],[ASM QTY]]*BOM_table2[[#This Row],[Unit Cost]])</calculatedColumnFormula>
    </tableColumn>
    <tableColumn id="23" xr3:uid="{00000000-0010-0000-0200-000017000000}" name="Spare QTY Needed" dataDxfId="437" totalsRowDxfId="304"/>
    <tableColumn id="25" xr3:uid="{00000000-0010-0000-0200-000019000000}" name="QTY in Inventory" dataDxfId="436" totalsRowDxfId="303"/>
    <tableColumn id="26" xr3:uid="{00000000-0010-0000-0200-00001A000000}" name="Order QTY" dataDxfId="435" totalsRowDxfId="302">
      <calculatedColumnFormula>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calculatedColumnFormula>
    </tableColumn>
    <tableColumn id="29" xr3:uid="{00000000-0010-0000-0200-00001D000000}" name="SKU Qty to Order" dataDxfId="434" totalsRowDxfId="301">
      <calculatedColumnFormula>ROUNDUP((BOM_table2[[#This Row],[Order QTY]]/BOM_table2[[#This Row],[SKU QTY]]),0)</calculatedColumnFormula>
    </tableColumn>
    <tableColumn id="28" xr3:uid="{00000000-0010-0000-0200-00001C000000}" name="Order Cost" totalsRowFunction="sum" dataDxfId="433" totalsRowDxfId="300">
      <calculatedColumnFormula>BOM_table2[[#This Row],[SKU Qty to Order]]*BOM_table2[[#This Row],[SKU Cost]]</calculatedColumnFormula>
    </tableColumn>
    <tableColumn id="12" xr3:uid="{00000000-0010-0000-0200-00000C000000}" name="Lead Time" dataDxfId="432" totalsRowDxfId="299"/>
    <tableColumn id="19" xr3:uid="{00000000-0010-0000-0200-000013000000}" name="Purchaser" dataDxfId="431" totalsRowDxfId="298"/>
    <tableColumn id="30" xr3:uid="{00000000-0010-0000-0200-00001E000000}" name="Purchase Method" dataDxfId="430" totalsRowDxfId="297"/>
    <tableColumn id="14" xr3:uid="{00000000-0010-0000-0200-00000E000000}" name="Order/PO date" dataDxfId="429" totalsRowDxfId="296"/>
    <tableColumn id="15" xr3:uid="{00000000-0010-0000-0200-00000F000000}" name="QTY on Order" dataDxfId="428" totalsRowDxfId="295"/>
    <tableColumn id="16" xr3:uid="{00000000-0010-0000-0200-000010000000}" name="Cost of Order" dataDxfId="427" totalsRowDxfId="294"/>
    <tableColumn id="17" xr3:uid="{00000000-0010-0000-0200-000011000000}" name="Project Number" dataDxfId="426" totalsRowDxfId="293"/>
    <tableColumn id="20" xr3:uid="{00000000-0010-0000-0200-000014000000}" name="Date Expected" dataDxfId="425" totalsRowDxfId="292"/>
    <tableColumn id="27" xr3:uid="{00000000-0010-0000-0200-00001B000000}" name="Date Received" dataDxfId="424" totalsRowDxfId="291"/>
    <tableColumn id="21" xr3:uid="{00000000-0010-0000-0200-000015000000}" name="Link to Basecamp Purchase Info" dataDxfId="423" totalsRowDxfId="290"/>
    <tableColumn id="31" xr3:uid="{00000000-0010-0000-0200-00001F000000}" name="Purchase Notes" dataDxfId="422" totalsRowDxfId="289"/>
  </tableColumns>
  <tableStyleInfo name="TableStyleLight1"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BOM_table" displayName="BOM_table" ref="A3:AF8" totalsRowCount="1" headerRowDxfId="421" dataDxfId="419" totalsRowDxfId="417" headerRowBorderDxfId="420" tableBorderDxfId="418">
  <autoFilter ref="A3:AF7" xr:uid="{00000000-0009-0000-0100-000004000000}"/>
  <sortState ref="A4:AO53">
    <sortCondition descending="1" ref="G3:G52"/>
    <sortCondition ref="J3:J52"/>
    <sortCondition ref="B3:B52"/>
    <sortCondition ref="D3:D52"/>
  </sortState>
  <tableColumns count="32">
    <tableColumn id="1" xr3:uid="{00000000-0010-0000-0300-000001000000}" name="State" dataDxfId="416" totalsRowDxfId="415"/>
    <tableColumn id="3" xr3:uid="{00000000-0010-0000-0300-000003000000}" name="Name" totalsRowLabel="Total" dataDxfId="414" totalsRowDxfId="413"/>
    <tableColumn id="4" xr3:uid="{00000000-0010-0000-0300-000004000000}" name="Part Number" totalsRowFunction="count" dataDxfId="412" totalsRowDxfId="411"/>
    <tableColumn id="22" xr3:uid="{00000000-0010-0000-0300-000016000000}" name="REV" dataDxfId="410" totalsRowDxfId="409"/>
    <tableColumn id="5" xr3:uid="{00000000-0010-0000-0300-000005000000}" name="Manufacturer" dataDxfId="408" totalsRowDxfId="407"/>
    <tableColumn id="2" xr3:uid="{00000000-0010-0000-0300-000002000000}" name="Where Used" dataDxfId="406" totalsRowDxfId="405"/>
    <tableColumn id="8" xr3:uid="{00000000-0010-0000-0300-000008000000}" name="ASM QTY" totalsRowFunction="sum" dataDxfId="404" totalsRowDxfId="403"/>
    <tableColumn id="33" xr3:uid="{00000000-0010-0000-0300-000021000000}" name="Released By" dataDxfId="402" totalsRowDxfId="401"/>
    <tableColumn id="18" xr3:uid="{00000000-0010-0000-0300-000012000000}" name="Release Notes" dataDxfId="400" totalsRowDxfId="399"/>
    <tableColumn id="13" xr3:uid="{00000000-0010-0000-0300-00000D000000}" name="Type" dataDxfId="398" totalsRowDxfId="397"/>
    <tableColumn id="7" xr3:uid="{00000000-0010-0000-0300-000007000000}" name="Vendor" dataDxfId="396" totalsRowDxfId="395"/>
    <tableColumn id="6" xr3:uid="{00000000-0010-0000-0300-000006000000}" name="SKU" totalsRowFunction="count" dataDxfId="394" totalsRowDxfId="393"/>
    <tableColumn id="9" xr3:uid="{00000000-0010-0000-0300-000009000000}" name="SKU QTY" dataDxfId="392" totalsRowDxfId="391"/>
    <tableColumn id="10" xr3:uid="{00000000-0010-0000-0300-00000A000000}" name="SKU Cost" dataDxfId="390" totalsRowDxfId="389"/>
    <tableColumn id="11" xr3:uid="{00000000-0010-0000-0300-00000B000000}" name="Unit Cost" dataDxfId="388" totalsRowDxfId="387">
      <calculatedColumnFormula>IF(OR(ISBLANK(BOM_table[[#This Row],[SKU QTY]]),BOM_table[[#This Row],[SKU Cost]]=0),0,BOM_table[[#This Row],[SKU Cost]]/BOM_table[[#This Row],[SKU QTY]])</calculatedColumnFormula>
    </tableColumn>
    <tableColumn id="24" xr3:uid="{00000000-0010-0000-0300-000018000000}" name="Assembly Cost" totalsRowFunction="sum" dataDxfId="386" totalsRowDxfId="385">
      <calculatedColumnFormula>IF(OR(ISBLANK(BOM_table[[#This Row],[ASM QTY]]),ISBLANK(BOM_table[[#This Row],[Unit Cost]])),0,BOM_table[[#This Row],[ASM QTY]]*BOM_table[[#This Row],[Unit Cost]])</calculatedColumnFormula>
    </tableColumn>
    <tableColumn id="23" xr3:uid="{00000000-0010-0000-0300-000017000000}" name="Spare QTY Needed" dataDxfId="384" totalsRowDxfId="383"/>
    <tableColumn id="25" xr3:uid="{00000000-0010-0000-0300-000019000000}" name="QTY in Inventory" dataDxfId="382" totalsRowDxfId="381"/>
    <tableColumn id="26" xr3:uid="{00000000-0010-0000-0300-00001A000000}" name="Order QTY" dataDxfId="380" totalsRowDxfId="379">
      <calculatedColumnFormula>IF(OR(AND(ISBLANK(BOM_table[[#This Row],[ASM QTY]]),ISBLANK(BOM_table[[#This Row],[Spare QTY Needed]]),ISBLANK(BOM_table[[#This Row],[QTY in Inventory]])),ISBLANK(BOM_table[[#This Row],[SKU QTY]]),0&gt;_xlfn.CEILING.MATH(BOM_table[[#This Row],[ASM QTY]]*$Q$2+BOM_table[[#This Row],[Spare QTY Needed]]-BOM_table[[#This Row],[QTY in Inventory]])),0,_xlfn.CEILING.MATH((BOM_table[[#This Row],[ASM QTY]]*$Q$2+BOM_table[[#This Row],[Spare QTY Needed]]-BOM_table[[#This Row],[QTY in Inventory]])/BOM_table[[#This Row],[SKU QTY]]))</calculatedColumnFormula>
    </tableColumn>
    <tableColumn id="28" xr3:uid="{00000000-0010-0000-0300-00001C000000}" name="Order Cost" totalsRowFunction="sum" dataDxfId="378" totalsRowDxfId="377">
      <calculatedColumnFormula>IF(OR(ISBLANK(BOM_table[[#This Row],[Order QTY]]),ISBLANK(BOM_table[[#This Row],[SKU Cost]])),0,BOM_table[[#This Row],[Order QTY]]*BOM_table[[#This Row],[SKU Cost]])</calculatedColumnFormula>
    </tableColumn>
    <tableColumn id="12" xr3:uid="{00000000-0010-0000-0300-00000C000000}" name="Lead Time" dataDxfId="376" totalsRowDxfId="375"/>
    <tableColumn id="19" xr3:uid="{00000000-0010-0000-0300-000013000000}" name="Purchaser" dataDxfId="374" totalsRowDxfId="373"/>
    <tableColumn id="30" xr3:uid="{00000000-0010-0000-0300-00001E000000}" name="Purchase Method" dataDxfId="372" totalsRowDxfId="371"/>
    <tableColumn id="14" xr3:uid="{00000000-0010-0000-0300-00000E000000}" name="Order/PO date" dataDxfId="370" totalsRowDxfId="369"/>
    <tableColumn id="15" xr3:uid="{00000000-0010-0000-0300-00000F000000}" name="QTY on Order" dataDxfId="368" totalsRowDxfId="367"/>
    <tableColumn id="16" xr3:uid="{00000000-0010-0000-0300-000010000000}" name="Cost of Order" dataDxfId="366" totalsRowDxfId="365"/>
    <tableColumn id="17" xr3:uid="{00000000-0010-0000-0300-000011000000}" name="Project Number" dataDxfId="364" totalsRowDxfId="363"/>
    <tableColumn id="29" xr3:uid="{00000000-0010-0000-0300-00001D000000}" name="Shipping Cost" dataDxfId="362" totalsRowDxfId="361"/>
    <tableColumn id="21" xr3:uid="{00000000-0010-0000-0300-000015000000}" name="Tracking Number" dataDxfId="360" totalsRowDxfId="359"/>
    <tableColumn id="20" xr3:uid="{00000000-0010-0000-0300-000014000000}" name="Date Expected" dataDxfId="358" totalsRowDxfId="357"/>
    <tableColumn id="27" xr3:uid="{00000000-0010-0000-0300-00001B000000}" name="Date Received" dataDxfId="356" totalsRowDxfId="355"/>
    <tableColumn id="31" xr3:uid="{00000000-0010-0000-0300-00001F000000}" name="Purchase Notes" dataDxfId="354" totalsRowDxfId="353"/>
  </tableColumns>
  <tableStyleInfo name="TableStyleLight1"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hyperlink" Target="mailto:zeropointprec@comcast.net" TargetMode="External"/><Relationship Id="rId2" Type="http://schemas.openxmlformats.org/officeDocument/2006/relationships/hyperlink" Target="mailto:mac_roar2@earthlink.net" TargetMode="External"/><Relationship Id="rId1" Type="http://schemas.openxmlformats.org/officeDocument/2006/relationships/hyperlink" Target="mailto:barry@pocassetmachine.com" TargetMode="External"/><Relationship Id="rId5" Type="http://schemas.openxmlformats.org/officeDocument/2006/relationships/printerSettings" Target="../printerSettings/printerSettings6.bin"/><Relationship Id="rId4" Type="http://schemas.openxmlformats.org/officeDocument/2006/relationships/hyperlink" Target="mailto:danjr@emievans.com" TargetMode="External"/></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leadertec.com/store/product.php?xProd=543" TargetMode="External"/><Relationship Id="rId7" Type="http://schemas.openxmlformats.org/officeDocument/2006/relationships/hyperlink" Target="https://3.basecamp.com/4138768/buckets/18037174/uploads/5376035423" TargetMode="External"/><Relationship Id="rId2" Type="http://schemas.openxmlformats.org/officeDocument/2006/relationships/hyperlink" Target="https://www.keyelco.com/product.cfm/product_id/4922/checkStock/1" TargetMode="External"/><Relationship Id="rId1" Type="http://schemas.openxmlformats.org/officeDocument/2006/relationships/hyperlink" Target="https://www.keyelco.com/product.cfm/product_id/4745/checkStock/1" TargetMode="External"/><Relationship Id="rId6" Type="http://schemas.openxmlformats.org/officeDocument/2006/relationships/hyperlink" Target="https://3.basecamp.com/4138768/buckets/18037174/uploads/5376035423" TargetMode="External"/><Relationship Id="rId11" Type="http://schemas.openxmlformats.org/officeDocument/2006/relationships/comments" Target="../comments1.xml"/><Relationship Id="rId5" Type="http://schemas.openxmlformats.org/officeDocument/2006/relationships/hyperlink" Target="https://3.basecamp.com/4138768/buckets/18037174/uploads/5376035423" TargetMode="External"/><Relationship Id="rId10" Type="http://schemas.openxmlformats.org/officeDocument/2006/relationships/table" Target="../tables/table1.xml"/><Relationship Id="rId4" Type="http://schemas.openxmlformats.org/officeDocument/2006/relationships/hyperlink" Target="https://www.amazon.com/Plastic-Bearing-8x22x7-Miniature-Bearings/dp/B0056JIMAK/ref=sr_1_4?dchild=1&amp;keywords=Plastic+Bearing+POM+608+Glass+Balls+8x22x7+Miniature&amp;qid=1594945365&amp;sr=8-4" TargetMode="External"/><Relationship Id="rId9"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cad.timken.com/item/deep-groove-ball-bearings/fafnir--miniature-ball-bearings--s--k-/s3k" TargetMode="External"/><Relationship Id="rId1" Type="http://schemas.openxmlformats.org/officeDocument/2006/relationships/hyperlink" Target="https://cad.timken.com/item/deep-groove-ball-bearings/fafnir--miniature-ball-bearings--s--k-/s7k-fs50000" TargetMode="External"/><Relationship Id="rId6" Type="http://schemas.openxmlformats.org/officeDocument/2006/relationships/comments" Target="../comments2.xml"/><Relationship Id="rId5" Type="http://schemas.openxmlformats.org/officeDocument/2006/relationships/table" Target="../tables/table2.xml"/><Relationship Id="rId4"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13" Type="http://schemas.openxmlformats.org/officeDocument/2006/relationships/hyperlink" Target="https://www.digikey.com/products/en?keywords=1195-3540-ND" TargetMode="External"/><Relationship Id="rId18" Type="http://schemas.openxmlformats.org/officeDocument/2006/relationships/hyperlink" Target="https://www.digikey.com/products/en?keywords=285-2346-ND" TargetMode="External"/><Relationship Id="rId26" Type="http://schemas.openxmlformats.org/officeDocument/2006/relationships/hyperlink" Target="https://www.onlineelec.com/parts/wago/rail-mounted-terminal-blocks/series-280/wago-280-313/" TargetMode="External"/><Relationship Id="rId39" Type="http://schemas.openxmlformats.org/officeDocument/2006/relationships/vmlDrawing" Target="../drawings/vmlDrawing3.vml"/><Relationship Id="rId21" Type="http://schemas.openxmlformats.org/officeDocument/2006/relationships/hyperlink" Target="https://www.mcmaster.com/catalog/126/825" TargetMode="External"/><Relationship Id="rId34" Type="http://schemas.openxmlformats.org/officeDocument/2006/relationships/hyperlink" Target="https://www.peigenesis.com/en/shop/part-information/MS3102E207P/APH/EACH/60405.html" TargetMode="External"/><Relationship Id="rId7" Type="http://schemas.openxmlformats.org/officeDocument/2006/relationships/hyperlink" Target="https://www.digikey.com/products/en?keywords=811-1062-ND" TargetMode="External"/><Relationship Id="rId2" Type="http://schemas.openxmlformats.org/officeDocument/2006/relationships/hyperlink" Target="https://www.circuitspecialists.com/rackmount-enclosure-et235b.html" TargetMode="External"/><Relationship Id="rId16" Type="http://schemas.openxmlformats.org/officeDocument/2006/relationships/hyperlink" Target="https://www.digikey.com/products/en?keywords=283-2722-ND" TargetMode="External"/><Relationship Id="rId20" Type="http://schemas.openxmlformats.org/officeDocument/2006/relationships/hyperlink" Target="https://www.digikey.com/products/en?keywords=811-1094-ND" TargetMode="External"/><Relationship Id="rId29" Type="http://schemas.openxmlformats.org/officeDocument/2006/relationships/hyperlink" Target="https://www.digikey.com/products/en?WT.z_se_ps=1&amp;keywords=A1083-ND" TargetMode="External"/><Relationship Id="rId41" Type="http://schemas.openxmlformats.org/officeDocument/2006/relationships/comments" Target="../comments3.xml"/><Relationship Id="rId1" Type="http://schemas.openxmlformats.org/officeDocument/2006/relationships/hyperlink" Target="https://www.amazon.com/SKB-Inline-Wheels-Latches-Handle/dp/B001LNO9Q6/ref=sr_1_1?dchild=1&amp;keywords=SKB+R4W&amp;qid=1588778818&amp;s=automotive&amp;sr=1-1-catcorr" TargetMode="External"/><Relationship Id="rId6" Type="http://schemas.openxmlformats.org/officeDocument/2006/relationships/hyperlink" Target="https://www.digikey.com/products/en?keywords=811-1089-ND" TargetMode="External"/><Relationship Id="rId11" Type="http://schemas.openxmlformats.org/officeDocument/2006/relationships/hyperlink" Target="https://www.digikey.com/products/en?keywords=A32575-ND" TargetMode="External"/><Relationship Id="rId24" Type="http://schemas.openxmlformats.org/officeDocument/2006/relationships/hyperlink" Target="https://www.onlineelec.com/parts/wago/rail-mounted-terminal-blocks/series-280/wago-280-646/" TargetMode="External"/><Relationship Id="rId32" Type="http://schemas.openxmlformats.org/officeDocument/2006/relationships/hyperlink" Target="https://www.peigenesis.com/en/shop/part-information/MS3102E181P/APH/EACH/60287.html" TargetMode="External"/><Relationship Id="rId37" Type="http://schemas.openxmlformats.org/officeDocument/2006/relationships/hyperlink" Target="https://www.cdw.com/product/NETGEAR-5-Port-Gigabit-Ethernet-Unmanaged-Switch-Plug-and-Play-GS105NA/521943?cm_cat=google&amp;cm_ite=521943&amp;cm_pla=NA-NA-NETGEAR_NW&amp;cm_ven=acquirgy&amp;ef_id=EAIaIQobChMI_NDM086k6QIVjODICh2j3AVOEAQYAyABEgI52fD_BwE:G:s&amp;gclid=EAIaIQobChMI_NDM086k6QIVjODICh2j3AVOEAQYAyABEgI52fD_BwE&amp;s_kwcid=AL!4223!3!243462491255!!!g!305574539941" TargetMode="External"/><Relationship Id="rId40" Type="http://schemas.openxmlformats.org/officeDocument/2006/relationships/table" Target="../tables/table3.xml"/><Relationship Id="rId5" Type="http://schemas.openxmlformats.org/officeDocument/2006/relationships/hyperlink" Target="https://www.digikey.com/products/en?keywords=350-1892-ND" TargetMode="External"/><Relationship Id="rId15" Type="http://schemas.openxmlformats.org/officeDocument/2006/relationships/hyperlink" Target="https://www.digikey.com/products/en?keywords=283-2849-ND" TargetMode="External"/><Relationship Id="rId23" Type="http://schemas.openxmlformats.org/officeDocument/2006/relationships/hyperlink" Target="https://www.onlineelec.com/parts/wago/rail-mounted-terminal-blocks/series-280/wago-280-651/" TargetMode="External"/><Relationship Id="rId28" Type="http://schemas.openxmlformats.org/officeDocument/2006/relationships/hyperlink" Target="https://www.onlineelec.com/parts/wago/rail-mounted-terminal-blocks/series-280/wago-280-402/" TargetMode="External"/><Relationship Id="rId36" Type="http://schemas.openxmlformats.org/officeDocument/2006/relationships/hyperlink" Target="https://www.peigenesis.com/en/shop/part-information/MS3106E2023S/APH/EACH/62747.html" TargetMode="External"/><Relationship Id="rId10" Type="http://schemas.openxmlformats.org/officeDocument/2006/relationships/hyperlink" Target="https://www.digikey.com/products/en?keywords=350-1897-ND" TargetMode="External"/><Relationship Id="rId19" Type="http://schemas.openxmlformats.org/officeDocument/2006/relationships/hyperlink" Target="https://www.digikey.com/products/en?keywords=285-1225-ND" TargetMode="External"/><Relationship Id="rId31" Type="http://schemas.openxmlformats.org/officeDocument/2006/relationships/hyperlink" Target="https://www.peigenesis.com/en/shop/part-information/MS3102E2214P/APH/EACH/60421.html" TargetMode="External"/><Relationship Id="rId4" Type="http://schemas.openxmlformats.org/officeDocument/2006/relationships/hyperlink" Target="https://www.digikey.com/products/en?WT.z_se_ps=1&amp;keywords=EG1844-ND" TargetMode="External"/><Relationship Id="rId9" Type="http://schemas.openxmlformats.org/officeDocument/2006/relationships/hyperlink" Target="https://www.digikey.com/products/en?keywords=360-1951-ND" TargetMode="External"/><Relationship Id="rId14" Type="http://schemas.openxmlformats.org/officeDocument/2006/relationships/hyperlink" Target="https://www.digikey.com/products/en?keywords=Q334-ND" TargetMode="External"/><Relationship Id="rId22" Type="http://schemas.openxmlformats.org/officeDocument/2006/relationships/hyperlink" Target="https://www.onlineelec.com/parts/wago/terminal-block-accessories/series-249/wago-249-116/?campaign=238033583&amp;content=48239295983&amp;keyword=22494&amp;gclid=EAIaIQobChMI1q_W9oKg6QIVhbLICh3cJQ7YEAYYAiABEgInfPD_BwE" TargetMode="External"/><Relationship Id="rId27" Type="http://schemas.openxmlformats.org/officeDocument/2006/relationships/hyperlink" Target="https://www.onlineelec.com/parts/wago/rail-mounted-terminal-blocks/series-284/wago-284-328/" TargetMode="External"/><Relationship Id="rId30" Type="http://schemas.openxmlformats.org/officeDocument/2006/relationships/hyperlink" Target="https://www.mcmaster.com/8961k15" TargetMode="External"/><Relationship Id="rId35" Type="http://schemas.openxmlformats.org/officeDocument/2006/relationships/hyperlink" Target="https://www.peigenesis.com/en/shop/part-information/MS3106E181S/APH/EACH/62666.html" TargetMode="External"/><Relationship Id="rId8" Type="http://schemas.openxmlformats.org/officeDocument/2006/relationships/hyperlink" Target="https://www.digikey.com/products/en?keywords=811-1128-ND" TargetMode="External"/><Relationship Id="rId3" Type="http://schemas.openxmlformats.org/officeDocument/2006/relationships/hyperlink" Target="https://www.bhphotovideo.com/c/product/534413-REG/Furman_M_8X2_M_8x_Merit_Series_8.html" TargetMode="External"/><Relationship Id="rId12" Type="http://schemas.openxmlformats.org/officeDocument/2006/relationships/hyperlink" Target="https://www.digikey.com/products/en?keywords=1195-3540-ND" TargetMode="External"/><Relationship Id="rId17" Type="http://schemas.openxmlformats.org/officeDocument/2006/relationships/hyperlink" Target="https://www.digikey.com/products/en?keywords=1165-1001-ND" TargetMode="External"/><Relationship Id="rId25" Type="http://schemas.openxmlformats.org/officeDocument/2006/relationships/hyperlink" Target="https://www.onlineelec.com/parts/wago/rail-mounted-terminal-blocks/series-284/wago-284-902/" TargetMode="External"/><Relationship Id="rId33" Type="http://schemas.openxmlformats.org/officeDocument/2006/relationships/hyperlink" Target="https://www.peigenesis.com/en/shop/part-information/MS3102E2023P/APH/EACH/60367.html" TargetMode="External"/><Relationship Id="rId38"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4.v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L92"/>
  <sheetViews>
    <sheetView workbookViewId="0">
      <selection activeCell="E6" sqref="E6"/>
    </sheetView>
  </sheetViews>
  <sheetFormatPr defaultColWidth="15.42578125" defaultRowHeight="15" customHeight="1" x14ac:dyDescent="0.25"/>
  <cols>
    <col min="1" max="1" width="6.5703125" customWidth="1"/>
    <col min="2" max="2" width="7.5703125" hidden="1" customWidth="1"/>
    <col min="3" max="3" width="11.42578125" customWidth="1"/>
    <col min="4" max="4" width="5.5703125" customWidth="1"/>
    <col min="5" max="5" width="18.42578125" customWidth="1"/>
    <col min="6" max="6" width="75" customWidth="1"/>
    <col min="7" max="10" width="7.5703125" customWidth="1"/>
    <col min="11" max="12" width="9.42578125" customWidth="1"/>
  </cols>
  <sheetData>
    <row r="1" spans="1:12" ht="13.5" customHeight="1" x14ac:dyDescent="0.25">
      <c r="A1" s="1" t="e">
        <f>Company&amp;" "&amp;ProjectNumber&amp;" REVISION LOG"</f>
        <v>#NAME?</v>
      </c>
      <c r="B1" s="2"/>
      <c r="C1" s="2"/>
      <c r="D1" s="2"/>
      <c r="E1" s="2"/>
      <c r="F1" s="2"/>
      <c r="G1" s="2"/>
      <c r="H1" s="2"/>
      <c r="I1" s="2"/>
      <c r="J1" s="3"/>
      <c r="K1" s="6"/>
      <c r="L1" s="6"/>
    </row>
    <row r="2" spans="1:12" ht="13.5" customHeight="1" x14ac:dyDescent="0.25">
      <c r="A2" s="4" t="s">
        <v>13</v>
      </c>
      <c r="B2" s="11" t="s">
        <v>14</v>
      </c>
      <c r="C2" s="5" t="s">
        <v>10</v>
      </c>
      <c r="D2" s="16" t="s">
        <v>15</v>
      </c>
      <c r="E2" s="42" t="s">
        <v>3</v>
      </c>
      <c r="F2" s="5" t="s">
        <v>11</v>
      </c>
      <c r="G2" s="5" t="s">
        <v>7</v>
      </c>
      <c r="H2" s="5" t="s">
        <v>8</v>
      </c>
      <c r="I2" s="5" t="s">
        <v>16</v>
      </c>
      <c r="J2" s="5" t="s">
        <v>9</v>
      </c>
      <c r="K2" s="6"/>
      <c r="L2" s="6"/>
    </row>
    <row r="3" spans="1:12" ht="13.5" customHeight="1" x14ac:dyDescent="0.25">
      <c r="A3" s="17">
        <v>1</v>
      </c>
      <c r="B3" s="18">
        <f>'Revision Log'!$C3+'Revision Log'!$A3*0.001</f>
        <v>1E-3</v>
      </c>
      <c r="C3" s="19"/>
      <c r="D3" s="20"/>
      <c r="E3" s="8"/>
      <c r="F3" s="21"/>
      <c r="G3" s="7"/>
      <c r="H3" s="7"/>
      <c r="I3" s="7"/>
      <c r="J3" s="7"/>
      <c r="K3" s="6"/>
      <c r="L3" s="6"/>
    </row>
    <row r="4" spans="1:12" ht="13.5" customHeight="1" x14ac:dyDescent="0.25">
      <c r="A4" s="17">
        <v>2</v>
      </c>
      <c r="B4" s="18">
        <f>'Revision Log'!$C4+'Revision Log'!$A4*0.001</f>
        <v>2E-3</v>
      </c>
      <c r="C4" s="19"/>
      <c r="D4" s="20"/>
      <c r="E4" s="8"/>
      <c r="F4" s="21"/>
      <c r="G4" s="7"/>
      <c r="H4" s="7"/>
      <c r="I4" s="7"/>
      <c r="J4" s="7"/>
      <c r="K4" s="6"/>
      <c r="L4" s="6"/>
    </row>
    <row r="5" spans="1:12" ht="13.5" customHeight="1" x14ac:dyDescent="0.25">
      <c r="A5" s="17">
        <v>3</v>
      </c>
      <c r="B5" s="18">
        <f>'Revision Log'!$C5+'Revision Log'!$A5*0.001</f>
        <v>3.0000000000000001E-3</v>
      </c>
      <c r="C5" s="19"/>
      <c r="D5" s="20"/>
      <c r="E5" s="8"/>
      <c r="F5" s="21"/>
      <c r="G5" s="7"/>
      <c r="H5" s="7"/>
      <c r="I5" s="7"/>
      <c r="J5" s="7"/>
      <c r="K5" s="6"/>
      <c r="L5" s="6"/>
    </row>
    <row r="6" spans="1:12" ht="13.5" customHeight="1" x14ac:dyDescent="0.25">
      <c r="A6" s="17">
        <v>4</v>
      </c>
      <c r="B6" s="18">
        <f>'Revision Log'!$C6+'Revision Log'!$A6*0.001</f>
        <v>4.0000000000000001E-3</v>
      </c>
      <c r="C6" s="19"/>
      <c r="D6" s="20"/>
      <c r="E6" s="8"/>
      <c r="F6" s="21"/>
      <c r="G6" s="7"/>
      <c r="H6" s="7"/>
      <c r="I6" s="7"/>
      <c r="J6" s="7"/>
      <c r="K6" s="6"/>
      <c r="L6" s="6"/>
    </row>
    <row r="7" spans="1:12" ht="13.5" customHeight="1" x14ac:dyDescent="0.25">
      <c r="A7" s="17">
        <v>5</v>
      </c>
      <c r="B7" s="18">
        <f>'Revision Log'!$C7+'Revision Log'!$A7*0.001</f>
        <v>5.0000000000000001E-3</v>
      </c>
      <c r="C7" s="19"/>
      <c r="D7" s="20"/>
      <c r="E7" s="8"/>
      <c r="F7" s="21"/>
      <c r="G7" s="7"/>
      <c r="H7" s="7"/>
      <c r="I7" s="7"/>
      <c r="J7" s="7"/>
      <c r="K7" s="6"/>
      <c r="L7" s="6"/>
    </row>
    <row r="8" spans="1:12" ht="13.5" customHeight="1" x14ac:dyDescent="0.25">
      <c r="A8" s="17">
        <v>6</v>
      </c>
      <c r="B8" s="18">
        <f>'Revision Log'!$C8+'Revision Log'!$A8*0.001</f>
        <v>6.0000000000000001E-3</v>
      </c>
      <c r="C8" s="19"/>
      <c r="D8" s="20"/>
      <c r="E8" s="8"/>
      <c r="F8" s="21"/>
      <c r="G8" s="7"/>
      <c r="H8" s="7"/>
      <c r="I8" s="7"/>
      <c r="J8" s="7"/>
      <c r="K8" s="6"/>
      <c r="L8" s="6"/>
    </row>
    <row r="9" spans="1:12" ht="13.5" customHeight="1" x14ac:dyDescent="0.25">
      <c r="A9" s="17">
        <v>7</v>
      </c>
      <c r="B9" s="18">
        <f>'Revision Log'!$C9+'Revision Log'!$A9*0.001</f>
        <v>7.0000000000000001E-3</v>
      </c>
      <c r="C9" s="19"/>
      <c r="D9" s="20"/>
      <c r="E9" s="8"/>
      <c r="F9" s="21"/>
      <c r="G9" s="7"/>
      <c r="H9" s="7"/>
      <c r="I9" s="7"/>
      <c r="J9" s="7"/>
      <c r="K9" s="6"/>
      <c r="L9" s="6"/>
    </row>
    <row r="10" spans="1:12" ht="13.5" customHeight="1" x14ac:dyDescent="0.25">
      <c r="A10" s="17">
        <v>8</v>
      </c>
      <c r="B10" s="18">
        <f>'Revision Log'!$C10+'Revision Log'!$A10*0.001</f>
        <v>8.0000000000000002E-3</v>
      </c>
      <c r="C10" s="19"/>
      <c r="D10" s="20"/>
      <c r="E10" s="8"/>
      <c r="F10" s="21"/>
      <c r="G10" s="7"/>
      <c r="H10" s="7"/>
      <c r="I10" s="7"/>
      <c r="J10" s="7"/>
      <c r="K10" s="6"/>
      <c r="L10" s="6"/>
    </row>
    <row r="11" spans="1:12" ht="13.5" customHeight="1" x14ac:dyDescent="0.25">
      <c r="A11" s="17">
        <v>9</v>
      </c>
      <c r="B11" s="18">
        <f>'Revision Log'!$C11+'Revision Log'!$A11*0.001</f>
        <v>9.0000000000000011E-3</v>
      </c>
      <c r="C11" s="19"/>
      <c r="D11" s="20"/>
      <c r="E11" s="8"/>
      <c r="F11" s="21"/>
      <c r="G11" s="7"/>
      <c r="H11" s="7"/>
      <c r="I11" s="7"/>
      <c r="J11" s="7"/>
      <c r="K11" s="6"/>
      <c r="L11" s="6"/>
    </row>
    <row r="12" spans="1:12" ht="13.5" customHeight="1" x14ac:dyDescent="0.25">
      <c r="A12" s="17">
        <v>10</v>
      </c>
      <c r="B12" s="18">
        <f>'Revision Log'!$C12+'Revision Log'!$A12*0.001</f>
        <v>0.01</v>
      </c>
      <c r="C12" s="19"/>
      <c r="D12" s="20"/>
      <c r="E12" s="8"/>
      <c r="F12" s="21"/>
      <c r="G12" s="7"/>
      <c r="H12" s="7"/>
      <c r="I12" s="7"/>
      <c r="J12" s="7"/>
      <c r="K12" s="6"/>
      <c r="L12" s="6"/>
    </row>
    <row r="13" spans="1:12" ht="13.5" customHeight="1" x14ac:dyDescent="0.25">
      <c r="A13" s="17">
        <v>11</v>
      </c>
      <c r="B13" s="18">
        <f>'Revision Log'!$C13+'Revision Log'!$A13*0.001</f>
        <v>1.0999999999999999E-2</v>
      </c>
      <c r="C13" s="19"/>
      <c r="D13" s="20"/>
      <c r="E13" s="8"/>
      <c r="F13" s="21"/>
      <c r="G13" s="7"/>
      <c r="H13" s="7"/>
      <c r="I13" s="7"/>
      <c r="J13" s="7"/>
      <c r="K13" s="6"/>
      <c r="L13" s="6"/>
    </row>
    <row r="14" spans="1:12" ht="13.5" customHeight="1" x14ac:dyDescent="0.25">
      <c r="A14" s="17">
        <v>12</v>
      </c>
      <c r="B14" s="18">
        <f>'Revision Log'!$C14+'Revision Log'!$A14*0.001</f>
        <v>1.2E-2</v>
      </c>
      <c r="C14" s="19"/>
      <c r="D14" s="20"/>
      <c r="E14" s="8"/>
      <c r="F14" s="21"/>
      <c r="G14" s="7"/>
      <c r="H14" s="7"/>
      <c r="I14" s="7"/>
      <c r="J14" s="7"/>
      <c r="K14" s="6"/>
      <c r="L14" s="6"/>
    </row>
    <row r="15" spans="1:12" ht="13.5" customHeight="1" x14ac:dyDescent="0.25">
      <c r="A15" s="17">
        <v>13</v>
      </c>
      <c r="B15" s="18">
        <f>'Revision Log'!$C15+'Revision Log'!$A15*0.001</f>
        <v>1.3000000000000001E-2</v>
      </c>
      <c r="C15" s="19"/>
      <c r="D15" s="20"/>
      <c r="E15" s="8"/>
      <c r="F15" s="21"/>
      <c r="G15" s="7"/>
      <c r="H15" s="7"/>
      <c r="I15" s="7"/>
      <c r="J15" s="7"/>
      <c r="K15" s="6"/>
      <c r="L15" s="6"/>
    </row>
    <row r="16" spans="1:12" ht="13.5" customHeight="1" x14ac:dyDescent="0.25">
      <c r="A16" s="17">
        <v>14</v>
      </c>
      <c r="B16" s="18">
        <f>'Revision Log'!$C16+'Revision Log'!$A16*0.001</f>
        <v>1.4E-2</v>
      </c>
      <c r="C16" s="19"/>
      <c r="D16" s="20"/>
      <c r="E16" s="8"/>
      <c r="F16" s="21"/>
      <c r="G16" s="7"/>
      <c r="H16" s="7"/>
      <c r="I16" s="7"/>
      <c r="J16" s="7"/>
      <c r="K16" s="6"/>
      <c r="L16" s="6"/>
    </row>
    <row r="17" spans="1:12" ht="13.5" customHeight="1" x14ac:dyDescent="0.25">
      <c r="A17" s="17">
        <v>15</v>
      </c>
      <c r="B17" s="18">
        <f>'Revision Log'!$C17+'Revision Log'!$A17*0.001</f>
        <v>1.4999999999999999E-2</v>
      </c>
      <c r="C17" s="19"/>
      <c r="D17" s="20"/>
      <c r="E17" s="8"/>
      <c r="F17" s="21"/>
      <c r="G17" s="7"/>
      <c r="H17" s="7"/>
      <c r="I17" s="7"/>
      <c r="J17" s="7"/>
      <c r="K17" s="6"/>
      <c r="L17" s="6"/>
    </row>
    <row r="18" spans="1:12" ht="13.5" customHeight="1" x14ac:dyDescent="0.25">
      <c r="A18" s="17">
        <v>16</v>
      </c>
      <c r="B18" s="18">
        <f>'Revision Log'!$C18+'Revision Log'!$A18*0.001</f>
        <v>1.6E-2</v>
      </c>
      <c r="C18" s="19"/>
      <c r="D18" s="20"/>
      <c r="E18" s="8"/>
      <c r="F18" s="21"/>
      <c r="G18" s="7"/>
      <c r="H18" s="7"/>
      <c r="I18" s="7"/>
      <c r="J18" s="7"/>
      <c r="K18" s="6"/>
      <c r="L18" s="6"/>
    </row>
    <row r="19" spans="1:12" ht="13.5" customHeight="1" x14ac:dyDescent="0.25">
      <c r="A19" s="17">
        <v>17</v>
      </c>
      <c r="B19" s="18">
        <f>'Revision Log'!$C19+'Revision Log'!$A19*0.001</f>
        <v>1.7000000000000001E-2</v>
      </c>
      <c r="C19" s="19"/>
      <c r="D19" s="20"/>
      <c r="E19" s="8"/>
      <c r="F19" s="21"/>
      <c r="G19" s="7"/>
      <c r="H19" s="7"/>
      <c r="I19" s="7"/>
      <c r="J19" s="7"/>
      <c r="K19" s="6"/>
      <c r="L19" s="6"/>
    </row>
    <row r="20" spans="1:12" ht="13.5" customHeight="1" x14ac:dyDescent="0.25">
      <c r="A20" s="17">
        <v>18</v>
      </c>
      <c r="B20" s="18">
        <f>'Revision Log'!$C20+'Revision Log'!$A20*0.001</f>
        <v>1.8000000000000002E-2</v>
      </c>
      <c r="C20" s="19"/>
      <c r="D20" s="20"/>
      <c r="E20" s="8"/>
      <c r="F20" s="21"/>
      <c r="G20" s="7"/>
      <c r="H20" s="7"/>
      <c r="I20" s="7"/>
      <c r="J20" s="7"/>
      <c r="K20" s="6"/>
      <c r="L20" s="6"/>
    </row>
    <row r="21" spans="1:12" ht="13.5" customHeight="1" x14ac:dyDescent="0.25">
      <c r="A21" s="17">
        <v>19</v>
      </c>
      <c r="B21" s="18">
        <f>'Revision Log'!$C21+'Revision Log'!$A21*0.001</f>
        <v>1.9E-2</v>
      </c>
      <c r="C21" s="19"/>
      <c r="D21" s="20"/>
      <c r="E21" s="8"/>
      <c r="F21" s="21"/>
      <c r="G21" s="7"/>
      <c r="H21" s="7"/>
      <c r="I21" s="7"/>
      <c r="J21" s="7"/>
      <c r="K21" s="6"/>
      <c r="L21" s="6"/>
    </row>
    <row r="22" spans="1:12" ht="13.5" customHeight="1" x14ac:dyDescent="0.25">
      <c r="A22" s="17">
        <v>20</v>
      </c>
      <c r="B22" s="18">
        <f>'Revision Log'!$C22+'Revision Log'!$A22*0.001</f>
        <v>0.02</v>
      </c>
      <c r="C22" s="19"/>
      <c r="D22" s="20"/>
      <c r="E22" s="8"/>
      <c r="F22" s="21"/>
      <c r="G22" s="7"/>
      <c r="H22" s="7"/>
      <c r="I22" s="7"/>
      <c r="J22" s="7"/>
      <c r="K22" s="6"/>
      <c r="L22" s="6"/>
    </row>
    <row r="23" spans="1:12" ht="13.5" customHeight="1" x14ac:dyDescent="0.25">
      <c r="A23" s="17">
        <v>21</v>
      </c>
      <c r="B23" s="18">
        <f>'Revision Log'!$C23+'Revision Log'!$A23*0.001</f>
        <v>2.1000000000000001E-2</v>
      </c>
      <c r="C23" s="19"/>
      <c r="D23" s="20"/>
      <c r="E23" s="8"/>
      <c r="F23" s="21"/>
      <c r="G23" s="7"/>
      <c r="H23" s="7"/>
      <c r="I23" s="7"/>
      <c r="J23" s="7"/>
      <c r="K23" s="6"/>
      <c r="L23" s="6"/>
    </row>
    <row r="24" spans="1:12" ht="13.5" customHeight="1" x14ac:dyDescent="0.25">
      <c r="A24" s="17">
        <v>22</v>
      </c>
      <c r="B24" s="18">
        <f>'Revision Log'!$C24+'Revision Log'!$A24*0.001</f>
        <v>2.1999999999999999E-2</v>
      </c>
      <c r="C24" s="19"/>
      <c r="D24" s="20"/>
      <c r="E24" s="8"/>
      <c r="F24" s="21"/>
      <c r="G24" s="7"/>
      <c r="H24" s="7"/>
      <c r="I24" s="7"/>
      <c r="J24" s="7"/>
      <c r="K24" s="6"/>
      <c r="L24" s="6"/>
    </row>
    <row r="25" spans="1:12" ht="13.5" customHeight="1" x14ac:dyDescent="0.25">
      <c r="A25" s="17">
        <v>23</v>
      </c>
      <c r="B25" s="18">
        <f>'Revision Log'!$C25+'Revision Log'!$A25*0.001</f>
        <v>2.3E-2</v>
      </c>
      <c r="C25" s="19"/>
      <c r="D25" s="20"/>
      <c r="E25" s="8"/>
      <c r="F25" s="21"/>
      <c r="G25" s="7"/>
      <c r="H25" s="7"/>
      <c r="I25" s="7"/>
      <c r="J25" s="7"/>
      <c r="K25" s="6"/>
      <c r="L25" s="6"/>
    </row>
    <row r="26" spans="1:12" ht="13.5" customHeight="1" x14ac:dyDescent="0.25">
      <c r="A26" s="17">
        <v>24</v>
      </c>
      <c r="B26" s="18">
        <f>'Revision Log'!$C26+'Revision Log'!$A26*0.001</f>
        <v>2.4E-2</v>
      </c>
      <c r="C26" s="19"/>
      <c r="D26" s="20"/>
      <c r="E26" s="8"/>
      <c r="F26" s="21"/>
      <c r="G26" s="7"/>
      <c r="H26" s="7"/>
      <c r="I26" s="7"/>
      <c r="J26" s="7"/>
      <c r="K26" s="6"/>
      <c r="L26" s="6"/>
    </row>
    <row r="27" spans="1:12" ht="13.5" customHeight="1" x14ac:dyDescent="0.25">
      <c r="A27" s="17">
        <v>25</v>
      </c>
      <c r="B27" s="18">
        <f>'Revision Log'!$C27+'Revision Log'!$A27*0.001</f>
        <v>2.5000000000000001E-2</v>
      </c>
      <c r="C27" s="19"/>
      <c r="D27" s="20"/>
      <c r="E27" s="8"/>
      <c r="F27" s="21"/>
      <c r="G27" s="7"/>
      <c r="H27" s="7"/>
      <c r="I27" s="7"/>
      <c r="J27" s="7"/>
      <c r="K27" s="6"/>
      <c r="L27" s="6"/>
    </row>
    <row r="28" spans="1:12" ht="13.5" customHeight="1" x14ac:dyDescent="0.25">
      <c r="A28" s="17">
        <v>26</v>
      </c>
      <c r="B28" s="18">
        <f>'Revision Log'!$C28+'Revision Log'!$A28*0.001</f>
        <v>2.6000000000000002E-2</v>
      </c>
      <c r="C28" s="19"/>
      <c r="D28" s="20"/>
      <c r="E28" s="8"/>
      <c r="F28" s="21"/>
      <c r="G28" s="7"/>
      <c r="H28" s="7"/>
      <c r="I28" s="7"/>
      <c r="J28" s="7"/>
      <c r="K28" s="6"/>
      <c r="L28" s="6"/>
    </row>
    <row r="29" spans="1:12" ht="13.5" customHeight="1" x14ac:dyDescent="0.25">
      <c r="A29" s="17">
        <v>27</v>
      </c>
      <c r="B29" s="18">
        <f>'Revision Log'!$C29+'Revision Log'!$A29*0.001</f>
        <v>2.7E-2</v>
      </c>
      <c r="C29" s="19"/>
      <c r="D29" s="20"/>
      <c r="E29" s="8"/>
      <c r="F29" s="21"/>
      <c r="G29" s="7"/>
      <c r="H29" s="7"/>
      <c r="I29" s="7"/>
      <c r="J29" s="7"/>
      <c r="K29" s="6"/>
      <c r="L29" s="6"/>
    </row>
    <row r="30" spans="1:12" ht="13.5" customHeight="1" x14ac:dyDescent="0.25">
      <c r="A30" s="17">
        <v>28</v>
      </c>
      <c r="B30" s="18">
        <f>'Revision Log'!$C30+'Revision Log'!$A30*0.001</f>
        <v>2.8000000000000001E-2</v>
      </c>
      <c r="C30" s="19"/>
      <c r="D30" s="20"/>
      <c r="E30" s="8"/>
      <c r="F30" s="21"/>
      <c r="G30" s="7"/>
      <c r="H30" s="7"/>
      <c r="I30" s="7"/>
      <c r="J30" s="7"/>
      <c r="K30" s="6"/>
      <c r="L30" s="6"/>
    </row>
    <row r="31" spans="1:12" ht="13.5" customHeight="1" x14ac:dyDescent="0.25">
      <c r="A31" s="17">
        <v>29</v>
      </c>
      <c r="B31" s="18">
        <f>'Revision Log'!$C31+'Revision Log'!$A31*0.001</f>
        <v>2.9000000000000001E-2</v>
      </c>
      <c r="C31" s="19"/>
      <c r="D31" s="20"/>
      <c r="E31" s="8"/>
      <c r="F31" s="21"/>
      <c r="G31" s="7"/>
      <c r="H31" s="7"/>
      <c r="I31" s="7"/>
      <c r="J31" s="7"/>
      <c r="K31" s="6"/>
      <c r="L31" s="6"/>
    </row>
    <row r="32" spans="1:12" ht="13.5" customHeight="1" x14ac:dyDescent="0.25">
      <c r="A32" s="17">
        <v>30</v>
      </c>
      <c r="B32" s="18">
        <f>'Revision Log'!$C32+'Revision Log'!$A32*0.001</f>
        <v>0.03</v>
      </c>
      <c r="C32" s="19"/>
      <c r="D32" s="20"/>
      <c r="E32" s="8"/>
      <c r="F32" s="21"/>
      <c r="G32" s="7"/>
      <c r="H32" s="7"/>
      <c r="I32" s="7"/>
      <c r="J32" s="7"/>
      <c r="K32" s="6"/>
      <c r="L32" s="6"/>
    </row>
    <row r="33" spans="1:12" ht="13.5" customHeight="1" x14ac:dyDescent="0.25">
      <c r="A33" s="17">
        <v>31</v>
      </c>
      <c r="B33" s="18">
        <f>'Revision Log'!$C33+'Revision Log'!$A33*0.001</f>
        <v>3.1E-2</v>
      </c>
      <c r="C33" s="19"/>
      <c r="D33" s="20"/>
      <c r="E33" s="8"/>
      <c r="F33" s="21"/>
      <c r="G33" s="7"/>
      <c r="H33" s="7"/>
      <c r="I33" s="7"/>
      <c r="J33" s="7"/>
      <c r="K33" s="6"/>
      <c r="L33" s="6"/>
    </row>
    <row r="34" spans="1:12" ht="13.5" customHeight="1" x14ac:dyDescent="0.25">
      <c r="A34" s="17">
        <v>32</v>
      </c>
      <c r="B34" s="18">
        <f>'Revision Log'!$C34+'Revision Log'!$A34*0.001</f>
        <v>3.2000000000000001E-2</v>
      </c>
      <c r="C34" s="19"/>
      <c r="D34" s="20"/>
      <c r="E34" s="8"/>
      <c r="F34" s="21"/>
      <c r="G34" s="7"/>
      <c r="H34" s="7"/>
      <c r="I34" s="7"/>
      <c r="J34" s="7"/>
      <c r="K34" s="6"/>
      <c r="L34" s="6"/>
    </row>
    <row r="35" spans="1:12" ht="13.5" customHeight="1" x14ac:dyDescent="0.25">
      <c r="A35" s="17">
        <v>33</v>
      </c>
      <c r="B35" s="18">
        <f>'Revision Log'!$C35+'Revision Log'!$A35*0.001</f>
        <v>3.3000000000000002E-2</v>
      </c>
      <c r="C35" s="19"/>
      <c r="D35" s="20"/>
      <c r="E35" s="8"/>
      <c r="F35" s="21"/>
      <c r="G35" s="7"/>
      <c r="H35" s="7"/>
      <c r="I35" s="7"/>
      <c r="J35" s="7"/>
      <c r="K35" s="6"/>
      <c r="L35" s="6"/>
    </row>
    <row r="36" spans="1:12" ht="13.5" customHeight="1" x14ac:dyDescent="0.25">
      <c r="A36" s="17">
        <v>34</v>
      </c>
      <c r="B36" s="18">
        <f>'Revision Log'!$C36+'Revision Log'!$A36*0.001</f>
        <v>3.4000000000000002E-2</v>
      </c>
      <c r="C36" s="19"/>
      <c r="D36" s="20"/>
      <c r="E36" s="8"/>
      <c r="F36" s="21"/>
      <c r="G36" s="7"/>
      <c r="H36" s="7"/>
      <c r="I36" s="7"/>
      <c r="J36" s="7"/>
      <c r="K36" s="6"/>
      <c r="L36" s="6"/>
    </row>
    <row r="37" spans="1:12" ht="13.5" customHeight="1" x14ac:dyDescent="0.25">
      <c r="A37" s="17">
        <v>35</v>
      </c>
      <c r="B37" s="18">
        <f>'Revision Log'!$C37+'Revision Log'!$A37*0.001</f>
        <v>3.5000000000000003E-2</v>
      </c>
      <c r="C37" s="19"/>
      <c r="D37" s="20"/>
      <c r="E37" s="8"/>
      <c r="F37" s="21"/>
      <c r="G37" s="7"/>
      <c r="H37" s="7"/>
      <c r="I37" s="7"/>
      <c r="J37" s="7"/>
      <c r="K37" s="6"/>
      <c r="L37" s="6"/>
    </row>
    <row r="38" spans="1:12" ht="13.5" customHeight="1" x14ac:dyDescent="0.25">
      <c r="A38" s="17">
        <v>36</v>
      </c>
      <c r="B38" s="18">
        <f>'Revision Log'!$C38+'Revision Log'!$A38*0.001</f>
        <v>3.6000000000000004E-2</v>
      </c>
      <c r="C38" s="19"/>
      <c r="D38" s="20"/>
      <c r="E38" s="8"/>
      <c r="F38" s="21"/>
      <c r="G38" s="7"/>
      <c r="H38" s="7"/>
      <c r="I38" s="7"/>
      <c r="J38" s="7"/>
      <c r="K38" s="6"/>
      <c r="L38" s="6"/>
    </row>
    <row r="39" spans="1:12" ht="13.5" customHeight="1" x14ac:dyDescent="0.25">
      <c r="A39" s="17">
        <v>37</v>
      </c>
      <c r="B39" s="18">
        <f>'Revision Log'!$C39+'Revision Log'!$A39*0.001</f>
        <v>3.6999999999999998E-2</v>
      </c>
      <c r="C39" s="19"/>
      <c r="D39" s="20"/>
      <c r="E39" s="8"/>
      <c r="F39" s="21"/>
      <c r="G39" s="7"/>
      <c r="H39" s="7"/>
      <c r="I39" s="7"/>
      <c r="J39" s="7"/>
      <c r="K39" s="6"/>
      <c r="L39" s="6"/>
    </row>
    <row r="40" spans="1:12" ht="13.5" customHeight="1" x14ac:dyDescent="0.25">
      <c r="A40" s="17">
        <v>38</v>
      </c>
      <c r="B40" s="18">
        <f>'Revision Log'!$C40+'Revision Log'!$A40*0.001</f>
        <v>3.7999999999999999E-2</v>
      </c>
      <c r="C40" s="19"/>
      <c r="D40" s="20"/>
      <c r="E40" s="8"/>
      <c r="F40" s="21"/>
      <c r="G40" s="7"/>
      <c r="H40" s="7"/>
      <c r="I40" s="7"/>
      <c r="J40" s="7"/>
      <c r="K40" s="6"/>
      <c r="L40" s="6"/>
    </row>
    <row r="41" spans="1:12" ht="13.5" customHeight="1" x14ac:dyDescent="0.25">
      <c r="A41" s="17">
        <v>39</v>
      </c>
      <c r="B41" s="18">
        <f>'Revision Log'!$C41+'Revision Log'!$A41*0.001</f>
        <v>3.9E-2</v>
      </c>
      <c r="C41" s="19"/>
      <c r="D41" s="20"/>
      <c r="E41" s="8"/>
      <c r="F41" s="21"/>
      <c r="G41" s="7"/>
      <c r="H41" s="7"/>
      <c r="I41" s="7"/>
      <c r="J41" s="7"/>
      <c r="K41" s="6"/>
      <c r="L41" s="6"/>
    </row>
    <row r="42" spans="1:12" ht="13.5" customHeight="1" x14ac:dyDescent="0.25">
      <c r="A42" s="17">
        <v>40</v>
      </c>
      <c r="B42" s="18">
        <f>'Revision Log'!$C42+'Revision Log'!$A42*0.001</f>
        <v>0.04</v>
      </c>
      <c r="C42" s="19"/>
      <c r="D42" s="20"/>
      <c r="E42" s="8"/>
      <c r="F42" s="21"/>
      <c r="G42" s="7"/>
      <c r="H42" s="7"/>
      <c r="I42" s="7"/>
      <c r="J42" s="7"/>
      <c r="K42" s="6"/>
      <c r="L42" s="6"/>
    </row>
    <row r="43" spans="1:12" ht="13.5" customHeight="1" x14ac:dyDescent="0.25">
      <c r="A43" s="17">
        <v>41</v>
      </c>
      <c r="B43" s="18">
        <f>'Revision Log'!$C43+'Revision Log'!$A43*0.001</f>
        <v>4.1000000000000002E-2</v>
      </c>
      <c r="C43" s="19"/>
      <c r="D43" s="20"/>
      <c r="E43" s="8"/>
      <c r="F43" s="21"/>
      <c r="G43" s="7"/>
      <c r="H43" s="7"/>
      <c r="I43" s="7"/>
      <c r="J43" s="7"/>
      <c r="K43" s="6"/>
      <c r="L43" s="6"/>
    </row>
    <row r="44" spans="1:12" ht="13.5" customHeight="1" x14ac:dyDescent="0.25">
      <c r="A44" s="17">
        <v>42</v>
      </c>
      <c r="B44" s="18">
        <f>'Revision Log'!$C44+'Revision Log'!$A44*0.001</f>
        <v>4.2000000000000003E-2</v>
      </c>
      <c r="C44" s="19"/>
      <c r="D44" s="20"/>
      <c r="E44" s="8"/>
      <c r="F44" s="21"/>
      <c r="G44" s="7"/>
      <c r="H44" s="7"/>
      <c r="I44" s="7"/>
      <c r="J44" s="7"/>
      <c r="K44" s="6"/>
      <c r="L44" s="6"/>
    </row>
    <row r="45" spans="1:12" ht="13.5" customHeight="1" x14ac:dyDescent="0.25">
      <c r="A45" s="17">
        <v>43</v>
      </c>
      <c r="B45" s="18">
        <f>'Revision Log'!$C45+'Revision Log'!$A45*0.001</f>
        <v>4.3000000000000003E-2</v>
      </c>
      <c r="C45" s="19"/>
      <c r="D45" s="20"/>
      <c r="E45" s="8"/>
      <c r="F45" s="21"/>
      <c r="G45" s="7"/>
      <c r="H45" s="7"/>
      <c r="I45" s="7"/>
      <c r="J45" s="7"/>
      <c r="K45" s="6"/>
      <c r="L45" s="6"/>
    </row>
    <row r="46" spans="1:12" ht="13.5" customHeight="1" x14ac:dyDescent="0.25">
      <c r="A46" s="17">
        <v>44</v>
      </c>
      <c r="B46" s="18">
        <f>'Revision Log'!$C46+'Revision Log'!$A46*0.001</f>
        <v>4.3999999999999997E-2</v>
      </c>
      <c r="C46" s="19"/>
      <c r="D46" s="20"/>
      <c r="E46" s="8"/>
      <c r="F46" s="21"/>
      <c r="G46" s="7"/>
      <c r="H46" s="7"/>
      <c r="I46" s="7"/>
      <c r="J46" s="7"/>
      <c r="K46" s="6"/>
      <c r="L46" s="6"/>
    </row>
    <row r="47" spans="1:12" ht="13.5" customHeight="1" x14ac:dyDescent="0.25">
      <c r="A47" s="17">
        <v>45</v>
      </c>
      <c r="B47" s="18">
        <f>'Revision Log'!$C47+'Revision Log'!$A47*0.001</f>
        <v>4.4999999999999998E-2</v>
      </c>
      <c r="C47" s="19"/>
      <c r="D47" s="20"/>
      <c r="E47" s="8"/>
      <c r="F47" s="21"/>
      <c r="G47" s="7"/>
      <c r="H47" s="7"/>
      <c r="I47" s="7"/>
      <c r="J47" s="7"/>
      <c r="K47" s="6"/>
      <c r="L47" s="6"/>
    </row>
    <row r="48" spans="1:12" ht="13.5" customHeight="1" x14ac:dyDescent="0.25">
      <c r="A48" s="17">
        <v>46</v>
      </c>
      <c r="B48" s="18">
        <f>'Revision Log'!$C48+'Revision Log'!$A48*0.001</f>
        <v>4.5999999999999999E-2</v>
      </c>
      <c r="C48" s="19"/>
      <c r="D48" s="20"/>
      <c r="E48" s="8"/>
      <c r="F48" s="21"/>
      <c r="G48" s="7"/>
      <c r="H48" s="7"/>
      <c r="I48" s="7"/>
      <c r="J48" s="7"/>
      <c r="K48" s="6"/>
      <c r="L48" s="6"/>
    </row>
    <row r="49" spans="1:12" ht="13.5" customHeight="1" x14ac:dyDescent="0.25">
      <c r="A49" s="17">
        <v>47</v>
      </c>
      <c r="B49" s="18">
        <f>'Revision Log'!$C49+'Revision Log'!$A49*0.001</f>
        <v>4.7E-2</v>
      </c>
      <c r="C49" s="19"/>
      <c r="D49" s="20"/>
      <c r="E49" s="8"/>
      <c r="F49" s="21"/>
      <c r="G49" s="7"/>
      <c r="H49" s="7"/>
      <c r="I49" s="7"/>
      <c r="J49" s="7"/>
      <c r="K49" s="6"/>
      <c r="L49" s="6"/>
    </row>
    <row r="50" spans="1:12" ht="13.5" customHeight="1" x14ac:dyDescent="0.25">
      <c r="A50" s="17">
        <v>48</v>
      </c>
      <c r="B50" s="18">
        <f>'Revision Log'!$C50+'Revision Log'!$A50*0.001</f>
        <v>4.8000000000000001E-2</v>
      </c>
      <c r="C50" s="19"/>
      <c r="D50" s="20"/>
      <c r="E50" s="8"/>
      <c r="F50" s="21"/>
      <c r="G50" s="7"/>
      <c r="H50" s="7"/>
      <c r="I50" s="7"/>
      <c r="J50" s="7"/>
      <c r="K50" s="6"/>
      <c r="L50" s="6"/>
    </row>
    <row r="51" spans="1:12" ht="13.5" customHeight="1" x14ac:dyDescent="0.25">
      <c r="A51" s="17">
        <v>49</v>
      </c>
      <c r="B51" s="18">
        <f>'Revision Log'!$C51+'Revision Log'!$A51*0.001</f>
        <v>4.9000000000000002E-2</v>
      </c>
      <c r="C51" s="19"/>
      <c r="D51" s="20"/>
      <c r="E51" s="8"/>
      <c r="F51" s="21"/>
      <c r="G51" s="7"/>
      <c r="H51" s="7"/>
      <c r="I51" s="7"/>
      <c r="J51" s="7"/>
      <c r="K51" s="6"/>
      <c r="L51" s="6"/>
    </row>
    <row r="52" spans="1:12" ht="13.5" customHeight="1" x14ac:dyDescent="0.25">
      <c r="A52" s="17">
        <v>50</v>
      </c>
      <c r="B52" s="18">
        <f>'Revision Log'!$C52+'Revision Log'!$A52*0.001</f>
        <v>0.05</v>
      </c>
      <c r="C52" s="19"/>
      <c r="D52" s="20"/>
      <c r="E52" s="8"/>
      <c r="F52" s="21"/>
      <c r="G52" s="7"/>
      <c r="H52" s="7"/>
      <c r="I52" s="7"/>
      <c r="J52" s="7"/>
      <c r="K52" s="6"/>
      <c r="L52" s="6"/>
    </row>
    <row r="53" spans="1:12" ht="13.5" customHeight="1" x14ac:dyDescent="0.25">
      <c r="A53" s="17">
        <v>51</v>
      </c>
      <c r="B53" s="18">
        <f>'Revision Log'!$C53+'Revision Log'!$A53*0.001</f>
        <v>5.1000000000000004E-2</v>
      </c>
      <c r="C53" s="19"/>
      <c r="D53" s="20"/>
      <c r="E53" s="8"/>
      <c r="F53" s="21"/>
      <c r="G53" s="7"/>
      <c r="H53" s="7"/>
      <c r="I53" s="7"/>
      <c r="J53" s="7"/>
      <c r="K53" s="6"/>
      <c r="L53" s="6"/>
    </row>
    <row r="54" spans="1:12" ht="13.5" customHeight="1" x14ac:dyDescent="0.25">
      <c r="A54" s="17">
        <v>52</v>
      </c>
      <c r="B54" s="18">
        <f>'Revision Log'!$C54+'Revision Log'!$A54*0.001</f>
        <v>5.2000000000000005E-2</v>
      </c>
      <c r="C54" s="19"/>
      <c r="D54" s="20"/>
      <c r="E54" s="8"/>
      <c r="F54" s="21"/>
      <c r="G54" s="7"/>
      <c r="H54" s="7"/>
      <c r="I54" s="7"/>
      <c r="J54" s="7"/>
      <c r="K54" s="6"/>
      <c r="L54" s="6"/>
    </row>
    <row r="55" spans="1:12" ht="13.5" customHeight="1" x14ac:dyDescent="0.25">
      <c r="A55" s="17">
        <v>53</v>
      </c>
      <c r="B55" s="18">
        <f>'Revision Log'!$C55+'Revision Log'!$A55*0.001</f>
        <v>5.2999999999999999E-2</v>
      </c>
      <c r="C55" s="19"/>
      <c r="D55" s="20"/>
      <c r="E55" s="8"/>
      <c r="F55" s="21"/>
      <c r="G55" s="7"/>
      <c r="H55" s="7"/>
      <c r="I55" s="7"/>
      <c r="J55" s="7"/>
      <c r="K55" s="6"/>
      <c r="L55" s="6"/>
    </row>
    <row r="56" spans="1:12" ht="13.5" customHeight="1" x14ac:dyDescent="0.25">
      <c r="A56" s="17">
        <v>54</v>
      </c>
      <c r="B56" s="18">
        <f>'Revision Log'!$C56+'Revision Log'!$A56*0.001</f>
        <v>5.3999999999999999E-2</v>
      </c>
      <c r="C56" s="19"/>
      <c r="D56" s="20"/>
      <c r="E56" s="8"/>
      <c r="F56" s="21"/>
      <c r="G56" s="7"/>
      <c r="H56" s="7"/>
      <c r="I56" s="7"/>
      <c r="J56" s="7"/>
      <c r="K56" s="6"/>
      <c r="L56" s="6"/>
    </row>
    <row r="57" spans="1:12" ht="13.5" customHeight="1" x14ac:dyDescent="0.25">
      <c r="A57" s="17">
        <v>55</v>
      </c>
      <c r="B57" s="18">
        <f>'Revision Log'!$C57+'Revision Log'!$A57*0.001</f>
        <v>5.5E-2</v>
      </c>
      <c r="C57" s="19"/>
      <c r="D57" s="20"/>
      <c r="E57" s="8"/>
      <c r="F57" s="21"/>
      <c r="G57" s="7"/>
      <c r="H57" s="7"/>
      <c r="I57" s="7"/>
      <c r="J57" s="7"/>
      <c r="K57" s="6"/>
      <c r="L57" s="6"/>
    </row>
    <row r="58" spans="1:12" ht="13.5" customHeight="1" x14ac:dyDescent="0.25">
      <c r="A58" s="17">
        <v>56</v>
      </c>
      <c r="B58" s="18">
        <f>'Revision Log'!$C58+'Revision Log'!$A58*0.001</f>
        <v>5.6000000000000001E-2</v>
      </c>
      <c r="C58" s="19"/>
      <c r="D58" s="20"/>
      <c r="E58" s="8"/>
      <c r="F58" s="21"/>
      <c r="G58" s="7"/>
      <c r="H58" s="7"/>
      <c r="I58" s="7"/>
      <c r="J58" s="7"/>
      <c r="K58" s="6"/>
      <c r="L58" s="6"/>
    </row>
    <row r="59" spans="1:12" ht="13.5" customHeight="1" x14ac:dyDescent="0.25">
      <c r="A59" s="17">
        <v>57</v>
      </c>
      <c r="B59" s="18">
        <f>'Revision Log'!$C59+'Revision Log'!$A59*0.001</f>
        <v>5.7000000000000002E-2</v>
      </c>
      <c r="C59" s="19"/>
      <c r="D59" s="20"/>
      <c r="E59" s="8"/>
      <c r="F59" s="21"/>
      <c r="G59" s="7"/>
      <c r="H59" s="7"/>
      <c r="I59" s="7"/>
      <c r="J59" s="7"/>
      <c r="K59" s="6"/>
      <c r="L59" s="6"/>
    </row>
    <row r="60" spans="1:12" ht="13.5" customHeight="1" x14ac:dyDescent="0.25">
      <c r="A60" s="17">
        <v>58</v>
      </c>
      <c r="B60" s="18">
        <f>'Revision Log'!$C60+'Revision Log'!$A60*0.001</f>
        <v>5.8000000000000003E-2</v>
      </c>
      <c r="C60" s="19"/>
      <c r="D60" s="20"/>
      <c r="E60" s="8"/>
      <c r="F60" s="21"/>
      <c r="G60" s="7"/>
      <c r="H60" s="7"/>
      <c r="I60" s="7"/>
      <c r="J60" s="7"/>
      <c r="K60" s="6"/>
      <c r="L60" s="6"/>
    </row>
    <row r="61" spans="1:12" ht="13.5" customHeight="1" x14ac:dyDescent="0.25">
      <c r="A61" s="17">
        <v>59</v>
      </c>
      <c r="B61" s="18">
        <f>'Revision Log'!$C61+'Revision Log'!$A61*0.001</f>
        <v>5.9000000000000004E-2</v>
      </c>
      <c r="C61" s="19"/>
      <c r="D61" s="20"/>
      <c r="E61" s="8"/>
      <c r="F61" s="21"/>
      <c r="G61" s="7"/>
      <c r="H61" s="7"/>
      <c r="I61" s="7"/>
      <c r="J61" s="7"/>
      <c r="K61" s="6"/>
      <c r="L61" s="6"/>
    </row>
    <row r="62" spans="1:12" ht="13.5" customHeight="1" x14ac:dyDescent="0.25">
      <c r="A62" s="17">
        <v>60</v>
      </c>
      <c r="B62" s="18">
        <f>'Revision Log'!$C62+'Revision Log'!$A62*0.001</f>
        <v>0.06</v>
      </c>
      <c r="C62" s="19"/>
      <c r="D62" s="20"/>
      <c r="E62" s="8"/>
      <c r="F62" s="21"/>
      <c r="G62" s="7"/>
      <c r="H62" s="7"/>
      <c r="I62" s="7"/>
      <c r="J62" s="7"/>
      <c r="K62" s="6"/>
      <c r="L62" s="6"/>
    </row>
    <row r="63" spans="1:12" ht="13.5" customHeight="1" x14ac:dyDescent="0.25">
      <c r="A63" s="17">
        <v>61</v>
      </c>
      <c r="B63" s="18">
        <f>'Revision Log'!$C63+'Revision Log'!$A63*0.001</f>
        <v>6.0999999999999999E-2</v>
      </c>
      <c r="C63" s="19"/>
      <c r="D63" s="20"/>
      <c r="E63" s="8"/>
      <c r="F63" s="21"/>
      <c r="G63" s="7"/>
      <c r="H63" s="7"/>
      <c r="I63" s="7"/>
      <c r="J63" s="7"/>
      <c r="K63" s="6"/>
      <c r="L63" s="6"/>
    </row>
    <row r="64" spans="1:12" ht="13.5" customHeight="1" x14ac:dyDescent="0.25">
      <c r="A64" s="17">
        <v>62</v>
      </c>
      <c r="B64" s="18">
        <f>'Revision Log'!$C64+'Revision Log'!$A64*0.001</f>
        <v>6.2E-2</v>
      </c>
      <c r="C64" s="19"/>
      <c r="D64" s="20"/>
      <c r="E64" s="8"/>
      <c r="F64" s="21"/>
      <c r="G64" s="7"/>
      <c r="H64" s="7"/>
      <c r="I64" s="7"/>
      <c r="J64" s="7"/>
      <c r="K64" s="6"/>
      <c r="L64" s="6"/>
    </row>
    <row r="65" spans="1:12" ht="13.5" customHeight="1" x14ac:dyDescent="0.25">
      <c r="A65" s="17">
        <v>63</v>
      </c>
      <c r="B65" s="18">
        <f>'Revision Log'!$C65+'Revision Log'!$A65*0.001</f>
        <v>6.3E-2</v>
      </c>
      <c r="C65" s="19"/>
      <c r="D65" s="20"/>
      <c r="E65" s="8"/>
      <c r="F65" s="21"/>
      <c r="G65" s="7"/>
      <c r="H65" s="7"/>
      <c r="I65" s="7"/>
      <c r="J65" s="7"/>
      <c r="K65" s="6"/>
      <c r="L65" s="6"/>
    </row>
    <row r="66" spans="1:12" ht="13.5" customHeight="1" x14ac:dyDescent="0.25">
      <c r="A66" s="17">
        <v>64</v>
      </c>
      <c r="B66" s="18">
        <f>'Revision Log'!$C66+'Revision Log'!$A66*0.001</f>
        <v>6.4000000000000001E-2</v>
      </c>
      <c r="C66" s="19"/>
      <c r="D66" s="20"/>
      <c r="E66" s="8"/>
      <c r="F66" s="21"/>
      <c r="G66" s="7"/>
      <c r="H66" s="7"/>
      <c r="I66" s="7"/>
      <c r="J66" s="7"/>
      <c r="K66" s="6"/>
      <c r="L66" s="6"/>
    </row>
    <row r="67" spans="1:12" ht="13.5" customHeight="1" x14ac:dyDescent="0.25">
      <c r="A67" s="17">
        <v>65</v>
      </c>
      <c r="B67" s="18">
        <f>'Revision Log'!$C67+'Revision Log'!$A67*0.001</f>
        <v>6.5000000000000002E-2</v>
      </c>
      <c r="C67" s="19"/>
      <c r="D67" s="20"/>
      <c r="E67" s="8"/>
      <c r="F67" s="21"/>
      <c r="G67" s="7"/>
      <c r="H67" s="7"/>
      <c r="I67" s="7"/>
      <c r="J67" s="7"/>
      <c r="K67" s="6"/>
      <c r="L67" s="6"/>
    </row>
    <row r="68" spans="1:12" ht="13.5" customHeight="1" x14ac:dyDescent="0.25">
      <c r="A68" s="17">
        <v>66</v>
      </c>
      <c r="B68" s="18">
        <f>'Revision Log'!$C68+'Revision Log'!$A68*0.001</f>
        <v>6.6000000000000003E-2</v>
      </c>
      <c r="C68" s="19"/>
      <c r="D68" s="20"/>
      <c r="E68" s="8"/>
      <c r="F68" s="21"/>
      <c r="G68" s="7"/>
      <c r="H68" s="7"/>
      <c r="I68" s="7"/>
      <c r="J68" s="7"/>
      <c r="K68" s="6"/>
      <c r="L68" s="6"/>
    </row>
    <row r="69" spans="1:12" ht="13.5" customHeight="1" x14ac:dyDescent="0.25">
      <c r="A69" s="17">
        <v>67</v>
      </c>
      <c r="B69" s="18">
        <f>'Revision Log'!$C69+'Revision Log'!$A69*0.001</f>
        <v>6.7000000000000004E-2</v>
      </c>
      <c r="C69" s="19"/>
      <c r="D69" s="20"/>
      <c r="E69" s="8"/>
      <c r="F69" s="21"/>
      <c r="G69" s="7"/>
      <c r="H69" s="7"/>
      <c r="I69" s="7"/>
      <c r="J69" s="7"/>
      <c r="K69" s="6"/>
      <c r="L69" s="6"/>
    </row>
    <row r="70" spans="1:12" ht="13.5" customHeight="1" x14ac:dyDescent="0.25">
      <c r="A70" s="17">
        <v>68</v>
      </c>
      <c r="B70" s="18">
        <f>'Revision Log'!$C70+'Revision Log'!$A70*0.001</f>
        <v>6.8000000000000005E-2</v>
      </c>
      <c r="C70" s="19"/>
      <c r="D70" s="20"/>
      <c r="E70" s="8"/>
      <c r="F70" s="21"/>
      <c r="G70" s="7"/>
      <c r="H70" s="7"/>
      <c r="I70" s="7"/>
      <c r="J70" s="7"/>
      <c r="K70" s="6"/>
      <c r="L70" s="6"/>
    </row>
    <row r="71" spans="1:12" ht="13.5" customHeight="1" x14ac:dyDescent="0.25">
      <c r="A71" s="17">
        <v>69</v>
      </c>
      <c r="B71" s="18">
        <f>'Revision Log'!$C71+'Revision Log'!$A71*0.001</f>
        <v>6.9000000000000006E-2</v>
      </c>
      <c r="C71" s="19"/>
      <c r="D71" s="20"/>
      <c r="E71" s="8"/>
      <c r="F71" s="21"/>
      <c r="G71" s="7"/>
      <c r="H71" s="7"/>
      <c r="I71" s="7"/>
      <c r="J71" s="7"/>
      <c r="K71" s="6"/>
      <c r="L71" s="6"/>
    </row>
    <row r="72" spans="1:12" ht="13.5" customHeight="1" x14ac:dyDescent="0.25">
      <c r="A72" s="17">
        <v>70</v>
      </c>
      <c r="B72" s="18">
        <f>'Revision Log'!$C72+'Revision Log'!$A72*0.001</f>
        <v>7.0000000000000007E-2</v>
      </c>
      <c r="C72" s="19"/>
      <c r="D72" s="20"/>
      <c r="E72" s="8"/>
      <c r="F72" s="21"/>
      <c r="G72" s="7"/>
      <c r="H72" s="7"/>
      <c r="I72" s="7"/>
      <c r="J72" s="7"/>
      <c r="K72" s="6"/>
      <c r="L72" s="6"/>
    </row>
    <row r="73" spans="1:12" ht="13.5" customHeight="1" x14ac:dyDescent="0.25">
      <c r="A73" s="17">
        <v>71</v>
      </c>
      <c r="B73" s="18">
        <f>'Revision Log'!$C73+'Revision Log'!$A73*0.001</f>
        <v>7.1000000000000008E-2</v>
      </c>
      <c r="C73" s="19"/>
      <c r="D73" s="20"/>
      <c r="E73" s="8"/>
      <c r="F73" s="21"/>
      <c r="G73" s="7"/>
      <c r="H73" s="7"/>
      <c r="I73" s="7"/>
      <c r="J73" s="7"/>
      <c r="K73" s="6"/>
      <c r="L73" s="6"/>
    </row>
    <row r="74" spans="1:12" ht="13.5" customHeight="1" x14ac:dyDescent="0.25">
      <c r="A74" s="17">
        <v>72</v>
      </c>
      <c r="B74" s="18">
        <f>'Revision Log'!$C74+'Revision Log'!$A74*0.001</f>
        <v>7.2000000000000008E-2</v>
      </c>
      <c r="C74" s="19"/>
      <c r="D74" s="20"/>
      <c r="E74" s="8"/>
      <c r="F74" s="21"/>
      <c r="G74" s="7"/>
      <c r="H74" s="7"/>
      <c r="I74" s="7"/>
      <c r="J74" s="7"/>
      <c r="K74" s="6"/>
      <c r="L74" s="6"/>
    </row>
    <row r="75" spans="1:12" ht="13.5" customHeight="1" x14ac:dyDescent="0.25">
      <c r="A75" s="17">
        <v>73</v>
      </c>
      <c r="B75" s="18">
        <f>'Revision Log'!$C75+'Revision Log'!$A75*0.001</f>
        <v>7.2999999999999995E-2</v>
      </c>
      <c r="C75" s="19"/>
      <c r="D75" s="20"/>
      <c r="E75" s="8"/>
      <c r="F75" s="21"/>
      <c r="G75" s="7"/>
      <c r="H75" s="7"/>
      <c r="I75" s="7"/>
      <c r="J75" s="7"/>
      <c r="K75" s="6"/>
      <c r="L75" s="6"/>
    </row>
    <row r="76" spans="1:12" ht="13.5" customHeight="1" x14ac:dyDescent="0.25">
      <c r="A76" s="17">
        <v>74</v>
      </c>
      <c r="B76" s="18">
        <f>'Revision Log'!$C76+'Revision Log'!$A76*0.001</f>
        <v>7.3999999999999996E-2</v>
      </c>
      <c r="C76" s="19"/>
      <c r="D76" s="20"/>
      <c r="E76" s="8"/>
      <c r="F76" s="21"/>
      <c r="G76" s="7"/>
      <c r="H76" s="7"/>
      <c r="I76" s="7"/>
      <c r="J76" s="7"/>
      <c r="K76" s="6"/>
      <c r="L76" s="6"/>
    </row>
    <row r="77" spans="1:12" ht="13.5" customHeight="1" x14ac:dyDescent="0.25">
      <c r="A77" s="17">
        <v>75</v>
      </c>
      <c r="B77" s="18">
        <f>'Revision Log'!$C77+'Revision Log'!$A77*0.001</f>
        <v>7.4999999999999997E-2</v>
      </c>
      <c r="C77" s="19"/>
      <c r="D77" s="20"/>
      <c r="E77" s="8"/>
      <c r="F77" s="21"/>
      <c r="G77" s="7"/>
      <c r="H77" s="7"/>
      <c r="I77" s="7"/>
      <c r="J77" s="7"/>
      <c r="K77" s="6"/>
      <c r="L77" s="6"/>
    </row>
    <row r="78" spans="1:12" ht="13.5" customHeight="1" x14ac:dyDescent="0.25">
      <c r="A78" s="17">
        <v>76</v>
      </c>
      <c r="B78" s="18">
        <f>'Revision Log'!$C78+'Revision Log'!$A78*0.001</f>
        <v>7.5999999999999998E-2</v>
      </c>
      <c r="C78" s="19"/>
      <c r="D78" s="20"/>
      <c r="E78" s="8"/>
      <c r="F78" s="21"/>
      <c r="G78" s="7"/>
      <c r="H78" s="7"/>
      <c r="I78" s="7"/>
      <c r="J78" s="7"/>
      <c r="K78" s="6"/>
      <c r="L78" s="6"/>
    </row>
    <row r="79" spans="1:12" ht="13.5" customHeight="1" x14ac:dyDescent="0.25">
      <c r="A79" s="17">
        <v>77</v>
      </c>
      <c r="B79" s="18">
        <f>'Revision Log'!$C79+'Revision Log'!$A79*0.001</f>
        <v>7.6999999999999999E-2</v>
      </c>
      <c r="C79" s="19"/>
      <c r="D79" s="20"/>
      <c r="E79" s="8"/>
      <c r="F79" s="21"/>
      <c r="G79" s="7"/>
      <c r="H79" s="7"/>
      <c r="I79" s="7"/>
      <c r="J79" s="7"/>
      <c r="K79" s="6"/>
      <c r="L79" s="6"/>
    </row>
    <row r="80" spans="1:12" ht="13.5" customHeight="1" x14ac:dyDescent="0.25">
      <c r="A80" s="17">
        <v>78</v>
      </c>
      <c r="B80" s="18">
        <f>'Revision Log'!$C80+'Revision Log'!$A80*0.001</f>
        <v>7.8E-2</v>
      </c>
      <c r="C80" s="19"/>
      <c r="D80" s="20"/>
      <c r="E80" s="8"/>
      <c r="F80" s="21"/>
      <c r="G80" s="7"/>
      <c r="H80" s="7"/>
      <c r="I80" s="7"/>
      <c r="J80" s="7"/>
      <c r="K80" s="6"/>
      <c r="L80" s="6"/>
    </row>
    <row r="81" spans="1:12" ht="13.5" customHeight="1" x14ac:dyDescent="0.25">
      <c r="A81" s="17">
        <v>79</v>
      </c>
      <c r="B81" s="18">
        <f>'Revision Log'!$C81+'Revision Log'!$A81*0.001</f>
        <v>7.9000000000000001E-2</v>
      </c>
      <c r="C81" s="19"/>
      <c r="D81" s="20"/>
      <c r="E81" s="8"/>
      <c r="F81" s="21"/>
      <c r="G81" s="7"/>
      <c r="H81" s="7"/>
      <c r="I81" s="7"/>
      <c r="J81" s="7"/>
      <c r="K81" s="6"/>
      <c r="L81" s="6"/>
    </row>
    <row r="82" spans="1:12" ht="13.5" customHeight="1" x14ac:dyDescent="0.25">
      <c r="A82" s="17">
        <v>80</v>
      </c>
      <c r="B82" s="18">
        <f>'Revision Log'!$C82+'Revision Log'!$A82*0.001</f>
        <v>0.08</v>
      </c>
      <c r="C82" s="19"/>
      <c r="D82" s="20"/>
      <c r="E82" s="8"/>
      <c r="F82" s="21"/>
      <c r="G82" s="7"/>
      <c r="H82" s="7"/>
      <c r="I82" s="7"/>
      <c r="J82" s="7"/>
      <c r="K82" s="6"/>
      <c r="L82" s="6"/>
    </row>
    <row r="83" spans="1:12" ht="13.5" customHeight="1" x14ac:dyDescent="0.25">
      <c r="A83" s="17">
        <v>81</v>
      </c>
      <c r="B83" s="18">
        <f>'Revision Log'!$C83+'Revision Log'!$A83*0.001</f>
        <v>8.1000000000000003E-2</v>
      </c>
      <c r="C83" s="19"/>
      <c r="D83" s="20"/>
      <c r="E83" s="8"/>
      <c r="F83" s="21"/>
      <c r="G83" s="7"/>
      <c r="H83" s="7"/>
      <c r="I83" s="7"/>
      <c r="J83" s="7"/>
      <c r="K83" s="6"/>
      <c r="L83" s="6"/>
    </row>
    <row r="84" spans="1:12" ht="13.5" customHeight="1" x14ac:dyDescent="0.25">
      <c r="A84" s="17">
        <v>82</v>
      </c>
      <c r="B84" s="18">
        <f>'Revision Log'!$C84+'Revision Log'!$A84*0.001</f>
        <v>8.2000000000000003E-2</v>
      </c>
      <c r="C84" s="19"/>
      <c r="D84" s="20"/>
      <c r="E84" s="8"/>
      <c r="F84" s="21"/>
      <c r="G84" s="7"/>
      <c r="H84" s="7"/>
      <c r="I84" s="7"/>
      <c r="J84" s="7"/>
      <c r="K84" s="6"/>
      <c r="L84" s="6"/>
    </row>
    <row r="85" spans="1:12" ht="13.5" customHeight="1" x14ac:dyDescent="0.25">
      <c r="A85" s="17">
        <v>83</v>
      </c>
      <c r="B85" s="18">
        <f>'Revision Log'!$C85+'Revision Log'!$A85*0.001</f>
        <v>8.3000000000000004E-2</v>
      </c>
      <c r="C85" s="19"/>
      <c r="D85" s="20"/>
      <c r="E85" s="8"/>
      <c r="F85" s="21"/>
      <c r="G85" s="7"/>
      <c r="H85" s="7"/>
      <c r="I85" s="7"/>
      <c r="J85" s="7"/>
      <c r="K85" s="6"/>
      <c r="L85" s="6"/>
    </row>
    <row r="86" spans="1:12" ht="13.5" customHeight="1" x14ac:dyDescent="0.25">
      <c r="A86" s="17">
        <v>84</v>
      </c>
      <c r="B86" s="18">
        <f>'Revision Log'!$C86+'Revision Log'!$A86*0.001</f>
        <v>8.4000000000000005E-2</v>
      </c>
      <c r="C86" s="19"/>
      <c r="D86" s="20"/>
      <c r="E86" s="8"/>
      <c r="F86" s="21"/>
      <c r="G86" s="7"/>
      <c r="H86" s="7"/>
      <c r="I86" s="7"/>
      <c r="J86" s="7"/>
      <c r="K86" s="6"/>
      <c r="L86" s="6"/>
    </row>
    <row r="87" spans="1:12" ht="13.5" customHeight="1" x14ac:dyDescent="0.25">
      <c r="A87" s="17">
        <v>85</v>
      </c>
      <c r="B87" s="18">
        <f>'Revision Log'!$C87+'Revision Log'!$A87*0.001</f>
        <v>8.5000000000000006E-2</v>
      </c>
      <c r="C87" s="19"/>
      <c r="D87" s="20"/>
      <c r="E87" s="8"/>
      <c r="F87" s="21"/>
      <c r="G87" s="7"/>
      <c r="H87" s="7"/>
      <c r="I87" s="7"/>
      <c r="J87" s="7"/>
      <c r="K87" s="6"/>
      <c r="L87" s="6"/>
    </row>
    <row r="88" spans="1:12" ht="13.5" customHeight="1" x14ac:dyDescent="0.25">
      <c r="A88" s="17">
        <v>86</v>
      </c>
      <c r="B88" s="18">
        <f>'Revision Log'!$C88+'Revision Log'!$A88*0.001</f>
        <v>8.6000000000000007E-2</v>
      </c>
      <c r="C88" s="19"/>
      <c r="D88" s="20"/>
      <c r="E88" s="8"/>
      <c r="F88" s="21"/>
      <c r="G88" s="7"/>
      <c r="H88" s="7"/>
      <c r="I88" s="7"/>
      <c r="J88" s="7"/>
      <c r="K88" s="6"/>
      <c r="L88" s="6"/>
    </row>
    <row r="89" spans="1:12" ht="13.5" customHeight="1" x14ac:dyDescent="0.25">
      <c r="A89" s="17">
        <v>87</v>
      </c>
      <c r="B89" s="18">
        <f>'Revision Log'!$C89+'Revision Log'!$A89*0.001</f>
        <v>8.7000000000000008E-2</v>
      </c>
      <c r="C89" s="19"/>
      <c r="D89" s="20"/>
      <c r="E89" s="8"/>
      <c r="F89" s="21"/>
      <c r="G89" s="7"/>
      <c r="H89" s="7"/>
      <c r="I89" s="7"/>
      <c r="J89" s="7"/>
      <c r="K89" s="6"/>
      <c r="L89" s="6"/>
    </row>
    <row r="90" spans="1:12" ht="13.5" customHeight="1" x14ac:dyDescent="0.25">
      <c r="A90" s="17">
        <v>88</v>
      </c>
      <c r="B90" s="18">
        <f>'Revision Log'!$C90+'Revision Log'!$A90*0.001</f>
        <v>8.7999999999999995E-2</v>
      </c>
      <c r="C90" s="19"/>
      <c r="D90" s="20"/>
      <c r="E90" s="8"/>
      <c r="F90" s="21"/>
      <c r="G90" s="7"/>
      <c r="H90" s="7"/>
      <c r="I90" s="7"/>
      <c r="J90" s="7"/>
      <c r="K90" s="6"/>
      <c r="L90" s="6"/>
    </row>
    <row r="91" spans="1:12" ht="13.5" customHeight="1" x14ac:dyDescent="0.25">
      <c r="A91" s="17">
        <v>89</v>
      </c>
      <c r="B91" s="18">
        <f>'Revision Log'!$C91+'Revision Log'!$A91*0.001</f>
        <v>8.8999999999999996E-2</v>
      </c>
      <c r="C91" s="19"/>
      <c r="D91" s="20"/>
      <c r="E91" s="8"/>
      <c r="F91" s="21"/>
      <c r="G91" s="7"/>
      <c r="H91" s="7"/>
      <c r="I91" s="7"/>
      <c r="J91" s="7"/>
      <c r="K91" s="6"/>
      <c r="L91" s="6"/>
    </row>
    <row r="92" spans="1:12" ht="13.5" customHeight="1" x14ac:dyDescent="0.25">
      <c r="A92" s="31">
        <v>90</v>
      </c>
      <c r="B92" s="33">
        <f>'Revision Log'!$C92+'Revision Log'!$A92*0.001</f>
        <v>0.09</v>
      </c>
      <c r="C92" s="34"/>
      <c r="D92" s="35"/>
      <c r="E92" s="10"/>
      <c r="F92" s="36"/>
      <c r="G92" s="37"/>
      <c r="H92" s="37"/>
      <c r="I92" s="37"/>
      <c r="J92" s="37"/>
      <c r="K92" s="6"/>
      <c r="L92" s="6"/>
    </row>
  </sheetData>
  <conditionalFormatting sqref="A3:J92">
    <cfRule type="expression" dxfId="261" priority="1">
      <formula>$J3&gt;0</formula>
    </cfRule>
  </conditionalFormatting>
  <dataValidations count="4">
    <dataValidation type="decimal" operator="greaterThanOrEqual" allowBlank="1" showErrorMessage="1" sqref="A3:A92" xr:uid="{00000000-0002-0000-0000-000000000000}">
      <formula1>1</formula1>
    </dataValidation>
    <dataValidation type="custom" allowBlank="1" showErrorMessage="1" sqref="D3:D92" xr:uid="{00000000-0002-0000-0000-000001000000}">
      <formula1>AND(GTE(LEN(D3),MIN((0),(1))),LTE(LEN(D3),MAX((0),(1))))</formula1>
    </dataValidation>
    <dataValidation type="date" operator="greaterThan" allowBlank="1" showErrorMessage="1" sqref="C3:C92" xr:uid="{00000000-0002-0000-0000-000002000000}">
      <formula1>36526</formula1>
    </dataValidation>
    <dataValidation type="list" allowBlank="1" showErrorMessage="1" sqref="G3:J92" xr:uid="{00000000-0002-0000-0000-000003000000}">
      <formula1>MarkList</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sheetPr>
  <dimension ref="A1:G14"/>
  <sheetViews>
    <sheetView workbookViewId="0">
      <selection activeCell="E2" sqref="E2"/>
    </sheetView>
  </sheetViews>
  <sheetFormatPr defaultRowHeight="15" x14ac:dyDescent="0.25"/>
  <cols>
    <col min="1" max="1" width="27.42578125" customWidth="1"/>
    <col min="2" max="2" width="27.5703125" customWidth="1"/>
    <col min="3" max="3" width="22.42578125" customWidth="1"/>
    <col min="4" max="4" width="26.42578125" bestFit="1" customWidth="1"/>
    <col min="5" max="5" width="46.5703125" bestFit="1" customWidth="1"/>
    <col min="6" max="6" width="37.5703125" customWidth="1"/>
    <col min="7" max="7" width="61" bestFit="1" customWidth="1"/>
  </cols>
  <sheetData>
    <row r="1" spans="1:7" x14ac:dyDescent="0.25">
      <c r="A1" s="87" t="s">
        <v>1401</v>
      </c>
      <c r="B1" s="87" t="s">
        <v>1545</v>
      </c>
      <c r="C1" s="87" t="s">
        <v>1548</v>
      </c>
      <c r="D1" s="87" t="s">
        <v>1402</v>
      </c>
      <c r="E1" s="87" t="s">
        <v>1403</v>
      </c>
      <c r="F1" s="87" t="s">
        <v>1554</v>
      </c>
      <c r="G1" s="87" t="s">
        <v>1404</v>
      </c>
    </row>
    <row r="2" spans="1:7" x14ac:dyDescent="0.25">
      <c r="A2" t="s">
        <v>1395</v>
      </c>
      <c r="B2" t="s">
        <v>1546</v>
      </c>
      <c r="D2" t="s">
        <v>1405</v>
      </c>
      <c r="E2" s="134" t="s">
        <v>1406</v>
      </c>
    </row>
    <row r="3" spans="1:7" x14ac:dyDescent="0.25">
      <c r="A3" t="s">
        <v>1407</v>
      </c>
      <c r="B3" t="s">
        <v>1546</v>
      </c>
      <c r="D3" t="s">
        <v>1408</v>
      </c>
      <c r="E3" s="134" t="s">
        <v>1409</v>
      </c>
    </row>
    <row r="4" spans="1:7" x14ac:dyDescent="0.25">
      <c r="A4" t="s">
        <v>1410</v>
      </c>
      <c r="B4" t="s">
        <v>1546</v>
      </c>
      <c r="D4" t="s">
        <v>1411</v>
      </c>
      <c r="E4" s="134" t="s">
        <v>1412</v>
      </c>
    </row>
    <row r="5" spans="1:7" ht="30" x14ac:dyDescent="0.25">
      <c r="A5" t="s">
        <v>1413</v>
      </c>
      <c r="B5" t="s">
        <v>1546</v>
      </c>
      <c r="D5" t="s">
        <v>1414</v>
      </c>
      <c r="E5" s="96" t="s">
        <v>1446</v>
      </c>
      <c r="F5" s="96"/>
      <c r="G5" s="88"/>
    </row>
    <row r="6" spans="1:7" x14ac:dyDescent="0.25">
      <c r="A6" t="s">
        <v>1422</v>
      </c>
      <c r="B6" t="s">
        <v>1546</v>
      </c>
      <c r="D6" t="s">
        <v>1423</v>
      </c>
      <c r="E6" s="134" t="s">
        <v>1424</v>
      </c>
    </row>
    <row r="7" spans="1:7" x14ac:dyDescent="0.25">
      <c r="A7" t="s">
        <v>1425</v>
      </c>
      <c r="B7" t="s">
        <v>1546</v>
      </c>
      <c r="D7" t="s">
        <v>1427</v>
      </c>
      <c r="E7" t="s">
        <v>1426</v>
      </c>
    </row>
    <row r="8" spans="1:7" x14ac:dyDescent="0.25">
      <c r="A8" t="s">
        <v>1487</v>
      </c>
      <c r="B8" t="s">
        <v>1546</v>
      </c>
      <c r="D8" t="s">
        <v>1488</v>
      </c>
      <c r="E8" t="s">
        <v>1489</v>
      </c>
      <c r="G8" t="s">
        <v>1491</v>
      </c>
    </row>
    <row r="9" spans="1:7" x14ac:dyDescent="0.25">
      <c r="E9" t="s">
        <v>1490</v>
      </c>
    </row>
    <row r="10" spans="1:7" x14ac:dyDescent="0.25">
      <c r="A10" t="s">
        <v>1544</v>
      </c>
      <c r="B10" s="88" t="s">
        <v>1565</v>
      </c>
      <c r="C10" t="s">
        <v>1547</v>
      </c>
      <c r="D10" s="88" t="s">
        <v>1561</v>
      </c>
      <c r="E10" t="s">
        <v>1562</v>
      </c>
      <c r="F10" s="88" t="s">
        <v>1563</v>
      </c>
    </row>
    <row r="11" spans="1:7" x14ac:dyDescent="0.25">
      <c r="A11" t="s">
        <v>1549</v>
      </c>
      <c r="B11" t="s">
        <v>1550</v>
      </c>
      <c r="C11" t="s">
        <v>1551</v>
      </c>
      <c r="D11" t="s">
        <v>1552</v>
      </c>
      <c r="E11" t="s">
        <v>1553</v>
      </c>
      <c r="F11" t="s">
        <v>1555</v>
      </c>
    </row>
    <row r="12" spans="1:7" x14ac:dyDescent="0.25">
      <c r="A12" t="s">
        <v>1556</v>
      </c>
      <c r="B12" t="s">
        <v>1557</v>
      </c>
      <c r="C12" t="s">
        <v>1558</v>
      </c>
      <c r="E12" t="s">
        <v>1559</v>
      </c>
      <c r="F12" s="115" t="s">
        <v>1560</v>
      </c>
    </row>
    <row r="13" spans="1:7" x14ac:dyDescent="0.25">
      <c r="A13" s="88" t="s">
        <v>1564</v>
      </c>
      <c r="B13" s="88" t="s">
        <v>1565</v>
      </c>
      <c r="C13" t="s">
        <v>1566</v>
      </c>
      <c r="D13" t="s">
        <v>1567</v>
      </c>
      <c r="E13" t="s">
        <v>1568</v>
      </c>
      <c r="F13" s="115" t="s">
        <v>1569</v>
      </c>
    </row>
    <row r="14" spans="1:7" x14ac:dyDescent="0.25">
      <c r="A14" s="88" t="s">
        <v>1570</v>
      </c>
      <c r="B14" s="88" t="s">
        <v>1565</v>
      </c>
      <c r="C14" t="s">
        <v>1571</v>
      </c>
      <c r="D14" t="s">
        <v>1572</v>
      </c>
      <c r="E14" t="s">
        <v>1573</v>
      </c>
      <c r="F14" s="115" t="s">
        <v>1574</v>
      </c>
    </row>
  </sheetData>
  <hyperlinks>
    <hyperlink ref="E2" r:id="rId1" xr:uid="{00000000-0004-0000-0900-000000000000}"/>
    <hyperlink ref="E3" r:id="rId2" xr:uid="{00000000-0004-0000-0900-000001000000}"/>
    <hyperlink ref="E4" r:id="rId3" xr:uid="{00000000-0004-0000-0900-000002000000}"/>
    <hyperlink ref="E6" r:id="rId4" xr:uid="{00000000-0004-0000-0900-000003000000}"/>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I104"/>
  <sheetViews>
    <sheetView workbookViewId="0"/>
  </sheetViews>
  <sheetFormatPr defaultColWidth="15.42578125" defaultRowHeight="15" customHeight="1" x14ac:dyDescent="0.25"/>
  <cols>
    <col min="1" max="1" width="9.42578125" customWidth="1"/>
    <col min="2" max="3" width="6.5703125" customWidth="1"/>
    <col min="4" max="4" width="44.42578125" customWidth="1"/>
    <col min="5" max="6" width="11.42578125" customWidth="1"/>
    <col min="7" max="7" width="13.5703125" customWidth="1"/>
    <col min="8" max="8" width="44.42578125" customWidth="1"/>
    <col min="9" max="9" width="8" customWidth="1"/>
  </cols>
  <sheetData>
    <row r="1" spans="1:9" ht="13.5" customHeight="1" x14ac:dyDescent="0.25">
      <c r="A1" s="1" t="e">
        <f>Company&amp;" "&amp;ProjectNumber&amp;" TASK LIST"</f>
        <v>#NAME?</v>
      </c>
      <c r="B1" s="2"/>
      <c r="C1" s="2"/>
      <c r="D1" s="2"/>
      <c r="E1" s="2"/>
      <c r="F1" s="2"/>
      <c r="G1" s="2"/>
      <c r="H1" s="2"/>
      <c r="I1" s="2"/>
    </row>
    <row r="2" spans="1:9" ht="13.5" customHeight="1" x14ac:dyDescent="0.25">
      <c r="A2" s="5" t="s">
        <v>0</v>
      </c>
      <c r="B2" s="5" t="s">
        <v>17</v>
      </c>
      <c r="C2" s="5" t="s">
        <v>18</v>
      </c>
      <c r="D2" s="5" t="s">
        <v>19</v>
      </c>
      <c r="E2" s="5" t="s">
        <v>20</v>
      </c>
      <c r="F2" s="5" t="s">
        <v>21</v>
      </c>
      <c r="G2" s="5" t="s">
        <v>22</v>
      </c>
      <c r="H2" s="5" t="s">
        <v>23</v>
      </c>
      <c r="I2" s="5" t="s">
        <v>24</v>
      </c>
    </row>
    <row r="3" spans="1:9" ht="13.5" customHeight="1" x14ac:dyDescent="0.25">
      <c r="A3" s="13" t="s">
        <v>25</v>
      </c>
      <c r="B3" s="12" t="s">
        <v>26</v>
      </c>
      <c r="C3" s="22"/>
      <c r="D3" s="14"/>
      <c r="E3" s="23"/>
      <c r="F3" s="13"/>
      <c r="G3" s="13"/>
      <c r="H3" s="13"/>
      <c r="I3" s="14"/>
    </row>
    <row r="4" spans="1:9" ht="13.5" customHeight="1" x14ac:dyDescent="0.25">
      <c r="A4" s="13" t="s">
        <v>25</v>
      </c>
      <c r="B4" s="12" t="s">
        <v>27</v>
      </c>
      <c r="C4" s="12"/>
      <c r="D4" s="12"/>
      <c r="E4" s="24"/>
      <c r="F4" s="24"/>
      <c r="G4" s="24"/>
      <c r="H4" s="24"/>
      <c r="I4" s="23"/>
    </row>
    <row r="5" spans="1:9" ht="13.5" customHeight="1" x14ac:dyDescent="0.25">
      <c r="A5" s="13" t="s">
        <v>25</v>
      </c>
      <c r="B5" s="12" t="s">
        <v>28</v>
      </c>
      <c r="C5" s="12"/>
      <c r="D5" s="12"/>
      <c r="E5" s="24"/>
      <c r="F5" s="24"/>
      <c r="G5" s="24"/>
      <c r="H5" s="24"/>
      <c r="I5" s="23"/>
    </row>
    <row r="6" spans="1:9" ht="13.5" customHeight="1" x14ac:dyDescent="0.25">
      <c r="A6" s="13" t="s">
        <v>25</v>
      </c>
      <c r="B6" s="12" t="s">
        <v>29</v>
      </c>
      <c r="C6" s="12"/>
      <c r="D6" s="12"/>
      <c r="E6" s="24"/>
      <c r="F6" s="24"/>
      <c r="G6" s="24"/>
      <c r="H6" s="24"/>
      <c r="I6" s="23"/>
    </row>
    <row r="7" spans="1:9" ht="13.5" customHeight="1" x14ac:dyDescent="0.25">
      <c r="A7" s="13" t="s">
        <v>25</v>
      </c>
      <c r="B7" s="12" t="s">
        <v>30</v>
      </c>
      <c r="C7" s="12"/>
      <c r="D7" s="12"/>
      <c r="E7" s="24"/>
      <c r="F7" s="24"/>
      <c r="G7" s="24"/>
      <c r="H7" s="24"/>
      <c r="I7" s="23"/>
    </row>
    <row r="8" spans="1:9" ht="13.5" customHeight="1" x14ac:dyDescent="0.25">
      <c r="A8" s="13" t="s">
        <v>25</v>
      </c>
      <c r="B8" s="12" t="s">
        <v>31</v>
      </c>
      <c r="C8" s="12"/>
      <c r="D8" s="12"/>
      <c r="E8" s="24"/>
      <c r="F8" s="24"/>
      <c r="G8" s="24"/>
      <c r="H8" s="24"/>
      <c r="I8" s="23"/>
    </row>
    <row r="9" spans="1:9" ht="13.5" customHeight="1" x14ac:dyDescent="0.25">
      <c r="A9" s="13" t="s">
        <v>25</v>
      </c>
      <c r="B9" s="12" t="s">
        <v>32</v>
      </c>
      <c r="C9" s="12"/>
      <c r="D9" s="12"/>
      <c r="E9" s="24"/>
      <c r="F9" s="24"/>
      <c r="G9" s="24"/>
      <c r="H9" s="24"/>
      <c r="I9" s="23"/>
    </row>
    <row r="10" spans="1:9" ht="13.5" customHeight="1" x14ac:dyDescent="0.25">
      <c r="A10" s="13" t="s">
        <v>25</v>
      </c>
      <c r="B10" s="12" t="s">
        <v>33</v>
      </c>
      <c r="C10" s="12"/>
      <c r="D10" s="12"/>
      <c r="E10" s="24"/>
      <c r="F10" s="24"/>
      <c r="G10" s="24"/>
      <c r="H10" s="24"/>
      <c r="I10" s="23"/>
    </row>
    <row r="11" spans="1:9" ht="13.5" customHeight="1" x14ac:dyDescent="0.25">
      <c r="A11" s="13" t="s">
        <v>25</v>
      </c>
      <c r="B11" s="12" t="s">
        <v>34</v>
      </c>
      <c r="C11" s="12"/>
      <c r="D11" s="12"/>
      <c r="E11" s="24"/>
      <c r="F11" s="24"/>
      <c r="G11" s="24"/>
      <c r="H11" s="24"/>
      <c r="I11" s="23"/>
    </row>
    <row r="12" spans="1:9" ht="13.5" customHeight="1" x14ac:dyDescent="0.25">
      <c r="A12" s="13" t="s">
        <v>25</v>
      </c>
      <c r="B12" s="12" t="s">
        <v>35</v>
      </c>
      <c r="C12" s="12"/>
      <c r="D12" s="12"/>
      <c r="E12" s="24"/>
      <c r="F12" s="24"/>
      <c r="G12" s="24"/>
      <c r="H12" s="24"/>
      <c r="I12" s="23"/>
    </row>
    <row r="13" spans="1:9" ht="13.5" customHeight="1" x14ac:dyDescent="0.25">
      <c r="A13" s="13" t="s">
        <v>25</v>
      </c>
      <c r="B13" s="12" t="s">
        <v>36</v>
      </c>
      <c r="C13" s="12"/>
      <c r="D13" s="12"/>
      <c r="E13" s="24"/>
      <c r="F13" s="24"/>
      <c r="G13" s="24"/>
      <c r="H13" s="24"/>
      <c r="I13" s="23"/>
    </row>
    <row r="14" spans="1:9" ht="13.5" customHeight="1" x14ac:dyDescent="0.25">
      <c r="A14" s="13" t="s">
        <v>25</v>
      </c>
      <c r="B14" s="12" t="s">
        <v>37</v>
      </c>
      <c r="C14" s="12"/>
      <c r="D14" s="12"/>
      <c r="E14" s="24"/>
      <c r="F14" s="24"/>
      <c r="G14" s="24"/>
      <c r="H14" s="24"/>
      <c r="I14" s="23"/>
    </row>
    <row r="15" spans="1:9" ht="13.5" customHeight="1" x14ac:dyDescent="0.25">
      <c r="A15" s="13" t="s">
        <v>25</v>
      </c>
      <c r="B15" s="12" t="s">
        <v>38</v>
      </c>
      <c r="C15" s="12"/>
      <c r="D15" s="12"/>
      <c r="E15" s="24"/>
      <c r="F15" s="24"/>
      <c r="G15" s="24"/>
      <c r="H15" s="24"/>
      <c r="I15" s="23"/>
    </row>
    <row r="16" spans="1:9" ht="13.5" customHeight="1" x14ac:dyDescent="0.25">
      <c r="A16" s="13" t="s">
        <v>25</v>
      </c>
      <c r="B16" s="12" t="s">
        <v>39</v>
      </c>
      <c r="C16" s="12"/>
      <c r="D16" s="12"/>
      <c r="E16" s="24"/>
      <c r="F16" s="24"/>
      <c r="G16" s="24"/>
      <c r="H16" s="24"/>
      <c r="I16" s="23"/>
    </row>
    <row r="17" spans="1:9" ht="13.5" customHeight="1" x14ac:dyDescent="0.25">
      <c r="A17" s="13" t="s">
        <v>25</v>
      </c>
      <c r="B17" s="12" t="s">
        <v>40</v>
      </c>
      <c r="C17" s="12"/>
      <c r="D17" s="12"/>
      <c r="E17" s="24"/>
      <c r="F17" s="24"/>
      <c r="G17" s="24"/>
      <c r="H17" s="24"/>
      <c r="I17" s="23"/>
    </row>
    <row r="18" spans="1:9" ht="13.5" customHeight="1" x14ac:dyDescent="0.25">
      <c r="A18" s="13" t="s">
        <v>25</v>
      </c>
      <c r="B18" s="12" t="s">
        <v>41</v>
      </c>
      <c r="C18" s="12"/>
      <c r="D18" s="12"/>
      <c r="E18" s="24"/>
      <c r="F18" s="24"/>
      <c r="G18" s="24"/>
      <c r="H18" s="24"/>
      <c r="I18" s="23"/>
    </row>
    <row r="19" spans="1:9" ht="13.5" customHeight="1" x14ac:dyDescent="0.25">
      <c r="A19" s="13" t="s">
        <v>25</v>
      </c>
      <c r="B19" s="12" t="s">
        <v>42</v>
      </c>
      <c r="C19" s="12"/>
      <c r="D19" s="12"/>
      <c r="E19" s="24"/>
      <c r="F19" s="24"/>
      <c r="G19" s="24"/>
      <c r="H19" s="24"/>
      <c r="I19" s="23"/>
    </row>
    <row r="20" spans="1:9" ht="13.5" customHeight="1" x14ac:dyDescent="0.25">
      <c r="A20" s="13" t="s">
        <v>25</v>
      </c>
      <c r="B20" s="12" t="s">
        <v>43</v>
      </c>
      <c r="C20" s="12"/>
      <c r="D20" s="12"/>
      <c r="E20" s="24"/>
      <c r="F20" s="24"/>
      <c r="G20" s="24"/>
      <c r="H20" s="24"/>
      <c r="I20" s="23"/>
    </row>
    <row r="21" spans="1:9" ht="13.5" customHeight="1" x14ac:dyDescent="0.25">
      <c r="A21" s="13" t="s">
        <v>25</v>
      </c>
      <c r="B21" s="12" t="s">
        <v>44</v>
      </c>
      <c r="C21" s="12"/>
      <c r="D21" s="12"/>
      <c r="E21" s="24"/>
      <c r="F21" s="24"/>
      <c r="G21" s="24"/>
      <c r="H21" s="24"/>
      <c r="I21" s="23"/>
    </row>
    <row r="22" spans="1:9" ht="13.5" customHeight="1" x14ac:dyDescent="0.25">
      <c r="A22" s="13" t="s">
        <v>25</v>
      </c>
      <c r="B22" s="12" t="s">
        <v>45</v>
      </c>
      <c r="C22" s="12"/>
      <c r="D22" s="12"/>
      <c r="E22" s="24"/>
      <c r="F22" s="24"/>
      <c r="G22" s="24"/>
      <c r="H22" s="24"/>
      <c r="I22" s="23"/>
    </row>
    <row r="23" spans="1:9" ht="13.5" customHeight="1" x14ac:dyDescent="0.25">
      <c r="A23" s="13" t="s">
        <v>25</v>
      </c>
      <c r="B23" s="12" t="s">
        <v>46</v>
      </c>
      <c r="C23" s="12"/>
      <c r="D23" s="12"/>
      <c r="E23" s="24"/>
      <c r="F23" s="24"/>
      <c r="G23" s="24"/>
      <c r="H23" s="24"/>
      <c r="I23" s="23"/>
    </row>
    <row r="24" spans="1:9" ht="13.5" customHeight="1" x14ac:dyDescent="0.25">
      <c r="A24" s="13" t="s">
        <v>25</v>
      </c>
      <c r="B24" s="12" t="s">
        <v>47</v>
      </c>
      <c r="C24" s="12"/>
      <c r="D24" s="12"/>
      <c r="E24" s="24"/>
      <c r="F24" s="24"/>
      <c r="G24" s="24"/>
      <c r="H24" s="24"/>
      <c r="I24" s="23"/>
    </row>
    <row r="25" spans="1:9" ht="13.5" customHeight="1" x14ac:dyDescent="0.25">
      <c r="A25" s="13" t="s">
        <v>25</v>
      </c>
      <c r="B25" s="12" t="s">
        <v>48</v>
      </c>
      <c r="C25" s="12"/>
      <c r="D25" s="12"/>
      <c r="E25" s="24"/>
      <c r="F25" s="24"/>
      <c r="G25" s="24"/>
      <c r="H25" s="24"/>
      <c r="I25" s="23"/>
    </row>
    <row r="26" spans="1:9" ht="13.5" customHeight="1" x14ac:dyDescent="0.25">
      <c r="A26" s="13" t="s">
        <v>25</v>
      </c>
      <c r="B26" s="12" t="s">
        <v>49</v>
      </c>
      <c r="C26" s="12"/>
      <c r="D26" s="12"/>
      <c r="E26" s="24"/>
      <c r="F26" s="24"/>
      <c r="G26" s="24"/>
      <c r="H26" s="24"/>
      <c r="I26" s="23"/>
    </row>
    <row r="27" spans="1:9" ht="13.5" customHeight="1" x14ac:dyDescent="0.25">
      <c r="A27" s="13" t="s">
        <v>25</v>
      </c>
      <c r="B27" s="12" t="s">
        <v>50</v>
      </c>
      <c r="C27" s="12"/>
      <c r="D27" s="12"/>
      <c r="E27" s="24"/>
      <c r="F27" s="24"/>
      <c r="G27" s="24"/>
      <c r="H27" s="24"/>
      <c r="I27" s="23"/>
    </row>
    <row r="28" spans="1:9" ht="13.5" customHeight="1" x14ac:dyDescent="0.25">
      <c r="A28" s="13" t="s">
        <v>25</v>
      </c>
      <c r="B28" s="12" t="s">
        <v>51</v>
      </c>
      <c r="C28" s="12"/>
      <c r="D28" s="12"/>
      <c r="E28" s="24"/>
      <c r="F28" s="24"/>
      <c r="G28" s="24"/>
      <c r="H28" s="24"/>
      <c r="I28" s="23"/>
    </row>
    <row r="29" spans="1:9" ht="13.5" customHeight="1" x14ac:dyDescent="0.25">
      <c r="A29" s="13" t="s">
        <v>25</v>
      </c>
      <c r="B29" s="12" t="s">
        <v>52</v>
      </c>
      <c r="C29" s="12"/>
      <c r="D29" s="12"/>
      <c r="E29" s="24"/>
      <c r="F29" s="24"/>
      <c r="G29" s="24"/>
      <c r="H29" s="24"/>
      <c r="I29" s="23"/>
    </row>
    <row r="30" spans="1:9" ht="13.5" customHeight="1" x14ac:dyDescent="0.25">
      <c r="A30" s="13" t="s">
        <v>25</v>
      </c>
      <c r="B30" s="12" t="s">
        <v>53</v>
      </c>
      <c r="C30" s="12"/>
      <c r="D30" s="12"/>
      <c r="E30" s="24"/>
      <c r="F30" s="24"/>
      <c r="G30" s="24"/>
      <c r="H30" s="24"/>
      <c r="I30" s="23"/>
    </row>
    <row r="31" spans="1:9" ht="13.5" customHeight="1" x14ac:dyDescent="0.25">
      <c r="A31" s="13" t="s">
        <v>25</v>
      </c>
      <c r="B31" s="12" t="s">
        <v>54</v>
      </c>
      <c r="C31" s="12"/>
      <c r="D31" s="12"/>
      <c r="E31" s="24"/>
      <c r="F31" s="24"/>
      <c r="G31" s="24"/>
      <c r="H31" s="24"/>
      <c r="I31" s="23"/>
    </row>
    <row r="32" spans="1:9" ht="13.5" customHeight="1" x14ac:dyDescent="0.25">
      <c r="A32" s="13" t="s">
        <v>25</v>
      </c>
      <c r="B32" s="12" t="s">
        <v>55</v>
      </c>
      <c r="C32" s="12"/>
      <c r="D32" s="12"/>
      <c r="E32" s="24"/>
      <c r="F32" s="24"/>
      <c r="G32" s="24"/>
      <c r="H32" s="24"/>
      <c r="I32" s="23"/>
    </row>
    <row r="33" spans="1:9" ht="13.5" customHeight="1" x14ac:dyDescent="0.25">
      <c r="A33" s="13" t="s">
        <v>25</v>
      </c>
      <c r="B33" s="12" t="s">
        <v>55</v>
      </c>
      <c r="C33" s="22"/>
      <c r="D33" s="14"/>
      <c r="E33" s="23"/>
      <c r="F33" s="13"/>
      <c r="G33" s="13"/>
      <c r="H33" s="13"/>
      <c r="I33" s="14"/>
    </row>
    <row r="34" spans="1:9" ht="13.5" customHeight="1" x14ac:dyDescent="0.25">
      <c r="A34" s="13" t="s">
        <v>25</v>
      </c>
      <c r="B34" s="12" t="s">
        <v>56</v>
      </c>
      <c r="C34" s="22"/>
      <c r="D34" s="14"/>
      <c r="E34" s="23"/>
      <c r="F34" s="13"/>
      <c r="G34" s="13"/>
      <c r="H34" s="13"/>
      <c r="I34" s="14"/>
    </row>
    <row r="35" spans="1:9" ht="13.5" customHeight="1" x14ac:dyDescent="0.25">
      <c r="A35" s="13" t="s">
        <v>25</v>
      </c>
      <c r="B35" s="12" t="s">
        <v>57</v>
      </c>
      <c r="C35" s="22"/>
      <c r="D35" s="14"/>
      <c r="E35" s="23"/>
      <c r="F35" s="13"/>
      <c r="G35" s="13"/>
      <c r="H35" s="13"/>
      <c r="I35" s="14"/>
    </row>
    <row r="36" spans="1:9" ht="13.5" customHeight="1" x14ac:dyDescent="0.25">
      <c r="A36" s="13" t="s">
        <v>25</v>
      </c>
      <c r="B36" s="12" t="s">
        <v>58</v>
      </c>
      <c r="C36" s="22"/>
      <c r="D36" s="14"/>
      <c r="E36" s="23"/>
      <c r="F36" s="13"/>
      <c r="G36" s="13"/>
      <c r="H36" s="13"/>
      <c r="I36" s="14"/>
    </row>
    <row r="37" spans="1:9" ht="13.5" customHeight="1" x14ac:dyDescent="0.25">
      <c r="A37" s="13" t="s">
        <v>25</v>
      </c>
      <c r="B37" s="12" t="s">
        <v>59</v>
      </c>
      <c r="C37" s="22"/>
      <c r="D37" s="14"/>
      <c r="E37" s="23"/>
      <c r="F37" s="13"/>
      <c r="G37" s="13"/>
      <c r="H37" s="13"/>
      <c r="I37" s="14"/>
    </row>
    <row r="38" spans="1:9" ht="13.5" customHeight="1" x14ac:dyDescent="0.25">
      <c r="A38" s="13" t="s">
        <v>25</v>
      </c>
      <c r="B38" s="12" t="s">
        <v>60</v>
      </c>
      <c r="C38" s="22"/>
      <c r="D38" s="14"/>
      <c r="E38" s="23"/>
      <c r="F38" s="13"/>
      <c r="G38" s="13"/>
      <c r="H38" s="13"/>
      <c r="I38" s="14"/>
    </row>
    <row r="39" spans="1:9" ht="13.5" customHeight="1" x14ac:dyDescent="0.25">
      <c r="A39" s="13" t="s">
        <v>25</v>
      </c>
      <c r="B39" s="12" t="s">
        <v>61</v>
      </c>
      <c r="C39" s="22"/>
      <c r="D39" s="14"/>
      <c r="E39" s="23"/>
      <c r="F39" s="13"/>
      <c r="G39" s="13"/>
      <c r="H39" s="13"/>
      <c r="I39" s="14"/>
    </row>
    <row r="40" spans="1:9" ht="13.5" customHeight="1" x14ac:dyDescent="0.25">
      <c r="A40" s="13" t="s">
        <v>25</v>
      </c>
      <c r="B40" s="12" t="s">
        <v>62</v>
      </c>
      <c r="C40" s="22"/>
      <c r="D40" s="14"/>
      <c r="E40" s="23"/>
      <c r="F40" s="13"/>
      <c r="G40" s="13"/>
      <c r="H40" s="13"/>
      <c r="I40" s="14"/>
    </row>
    <row r="41" spans="1:9" ht="13.5" customHeight="1" x14ac:dyDescent="0.25">
      <c r="A41" s="13" t="s">
        <v>25</v>
      </c>
      <c r="B41" s="12" t="s">
        <v>63</v>
      </c>
      <c r="C41" s="22"/>
      <c r="D41" s="14"/>
      <c r="E41" s="23"/>
      <c r="F41" s="13"/>
      <c r="G41" s="13"/>
      <c r="H41" s="13"/>
      <c r="I41" s="14"/>
    </row>
    <row r="42" spans="1:9" ht="13.5" customHeight="1" x14ac:dyDescent="0.25">
      <c r="A42" s="13" t="s">
        <v>25</v>
      </c>
      <c r="B42" s="12" t="s">
        <v>64</v>
      </c>
      <c r="C42" s="22"/>
      <c r="D42" s="14"/>
      <c r="E42" s="23"/>
      <c r="F42" s="13"/>
      <c r="G42" s="13"/>
      <c r="H42" s="13"/>
      <c r="I42" s="14"/>
    </row>
    <row r="43" spans="1:9" ht="13.5" customHeight="1" x14ac:dyDescent="0.25">
      <c r="A43" s="13" t="s">
        <v>25</v>
      </c>
      <c r="B43" s="12" t="s">
        <v>65</v>
      </c>
      <c r="C43" s="22"/>
      <c r="D43" s="14"/>
      <c r="E43" s="23"/>
      <c r="F43" s="13"/>
      <c r="G43" s="13"/>
      <c r="H43" s="13"/>
      <c r="I43" s="14"/>
    </row>
    <row r="44" spans="1:9" ht="13.5" customHeight="1" x14ac:dyDescent="0.25">
      <c r="A44" s="13" t="s">
        <v>25</v>
      </c>
      <c r="B44" s="12" t="s">
        <v>66</v>
      </c>
      <c r="C44" s="22"/>
      <c r="D44" s="14"/>
      <c r="E44" s="23"/>
      <c r="F44" s="13"/>
      <c r="G44" s="13"/>
      <c r="H44" s="13"/>
      <c r="I44" s="14"/>
    </row>
    <row r="45" spans="1:9" ht="13.5" customHeight="1" x14ac:dyDescent="0.25">
      <c r="A45" s="13" t="s">
        <v>25</v>
      </c>
      <c r="B45" s="12" t="s">
        <v>67</v>
      </c>
      <c r="C45" s="22"/>
      <c r="D45" s="14"/>
      <c r="E45" s="23"/>
      <c r="F45" s="13"/>
      <c r="G45" s="13"/>
      <c r="H45" s="13"/>
      <c r="I45" s="14"/>
    </row>
    <row r="46" spans="1:9" ht="13.5" customHeight="1" x14ac:dyDescent="0.25">
      <c r="A46" s="13" t="s">
        <v>25</v>
      </c>
      <c r="B46" s="12" t="s">
        <v>68</v>
      </c>
      <c r="C46" s="22"/>
      <c r="D46" s="14"/>
      <c r="E46" s="23"/>
      <c r="F46" s="13"/>
      <c r="G46" s="13"/>
      <c r="H46" s="13"/>
      <c r="I46" s="14"/>
    </row>
    <row r="47" spans="1:9" ht="13.5" customHeight="1" x14ac:dyDescent="0.25">
      <c r="A47" s="13" t="s">
        <v>25</v>
      </c>
      <c r="B47" s="12" t="s">
        <v>69</v>
      </c>
      <c r="C47" s="22"/>
      <c r="D47" s="14"/>
      <c r="E47" s="23"/>
      <c r="F47" s="13"/>
      <c r="G47" s="13"/>
      <c r="H47" s="13"/>
      <c r="I47" s="14"/>
    </row>
    <row r="48" spans="1:9" ht="13.5" customHeight="1" x14ac:dyDescent="0.25">
      <c r="A48" s="13" t="s">
        <v>25</v>
      </c>
      <c r="B48" s="12" t="s">
        <v>70</v>
      </c>
      <c r="C48" s="22"/>
      <c r="D48" s="14"/>
      <c r="E48" s="23"/>
      <c r="F48" s="13"/>
      <c r="G48" s="13"/>
      <c r="H48" s="13"/>
      <c r="I48" s="14"/>
    </row>
    <row r="49" spans="1:9" ht="13.5" customHeight="1" x14ac:dyDescent="0.25">
      <c r="A49" s="13" t="s">
        <v>25</v>
      </c>
      <c r="B49" s="12" t="s">
        <v>71</v>
      </c>
      <c r="C49" s="22"/>
      <c r="D49" s="14"/>
      <c r="E49" s="23"/>
      <c r="F49" s="13"/>
      <c r="G49" s="13"/>
      <c r="H49" s="13"/>
      <c r="I49" s="14"/>
    </row>
    <row r="50" spans="1:9" ht="13.5" customHeight="1" x14ac:dyDescent="0.25">
      <c r="A50" s="13" t="s">
        <v>25</v>
      </c>
      <c r="B50" s="12" t="s">
        <v>72</v>
      </c>
      <c r="C50" s="22"/>
      <c r="D50" s="14"/>
      <c r="E50" s="23"/>
      <c r="F50" s="13"/>
      <c r="G50" s="13"/>
      <c r="H50" s="13"/>
      <c r="I50" s="14"/>
    </row>
    <row r="51" spans="1:9" ht="13.5" customHeight="1" x14ac:dyDescent="0.25">
      <c r="A51" s="13" t="s">
        <v>25</v>
      </c>
      <c r="B51" s="12" t="s">
        <v>73</v>
      </c>
      <c r="C51" s="22"/>
      <c r="D51" s="14"/>
      <c r="E51" s="23"/>
      <c r="F51" s="13"/>
      <c r="G51" s="13"/>
      <c r="H51" s="13"/>
      <c r="I51" s="14"/>
    </row>
    <row r="52" spans="1:9" ht="13.5" customHeight="1" x14ac:dyDescent="0.25">
      <c r="A52" s="13" t="s">
        <v>25</v>
      </c>
      <c r="B52" s="12" t="s">
        <v>74</v>
      </c>
      <c r="C52" s="22"/>
      <c r="D52" s="14"/>
      <c r="E52" s="23"/>
      <c r="F52" s="13"/>
      <c r="G52" s="13"/>
      <c r="H52" s="13"/>
      <c r="I52" s="14"/>
    </row>
    <row r="53" spans="1:9" ht="13.5" customHeight="1" x14ac:dyDescent="0.25">
      <c r="A53" s="13" t="s">
        <v>25</v>
      </c>
      <c r="B53" s="12" t="s">
        <v>75</v>
      </c>
      <c r="C53" s="22"/>
      <c r="D53" s="14"/>
      <c r="E53" s="23"/>
      <c r="F53" s="13"/>
      <c r="G53" s="13"/>
      <c r="H53" s="13"/>
      <c r="I53" s="14"/>
    </row>
    <row r="54" spans="1:9" ht="13.5" customHeight="1" x14ac:dyDescent="0.25">
      <c r="A54" s="13" t="s">
        <v>25</v>
      </c>
      <c r="B54" s="12" t="s">
        <v>76</v>
      </c>
      <c r="C54" s="22"/>
      <c r="D54" s="14"/>
      <c r="E54" s="23"/>
      <c r="F54" s="13"/>
      <c r="G54" s="13"/>
      <c r="H54" s="13"/>
      <c r="I54" s="14"/>
    </row>
    <row r="55" spans="1:9" ht="13.5" customHeight="1" x14ac:dyDescent="0.25">
      <c r="A55" s="13" t="s">
        <v>25</v>
      </c>
      <c r="B55" s="12" t="s">
        <v>77</v>
      </c>
      <c r="C55" s="22"/>
      <c r="D55" s="14"/>
      <c r="E55" s="23"/>
      <c r="F55" s="13"/>
      <c r="G55" s="13"/>
      <c r="H55" s="13"/>
      <c r="I55" s="14"/>
    </row>
    <row r="56" spans="1:9" ht="13.5" customHeight="1" x14ac:dyDescent="0.25">
      <c r="A56" s="13" t="s">
        <v>25</v>
      </c>
      <c r="B56" s="12" t="s">
        <v>78</v>
      </c>
      <c r="C56" s="22"/>
      <c r="D56" s="14"/>
      <c r="E56" s="23"/>
      <c r="F56" s="13"/>
      <c r="G56" s="13"/>
      <c r="H56" s="13"/>
      <c r="I56" s="14"/>
    </row>
    <row r="57" spans="1:9" ht="13.5" customHeight="1" x14ac:dyDescent="0.25">
      <c r="A57" s="13" t="s">
        <v>25</v>
      </c>
      <c r="B57" s="12" t="s">
        <v>79</v>
      </c>
      <c r="C57" s="22"/>
      <c r="D57" s="14"/>
      <c r="E57" s="23"/>
      <c r="F57" s="13"/>
      <c r="G57" s="13"/>
      <c r="H57" s="13"/>
      <c r="I57" s="14"/>
    </row>
    <row r="58" spans="1:9" ht="13.5" customHeight="1" x14ac:dyDescent="0.25">
      <c r="A58" s="13" t="s">
        <v>25</v>
      </c>
      <c r="B58" s="12" t="s">
        <v>80</v>
      </c>
      <c r="C58" s="22"/>
      <c r="D58" s="14"/>
      <c r="E58" s="23"/>
      <c r="F58" s="13"/>
      <c r="G58" s="13"/>
      <c r="H58" s="13"/>
      <c r="I58" s="14"/>
    </row>
    <row r="59" spans="1:9" ht="13.5" customHeight="1" x14ac:dyDescent="0.25">
      <c r="A59" s="13" t="s">
        <v>25</v>
      </c>
      <c r="B59" s="12" t="s">
        <v>81</v>
      </c>
      <c r="C59" s="22"/>
      <c r="D59" s="14"/>
      <c r="E59" s="23"/>
      <c r="F59" s="13"/>
      <c r="G59" s="13"/>
      <c r="H59" s="13"/>
      <c r="I59" s="14"/>
    </row>
    <row r="60" spans="1:9" ht="13.5" customHeight="1" x14ac:dyDescent="0.25">
      <c r="A60" s="13" t="s">
        <v>25</v>
      </c>
      <c r="B60" s="12" t="s">
        <v>82</v>
      </c>
      <c r="C60" s="22"/>
      <c r="D60" s="14"/>
      <c r="E60" s="23"/>
      <c r="F60" s="13"/>
      <c r="G60" s="13"/>
      <c r="H60" s="13"/>
      <c r="I60" s="14"/>
    </row>
    <row r="61" spans="1:9" ht="13.5" customHeight="1" x14ac:dyDescent="0.25">
      <c r="A61" s="13" t="s">
        <v>25</v>
      </c>
      <c r="B61" s="12" t="s">
        <v>83</v>
      </c>
      <c r="C61" s="22"/>
      <c r="D61" s="14"/>
      <c r="E61" s="23"/>
      <c r="F61" s="13"/>
      <c r="G61" s="13"/>
      <c r="H61" s="13"/>
      <c r="I61" s="14"/>
    </row>
    <row r="62" spans="1:9" ht="13.5" customHeight="1" x14ac:dyDescent="0.25">
      <c r="A62" s="13" t="s">
        <v>25</v>
      </c>
      <c r="B62" s="12" t="s">
        <v>84</v>
      </c>
      <c r="C62" s="22"/>
      <c r="D62" s="14"/>
      <c r="E62" s="23"/>
      <c r="F62" s="13"/>
      <c r="G62" s="13"/>
      <c r="H62" s="13"/>
      <c r="I62" s="14"/>
    </row>
    <row r="63" spans="1:9" ht="13.5" customHeight="1" x14ac:dyDescent="0.25">
      <c r="A63" s="13" t="s">
        <v>25</v>
      </c>
      <c r="B63" s="12" t="s">
        <v>85</v>
      </c>
      <c r="C63" s="22"/>
      <c r="D63" s="14"/>
      <c r="E63" s="23"/>
      <c r="F63" s="13"/>
      <c r="G63" s="13"/>
      <c r="H63" s="13"/>
      <c r="I63" s="14"/>
    </row>
    <row r="64" spans="1:9" ht="13.5" customHeight="1" x14ac:dyDescent="0.25">
      <c r="A64" s="13" t="s">
        <v>25</v>
      </c>
      <c r="B64" s="12" t="s">
        <v>86</v>
      </c>
      <c r="C64" s="22"/>
      <c r="D64" s="14"/>
      <c r="E64" s="23"/>
      <c r="F64" s="13"/>
      <c r="G64" s="13"/>
      <c r="H64" s="13"/>
      <c r="I64" s="14"/>
    </row>
    <row r="65" spans="1:9" ht="13.5" customHeight="1" x14ac:dyDescent="0.25">
      <c r="A65" s="13" t="s">
        <v>25</v>
      </c>
      <c r="B65" s="12" t="s">
        <v>87</v>
      </c>
      <c r="C65" s="22"/>
      <c r="D65" s="14"/>
      <c r="E65" s="23"/>
      <c r="F65" s="13"/>
      <c r="G65" s="13"/>
      <c r="H65" s="13"/>
      <c r="I65" s="14"/>
    </row>
    <row r="66" spans="1:9" ht="13.5" customHeight="1" x14ac:dyDescent="0.25">
      <c r="A66" s="13" t="s">
        <v>25</v>
      </c>
      <c r="B66" s="12" t="s">
        <v>88</v>
      </c>
      <c r="C66" s="22"/>
      <c r="D66" s="14"/>
      <c r="E66" s="23"/>
      <c r="F66" s="13"/>
      <c r="G66" s="13"/>
      <c r="H66" s="13"/>
      <c r="I66" s="14"/>
    </row>
    <row r="67" spans="1:9" ht="13.5" customHeight="1" x14ac:dyDescent="0.25">
      <c r="A67" s="13" t="s">
        <v>25</v>
      </c>
      <c r="B67" s="12" t="s">
        <v>89</v>
      </c>
      <c r="C67" s="22"/>
      <c r="D67" s="14"/>
      <c r="E67" s="23"/>
      <c r="F67" s="13"/>
      <c r="G67" s="13"/>
      <c r="H67" s="13"/>
      <c r="I67" s="14"/>
    </row>
    <row r="68" spans="1:9" ht="13.5" customHeight="1" x14ac:dyDescent="0.25">
      <c r="A68" s="13" t="s">
        <v>25</v>
      </c>
      <c r="B68" s="12" t="s">
        <v>90</v>
      </c>
      <c r="C68" s="22"/>
      <c r="D68" s="14"/>
      <c r="E68" s="23"/>
      <c r="F68" s="13"/>
      <c r="G68" s="13"/>
      <c r="H68" s="13"/>
      <c r="I68" s="14"/>
    </row>
    <row r="69" spans="1:9" ht="13.5" customHeight="1" x14ac:dyDescent="0.25">
      <c r="A69" s="13" t="s">
        <v>25</v>
      </c>
      <c r="B69" s="12" t="s">
        <v>91</v>
      </c>
      <c r="C69" s="22"/>
      <c r="D69" s="14"/>
      <c r="E69" s="23"/>
      <c r="F69" s="13"/>
      <c r="G69" s="13"/>
      <c r="H69" s="13"/>
      <c r="I69" s="14"/>
    </row>
    <row r="70" spans="1:9" ht="13.5" customHeight="1" x14ac:dyDescent="0.25">
      <c r="A70" s="13" t="s">
        <v>25</v>
      </c>
      <c r="B70" s="12" t="s">
        <v>92</v>
      </c>
      <c r="C70" s="22"/>
      <c r="D70" s="14"/>
      <c r="E70" s="23"/>
      <c r="F70" s="13"/>
      <c r="G70" s="13"/>
      <c r="H70" s="13"/>
      <c r="I70" s="14"/>
    </row>
    <row r="71" spans="1:9" ht="13.5" customHeight="1" x14ac:dyDescent="0.25">
      <c r="A71" s="13" t="s">
        <v>25</v>
      </c>
      <c r="B71" s="12" t="s">
        <v>93</v>
      </c>
      <c r="C71" s="22"/>
      <c r="D71" s="14"/>
      <c r="E71" s="23"/>
      <c r="F71" s="13"/>
      <c r="G71" s="13"/>
      <c r="H71" s="13"/>
      <c r="I71" s="14"/>
    </row>
    <row r="72" spans="1:9" ht="13.5" customHeight="1" x14ac:dyDescent="0.25">
      <c r="A72" s="13" t="s">
        <v>25</v>
      </c>
      <c r="B72" s="12" t="s">
        <v>94</v>
      </c>
      <c r="C72" s="22"/>
      <c r="D72" s="14"/>
      <c r="E72" s="23"/>
      <c r="F72" s="13"/>
      <c r="G72" s="13"/>
      <c r="H72" s="13"/>
      <c r="I72" s="14"/>
    </row>
    <row r="73" spans="1:9" ht="13.5" customHeight="1" x14ac:dyDescent="0.25">
      <c r="A73" s="13" t="s">
        <v>25</v>
      </c>
      <c r="B73" s="12" t="s">
        <v>95</v>
      </c>
      <c r="C73" s="22"/>
      <c r="D73" s="14"/>
      <c r="E73" s="23"/>
      <c r="F73" s="13"/>
      <c r="G73" s="13"/>
      <c r="H73" s="13"/>
      <c r="I73" s="14"/>
    </row>
    <row r="74" spans="1:9" ht="13.5" customHeight="1" x14ac:dyDescent="0.25">
      <c r="A74" s="13" t="s">
        <v>25</v>
      </c>
      <c r="B74" s="12" t="s">
        <v>96</v>
      </c>
      <c r="C74" s="22"/>
      <c r="D74" s="14"/>
      <c r="E74" s="23"/>
      <c r="F74" s="13"/>
      <c r="G74" s="13"/>
      <c r="H74" s="13"/>
      <c r="I74" s="14"/>
    </row>
    <row r="75" spans="1:9" ht="13.5" customHeight="1" x14ac:dyDescent="0.25">
      <c r="A75" s="13" t="s">
        <v>25</v>
      </c>
      <c r="B75" s="12" t="s">
        <v>97</v>
      </c>
      <c r="C75" s="22"/>
      <c r="D75" s="14"/>
      <c r="E75" s="23"/>
      <c r="F75" s="13"/>
      <c r="G75" s="13"/>
      <c r="H75" s="13"/>
      <c r="I75" s="14"/>
    </row>
    <row r="76" spans="1:9" ht="13.5" customHeight="1" x14ac:dyDescent="0.25">
      <c r="A76" s="13" t="s">
        <v>25</v>
      </c>
      <c r="B76" s="12" t="s">
        <v>98</v>
      </c>
      <c r="C76" s="22"/>
      <c r="D76" s="14"/>
      <c r="E76" s="23"/>
      <c r="F76" s="13"/>
      <c r="G76" s="13"/>
      <c r="H76" s="13"/>
      <c r="I76" s="14"/>
    </row>
    <row r="77" spans="1:9" ht="13.5" customHeight="1" x14ac:dyDescent="0.25">
      <c r="A77" s="13" t="s">
        <v>25</v>
      </c>
      <c r="B77" s="12" t="s">
        <v>99</v>
      </c>
      <c r="C77" s="22"/>
      <c r="D77" s="14"/>
      <c r="E77" s="23"/>
      <c r="F77" s="13"/>
      <c r="G77" s="13"/>
      <c r="H77" s="13"/>
      <c r="I77" s="14"/>
    </row>
    <row r="78" spans="1:9" ht="13.5" customHeight="1" x14ac:dyDescent="0.25">
      <c r="A78" s="13" t="s">
        <v>25</v>
      </c>
      <c r="B78" s="12" t="s">
        <v>100</v>
      </c>
      <c r="C78" s="22"/>
      <c r="D78" s="14"/>
      <c r="E78" s="23"/>
      <c r="F78" s="13"/>
      <c r="G78" s="13"/>
      <c r="H78" s="13"/>
      <c r="I78" s="14"/>
    </row>
    <row r="79" spans="1:9" ht="13.5" customHeight="1" x14ac:dyDescent="0.25">
      <c r="A79" s="13" t="s">
        <v>25</v>
      </c>
      <c r="B79" s="12" t="s">
        <v>101</v>
      </c>
      <c r="C79" s="22"/>
      <c r="D79" s="14"/>
      <c r="E79" s="23"/>
      <c r="F79" s="13"/>
      <c r="G79" s="13"/>
      <c r="H79" s="13"/>
      <c r="I79" s="14"/>
    </row>
    <row r="80" spans="1:9" ht="13.5" customHeight="1" x14ac:dyDescent="0.25">
      <c r="A80" s="13" t="s">
        <v>25</v>
      </c>
      <c r="B80" s="12" t="s">
        <v>102</v>
      </c>
      <c r="C80" s="22"/>
      <c r="D80" s="14"/>
      <c r="E80" s="23"/>
      <c r="F80" s="13"/>
      <c r="G80" s="13"/>
      <c r="H80" s="13"/>
      <c r="I80" s="14"/>
    </row>
    <row r="81" spans="1:9" ht="13.5" customHeight="1" x14ac:dyDescent="0.25">
      <c r="A81" s="13" t="s">
        <v>25</v>
      </c>
      <c r="B81" s="12" t="s">
        <v>103</v>
      </c>
      <c r="C81" s="22"/>
      <c r="D81" s="14"/>
      <c r="E81" s="23"/>
      <c r="F81" s="13"/>
      <c r="G81" s="13"/>
      <c r="H81" s="13"/>
      <c r="I81" s="14"/>
    </row>
    <row r="82" spans="1:9" ht="13.5" customHeight="1" x14ac:dyDescent="0.25">
      <c r="A82" s="13" t="s">
        <v>25</v>
      </c>
      <c r="B82" s="12" t="s">
        <v>104</v>
      </c>
      <c r="C82" s="22"/>
      <c r="D82" s="14"/>
      <c r="E82" s="23"/>
      <c r="F82" s="13"/>
      <c r="G82" s="13"/>
      <c r="H82" s="13"/>
      <c r="I82" s="14"/>
    </row>
    <row r="83" spans="1:9" ht="13.5" customHeight="1" x14ac:dyDescent="0.25">
      <c r="A83" s="13" t="s">
        <v>25</v>
      </c>
      <c r="B83" s="12" t="s">
        <v>105</v>
      </c>
      <c r="C83" s="22"/>
      <c r="D83" s="14"/>
      <c r="E83" s="23"/>
      <c r="F83" s="13"/>
      <c r="G83" s="13"/>
      <c r="H83" s="13"/>
      <c r="I83" s="14"/>
    </row>
    <row r="84" spans="1:9" ht="13.5" customHeight="1" x14ac:dyDescent="0.25">
      <c r="A84" s="13" t="s">
        <v>25</v>
      </c>
      <c r="B84" s="12" t="s">
        <v>106</v>
      </c>
      <c r="C84" s="22"/>
      <c r="D84" s="14"/>
      <c r="E84" s="23"/>
      <c r="F84" s="13"/>
      <c r="G84" s="13"/>
      <c r="H84" s="13"/>
      <c r="I84" s="14"/>
    </row>
    <row r="85" spans="1:9" ht="13.5" customHeight="1" x14ac:dyDescent="0.25">
      <c r="A85" s="13" t="s">
        <v>25</v>
      </c>
      <c r="B85" s="12" t="s">
        <v>107</v>
      </c>
      <c r="C85" s="22"/>
      <c r="D85" s="14"/>
      <c r="E85" s="23"/>
      <c r="F85" s="13"/>
      <c r="G85" s="13"/>
      <c r="H85" s="13"/>
      <c r="I85" s="14"/>
    </row>
    <row r="86" spans="1:9" ht="13.5" customHeight="1" x14ac:dyDescent="0.25">
      <c r="A86" s="13" t="s">
        <v>25</v>
      </c>
      <c r="B86" s="12" t="s">
        <v>108</v>
      </c>
      <c r="C86" s="22"/>
      <c r="D86" s="14"/>
      <c r="E86" s="23"/>
      <c r="F86" s="13"/>
      <c r="G86" s="13"/>
      <c r="H86" s="13"/>
      <c r="I86" s="14"/>
    </row>
    <row r="87" spans="1:9" ht="13.5" customHeight="1" x14ac:dyDescent="0.25">
      <c r="A87" s="13" t="s">
        <v>25</v>
      </c>
      <c r="B87" s="12" t="s">
        <v>109</v>
      </c>
      <c r="C87" s="22"/>
      <c r="D87" s="14"/>
      <c r="E87" s="23"/>
      <c r="F87" s="13"/>
      <c r="G87" s="13"/>
      <c r="H87" s="13"/>
      <c r="I87" s="14"/>
    </row>
    <row r="88" spans="1:9" ht="13.5" customHeight="1" x14ac:dyDescent="0.25">
      <c r="A88" s="13" t="s">
        <v>25</v>
      </c>
      <c r="B88" s="12" t="s">
        <v>110</v>
      </c>
      <c r="C88" s="22"/>
      <c r="D88" s="14"/>
      <c r="E88" s="23"/>
      <c r="F88" s="13"/>
      <c r="G88" s="13"/>
      <c r="H88" s="13"/>
      <c r="I88" s="14"/>
    </row>
    <row r="89" spans="1:9" ht="13.5" customHeight="1" x14ac:dyDescent="0.25">
      <c r="A89" s="13" t="s">
        <v>25</v>
      </c>
      <c r="B89" s="12" t="s">
        <v>111</v>
      </c>
      <c r="C89" s="22"/>
      <c r="D89" s="14"/>
      <c r="E89" s="23"/>
      <c r="F89" s="13"/>
      <c r="G89" s="13"/>
      <c r="H89" s="13"/>
      <c r="I89" s="14"/>
    </row>
    <row r="90" spans="1:9" ht="13.5" customHeight="1" x14ac:dyDescent="0.25">
      <c r="A90" s="13" t="s">
        <v>25</v>
      </c>
      <c r="B90" s="12" t="s">
        <v>112</v>
      </c>
      <c r="C90" s="22"/>
      <c r="D90" s="14"/>
      <c r="E90" s="23"/>
      <c r="F90" s="13"/>
      <c r="G90" s="13"/>
      <c r="H90" s="13"/>
      <c r="I90" s="14"/>
    </row>
    <row r="91" spans="1:9" ht="13.5" customHeight="1" x14ac:dyDescent="0.25">
      <c r="A91" s="13" t="s">
        <v>25</v>
      </c>
      <c r="B91" s="12" t="s">
        <v>113</v>
      </c>
      <c r="C91" s="22"/>
      <c r="D91" s="14"/>
      <c r="E91" s="23"/>
      <c r="F91" s="13"/>
      <c r="G91" s="13"/>
      <c r="H91" s="13"/>
      <c r="I91" s="14"/>
    </row>
    <row r="92" spans="1:9" ht="13.5" customHeight="1" x14ac:dyDescent="0.25">
      <c r="A92" s="13" t="s">
        <v>25</v>
      </c>
      <c r="B92" s="12" t="s">
        <v>114</v>
      </c>
      <c r="C92" s="22"/>
      <c r="D92" s="14"/>
      <c r="E92" s="23"/>
      <c r="F92" s="13"/>
      <c r="G92" s="13"/>
      <c r="H92" s="13"/>
      <c r="I92" s="14"/>
    </row>
    <row r="93" spans="1:9" ht="13.5" customHeight="1" x14ac:dyDescent="0.25">
      <c r="A93" s="6"/>
      <c r="B93" s="6"/>
      <c r="C93" s="6"/>
      <c r="D93" s="6"/>
      <c r="E93" s="6"/>
      <c r="F93" s="6"/>
      <c r="G93" s="6"/>
      <c r="H93" s="6"/>
      <c r="I93" s="6"/>
    </row>
    <row r="94" spans="1:9" ht="13.5" customHeight="1" x14ac:dyDescent="0.25">
      <c r="A94" s="6"/>
      <c r="B94" s="6"/>
      <c r="C94" s="6"/>
      <c r="D94" s="6"/>
      <c r="E94" s="6"/>
      <c r="F94" s="6"/>
      <c r="G94" s="6"/>
      <c r="H94" s="6"/>
      <c r="I94" s="6"/>
    </row>
    <row r="95" spans="1:9" ht="13.5" customHeight="1" x14ac:dyDescent="0.25">
      <c r="A95" s="6"/>
      <c r="B95" s="6"/>
      <c r="C95" s="6"/>
      <c r="D95" s="6"/>
      <c r="E95" s="6"/>
      <c r="F95" s="6"/>
      <c r="G95" s="6"/>
      <c r="H95" s="6"/>
      <c r="I95" s="6"/>
    </row>
    <row r="96" spans="1:9" ht="13.5" customHeight="1" x14ac:dyDescent="0.25">
      <c r="A96" s="6"/>
      <c r="B96" s="6"/>
      <c r="C96" s="6"/>
      <c r="D96" s="6"/>
      <c r="E96" s="6"/>
      <c r="F96" s="6"/>
      <c r="G96" s="6"/>
      <c r="H96" s="6"/>
      <c r="I96" s="6"/>
    </row>
    <row r="97" spans="1:9" ht="13.5" customHeight="1" x14ac:dyDescent="0.25">
      <c r="A97" s="6"/>
      <c r="B97" s="6"/>
      <c r="C97" s="6"/>
      <c r="D97" s="6"/>
      <c r="E97" s="6"/>
      <c r="F97" s="6"/>
      <c r="G97" s="6"/>
      <c r="H97" s="6"/>
      <c r="I97" s="6"/>
    </row>
    <row r="98" spans="1:9" ht="13.5" customHeight="1" x14ac:dyDescent="0.25">
      <c r="A98" s="6"/>
      <c r="B98" s="6"/>
      <c r="C98" s="6"/>
      <c r="D98" s="6"/>
      <c r="E98" s="6"/>
      <c r="F98" s="6"/>
      <c r="G98" s="6"/>
      <c r="H98" s="6"/>
      <c r="I98" s="6"/>
    </row>
    <row r="99" spans="1:9" ht="13.5" customHeight="1" x14ac:dyDescent="0.25">
      <c r="A99" s="6"/>
      <c r="B99" s="6"/>
      <c r="C99" s="6"/>
      <c r="D99" s="6"/>
      <c r="E99" s="6"/>
      <c r="F99" s="6"/>
      <c r="G99" s="6"/>
      <c r="H99" s="6"/>
      <c r="I99" s="6"/>
    </row>
    <row r="100" spans="1:9" ht="13.5" customHeight="1" x14ac:dyDescent="0.25">
      <c r="A100" s="6"/>
      <c r="B100" s="6"/>
      <c r="C100" s="6"/>
      <c r="D100" s="6"/>
      <c r="E100" s="6"/>
      <c r="F100" s="6"/>
      <c r="G100" s="6"/>
      <c r="H100" s="6"/>
      <c r="I100" s="6"/>
    </row>
    <row r="101" spans="1:9" ht="13.5" customHeight="1" x14ac:dyDescent="0.25">
      <c r="A101" s="25" t="s">
        <v>115</v>
      </c>
      <c r="B101" s="26">
        <v>4</v>
      </c>
      <c r="C101" s="27">
        <v>0</v>
      </c>
      <c r="D101" s="28" t="s">
        <v>116</v>
      </c>
      <c r="E101" s="29"/>
      <c r="F101" s="30"/>
      <c r="G101" s="30"/>
      <c r="H101" s="30"/>
      <c r="I101" s="32"/>
    </row>
    <row r="102" spans="1:9" ht="13.5" customHeight="1" x14ac:dyDescent="0.25">
      <c r="A102" s="25" t="s">
        <v>117</v>
      </c>
      <c r="B102" s="26">
        <v>3</v>
      </c>
      <c r="C102" s="27">
        <v>0</v>
      </c>
      <c r="D102" s="28" t="s">
        <v>118</v>
      </c>
      <c r="E102" s="29"/>
      <c r="F102" s="30"/>
      <c r="G102" s="30"/>
      <c r="H102" s="30"/>
      <c r="I102" s="32"/>
    </row>
    <row r="103" spans="1:9" ht="13.5" customHeight="1" x14ac:dyDescent="0.25">
      <c r="A103" s="25" t="s">
        <v>119</v>
      </c>
      <c r="B103" s="26">
        <v>2</v>
      </c>
      <c r="C103" s="27">
        <v>0</v>
      </c>
      <c r="D103" s="28" t="s">
        <v>120</v>
      </c>
      <c r="E103" s="29"/>
      <c r="F103" s="30"/>
      <c r="G103" s="30"/>
      <c r="H103" s="30"/>
      <c r="I103" s="32"/>
    </row>
    <row r="104" spans="1:9" ht="13.5" customHeight="1" x14ac:dyDescent="0.25">
      <c r="A104" s="25" t="s">
        <v>121</v>
      </c>
      <c r="B104" s="26">
        <v>1</v>
      </c>
      <c r="C104" s="27">
        <v>0</v>
      </c>
      <c r="D104" s="28" t="s">
        <v>122</v>
      </c>
      <c r="E104" s="29"/>
      <c r="F104" s="30"/>
      <c r="G104" s="30"/>
      <c r="H104" s="30"/>
      <c r="I104" s="32"/>
    </row>
  </sheetData>
  <conditionalFormatting sqref="A3:A22 A33:A92 A101:A104">
    <cfRule type="containsText" dxfId="260" priority="7" operator="containsText" text="BLACK">
      <formula>NOT(ISERROR(SEARCH(("BLACK"),(A101))))</formula>
    </cfRule>
    <cfRule type="containsText" dxfId="259" priority="8" operator="containsText" text="BLUE">
      <formula>NOT(ISERROR(SEARCH(("BLUE"),(A101))))</formula>
    </cfRule>
    <cfRule type="containsText" dxfId="258" priority="9" operator="containsText" text="RED">
      <formula>NOT(ISERROR(SEARCH(("RED"),(A101))))</formula>
    </cfRule>
    <cfRule type="containsText" dxfId="257" priority="10" operator="containsText" text="AMBER">
      <formula>NOT(ISERROR(SEARCH(("AMBER"),(A101))))</formula>
    </cfRule>
    <cfRule type="containsText" dxfId="256" priority="11" operator="containsText" text="GREEN">
      <formula>NOT(ISERROR(SEARCH(("GREEN"),(A101))))</formula>
    </cfRule>
  </conditionalFormatting>
  <conditionalFormatting sqref="A23:A32">
    <cfRule type="containsText" dxfId="255" priority="1" operator="containsText" text="BLACK">
      <formula>NOT(ISERROR(SEARCH(("BLACK"),(A23))))</formula>
    </cfRule>
    <cfRule type="containsText" dxfId="254" priority="2" operator="containsText" text="BLUE">
      <formula>NOT(ISERROR(SEARCH(("BLUE"),(A23))))</formula>
    </cfRule>
    <cfRule type="containsText" dxfId="253" priority="3" operator="containsText" text="RED">
      <formula>NOT(ISERROR(SEARCH(("RED"),(A23))))</formula>
    </cfRule>
    <cfRule type="containsText" dxfId="252" priority="4" operator="containsText" text="AMBER">
      <formula>NOT(ISERROR(SEARCH(("AMBER"),(A23))))</formula>
    </cfRule>
    <cfRule type="containsText" dxfId="251" priority="5" operator="containsText" text="GREEN">
      <formula>NOT(ISERROR(SEARCH(("GREEN"),(A23))))</formula>
    </cfRule>
  </conditionalFormatting>
  <conditionalFormatting sqref="B3:B92 B101:D104 C8:D20">
    <cfRule type="containsText" dxfId="250" priority="12" operator="containsText" text="M">
      <formula>NOT(ISERROR(SEARCH(("M"),(C8))))</formula>
    </cfRule>
  </conditionalFormatting>
  <conditionalFormatting sqref="C21:C22 C27:D32 D23 D25:D26">
    <cfRule type="containsText" dxfId="249" priority="18" operator="containsText" text="M">
      <formula>NOT(ISERROR(SEARCH(("M"),(C27))))</formula>
    </cfRule>
  </conditionalFormatting>
  <conditionalFormatting sqref="C23 C25:C26 C24:D24">
    <cfRule type="containsText" dxfId="248" priority="6" operator="containsText" text="M">
      <formula>NOT(ISERROR(SEARCH(("M"),(C24))))</formula>
    </cfRule>
  </conditionalFormatting>
  <dataValidations disablePrompts="1" count="1">
    <dataValidation type="list" allowBlank="1" showErrorMessage="1" sqref="A3:A92 A101:A104" xr:uid="{00000000-0002-0000-0100-000000000000}">
      <formula1>StatusList</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A1:F92"/>
  <sheetViews>
    <sheetView workbookViewId="0">
      <selection activeCell="D6" sqref="D6:D7"/>
    </sheetView>
  </sheetViews>
  <sheetFormatPr defaultColWidth="15.42578125" defaultRowHeight="15" customHeight="1" x14ac:dyDescent="0.25"/>
  <cols>
    <col min="1" max="1" width="9.42578125" customWidth="1"/>
    <col min="2" max="3" width="6.5703125" customWidth="1"/>
    <col min="4" max="4" width="123.42578125" customWidth="1"/>
    <col min="5" max="6" width="8" customWidth="1"/>
  </cols>
  <sheetData>
    <row r="1" spans="1:6" ht="13.5" customHeight="1" x14ac:dyDescent="0.25">
      <c r="A1" s="1" t="e">
        <f>Company&amp;" "&amp;ProjectNumber&amp;" BUILD LIST"</f>
        <v>#NAME?</v>
      </c>
      <c r="B1" s="2"/>
      <c r="C1" s="2"/>
      <c r="D1" s="2"/>
      <c r="E1" s="6"/>
      <c r="F1" s="6"/>
    </row>
    <row r="2" spans="1:6" ht="13.5" customHeight="1" x14ac:dyDescent="0.25">
      <c r="A2" s="5" t="s">
        <v>0</v>
      </c>
      <c r="B2" s="5" t="s">
        <v>13</v>
      </c>
      <c r="C2" s="5" t="s">
        <v>1</v>
      </c>
      <c r="D2" s="5" t="s">
        <v>123</v>
      </c>
      <c r="E2" s="6"/>
      <c r="F2" s="6"/>
    </row>
    <row r="3" spans="1:6" ht="13.5" customHeight="1" x14ac:dyDescent="0.25">
      <c r="A3" s="13"/>
      <c r="B3" s="12">
        <v>1</v>
      </c>
      <c r="C3" s="22"/>
      <c r="D3" s="14"/>
      <c r="E3" s="6"/>
      <c r="F3" s="6"/>
    </row>
    <row r="4" spans="1:6" ht="13.5" customHeight="1" x14ac:dyDescent="0.25">
      <c r="A4" s="13"/>
      <c r="B4" s="12">
        <v>2</v>
      </c>
      <c r="C4" s="22"/>
      <c r="D4" s="14"/>
      <c r="E4" s="6"/>
      <c r="F4" s="6"/>
    </row>
    <row r="5" spans="1:6" ht="13.5" customHeight="1" x14ac:dyDescent="0.25">
      <c r="A5" s="13"/>
      <c r="B5" s="12">
        <v>3</v>
      </c>
      <c r="C5" s="22"/>
      <c r="D5" s="14"/>
      <c r="E5" s="6"/>
      <c r="F5" s="6"/>
    </row>
    <row r="6" spans="1:6" ht="13.5" customHeight="1" x14ac:dyDescent="0.25">
      <c r="A6" s="13"/>
      <c r="B6" s="12">
        <v>4</v>
      </c>
      <c r="C6" s="22"/>
      <c r="D6" s="14"/>
      <c r="E6" s="6"/>
      <c r="F6" s="6"/>
    </row>
    <row r="7" spans="1:6" ht="13.5" customHeight="1" x14ac:dyDescent="0.25">
      <c r="A7" s="13"/>
      <c r="B7" s="12">
        <v>5</v>
      </c>
      <c r="C7" s="22"/>
      <c r="D7" s="14"/>
      <c r="E7" s="6"/>
      <c r="F7" s="6"/>
    </row>
    <row r="8" spans="1:6" ht="13.5" customHeight="1" x14ac:dyDescent="0.25">
      <c r="A8" s="13"/>
      <c r="B8" s="12">
        <v>6</v>
      </c>
      <c r="C8" s="22"/>
      <c r="D8" s="14"/>
      <c r="E8" s="6"/>
      <c r="F8" s="6"/>
    </row>
    <row r="9" spans="1:6" ht="13.5" customHeight="1" x14ac:dyDescent="0.25">
      <c r="A9" s="13"/>
      <c r="B9" s="12">
        <v>7</v>
      </c>
      <c r="C9" s="22"/>
      <c r="D9" s="14"/>
      <c r="E9" s="6"/>
      <c r="F9" s="6"/>
    </row>
    <row r="10" spans="1:6" ht="13.5" customHeight="1" x14ac:dyDescent="0.25">
      <c r="A10" s="13"/>
      <c r="B10" s="12">
        <v>8</v>
      </c>
      <c r="C10" s="22"/>
      <c r="D10" s="14"/>
      <c r="E10" s="6"/>
      <c r="F10" s="6"/>
    </row>
    <row r="11" spans="1:6" ht="13.5" customHeight="1" x14ac:dyDescent="0.25">
      <c r="A11" s="13"/>
      <c r="B11" s="12">
        <v>9</v>
      </c>
      <c r="C11" s="22"/>
      <c r="D11" s="14"/>
      <c r="E11" s="6"/>
      <c r="F11" s="6"/>
    </row>
    <row r="12" spans="1:6" ht="13.5" customHeight="1" x14ac:dyDescent="0.25">
      <c r="A12" s="13"/>
      <c r="B12" s="12">
        <v>10</v>
      </c>
      <c r="C12" s="22"/>
      <c r="D12" s="14"/>
      <c r="E12" s="6"/>
      <c r="F12" s="6"/>
    </row>
    <row r="13" spans="1:6" ht="13.5" customHeight="1" x14ac:dyDescent="0.25">
      <c r="A13" s="13"/>
      <c r="B13" s="12">
        <v>11</v>
      </c>
      <c r="C13" s="22"/>
      <c r="D13" s="14"/>
      <c r="E13" s="6"/>
      <c r="F13" s="6"/>
    </row>
    <row r="14" spans="1:6" ht="13.5" customHeight="1" x14ac:dyDescent="0.25">
      <c r="A14" s="13"/>
      <c r="B14" s="12">
        <v>12</v>
      </c>
      <c r="C14" s="22"/>
      <c r="D14" s="14"/>
      <c r="E14" s="6"/>
      <c r="F14" s="6"/>
    </row>
    <row r="15" spans="1:6" ht="13.5" customHeight="1" x14ac:dyDescent="0.25">
      <c r="A15" s="13"/>
      <c r="B15" s="12">
        <v>13</v>
      </c>
      <c r="C15" s="22"/>
      <c r="D15" s="14"/>
      <c r="E15" s="6"/>
      <c r="F15" s="6"/>
    </row>
    <row r="16" spans="1:6" ht="13.5" customHeight="1" x14ac:dyDescent="0.25">
      <c r="A16" s="13"/>
      <c r="B16" s="12">
        <v>14</v>
      </c>
      <c r="C16" s="22"/>
      <c r="D16" s="14"/>
      <c r="E16" s="6"/>
      <c r="F16" s="6"/>
    </row>
    <row r="17" spans="1:6" ht="13.5" customHeight="1" x14ac:dyDescent="0.25">
      <c r="A17" s="13"/>
      <c r="B17" s="12">
        <v>15</v>
      </c>
      <c r="C17" s="22"/>
      <c r="D17" s="14"/>
      <c r="E17" s="6"/>
      <c r="F17" s="6"/>
    </row>
    <row r="18" spans="1:6" ht="13.5" customHeight="1" x14ac:dyDescent="0.25">
      <c r="A18" s="13"/>
      <c r="B18" s="12">
        <v>16</v>
      </c>
      <c r="C18" s="22"/>
      <c r="D18" s="14"/>
      <c r="E18" s="6"/>
      <c r="F18" s="6"/>
    </row>
    <row r="19" spans="1:6" ht="13.5" customHeight="1" x14ac:dyDescent="0.25">
      <c r="A19" s="13"/>
      <c r="B19" s="12">
        <v>17</v>
      </c>
      <c r="C19" s="22"/>
      <c r="D19" s="14"/>
      <c r="E19" s="6"/>
      <c r="F19" s="6"/>
    </row>
    <row r="20" spans="1:6" ht="13.5" customHeight="1" x14ac:dyDescent="0.25">
      <c r="A20" s="13"/>
      <c r="B20" s="12">
        <v>18</v>
      </c>
      <c r="C20" s="22"/>
      <c r="D20" s="14"/>
      <c r="E20" s="6"/>
      <c r="F20" s="6"/>
    </row>
    <row r="21" spans="1:6" ht="13.5" customHeight="1" x14ac:dyDescent="0.25">
      <c r="A21" s="13"/>
      <c r="B21" s="12">
        <v>19</v>
      </c>
      <c r="C21" s="22"/>
      <c r="D21" s="14"/>
      <c r="E21" s="6"/>
      <c r="F21" s="6"/>
    </row>
    <row r="22" spans="1:6" ht="13.5" customHeight="1" x14ac:dyDescent="0.25">
      <c r="A22" s="13"/>
      <c r="B22" s="12">
        <v>20</v>
      </c>
      <c r="C22" s="22"/>
      <c r="D22" s="14"/>
      <c r="E22" s="6"/>
      <c r="F22" s="6"/>
    </row>
    <row r="23" spans="1:6" ht="13.5" customHeight="1" x14ac:dyDescent="0.25">
      <c r="A23" s="13"/>
      <c r="B23" s="12">
        <v>21</v>
      </c>
      <c r="C23" s="22"/>
      <c r="D23" s="14"/>
      <c r="E23" s="6"/>
      <c r="F23" s="6"/>
    </row>
    <row r="24" spans="1:6" ht="13.5" customHeight="1" x14ac:dyDescent="0.25">
      <c r="A24" s="13"/>
      <c r="B24" s="12">
        <v>22</v>
      </c>
      <c r="C24" s="22"/>
      <c r="D24" s="14"/>
      <c r="E24" s="6"/>
      <c r="F24" s="6"/>
    </row>
    <row r="25" spans="1:6" ht="13.5" customHeight="1" x14ac:dyDescent="0.25">
      <c r="A25" s="13"/>
      <c r="B25" s="12">
        <v>23</v>
      </c>
      <c r="C25" s="22"/>
      <c r="D25" s="14"/>
      <c r="E25" s="6"/>
      <c r="F25" s="6"/>
    </row>
    <row r="26" spans="1:6" ht="13.5" customHeight="1" x14ac:dyDescent="0.25">
      <c r="A26" s="13"/>
      <c r="B26" s="12">
        <v>24</v>
      </c>
      <c r="C26" s="22"/>
      <c r="D26" s="14"/>
      <c r="E26" s="6"/>
      <c r="F26" s="6"/>
    </row>
    <row r="27" spans="1:6" ht="13.5" customHeight="1" x14ac:dyDescent="0.25">
      <c r="A27" s="13"/>
      <c r="B27" s="12">
        <v>25</v>
      </c>
      <c r="C27" s="22"/>
      <c r="D27" s="14"/>
      <c r="E27" s="6"/>
      <c r="F27" s="6"/>
    </row>
    <row r="28" spans="1:6" ht="13.5" customHeight="1" x14ac:dyDescent="0.25">
      <c r="A28" s="13"/>
      <c r="B28" s="12">
        <v>26</v>
      </c>
      <c r="C28" s="22"/>
      <c r="D28" s="14"/>
      <c r="E28" s="6"/>
      <c r="F28" s="6"/>
    </row>
    <row r="29" spans="1:6" ht="13.5" customHeight="1" x14ac:dyDescent="0.25">
      <c r="A29" s="13"/>
      <c r="B29" s="12">
        <v>27</v>
      </c>
      <c r="C29" s="22"/>
      <c r="D29" s="14"/>
      <c r="E29" s="6"/>
      <c r="F29" s="6"/>
    </row>
    <row r="30" spans="1:6" ht="13.5" customHeight="1" x14ac:dyDescent="0.25">
      <c r="A30" s="13"/>
      <c r="B30" s="12">
        <v>28</v>
      </c>
      <c r="C30" s="22"/>
      <c r="D30" s="14"/>
      <c r="E30" s="6"/>
      <c r="F30" s="6"/>
    </row>
    <row r="31" spans="1:6" ht="13.5" customHeight="1" x14ac:dyDescent="0.25">
      <c r="A31" s="13"/>
      <c r="B31" s="12">
        <v>29</v>
      </c>
      <c r="C31" s="22"/>
      <c r="D31" s="14"/>
      <c r="E31" s="6"/>
      <c r="F31" s="6"/>
    </row>
    <row r="32" spans="1:6" ht="13.5" customHeight="1" x14ac:dyDescent="0.25">
      <c r="A32" s="13"/>
      <c r="B32" s="12">
        <v>30</v>
      </c>
      <c r="C32" s="22"/>
      <c r="D32" s="14"/>
      <c r="E32" s="6"/>
      <c r="F32" s="6"/>
    </row>
    <row r="33" spans="1:6" ht="13.5" customHeight="1" x14ac:dyDescent="0.25">
      <c r="A33" s="13"/>
      <c r="B33" s="12">
        <v>31</v>
      </c>
      <c r="C33" s="22"/>
      <c r="D33" s="14"/>
      <c r="E33" s="6"/>
      <c r="F33" s="6"/>
    </row>
    <row r="34" spans="1:6" ht="13.5" customHeight="1" x14ac:dyDescent="0.25">
      <c r="A34" s="13"/>
      <c r="B34" s="12">
        <v>32</v>
      </c>
      <c r="C34" s="22"/>
      <c r="D34" s="14"/>
      <c r="E34" s="6"/>
      <c r="F34" s="6"/>
    </row>
    <row r="35" spans="1:6" ht="13.5" customHeight="1" x14ac:dyDescent="0.25">
      <c r="A35" s="13"/>
      <c r="B35" s="12">
        <v>33</v>
      </c>
      <c r="C35" s="22"/>
      <c r="D35" s="14"/>
      <c r="E35" s="6"/>
      <c r="F35" s="6"/>
    </row>
    <row r="36" spans="1:6" ht="13.5" customHeight="1" x14ac:dyDescent="0.25">
      <c r="A36" s="13"/>
      <c r="B36" s="12">
        <v>34</v>
      </c>
      <c r="C36" s="22"/>
      <c r="D36" s="14"/>
      <c r="E36" s="6"/>
      <c r="F36" s="6"/>
    </row>
    <row r="37" spans="1:6" ht="13.5" customHeight="1" x14ac:dyDescent="0.25">
      <c r="A37" s="13"/>
      <c r="B37" s="12">
        <v>35</v>
      </c>
      <c r="C37" s="22"/>
      <c r="D37" s="14"/>
      <c r="E37" s="6"/>
      <c r="F37" s="6"/>
    </row>
    <row r="38" spans="1:6" ht="13.5" customHeight="1" x14ac:dyDescent="0.25">
      <c r="A38" s="13"/>
      <c r="B38" s="12">
        <v>36</v>
      </c>
      <c r="C38" s="22"/>
      <c r="D38" s="14"/>
      <c r="E38" s="6"/>
      <c r="F38" s="6"/>
    </row>
    <row r="39" spans="1:6" ht="13.5" customHeight="1" x14ac:dyDescent="0.25">
      <c r="A39" s="13"/>
      <c r="B39" s="12">
        <v>37</v>
      </c>
      <c r="C39" s="22"/>
      <c r="D39" s="14"/>
      <c r="E39" s="6"/>
      <c r="F39" s="6"/>
    </row>
    <row r="40" spans="1:6" ht="13.5" customHeight="1" x14ac:dyDescent="0.25">
      <c r="A40" s="13"/>
      <c r="B40" s="12">
        <v>38</v>
      </c>
      <c r="C40" s="22"/>
      <c r="D40" s="14"/>
      <c r="E40" s="6"/>
      <c r="F40" s="6"/>
    </row>
    <row r="41" spans="1:6" ht="13.5" customHeight="1" x14ac:dyDescent="0.25">
      <c r="A41" s="13"/>
      <c r="B41" s="12">
        <v>39</v>
      </c>
      <c r="C41" s="22"/>
      <c r="D41" s="14"/>
      <c r="E41" s="6"/>
      <c r="F41" s="6"/>
    </row>
    <row r="42" spans="1:6" ht="13.5" customHeight="1" x14ac:dyDescent="0.25">
      <c r="A42" s="13"/>
      <c r="B42" s="12">
        <v>40</v>
      </c>
      <c r="C42" s="22"/>
      <c r="D42" s="14"/>
      <c r="E42" s="6"/>
      <c r="F42" s="6"/>
    </row>
    <row r="43" spans="1:6" ht="13.5" customHeight="1" x14ac:dyDescent="0.25">
      <c r="A43" s="13"/>
      <c r="B43" s="12">
        <v>41</v>
      </c>
      <c r="C43" s="22"/>
      <c r="D43" s="14"/>
      <c r="E43" s="6"/>
      <c r="F43" s="6"/>
    </row>
    <row r="44" spans="1:6" ht="13.5" customHeight="1" x14ac:dyDescent="0.25">
      <c r="A44" s="13"/>
      <c r="B44" s="12">
        <v>42</v>
      </c>
      <c r="C44" s="22"/>
      <c r="D44" s="14"/>
      <c r="E44" s="6"/>
      <c r="F44" s="6"/>
    </row>
    <row r="45" spans="1:6" ht="13.5" customHeight="1" x14ac:dyDescent="0.25">
      <c r="A45" s="13"/>
      <c r="B45" s="12">
        <v>43</v>
      </c>
      <c r="C45" s="22"/>
      <c r="D45" s="14"/>
      <c r="E45" s="6"/>
      <c r="F45" s="6"/>
    </row>
    <row r="46" spans="1:6" ht="13.5" customHeight="1" x14ac:dyDescent="0.25">
      <c r="A46" s="13"/>
      <c r="B46" s="12">
        <v>44</v>
      </c>
      <c r="C46" s="22"/>
      <c r="D46" s="14"/>
      <c r="E46" s="6"/>
      <c r="F46" s="6"/>
    </row>
    <row r="47" spans="1:6" ht="13.5" customHeight="1" x14ac:dyDescent="0.25">
      <c r="A47" s="13"/>
      <c r="B47" s="12">
        <v>45</v>
      </c>
      <c r="C47" s="22"/>
      <c r="D47" s="14"/>
      <c r="E47" s="6"/>
      <c r="F47" s="6"/>
    </row>
    <row r="48" spans="1:6" ht="13.5" customHeight="1" x14ac:dyDescent="0.25">
      <c r="A48" s="13"/>
      <c r="B48" s="12">
        <v>46</v>
      </c>
      <c r="C48" s="22"/>
      <c r="D48" s="14"/>
      <c r="E48" s="6"/>
      <c r="F48" s="6"/>
    </row>
    <row r="49" spans="1:6" ht="13.5" customHeight="1" x14ac:dyDescent="0.25">
      <c r="A49" s="13"/>
      <c r="B49" s="12">
        <v>47</v>
      </c>
      <c r="C49" s="22"/>
      <c r="D49" s="14"/>
      <c r="E49" s="6"/>
      <c r="F49" s="6"/>
    </row>
    <row r="50" spans="1:6" ht="13.5" customHeight="1" x14ac:dyDescent="0.25">
      <c r="A50" s="13"/>
      <c r="B50" s="12">
        <v>48</v>
      </c>
      <c r="C50" s="22"/>
      <c r="D50" s="14"/>
      <c r="E50" s="6"/>
      <c r="F50" s="6"/>
    </row>
    <row r="51" spans="1:6" ht="13.5" customHeight="1" x14ac:dyDescent="0.25">
      <c r="A51" s="13"/>
      <c r="B51" s="12">
        <v>49</v>
      </c>
      <c r="C51" s="22"/>
      <c r="D51" s="14"/>
      <c r="E51" s="6"/>
      <c r="F51" s="6"/>
    </row>
    <row r="52" spans="1:6" ht="13.5" customHeight="1" x14ac:dyDescent="0.25">
      <c r="A52" s="13"/>
      <c r="B52" s="12">
        <v>50</v>
      </c>
      <c r="C52" s="22"/>
      <c r="D52" s="14"/>
      <c r="E52" s="6"/>
      <c r="F52" s="6"/>
    </row>
    <row r="53" spans="1:6" ht="13.5" customHeight="1" x14ac:dyDescent="0.25">
      <c r="A53" s="13"/>
      <c r="B53" s="12">
        <v>51</v>
      </c>
      <c r="C53" s="22"/>
      <c r="D53" s="14"/>
      <c r="E53" s="6"/>
      <c r="F53" s="6"/>
    </row>
    <row r="54" spans="1:6" ht="13.5" customHeight="1" x14ac:dyDescent="0.25">
      <c r="A54" s="13"/>
      <c r="B54" s="12">
        <v>52</v>
      </c>
      <c r="C54" s="22"/>
      <c r="D54" s="14"/>
      <c r="E54" s="6"/>
      <c r="F54" s="6"/>
    </row>
    <row r="55" spans="1:6" ht="13.5" customHeight="1" x14ac:dyDescent="0.25">
      <c r="A55" s="13"/>
      <c r="B55" s="12">
        <v>53</v>
      </c>
      <c r="C55" s="22"/>
      <c r="D55" s="14"/>
      <c r="E55" s="6"/>
      <c r="F55" s="6"/>
    </row>
    <row r="56" spans="1:6" ht="13.5" customHeight="1" x14ac:dyDescent="0.25">
      <c r="A56" s="13"/>
      <c r="B56" s="12">
        <v>54</v>
      </c>
      <c r="C56" s="22"/>
      <c r="D56" s="14"/>
      <c r="E56" s="6"/>
      <c r="F56" s="6"/>
    </row>
    <row r="57" spans="1:6" ht="13.5" customHeight="1" x14ac:dyDescent="0.25">
      <c r="A57" s="13"/>
      <c r="B57" s="12">
        <v>55</v>
      </c>
      <c r="C57" s="22"/>
      <c r="D57" s="14"/>
      <c r="E57" s="6"/>
      <c r="F57" s="6"/>
    </row>
    <row r="58" spans="1:6" ht="13.5" customHeight="1" x14ac:dyDescent="0.25">
      <c r="A58" s="13"/>
      <c r="B58" s="12">
        <v>56</v>
      </c>
      <c r="C58" s="22"/>
      <c r="D58" s="14"/>
      <c r="E58" s="6"/>
      <c r="F58" s="6"/>
    </row>
    <row r="59" spans="1:6" ht="13.5" customHeight="1" x14ac:dyDescent="0.25">
      <c r="A59" s="13"/>
      <c r="B59" s="12">
        <v>57</v>
      </c>
      <c r="C59" s="22"/>
      <c r="D59" s="14"/>
      <c r="E59" s="6"/>
      <c r="F59" s="6"/>
    </row>
    <row r="60" spans="1:6" ht="13.5" customHeight="1" x14ac:dyDescent="0.25">
      <c r="A60" s="13"/>
      <c r="B60" s="12">
        <v>58</v>
      </c>
      <c r="C60" s="22"/>
      <c r="D60" s="14"/>
      <c r="E60" s="6"/>
      <c r="F60" s="6"/>
    </row>
    <row r="61" spans="1:6" ht="13.5" customHeight="1" x14ac:dyDescent="0.25">
      <c r="A61" s="13"/>
      <c r="B61" s="12">
        <v>59</v>
      </c>
      <c r="C61" s="22"/>
      <c r="D61" s="14"/>
      <c r="E61" s="6"/>
      <c r="F61" s="6"/>
    </row>
    <row r="62" spans="1:6" ht="13.5" customHeight="1" x14ac:dyDescent="0.25">
      <c r="A62" s="13"/>
      <c r="B62" s="12">
        <v>60</v>
      </c>
      <c r="C62" s="22"/>
      <c r="D62" s="14"/>
      <c r="E62" s="6"/>
      <c r="F62" s="6"/>
    </row>
    <row r="63" spans="1:6" ht="13.5" customHeight="1" x14ac:dyDescent="0.25">
      <c r="A63" s="13"/>
      <c r="B63" s="12">
        <v>61</v>
      </c>
      <c r="C63" s="22"/>
      <c r="D63" s="14"/>
      <c r="E63" s="6"/>
      <c r="F63" s="6"/>
    </row>
    <row r="64" spans="1:6" ht="13.5" customHeight="1" x14ac:dyDescent="0.25">
      <c r="A64" s="13"/>
      <c r="B64" s="12">
        <v>62</v>
      </c>
      <c r="C64" s="22"/>
      <c r="D64" s="14"/>
      <c r="E64" s="6"/>
      <c r="F64" s="6"/>
    </row>
    <row r="65" spans="1:6" ht="13.5" customHeight="1" x14ac:dyDescent="0.25">
      <c r="A65" s="13"/>
      <c r="B65" s="12">
        <v>63</v>
      </c>
      <c r="C65" s="22"/>
      <c r="D65" s="14"/>
      <c r="E65" s="6"/>
      <c r="F65" s="6"/>
    </row>
    <row r="66" spans="1:6" ht="13.5" customHeight="1" x14ac:dyDescent="0.25">
      <c r="A66" s="13"/>
      <c r="B66" s="12">
        <v>64</v>
      </c>
      <c r="C66" s="22"/>
      <c r="D66" s="14"/>
      <c r="E66" s="6"/>
      <c r="F66" s="6"/>
    </row>
    <row r="67" spans="1:6" ht="13.5" customHeight="1" x14ac:dyDescent="0.25">
      <c r="A67" s="13"/>
      <c r="B67" s="12">
        <v>65</v>
      </c>
      <c r="C67" s="22"/>
      <c r="D67" s="14"/>
      <c r="E67" s="6"/>
      <c r="F67" s="6"/>
    </row>
    <row r="68" spans="1:6" ht="13.5" customHeight="1" x14ac:dyDescent="0.25">
      <c r="A68" s="13"/>
      <c r="B68" s="12">
        <v>66</v>
      </c>
      <c r="C68" s="22"/>
      <c r="D68" s="14"/>
      <c r="E68" s="6"/>
      <c r="F68" s="6"/>
    </row>
    <row r="69" spans="1:6" ht="13.5" customHeight="1" x14ac:dyDescent="0.25">
      <c r="A69" s="13"/>
      <c r="B69" s="12">
        <v>67</v>
      </c>
      <c r="C69" s="22"/>
      <c r="D69" s="14"/>
      <c r="E69" s="6"/>
      <c r="F69" s="6"/>
    </row>
    <row r="70" spans="1:6" ht="13.5" customHeight="1" x14ac:dyDescent="0.25">
      <c r="A70" s="13"/>
      <c r="B70" s="12">
        <v>68</v>
      </c>
      <c r="C70" s="22"/>
      <c r="D70" s="14"/>
      <c r="E70" s="6"/>
      <c r="F70" s="6"/>
    </row>
    <row r="71" spans="1:6" ht="13.5" customHeight="1" x14ac:dyDescent="0.25">
      <c r="A71" s="13"/>
      <c r="B71" s="12">
        <v>69</v>
      </c>
      <c r="C71" s="22"/>
      <c r="D71" s="14"/>
      <c r="E71" s="6"/>
      <c r="F71" s="6"/>
    </row>
    <row r="72" spans="1:6" ht="13.5" customHeight="1" x14ac:dyDescent="0.25">
      <c r="A72" s="13"/>
      <c r="B72" s="12">
        <v>70</v>
      </c>
      <c r="C72" s="22"/>
      <c r="D72" s="14"/>
      <c r="E72" s="6"/>
      <c r="F72" s="6"/>
    </row>
    <row r="73" spans="1:6" ht="13.5" customHeight="1" x14ac:dyDescent="0.25">
      <c r="A73" s="13"/>
      <c r="B73" s="12">
        <v>71</v>
      </c>
      <c r="C73" s="22"/>
      <c r="D73" s="14"/>
      <c r="E73" s="6"/>
      <c r="F73" s="6"/>
    </row>
    <row r="74" spans="1:6" ht="13.5" customHeight="1" x14ac:dyDescent="0.25">
      <c r="A74" s="13"/>
      <c r="B74" s="12">
        <v>72</v>
      </c>
      <c r="C74" s="22"/>
      <c r="D74" s="14"/>
      <c r="E74" s="6"/>
      <c r="F74" s="6"/>
    </row>
    <row r="75" spans="1:6" ht="13.5" customHeight="1" x14ac:dyDescent="0.25">
      <c r="A75" s="13"/>
      <c r="B75" s="12">
        <v>73</v>
      </c>
      <c r="C75" s="22"/>
      <c r="D75" s="14"/>
      <c r="E75" s="6"/>
      <c r="F75" s="6"/>
    </row>
    <row r="76" spans="1:6" ht="13.5" customHeight="1" x14ac:dyDescent="0.25">
      <c r="A76" s="13"/>
      <c r="B76" s="12">
        <v>74</v>
      </c>
      <c r="C76" s="22"/>
      <c r="D76" s="14"/>
      <c r="E76" s="6"/>
      <c r="F76" s="6"/>
    </row>
    <row r="77" spans="1:6" ht="13.5" customHeight="1" x14ac:dyDescent="0.25">
      <c r="A77" s="13"/>
      <c r="B77" s="12">
        <v>75</v>
      </c>
      <c r="C77" s="22"/>
      <c r="D77" s="14"/>
      <c r="E77" s="6"/>
      <c r="F77" s="6"/>
    </row>
    <row r="78" spans="1:6" ht="13.5" customHeight="1" x14ac:dyDescent="0.25">
      <c r="A78" s="13"/>
      <c r="B78" s="12">
        <v>76</v>
      </c>
      <c r="C78" s="22"/>
      <c r="D78" s="14"/>
      <c r="E78" s="6"/>
      <c r="F78" s="6"/>
    </row>
    <row r="79" spans="1:6" ht="13.5" customHeight="1" x14ac:dyDescent="0.25">
      <c r="A79" s="13"/>
      <c r="B79" s="12">
        <v>77</v>
      </c>
      <c r="C79" s="22"/>
      <c r="D79" s="14"/>
      <c r="E79" s="6"/>
      <c r="F79" s="6"/>
    </row>
    <row r="80" spans="1:6" ht="13.5" customHeight="1" x14ac:dyDescent="0.25">
      <c r="A80" s="13"/>
      <c r="B80" s="12">
        <v>78</v>
      </c>
      <c r="C80" s="22"/>
      <c r="D80" s="14"/>
      <c r="E80" s="6"/>
      <c r="F80" s="6"/>
    </row>
    <row r="81" spans="1:6" ht="13.5" customHeight="1" x14ac:dyDescent="0.25">
      <c r="A81" s="13"/>
      <c r="B81" s="12">
        <v>79</v>
      </c>
      <c r="C81" s="22"/>
      <c r="D81" s="14"/>
      <c r="E81" s="6"/>
      <c r="F81" s="6"/>
    </row>
    <row r="82" spans="1:6" ht="13.5" customHeight="1" x14ac:dyDescent="0.25">
      <c r="A82" s="13"/>
      <c r="B82" s="12">
        <v>80</v>
      </c>
      <c r="C82" s="22"/>
      <c r="D82" s="14"/>
      <c r="E82" s="6"/>
      <c r="F82" s="6"/>
    </row>
    <row r="83" spans="1:6" ht="13.5" customHeight="1" x14ac:dyDescent="0.25">
      <c r="A83" s="13"/>
      <c r="B83" s="12">
        <v>81</v>
      </c>
      <c r="C83" s="22"/>
      <c r="D83" s="14"/>
      <c r="E83" s="6"/>
      <c r="F83" s="6"/>
    </row>
    <row r="84" spans="1:6" ht="13.5" customHeight="1" x14ac:dyDescent="0.25">
      <c r="A84" s="13"/>
      <c r="B84" s="12">
        <v>82</v>
      </c>
      <c r="C84" s="22"/>
      <c r="D84" s="14"/>
      <c r="E84" s="6"/>
      <c r="F84" s="6"/>
    </row>
    <row r="85" spans="1:6" ht="13.5" customHeight="1" x14ac:dyDescent="0.25">
      <c r="A85" s="13"/>
      <c r="B85" s="12">
        <v>83</v>
      </c>
      <c r="C85" s="22"/>
      <c r="D85" s="14"/>
      <c r="E85" s="6"/>
      <c r="F85" s="6"/>
    </row>
    <row r="86" spans="1:6" ht="13.5" customHeight="1" x14ac:dyDescent="0.25">
      <c r="A86" s="13"/>
      <c r="B86" s="12">
        <v>84</v>
      </c>
      <c r="C86" s="22"/>
      <c r="D86" s="14"/>
      <c r="E86" s="6"/>
      <c r="F86" s="6"/>
    </row>
    <row r="87" spans="1:6" ht="13.5" customHeight="1" x14ac:dyDescent="0.25">
      <c r="A87" s="13"/>
      <c r="B87" s="12">
        <v>85</v>
      </c>
      <c r="C87" s="22"/>
      <c r="D87" s="14"/>
      <c r="E87" s="6"/>
      <c r="F87" s="6"/>
    </row>
    <row r="88" spans="1:6" ht="13.5" customHeight="1" x14ac:dyDescent="0.25">
      <c r="A88" s="13"/>
      <c r="B88" s="12">
        <v>86</v>
      </c>
      <c r="C88" s="22"/>
      <c r="D88" s="14"/>
      <c r="E88" s="6"/>
      <c r="F88" s="6"/>
    </row>
    <row r="89" spans="1:6" ht="13.5" customHeight="1" x14ac:dyDescent="0.25">
      <c r="A89" s="13"/>
      <c r="B89" s="12">
        <v>87</v>
      </c>
      <c r="C89" s="22"/>
      <c r="D89" s="14"/>
      <c r="E89" s="6"/>
      <c r="F89" s="6"/>
    </row>
    <row r="90" spans="1:6" ht="13.5" customHeight="1" x14ac:dyDescent="0.25">
      <c r="A90" s="13"/>
      <c r="B90" s="12">
        <v>88</v>
      </c>
      <c r="C90" s="22"/>
      <c r="D90" s="14"/>
      <c r="E90" s="6"/>
      <c r="F90" s="6"/>
    </row>
    <row r="91" spans="1:6" ht="13.5" customHeight="1" x14ac:dyDescent="0.25">
      <c r="A91" s="13"/>
      <c r="B91" s="12">
        <v>89</v>
      </c>
      <c r="C91" s="22"/>
      <c r="D91" s="14"/>
      <c r="E91" s="6"/>
      <c r="F91" s="6"/>
    </row>
    <row r="92" spans="1:6" ht="13.5" customHeight="1" x14ac:dyDescent="0.25">
      <c r="A92" s="13"/>
      <c r="B92" s="12">
        <v>90</v>
      </c>
      <c r="C92" s="22"/>
      <c r="D92" s="14"/>
      <c r="E92" s="6"/>
      <c r="F92" s="6"/>
    </row>
  </sheetData>
  <conditionalFormatting sqref="A3:A92">
    <cfRule type="containsText" dxfId="247" priority="1" operator="containsText" text="BLACK">
      <formula>NOT(ISERROR(SEARCH(("BLACK"),(A3))))</formula>
    </cfRule>
    <cfRule type="containsText" dxfId="246" priority="2" operator="containsText" text="BLUE">
      <formula>NOT(ISERROR(SEARCH(("BLUE"),(A3))))</formula>
    </cfRule>
    <cfRule type="containsText" dxfId="245" priority="3" operator="containsText" text="RED">
      <formula>NOT(ISERROR(SEARCH(("RED"),(A3))))</formula>
    </cfRule>
    <cfRule type="containsText" dxfId="244" priority="4" operator="containsText" text="AMBER">
      <formula>NOT(ISERROR(SEARCH(("AMBER"),(A3))))</formula>
    </cfRule>
    <cfRule type="containsText" dxfId="243" priority="5" operator="containsText" text="GREEN">
      <formula>NOT(ISERROR(SEARCH(("GREEN"),(A3))))</formula>
    </cfRule>
  </conditionalFormatting>
  <dataValidations count="1">
    <dataValidation type="list" allowBlank="1" showErrorMessage="1" sqref="A3:A92" xr:uid="{00000000-0002-0000-0200-000000000000}">
      <formula1>StatusList</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M27"/>
  <sheetViews>
    <sheetView workbookViewId="0">
      <selection activeCell="D40" sqref="D40"/>
    </sheetView>
  </sheetViews>
  <sheetFormatPr defaultColWidth="15.42578125" defaultRowHeight="15" customHeight="1" x14ac:dyDescent="0.25"/>
  <cols>
    <col min="1" max="1" width="5.5703125" customWidth="1"/>
    <col min="2" max="2" width="11.42578125" customWidth="1"/>
    <col min="3" max="3" width="44.42578125" customWidth="1"/>
    <col min="4" max="4" width="18.42578125" customWidth="1"/>
    <col min="5" max="5" width="14.5703125" customWidth="1"/>
    <col min="6" max="7" width="9.42578125" customWidth="1"/>
    <col min="8" max="8" width="14.5703125" customWidth="1"/>
    <col min="9" max="9" width="7.5703125" customWidth="1"/>
    <col min="10" max="10" width="9.42578125" customWidth="1"/>
    <col min="11" max="12" width="16.42578125" customWidth="1"/>
    <col min="13" max="13" width="44.42578125" customWidth="1"/>
  </cols>
  <sheetData>
    <row r="1" spans="1:13" ht="13.5" customHeight="1" x14ac:dyDescent="0.25">
      <c r="A1" s="4" t="e">
        <f>Company&amp;" "&amp;ProjectNumber&amp;" I/O MATRIX"</f>
        <v>#NAME?</v>
      </c>
      <c r="B1" s="5"/>
      <c r="C1" s="5"/>
      <c r="D1" s="5"/>
      <c r="E1" s="5"/>
      <c r="F1" s="5"/>
      <c r="G1" s="5"/>
      <c r="H1" s="5"/>
      <c r="I1" s="5"/>
      <c r="J1" s="5"/>
      <c r="K1" s="5"/>
      <c r="L1" s="5"/>
      <c r="M1" s="5"/>
    </row>
    <row r="2" spans="1:13" ht="15" customHeight="1" x14ac:dyDescent="0.25">
      <c r="A2" s="241" t="s">
        <v>1</v>
      </c>
      <c r="B2" s="241" t="s">
        <v>5</v>
      </c>
      <c r="C2" s="241" t="s">
        <v>124</v>
      </c>
      <c r="D2" s="241" t="s">
        <v>125</v>
      </c>
      <c r="E2" s="241" t="s">
        <v>4</v>
      </c>
      <c r="F2" s="241" t="s">
        <v>126</v>
      </c>
      <c r="G2" s="241" t="s">
        <v>127</v>
      </c>
      <c r="H2" s="241" t="s">
        <v>128</v>
      </c>
      <c r="I2" s="241" t="s">
        <v>129</v>
      </c>
      <c r="J2" s="241" t="s">
        <v>130</v>
      </c>
      <c r="K2" s="38" t="s">
        <v>131</v>
      </c>
      <c r="L2" s="38" t="s">
        <v>132</v>
      </c>
      <c r="M2" s="241" t="s">
        <v>6</v>
      </c>
    </row>
    <row r="3" spans="1:13" ht="13.5" customHeight="1" x14ac:dyDescent="0.25">
      <c r="A3" s="242"/>
      <c r="B3" s="242"/>
      <c r="C3" s="242"/>
      <c r="D3" s="242"/>
      <c r="E3" s="242"/>
      <c r="F3" s="242"/>
      <c r="G3" s="242"/>
      <c r="H3" s="242"/>
      <c r="I3" s="242"/>
      <c r="J3" s="242"/>
      <c r="K3" s="39" t="s">
        <v>133</v>
      </c>
      <c r="L3" s="39" t="s">
        <v>134</v>
      </c>
      <c r="M3" s="242"/>
    </row>
    <row r="4" spans="1:13" ht="13.5" hidden="1" customHeight="1" x14ac:dyDescent="0.25">
      <c r="A4" s="5" t="s">
        <v>1</v>
      </c>
      <c r="B4" s="5" t="s">
        <v>5</v>
      </c>
      <c r="C4" s="5" t="s">
        <v>124</v>
      </c>
      <c r="D4" s="5" t="s">
        <v>125</v>
      </c>
      <c r="E4" s="5" t="s">
        <v>4</v>
      </c>
      <c r="F4" s="5" t="s">
        <v>126</v>
      </c>
      <c r="G4" s="5" t="s">
        <v>127</v>
      </c>
      <c r="H4" s="5" t="s">
        <v>128</v>
      </c>
      <c r="I4" s="5" t="s">
        <v>129</v>
      </c>
      <c r="J4" s="5" t="s">
        <v>130</v>
      </c>
      <c r="K4" s="5" t="s">
        <v>131</v>
      </c>
      <c r="L4" s="5" t="s">
        <v>132</v>
      </c>
      <c r="M4" s="5" t="s">
        <v>6</v>
      </c>
    </row>
    <row r="5" spans="1:13" ht="13.5" customHeight="1" x14ac:dyDescent="0.25">
      <c r="A5" s="15">
        <v>1</v>
      </c>
      <c r="B5" s="15" t="s">
        <v>135</v>
      </c>
      <c r="C5" s="15" t="s">
        <v>136</v>
      </c>
      <c r="D5" s="15"/>
      <c r="E5" s="15" t="str">
        <f t="shared" ref="E5:E15" si="0">IFERROR(VLOOKUP(#REF!,#REF!:#REF!,2,0),"")</f>
        <v/>
      </c>
      <c r="F5" s="13"/>
      <c r="G5" s="13">
        <v>2</v>
      </c>
      <c r="H5" s="15" t="s">
        <v>137</v>
      </c>
      <c r="I5" s="15" t="s">
        <v>138</v>
      </c>
      <c r="J5" s="15" t="s">
        <v>139</v>
      </c>
      <c r="K5" s="15" t="s">
        <v>140</v>
      </c>
      <c r="L5" s="15" t="s">
        <v>141</v>
      </c>
      <c r="M5" s="15" t="s">
        <v>142</v>
      </c>
    </row>
    <row r="6" spans="1:13" ht="13.5" customHeight="1" x14ac:dyDescent="0.25">
      <c r="A6" s="15">
        <v>1</v>
      </c>
      <c r="B6" s="15" t="s">
        <v>143</v>
      </c>
      <c r="C6" s="15" t="s">
        <v>144</v>
      </c>
      <c r="D6" s="15"/>
      <c r="E6" s="15" t="str">
        <f t="shared" si="0"/>
        <v/>
      </c>
      <c r="F6" s="13">
        <v>1</v>
      </c>
      <c r="G6" s="13"/>
      <c r="H6" s="15" t="s">
        <v>145</v>
      </c>
      <c r="I6" s="15" t="s">
        <v>146</v>
      </c>
      <c r="J6" s="15" t="s">
        <v>139</v>
      </c>
      <c r="K6" s="15" t="s">
        <v>147</v>
      </c>
      <c r="L6" s="15" t="s">
        <v>141</v>
      </c>
      <c r="M6" s="15" t="s">
        <v>142</v>
      </c>
    </row>
    <row r="7" spans="1:13" ht="13.5" customHeight="1" x14ac:dyDescent="0.25">
      <c r="A7" s="15">
        <v>1</v>
      </c>
      <c r="B7" s="15" t="s">
        <v>143</v>
      </c>
      <c r="C7" s="15" t="s">
        <v>148</v>
      </c>
      <c r="D7" s="15"/>
      <c r="E7" s="15" t="str">
        <f t="shared" si="0"/>
        <v/>
      </c>
      <c r="F7" s="13">
        <v>1</v>
      </c>
      <c r="G7" s="13"/>
      <c r="H7" s="15" t="s">
        <v>149</v>
      </c>
      <c r="I7" s="15" t="s">
        <v>146</v>
      </c>
      <c r="J7" s="15" t="s">
        <v>139</v>
      </c>
      <c r="K7" s="15" t="s">
        <v>147</v>
      </c>
      <c r="L7" s="15" t="s">
        <v>141</v>
      </c>
      <c r="M7" s="15" t="s">
        <v>142</v>
      </c>
    </row>
    <row r="8" spans="1:13" ht="13.5" customHeight="1" x14ac:dyDescent="0.25">
      <c r="A8" s="15"/>
      <c r="B8" s="15"/>
      <c r="C8" s="15"/>
      <c r="D8" s="15"/>
      <c r="E8" s="15" t="str">
        <f t="shared" si="0"/>
        <v/>
      </c>
      <c r="F8" s="13"/>
      <c r="G8" s="13"/>
      <c r="H8" s="15"/>
      <c r="I8" s="15"/>
      <c r="J8" s="15"/>
      <c r="K8" s="15"/>
      <c r="L8" s="15"/>
      <c r="M8" s="15"/>
    </row>
    <row r="9" spans="1:13" ht="13.5" customHeight="1" x14ac:dyDescent="0.25">
      <c r="A9" s="15"/>
      <c r="B9" s="15"/>
      <c r="C9" s="15"/>
      <c r="D9" s="15"/>
      <c r="E9" s="15" t="str">
        <f t="shared" si="0"/>
        <v/>
      </c>
      <c r="F9" s="13"/>
      <c r="G9" s="13"/>
      <c r="H9" s="15"/>
      <c r="I9" s="15"/>
      <c r="J9" s="15"/>
      <c r="K9" s="15"/>
      <c r="L9" s="15"/>
      <c r="M9" s="15"/>
    </row>
    <row r="10" spans="1:13" ht="13.5" customHeight="1" x14ac:dyDescent="0.25">
      <c r="A10" s="15"/>
      <c r="B10" s="15"/>
      <c r="C10" s="15"/>
      <c r="D10" s="15"/>
      <c r="E10" s="15" t="str">
        <f t="shared" si="0"/>
        <v/>
      </c>
      <c r="F10" s="13"/>
      <c r="G10" s="13"/>
      <c r="H10" s="15"/>
      <c r="I10" s="15"/>
      <c r="J10" s="15"/>
      <c r="K10" s="15"/>
      <c r="L10" s="15"/>
      <c r="M10" s="15"/>
    </row>
    <row r="11" spans="1:13" ht="13.5" customHeight="1" x14ac:dyDescent="0.25">
      <c r="A11" s="15"/>
      <c r="B11" s="15"/>
      <c r="C11" s="15"/>
      <c r="D11" s="15"/>
      <c r="E11" s="15" t="str">
        <f t="shared" si="0"/>
        <v/>
      </c>
      <c r="F11" s="13"/>
      <c r="G11" s="13"/>
      <c r="H11" s="15"/>
      <c r="I11" s="15"/>
      <c r="J11" s="15"/>
      <c r="K11" s="15"/>
      <c r="L11" s="15"/>
      <c r="M11" s="15"/>
    </row>
    <row r="12" spans="1:13" ht="13.5" customHeight="1" x14ac:dyDescent="0.25">
      <c r="A12" s="15"/>
      <c r="B12" s="15"/>
      <c r="C12" s="15"/>
      <c r="D12" s="15"/>
      <c r="E12" s="15" t="str">
        <f t="shared" si="0"/>
        <v/>
      </c>
      <c r="F12" s="13"/>
      <c r="G12" s="13"/>
      <c r="H12" s="15"/>
      <c r="I12" s="15"/>
      <c r="J12" s="15"/>
      <c r="K12" s="15"/>
      <c r="L12" s="15"/>
      <c r="M12" s="15"/>
    </row>
    <row r="13" spans="1:13" ht="13.5" customHeight="1" x14ac:dyDescent="0.25">
      <c r="A13" s="15"/>
      <c r="B13" s="15"/>
      <c r="C13" s="15"/>
      <c r="D13" s="15"/>
      <c r="E13" s="15" t="str">
        <f t="shared" si="0"/>
        <v/>
      </c>
      <c r="F13" s="13"/>
      <c r="G13" s="13"/>
      <c r="H13" s="15"/>
      <c r="I13" s="15"/>
      <c r="J13" s="15"/>
      <c r="K13" s="15"/>
      <c r="L13" s="15"/>
      <c r="M13" s="15"/>
    </row>
    <row r="14" spans="1:13" ht="13.5" customHeight="1" x14ac:dyDescent="0.25">
      <c r="A14" s="15"/>
      <c r="B14" s="15"/>
      <c r="C14" s="15"/>
      <c r="D14" s="15"/>
      <c r="E14" s="15" t="str">
        <f t="shared" si="0"/>
        <v/>
      </c>
      <c r="F14" s="13"/>
      <c r="G14" s="13"/>
      <c r="H14" s="15"/>
      <c r="I14" s="15"/>
      <c r="J14" s="15"/>
      <c r="K14" s="15"/>
      <c r="L14" s="15"/>
      <c r="M14" s="15"/>
    </row>
    <row r="15" spans="1:13" ht="13.5" customHeight="1" x14ac:dyDescent="0.25">
      <c r="A15" s="15"/>
      <c r="B15" s="15"/>
      <c r="C15" s="15"/>
      <c r="D15" s="15"/>
      <c r="E15" s="15" t="str">
        <f t="shared" si="0"/>
        <v/>
      </c>
      <c r="F15" s="13"/>
      <c r="G15" s="13"/>
      <c r="H15" s="15"/>
      <c r="I15" s="15"/>
      <c r="J15" s="15"/>
      <c r="K15" s="15"/>
      <c r="L15" s="15"/>
      <c r="M15" s="15"/>
    </row>
    <row r="16" spans="1:13" ht="13.5" customHeight="1" x14ac:dyDescent="0.25">
      <c r="A16" s="6"/>
      <c r="B16" s="6"/>
      <c r="C16" s="6"/>
      <c r="D16" s="6"/>
      <c r="E16" s="6"/>
      <c r="F16" s="6"/>
      <c r="G16" s="6"/>
      <c r="H16" s="6"/>
      <c r="I16" s="6"/>
      <c r="J16" s="6"/>
      <c r="K16" s="6"/>
      <c r="L16" s="6"/>
      <c r="M16" s="6"/>
    </row>
    <row r="17" spans="1:13" ht="13.5" customHeight="1" x14ac:dyDescent="0.25">
      <c r="A17" s="6"/>
      <c r="B17" s="41" t="s">
        <v>150</v>
      </c>
      <c r="C17" s="6"/>
      <c r="D17" s="6"/>
      <c r="E17" s="6"/>
      <c r="F17" s="6"/>
      <c r="G17" s="6"/>
      <c r="H17" s="6"/>
      <c r="I17" s="6"/>
      <c r="J17" s="6"/>
      <c r="K17" s="6"/>
      <c r="L17" s="6"/>
      <c r="M17" s="6"/>
    </row>
    <row r="18" spans="1:13" ht="13.5" customHeight="1" x14ac:dyDescent="0.25">
      <c r="A18" s="6"/>
      <c r="B18" s="9">
        <f>COUNTIF('IO Matrix'!$B$5:$B$15,"ACTUATOR")+COUNTIF('IO Matrix'!$B$5:$B$15,"COMBINED")</f>
        <v>1</v>
      </c>
      <c r="C18" s="6"/>
      <c r="D18" s="6"/>
      <c r="E18" s="6"/>
      <c r="F18" s="6"/>
      <c r="G18" s="6"/>
      <c r="H18" s="6"/>
      <c r="I18" s="6"/>
      <c r="J18" s="6"/>
      <c r="K18" s="6"/>
      <c r="L18" s="6"/>
      <c r="M18" s="6"/>
    </row>
    <row r="19" spans="1:13" ht="13.5" customHeight="1" x14ac:dyDescent="0.25">
      <c r="A19" s="6"/>
      <c r="B19" s="40"/>
      <c r="C19" s="6"/>
      <c r="D19" s="6"/>
      <c r="E19" s="6"/>
      <c r="F19" s="6"/>
      <c r="G19" s="6"/>
      <c r="H19" s="6"/>
      <c r="I19" s="6"/>
      <c r="J19" s="6"/>
      <c r="K19" s="6"/>
      <c r="L19" s="6"/>
      <c r="M19" s="6"/>
    </row>
    <row r="20" spans="1:13" ht="13.5" customHeight="1" x14ac:dyDescent="0.25">
      <c r="A20" s="6"/>
      <c r="B20" s="41" t="s">
        <v>151</v>
      </c>
      <c r="C20" s="6"/>
      <c r="D20" s="6"/>
      <c r="E20" s="6"/>
      <c r="F20" s="6"/>
      <c r="G20" s="6"/>
      <c r="H20" s="6"/>
      <c r="I20" s="6"/>
      <c r="J20" s="6"/>
      <c r="K20" s="6"/>
      <c r="L20" s="6"/>
      <c r="M20" s="6"/>
    </row>
    <row r="21" spans="1:13" ht="13.5" customHeight="1" x14ac:dyDescent="0.25">
      <c r="A21" s="6"/>
      <c r="B21" s="9">
        <f>COUNTIF('IO Matrix'!$B$5:$B$15,"SENSOR")+COUNTIF('IO Matrix'!$B$5:$B$15,"COMBINED")</f>
        <v>2</v>
      </c>
      <c r="C21" s="6"/>
      <c r="D21" s="6"/>
      <c r="E21" s="6"/>
      <c r="F21" s="6"/>
      <c r="G21" s="6"/>
      <c r="H21" s="6"/>
      <c r="I21" s="6"/>
      <c r="J21" s="6"/>
      <c r="K21" s="6"/>
      <c r="L21" s="6"/>
      <c r="M21" s="6"/>
    </row>
    <row r="22" spans="1:13" ht="13.5" customHeight="1" x14ac:dyDescent="0.25">
      <c r="A22" s="6"/>
      <c r="B22" s="40"/>
      <c r="C22" s="6"/>
      <c r="D22" s="6"/>
      <c r="E22" s="6"/>
      <c r="F22" s="6"/>
      <c r="G22" s="6"/>
      <c r="H22" s="6"/>
      <c r="I22" s="6"/>
      <c r="J22" s="6"/>
      <c r="K22" s="6"/>
      <c r="L22" s="6"/>
      <c r="M22" s="6"/>
    </row>
    <row r="23" spans="1:13" ht="13.5" customHeight="1" x14ac:dyDescent="0.25">
      <c r="A23" s="6"/>
      <c r="B23" s="41" t="s">
        <v>126</v>
      </c>
      <c r="C23" s="6"/>
      <c r="D23" s="6"/>
      <c r="E23" s="6"/>
      <c r="F23" s="6"/>
      <c r="G23" s="6"/>
      <c r="H23" s="6"/>
      <c r="I23" s="6"/>
      <c r="J23" s="6"/>
      <c r="K23" s="6"/>
      <c r="L23" s="6"/>
      <c r="M23" s="6"/>
    </row>
    <row r="24" spans="1:13" ht="13.5" customHeight="1" x14ac:dyDescent="0.25">
      <c r="A24" s="6"/>
      <c r="B24" s="9">
        <f>SUM('IO Matrix'!$F$5:$F$15)</f>
        <v>2</v>
      </c>
      <c r="C24" s="6"/>
      <c r="D24" s="6"/>
      <c r="E24" s="6"/>
      <c r="F24" s="6"/>
      <c r="G24" s="6"/>
      <c r="H24" s="6"/>
      <c r="I24" s="6"/>
      <c r="J24" s="6"/>
      <c r="K24" s="6"/>
      <c r="L24" s="6"/>
      <c r="M24" s="6"/>
    </row>
    <row r="25" spans="1:13" ht="13.5" customHeight="1" x14ac:dyDescent="0.25">
      <c r="A25" s="6"/>
      <c r="B25" s="40"/>
      <c r="C25" s="6"/>
      <c r="D25" s="6"/>
      <c r="E25" s="6"/>
      <c r="F25" s="6"/>
      <c r="G25" s="6"/>
      <c r="H25" s="6"/>
      <c r="I25" s="6"/>
      <c r="J25" s="6"/>
      <c r="K25" s="6"/>
      <c r="L25" s="6"/>
      <c r="M25" s="6"/>
    </row>
    <row r="26" spans="1:13" ht="13.5" customHeight="1" x14ac:dyDescent="0.25">
      <c r="A26" s="6"/>
      <c r="B26" s="41" t="s">
        <v>127</v>
      </c>
      <c r="C26" s="6"/>
      <c r="D26" s="6"/>
      <c r="E26" s="6"/>
      <c r="F26" s="6"/>
      <c r="G26" s="6"/>
      <c r="H26" s="6"/>
      <c r="I26" s="6"/>
      <c r="J26" s="6"/>
      <c r="K26" s="6"/>
      <c r="L26" s="6"/>
      <c r="M26" s="6"/>
    </row>
    <row r="27" spans="1:13" ht="13.5" customHeight="1" x14ac:dyDescent="0.25">
      <c r="A27" s="6"/>
      <c r="B27" s="9">
        <f>SUM('IO Matrix'!$G$5:$G$15)</f>
        <v>2</v>
      </c>
      <c r="C27" s="6"/>
      <c r="D27" s="6"/>
      <c r="E27" s="6"/>
      <c r="F27" s="6"/>
      <c r="G27" s="6"/>
      <c r="H27" s="6"/>
      <c r="I27" s="6"/>
      <c r="J27" s="6"/>
      <c r="K27" s="6"/>
      <c r="L27" s="6"/>
      <c r="M27" s="6"/>
    </row>
  </sheetData>
  <mergeCells count="11">
    <mergeCell ref="C2:C3"/>
    <mergeCell ref="A2:A3"/>
    <mergeCell ref="B2:B3"/>
    <mergeCell ref="M2:M3"/>
    <mergeCell ref="F2:F3"/>
    <mergeCell ref="D2:D3"/>
    <mergeCell ref="E2:E3"/>
    <mergeCell ref="J2:J3"/>
    <mergeCell ref="I2:I3"/>
    <mergeCell ref="G2:G3"/>
    <mergeCell ref="H2:H3"/>
  </mergeCells>
  <dataValidations count="1">
    <dataValidation type="list" allowBlank="1" showErrorMessage="1" sqref="B5:B15" xr:uid="{00000000-0002-0000-0300-000000000000}">
      <formula1>IOTypeList</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pageSetUpPr fitToPage="1"/>
  </sheetPr>
  <dimension ref="A1:AL698"/>
  <sheetViews>
    <sheetView showGridLines="0" tabSelected="1" zoomScale="65" zoomScaleNormal="65" workbookViewId="0">
      <pane xSplit="3" ySplit="3" topLeftCell="D518" activePane="bottomRight" state="frozen"/>
      <selection pane="topRight" activeCell="D1" sqref="D1"/>
      <selection pane="bottomLeft" activeCell="A4" sqref="A4"/>
      <selection pane="bottomRight" activeCell="P593" sqref="P593"/>
    </sheetView>
  </sheetViews>
  <sheetFormatPr defaultColWidth="14.5703125" defaultRowHeight="15" customHeight="1" x14ac:dyDescent="0.25"/>
  <cols>
    <col min="1" max="1" width="21.140625" style="44" customWidth="1"/>
    <col min="2" max="2" width="45.140625" style="44" customWidth="1"/>
    <col min="3" max="3" width="27.140625" style="44" customWidth="1"/>
    <col min="4" max="4" width="14.5703125" style="44" customWidth="1"/>
    <col min="5" max="5" width="15" style="44" customWidth="1"/>
    <col min="6" max="6" width="36.5703125" style="44" customWidth="1"/>
    <col min="7" max="7" width="14.5703125" style="44"/>
    <col min="8" max="8" width="14.5703125" style="44" customWidth="1"/>
    <col min="9" max="9" width="78.28515625" style="43" customWidth="1"/>
    <col min="10" max="10" width="14.5703125" customWidth="1"/>
    <col min="11" max="12" width="20.5703125" style="44" customWidth="1"/>
    <col min="13" max="14" width="14.5703125" style="44"/>
    <col min="15" max="15" width="23.42578125" customWidth="1"/>
    <col min="16" max="16" width="15.85546875" style="44" customWidth="1"/>
    <col min="17" max="17" width="25.7109375" style="44" customWidth="1"/>
    <col min="18" max="18" width="22" style="83" customWidth="1"/>
    <col min="19" max="20" width="21.42578125" style="44" customWidth="1"/>
    <col min="21" max="21" width="19.140625" style="44" customWidth="1"/>
    <col min="22" max="22" width="14.5703125" style="44"/>
    <col min="23" max="24" width="24.5703125" style="44" customWidth="1"/>
    <col min="25" max="25" width="20.5703125" style="44" customWidth="1"/>
    <col min="26" max="27" width="14.5703125" style="44"/>
    <col min="28" max="28" width="45.7109375" style="44" customWidth="1"/>
    <col min="29" max="29" width="60.42578125" style="44" bestFit="1" customWidth="1"/>
    <col min="30" max="16384" width="14.5703125" style="44"/>
  </cols>
  <sheetData>
    <row r="1" spans="1:29" ht="15" customHeight="1" x14ac:dyDescent="0.2">
      <c r="A1" s="46" t="str">
        <f ca="1">MID(CELL("filename",A1),FIND("]",CELL("filename",A1))+1,255)&amp;" Bill of Materials"</f>
        <v>Core Vehicle Bill of Materials</v>
      </c>
      <c r="B1" s="46"/>
      <c r="C1" s="48" t="s">
        <v>164</v>
      </c>
      <c r="D1" s="48"/>
      <c r="E1" s="48"/>
      <c r="F1" s="48"/>
      <c r="G1" s="48"/>
      <c r="H1" s="48"/>
      <c r="I1" s="57"/>
      <c r="J1" s="49" t="s">
        <v>173</v>
      </c>
      <c r="K1" s="49"/>
      <c r="L1" s="49"/>
      <c r="M1" s="49"/>
      <c r="N1" s="49"/>
      <c r="O1" s="49"/>
      <c r="P1" s="49"/>
      <c r="Q1" s="49"/>
      <c r="R1" s="79"/>
      <c r="S1" s="49"/>
      <c r="T1" s="49"/>
      <c r="U1" s="49"/>
      <c r="V1" s="49"/>
      <c r="W1" s="47" t="s">
        <v>174</v>
      </c>
      <c r="X1" s="47"/>
      <c r="Y1" s="47"/>
      <c r="Z1" s="47"/>
      <c r="AA1" s="47"/>
      <c r="AB1" s="47"/>
      <c r="AC1" s="47"/>
    </row>
    <row r="2" spans="1:29" ht="15" customHeight="1" x14ac:dyDescent="0.2">
      <c r="A2" s="46"/>
      <c r="B2" s="46"/>
      <c r="C2" s="48"/>
      <c r="D2" s="48"/>
      <c r="E2" s="48"/>
      <c r="F2" s="48"/>
      <c r="G2" s="48"/>
      <c r="H2" s="48"/>
      <c r="I2" s="57"/>
      <c r="J2" s="49"/>
      <c r="K2" s="49"/>
      <c r="L2" s="49"/>
      <c r="M2" s="49"/>
      <c r="N2" s="49"/>
      <c r="O2" s="49" t="s">
        <v>879</v>
      </c>
      <c r="P2" s="49"/>
      <c r="Q2" s="52">
        <v>1</v>
      </c>
      <c r="R2" s="79"/>
      <c r="S2" s="49"/>
      <c r="T2" s="49"/>
      <c r="U2" s="49"/>
      <c r="V2" s="49"/>
      <c r="W2" s="47"/>
      <c r="X2" s="47"/>
      <c r="Y2" s="47"/>
      <c r="Z2" s="47"/>
      <c r="AA2" s="47"/>
      <c r="AB2" s="47"/>
      <c r="AC2" s="47"/>
    </row>
    <row r="3" spans="1:29" ht="15" customHeight="1" x14ac:dyDescent="0.2">
      <c r="A3" s="44" t="s">
        <v>163</v>
      </c>
      <c r="B3" s="44" t="s">
        <v>2</v>
      </c>
      <c r="C3" s="48" t="s">
        <v>192</v>
      </c>
      <c r="D3" s="48" t="s">
        <v>15</v>
      </c>
      <c r="E3" s="48" t="s">
        <v>191</v>
      </c>
      <c r="F3" s="48" t="s">
        <v>878</v>
      </c>
      <c r="G3" s="48" t="s">
        <v>162</v>
      </c>
      <c r="H3" s="48" t="s">
        <v>203</v>
      </c>
      <c r="I3" s="57" t="s">
        <v>395</v>
      </c>
      <c r="J3" s="49" t="s">
        <v>190</v>
      </c>
      <c r="K3" s="49" t="s">
        <v>2352</v>
      </c>
      <c r="L3" s="49" t="s">
        <v>2353</v>
      </c>
      <c r="M3" s="49" t="s">
        <v>155</v>
      </c>
      <c r="N3" s="49" t="s">
        <v>188</v>
      </c>
      <c r="O3" s="49" t="s">
        <v>185</v>
      </c>
      <c r="P3" s="49" t="s">
        <v>186</v>
      </c>
      <c r="Q3" s="49" t="s">
        <v>193</v>
      </c>
      <c r="R3" s="79" t="s">
        <v>175</v>
      </c>
      <c r="S3" s="49" t="s">
        <v>184</v>
      </c>
      <c r="T3" s="49" t="s">
        <v>2084</v>
      </c>
      <c r="U3" s="49" t="s">
        <v>197</v>
      </c>
      <c r="V3" s="49" t="s">
        <v>187</v>
      </c>
      <c r="W3" s="47" t="s">
        <v>201</v>
      </c>
      <c r="X3" s="47" t="s">
        <v>877</v>
      </c>
      <c r="Y3" s="47" t="s">
        <v>165</v>
      </c>
      <c r="Z3" s="47" t="s">
        <v>195</v>
      </c>
      <c r="AA3" s="47" t="s">
        <v>196</v>
      </c>
      <c r="AB3" s="47" t="s">
        <v>2161</v>
      </c>
      <c r="AC3" s="47" t="s">
        <v>202</v>
      </c>
    </row>
    <row r="4" spans="1:29" ht="15" customHeight="1" x14ac:dyDescent="0.2">
      <c r="A4" s="105" t="s">
        <v>159</v>
      </c>
      <c r="B4" s="44" t="s">
        <v>2235</v>
      </c>
      <c r="C4" s="106" t="str">
        <f>BOM_table6[[#This Row],[PART/ASSY DESCRIPTION]]</f>
        <v>MINK10CCPL</v>
      </c>
      <c r="D4" s="106"/>
      <c r="E4" s="106" t="s">
        <v>1262</v>
      </c>
      <c r="F4" s="106" t="s">
        <v>1534</v>
      </c>
      <c r="G4" s="106">
        <v>2</v>
      </c>
      <c r="H4" s="45" t="s">
        <v>2177</v>
      </c>
      <c r="I4" s="43" t="s">
        <v>2236</v>
      </c>
      <c r="J4" s="106" t="s">
        <v>171</v>
      </c>
      <c r="K4" s="106" t="s">
        <v>1262</v>
      </c>
      <c r="L4" s="106"/>
      <c r="M4" s="106">
        <v>1</v>
      </c>
      <c r="N4" s="108">
        <v>1633</v>
      </c>
      <c r="O4" s="110">
        <f>IF(OR(ISBLANK(BOM_table6[[#This Row],[SKU QTY]]),BOM_table6[[#This Row],[SKU Cost]]=0),0,BOM_table6[[#This Row],[SKU Cost]]/BOM_table6[[#This Row],[SKU QTY]])</f>
        <v>1633</v>
      </c>
      <c r="P4" s="110">
        <f>IF(OR(ISBLANK(BOM_table6[[#This Row],[ASM QTY]]),ISBLANK(BOM_table6[[#This Row],[Unit Cost]])),0,BOM_table6[[#This Row],[ASM QTY]]*BOM_table6[[#This Row],[Unit Cost]])</f>
        <v>3266</v>
      </c>
      <c r="Q4" s="106"/>
      <c r="R4" s="109"/>
      <c r="S4" s="111">
        <f>BOM_table6[[#This Row],[ASM QTY]]*$Q$2+BOM_table6[[#This Row],[Spare QTY Needed]]-BOM_table6[[#This Row],[QTY in Inventory]]</f>
        <v>2</v>
      </c>
      <c r="T4" s="111">
        <f>ROUNDUP((BOM_table6[[#This Row],[QTY to Order]]/BOM_table6[[#This Row],[SKU QTY]]),0)</f>
        <v>2</v>
      </c>
      <c r="U4" s="110">
        <f>BOM_table6[[#This Row],[SKU QTY to Order]]*BOM_table6[[#This Row],[SKU Cost]]</f>
        <v>3266</v>
      </c>
      <c r="V4" s="50" t="s">
        <v>2289</v>
      </c>
      <c r="W4" s="45" t="s">
        <v>2191</v>
      </c>
      <c r="X4" s="45" t="s">
        <v>2297</v>
      </c>
      <c r="Y4" s="113">
        <v>44922</v>
      </c>
      <c r="Z4" s="112">
        <v>45065</v>
      </c>
      <c r="AA4" s="113"/>
      <c r="AB4" s="106"/>
      <c r="AC4" s="45"/>
    </row>
    <row r="5" spans="1:29" ht="15" customHeight="1" x14ac:dyDescent="0.2">
      <c r="A5" s="105" t="s">
        <v>161</v>
      </c>
      <c r="B5" s="105" t="s">
        <v>1630</v>
      </c>
      <c r="C5" s="106" t="s">
        <v>1631</v>
      </c>
      <c r="D5" s="106"/>
      <c r="E5" s="106" t="s">
        <v>1531</v>
      </c>
      <c r="F5" s="106" t="s">
        <v>1535</v>
      </c>
      <c r="G5" s="106">
        <v>100</v>
      </c>
      <c r="H5" s="45" t="s">
        <v>2177</v>
      </c>
      <c r="I5" s="107" t="s">
        <v>1532</v>
      </c>
      <c r="J5" s="106" t="s">
        <v>168</v>
      </c>
      <c r="K5" s="106" t="s">
        <v>1533</v>
      </c>
      <c r="L5" s="106"/>
      <c r="M5" s="106">
        <v>1</v>
      </c>
      <c r="N5" s="108">
        <v>11.52</v>
      </c>
      <c r="O5" s="110">
        <f>IF(OR(ISBLANK(BOM_table6[[#This Row],[SKU QTY]]),BOM_table6[[#This Row],[SKU Cost]]=0),0,BOM_table6[[#This Row],[SKU Cost]]/BOM_table6[[#This Row],[SKU QTY]])</f>
        <v>11.52</v>
      </c>
      <c r="P5" s="110">
        <f>IF(OR(ISBLANK(BOM_table6[[#This Row],[ASM QTY]]),ISBLANK(BOM_table6[[#This Row],[Unit Cost]])),0,BOM_table6[[#This Row],[ASM QTY]]*BOM_table6[[#This Row],[Unit Cost]])</f>
        <v>1152</v>
      </c>
      <c r="Q5" s="106"/>
      <c r="R5" s="109"/>
      <c r="S5" s="111">
        <f>BOM_table6[[#This Row],[ASM QTY]]*$Q$2+BOM_table6[[#This Row],[Spare QTY Needed]]-BOM_table6[[#This Row],[QTY in Inventory]]</f>
        <v>100</v>
      </c>
      <c r="T5" s="111">
        <f>ROUNDUP((BOM_table6[[#This Row],[QTY to Order]]/BOM_table6[[#This Row],[SKU QTY]]),0)</f>
        <v>100</v>
      </c>
      <c r="U5" s="110">
        <f>BOM_table6[[#This Row],[SKU QTY to Order]]*BOM_table6[[#This Row],[SKU Cost]]</f>
        <v>1152</v>
      </c>
      <c r="V5" s="108"/>
      <c r="W5" s="45" t="s">
        <v>2191</v>
      </c>
      <c r="X5" s="45" t="s">
        <v>2233</v>
      </c>
      <c r="Y5" s="113">
        <v>44873</v>
      </c>
      <c r="Z5" s="112">
        <v>44888</v>
      </c>
      <c r="AA5" s="113">
        <v>44880</v>
      </c>
      <c r="AB5" s="106"/>
      <c r="AC5" s="106"/>
    </row>
    <row r="6" spans="1:29" ht="15" customHeight="1" x14ac:dyDescent="0.2">
      <c r="A6" s="105" t="s">
        <v>160</v>
      </c>
      <c r="B6" s="44" t="s">
        <v>600</v>
      </c>
      <c r="C6" s="45">
        <v>11021197</v>
      </c>
      <c r="D6" s="45"/>
      <c r="E6" s="45"/>
      <c r="F6" s="45" t="s">
        <v>829</v>
      </c>
      <c r="G6" s="45">
        <v>1</v>
      </c>
      <c r="H6" s="45"/>
      <c r="J6" s="45" t="s">
        <v>169</v>
      </c>
      <c r="K6" s="45" t="s">
        <v>1439</v>
      </c>
      <c r="L6" s="45"/>
      <c r="M6" s="106">
        <v>1</v>
      </c>
      <c r="N6" s="50"/>
      <c r="O6" s="110">
        <f>IF(OR(ISBLANK(BOM_table6[[#This Row],[SKU QTY]]),BOM_table6[[#This Row],[SKU Cost]]=0),0,BOM_table6[[#This Row],[SKU Cost]]/BOM_table6[[#This Row],[SKU QTY]])</f>
        <v>0</v>
      </c>
      <c r="P6" s="110">
        <f>IF(OR(ISBLANK(BOM_table6[[#This Row],[ASM QTY]]),ISBLANK(BOM_table6[[#This Row],[Unit Cost]])),0,BOM_table6[[#This Row],[ASM QTY]]*BOM_table6[[#This Row],[Unit Cost]])</f>
        <v>0</v>
      </c>
      <c r="Q6" s="45"/>
      <c r="R6" s="81"/>
      <c r="S6" s="111">
        <f>BOM_table6[[#This Row],[ASM QTY]]*$Q$2+BOM_table6[[#This Row],[Spare QTY Needed]]-BOM_table6[[#This Row],[QTY in Inventory]]</f>
        <v>1</v>
      </c>
      <c r="T6" s="111">
        <f>ROUNDUP((BOM_table6[[#This Row],[QTY to Order]]/BOM_table6[[#This Row],[SKU QTY]]),0)</f>
        <v>1</v>
      </c>
      <c r="U6" s="110">
        <f>BOM_table6[[#This Row],[SKU QTY to Order]]*BOM_table6[[#This Row],[SKU Cost]]</f>
        <v>0</v>
      </c>
      <c r="V6" s="62"/>
      <c r="W6" s="45"/>
      <c r="X6" s="45"/>
      <c r="Y6" s="97"/>
      <c r="Z6" s="54"/>
      <c r="AA6" s="54"/>
      <c r="AB6" s="45"/>
      <c r="AC6" s="45"/>
    </row>
    <row r="7" spans="1:29" ht="15" customHeight="1" x14ac:dyDescent="0.2">
      <c r="A7" s="105" t="s">
        <v>160</v>
      </c>
      <c r="B7" s="44" t="s">
        <v>601</v>
      </c>
      <c r="C7" s="45">
        <v>11021198</v>
      </c>
      <c r="D7" s="45"/>
      <c r="E7" s="45"/>
      <c r="F7" s="45" t="s">
        <v>829</v>
      </c>
      <c r="G7" s="45">
        <v>1</v>
      </c>
      <c r="H7" s="45"/>
      <c r="J7" s="45" t="s">
        <v>169</v>
      </c>
      <c r="K7" s="45" t="s">
        <v>1439</v>
      </c>
      <c r="L7" s="45"/>
      <c r="M7" s="106">
        <v>1</v>
      </c>
      <c r="N7" s="50"/>
      <c r="O7" s="110">
        <f>IF(OR(ISBLANK(BOM_table6[[#This Row],[SKU QTY]]),BOM_table6[[#This Row],[SKU Cost]]=0),0,BOM_table6[[#This Row],[SKU Cost]]/BOM_table6[[#This Row],[SKU QTY]])</f>
        <v>0</v>
      </c>
      <c r="P7" s="110">
        <f>IF(OR(ISBLANK(BOM_table6[[#This Row],[ASM QTY]]),ISBLANK(BOM_table6[[#This Row],[Unit Cost]])),0,BOM_table6[[#This Row],[ASM QTY]]*BOM_table6[[#This Row],[Unit Cost]])</f>
        <v>0</v>
      </c>
      <c r="Q7" s="181"/>
      <c r="R7" s="81"/>
      <c r="S7" s="111">
        <f>BOM_table6[[#This Row],[ASM QTY]]*$Q$2+BOM_table6[[#This Row],[Spare QTY Needed]]-BOM_table6[[#This Row],[QTY in Inventory]]</f>
        <v>1</v>
      </c>
      <c r="T7" s="111">
        <f>ROUNDUP((BOM_table6[[#This Row],[QTY to Order]]/BOM_table6[[#This Row],[SKU QTY]]),0)</f>
        <v>1</v>
      </c>
      <c r="U7" s="110">
        <f>BOM_table6[[#This Row],[SKU QTY to Order]]*BOM_table6[[#This Row],[SKU Cost]]</f>
        <v>0</v>
      </c>
      <c r="V7" s="62"/>
      <c r="W7" s="45"/>
      <c r="X7" s="45"/>
      <c r="Y7" s="97"/>
      <c r="Z7" s="54"/>
      <c r="AA7" s="54"/>
      <c r="AB7" s="45"/>
      <c r="AC7" s="45"/>
    </row>
    <row r="8" spans="1:29" ht="15" customHeight="1" x14ac:dyDescent="0.2">
      <c r="A8" s="105" t="s">
        <v>160</v>
      </c>
      <c r="B8" s="44" t="s">
        <v>605</v>
      </c>
      <c r="C8" s="45" t="s">
        <v>789</v>
      </c>
      <c r="D8" s="45"/>
      <c r="E8" s="45" t="s">
        <v>1695</v>
      </c>
      <c r="F8" s="45" t="s">
        <v>829</v>
      </c>
      <c r="G8" s="45">
        <v>4</v>
      </c>
      <c r="H8" s="45"/>
      <c r="J8" s="45" t="s">
        <v>166</v>
      </c>
      <c r="K8" s="45" t="s">
        <v>1396</v>
      </c>
      <c r="L8" s="45"/>
      <c r="M8" s="106">
        <v>1</v>
      </c>
      <c r="N8" s="50"/>
      <c r="O8" s="110">
        <f>IF(OR(ISBLANK(BOM_table6[[#This Row],[SKU QTY]]),BOM_table6[[#This Row],[SKU Cost]]=0),0,BOM_table6[[#This Row],[SKU Cost]]/BOM_table6[[#This Row],[SKU QTY]])</f>
        <v>0</v>
      </c>
      <c r="P8" s="110">
        <f>IF(OR(ISBLANK(BOM_table6[[#This Row],[ASM QTY]]),ISBLANK(BOM_table6[[#This Row],[Unit Cost]])),0,BOM_table6[[#This Row],[ASM QTY]]*BOM_table6[[#This Row],[Unit Cost]])</f>
        <v>0</v>
      </c>
      <c r="Q8" s="45"/>
      <c r="R8" s="81"/>
      <c r="S8" s="111">
        <f>BOM_table6[[#This Row],[ASM QTY]]*$Q$2+BOM_table6[[#This Row],[Spare QTY Needed]]-BOM_table6[[#This Row],[QTY in Inventory]]</f>
        <v>4</v>
      </c>
      <c r="T8" s="111">
        <f>ROUNDUP((BOM_table6[[#This Row],[QTY to Order]]/BOM_table6[[#This Row],[SKU QTY]]),0)</f>
        <v>4</v>
      </c>
      <c r="U8" s="110">
        <f>BOM_table6[[#This Row],[SKU QTY to Order]]*BOM_table6[[#This Row],[SKU Cost]]</f>
        <v>0</v>
      </c>
      <c r="V8" s="62"/>
      <c r="W8" s="45"/>
      <c r="X8" s="45"/>
      <c r="Y8" s="54"/>
      <c r="Z8" s="54"/>
      <c r="AA8" s="45"/>
      <c r="AB8" s="45"/>
      <c r="AC8" s="45"/>
    </row>
    <row r="9" spans="1:29" ht="15" customHeight="1" x14ac:dyDescent="0.2">
      <c r="A9" s="105" t="s">
        <v>1318</v>
      </c>
      <c r="B9" s="44" t="s">
        <v>607</v>
      </c>
      <c r="C9" s="45" t="s">
        <v>1645</v>
      </c>
      <c r="D9" s="45"/>
      <c r="E9" s="45" t="s">
        <v>1646</v>
      </c>
      <c r="F9" s="45" t="s">
        <v>829</v>
      </c>
      <c r="G9" s="45">
        <v>1</v>
      </c>
      <c r="H9" s="45" t="s">
        <v>2175</v>
      </c>
      <c r="J9" s="45" t="s">
        <v>166</v>
      </c>
      <c r="K9" s="45" t="s">
        <v>1495</v>
      </c>
      <c r="L9" s="45"/>
      <c r="M9" s="106">
        <v>1</v>
      </c>
      <c r="N9" s="50"/>
      <c r="O9" s="110">
        <f>IF(OR(ISBLANK(BOM_table6[[#This Row],[SKU QTY]]),BOM_table6[[#This Row],[SKU Cost]]=0),0,BOM_table6[[#This Row],[SKU Cost]]/BOM_table6[[#This Row],[SKU QTY]])</f>
        <v>0</v>
      </c>
      <c r="P9" s="110">
        <f>IF(OR(ISBLANK(BOM_table6[[#This Row],[ASM QTY]]),ISBLANK(BOM_table6[[#This Row],[Unit Cost]])),0,BOM_table6[[#This Row],[ASM QTY]]*BOM_table6[[#This Row],[Unit Cost]])</f>
        <v>0</v>
      </c>
      <c r="Q9" s="45"/>
      <c r="R9" s="81"/>
      <c r="S9" s="111">
        <f>BOM_table6[[#This Row],[ASM QTY]]*$Q$2+BOM_table6[[#This Row],[Spare QTY Needed]]-BOM_table6[[#This Row],[QTY in Inventory]]</f>
        <v>1</v>
      </c>
      <c r="T9" s="111">
        <f>ROUNDUP((BOM_table6[[#This Row],[QTY to Order]]/BOM_table6[[#This Row],[SKU QTY]]),0)</f>
        <v>1</v>
      </c>
      <c r="U9" s="110">
        <f>BOM_table6[[#This Row],[SKU QTY to Order]]*BOM_table6[[#This Row],[SKU Cost]]</f>
        <v>0</v>
      </c>
      <c r="V9" s="62"/>
      <c r="W9" s="45"/>
      <c r="X9" s="45"/>
      <c r="Y9" s="97"/>
      <c r="Z9" s="54"/>
      <c r="AA9" s="45"/>
      <c r="AB9" s="45"/>
      <c r="AC9" s="45"/>
    </row>
    <row r="10" spans="1:29" ht="15" customHeight="1" x14ac:dyDescent="0.2">
      <c r="A10" s="105" t="s">
        <v>161</v>
      </c>
      <c r="B10" s="44" t="s">
        <v>603</v>
      </c>
      <c r="C10" s="45" t="s">
        <v>693</v>
      </c>
      <c r="D10" s="45"/>
      <c r="E10" s="45"/>
      <c r="F10" s="45" t="s">
        <v>829</v>
      </c>
      <c r="G10" s="45">
        <v>2</v>
      </c>
      <c r="H10" s="45"/>
      <c r="I10" s="43" t="s">
        <v>2318</v>
      </c>
      <c r="J10" s="45" t="s">
        <v>166</v>
      </c>
      <c r="K10" s="45" t="s">
        <v>216</v>
      </c>
      <c r="L10" s="45"/>
      <c r="M10" s="106">
        <v>1</v>
      </c>
      <c r="N10" s="50">
        <f>9.99/100</f>
        <v>9.9900000000000003E-2</v>
      </c>
      <c r="O10" s="110">
        <f>IF(OR(ISBLANK(BOM_table6[[#This Row],[SKU QTY]]),BOM_table6[[#This Row],[SKU Cost]]=0),0,BOM_table6[[#This Row],[SKU Cost]]/BOM_table6[[#This Row],[SKU QTY]])</f>
        <v>9.9900000000000003E-2</v>
      </c>
      <c r="P10" s="110">
        <f>IF(OR(ISBLANK(BOM_table6[[#This Row],[ASM QTY]]),ISBLANK(BOM_table6[[#This Row],[Unit Cost]])),0,BOM_table6[[#This Row],[ASM QTY]]*BOM_table6[[#This Row],[Unit Cost]])</f>
        <v>0.19980000000000001</v>
      </c>
      <c r="Q10" s="45">
        <v>95</v>
      </c>
      <c r="R10" s="81"/>
      <c r="S10" s="111">
        <f>BOM_table6[[#This Row],[ASM QTY]]*$Q$2+BOM_table6[[#This Row],[Spare QTY Needed]]-BOM_table6[[#This Row],[QTY in Inventory]]</f>
        <v>97</v>
      </c>
      <c r="T10" s="111">
        <f>ROUNDUP((BOM_table6[[#This Row],[QTY to Order]]/BOM_table6[[#This Row],[SKU QTY]]),0)</f>
        <v>97</v>
      </c>
      <c r="U10" s="110">
        <f>BOM_table6[[#This Row],[SKU QTY to Order]]*BOM_table6[[#This Row],[SKU Cost]]</f>
        <v>9.6903000000000006</v>
      </c>
      <c r="V10" s="62"/>
      <c r="W10" s="45" t="s">
        <v>2191</v>
      </c>
      <c r="X10" s="45" t="s">
        <v>2192</v>
      </c>
      <c r="Y10" s="97">
        <v>44923</v>
      </c>
      <c r="Z10" s="54"/>
      <c r="AA10" s="97">
        <v>44924</v>
      </c>
      <c r="AB10" s="45"/>
      <c r="AC10" s="45"/>
    </row>
    <row r="11" spans="1:29" ht="15" customHeight="1" x14ac:dyDescent="0.2">
      <c r="A11" s="105" t="s">
        <v>160</v>
      </c>
      <c r="B11" s="44" t="s">
        <v>602</v>
      </c>
      <c r="C11" s="45" t="s">
        <v>837</v>
      </c>
      <c r="D11" s="45"/>
      <c r="E11" s="45"/>
      <c r="F11" s="45" t="s">
        <v>829</v>
      </c>
      <c r="G11" s="45">
        <v>8</v>
      </c>
      <c r="H11" s="45"/>
      <c r="J11" s="45" t="s">
        <v>1321</v>
      </c>
      <c r="K11" s="45" t="s">
        <v>216</v>
      </c>
      <c r="L11" s="45"/>
      <c r="M11" s="106">
        <v>1</v>
      </c>
      <c r="N11" s="50"/>
      <c r="O11" s="110">
        <f>IF(OR(ISBLANK(BOM_table6[[#This Row],[SKU QTY]]),BOM_table6[[#This Row],[SKU Cost]]=0),0,BOM_table6[[#This Row],[SKU Cost]]/BOM_table6[[#This Row],[SKU QTY]])</f>
        <v>0</v>
      </c>
      <c r="P11" s="110">
        <f>IF(OR(ISBLANK(BOM_table6[[#This Row],[ASM QTY]]),ISBLANK(BOM_table6[[#This Row],[Unit Cost]])),0,BOM_table6[[#This Row],[ASM QTY]]*BOM_table6[[#This Row],[Unit Cost]])</f>
        <v>0</v>
      </c>
      <c r="Q11" s="45"/>
      <c r="R11" s="81"/>
      <c r="S11" s="111">
        <f>BOM_table6[[#This Row],[ASM QTY]]*$Q$2+BOM_table6[[#This Row],[Spare QTY Needed]]-BOM_table6[[#This Row],[QTY in Inventory]]</f>
        <v>8</v>
      </c>
      <c r="T11" s="111">
        <f>ROUNDUP((BOM_table6[[#This Row],[QTY to Order]]/BOM_table6[[#This Row],[SKU QTY]]),0)</f>
        <v>8</v>
      </c>
      <c r="U11" s="110">
        <f>BOM_table6[[#This Row],[SKU QTY to Order]]*BOM_table6[[#This Row],[SKU Cost]]</f>
        <v>0</v>
      </c>
      <c r="V11" s="62"/>
      <c r="W11" s="45"/>
      <c r="X11" s="45"/>
      <c r="Y11" s="54"/>
      <c r="Z11" s="54"/>
      <c r="AA11" s="54"/>
      <c r="AB11" s="45"/>
      <c r="AC11" s="45"/>
    </row>
    <row r="12" spans="1:29" ht="15" customHeight="1" x14ac:dyDescent="0.2">
      <c r="A12" s="105" t="s">
        <v>1318</v>
      </c>
      <c r="B12" s="44" t="s">
        <v>604</v>
      </c>
      <c r="C12" s="45" t="s">
        <v>790</v>
      </c>
      <c r="D12" s="45"/>
      <c r="E12" s="45" t="s">
        <v>1153</v>
      </c>
      <c r="F12" s="45" t="s">
        <v>829</v>
      </c>
      <c r="G12" s="45">
        <v>4</v>
      </c>
      <c r="H12" s="45" t="s">
        <v>2175</v>
      </c>
      <c r="J12" s="45" t="s">
        <v>166</v>
      </c>
      <c r="K12" s="45" t="s">
        <v>1495</v>
      </c>
      <c r="L12" s="45"/>
      <c r="M12" s="106">
        <v>1</v>
      </c>
      <c r="N12" s="50"/>
      <c r="O12" s="110">
        <f>IF(OR(ISBLANK(BOM_table6[[#This Row],[SKU QTY]]),BOM_table6[[#This Row],[SKU Cost]]=0),0,BOM_table6[[#This Row],[SKU Cost]]/BOM_table6[[#This Row],[SKU QTY]])</f>
        <v>0</v>
      </c>
      <c r="P12" s="110">
        <f>IF(OR(ISBLANK(BOM_table6[[#This Row],[ASM QTY]]),ISBLANK(BOM_table6[[#This Row],[Unit Cost]])),0,BOM_table6[[#This Row],[ASM QTY]]*BOM_table6[[#This Row],[Unit Cost]])</f>
        <v>0</v>
      </c>
      <c r="Q12" s="45"/>
      <c r="R12" s="81"/>
      <c r="S12" s="111">
        <f>BOM_table6[[#This Row],[ASM QTY]]*$Q$2+BOM_table6[[#This Row],[Spare QTY Needed]]-BOM_table6[[#This Row],[QTY in Inventory]]</f>
        <v>4</v>
      </c>
      <c r="T12" s="111">
        <f>ROUNDUP((BOM_table6[[#This Row],[QTY to Order]]/BOM_table6[[#This Row],[SKU QTY]]),0)</f>
        <v>4</v>
      </c>
      <c r="U12" s="110">
        <f>BOM_table6[[#This Row],[SKU QTY to Order]]*BOM_table6[[#This Row],[SKU Cost]]</f>
        <v>0</v>
      </c>
      <c r="V12" s="62"/>
      <c r="W12" s="45"/>
      <c r="X12" s="45"/>
      <c r="Y12" s="97"/>
      <c r="Z12" s="54"/>
      <c r="AA12" s="45"/>
      <c r="AB12" s="45"/>
      <c r="AC12" s="45"/>
    </row>
    <row r="13" spans="1:29" ht="15" customHeight="1" x14ac:dyDescent="0.2">
      <c r="A13" s="105" t="s">
        <v>160</v>
      </c>
      <c r="B13" s="44" t="s">
        <v>606</v>
      </c>
      <c r="C13" s="45"/>
      <c r="D13" s="45"/>
      <c r="E13" s="45"/>
      <c r="F13" s="45" t="s">
        <v>829</v>
      </c>
      <c r="G13" s="45">
        <v>1</v>
      </c>
      <c r="H13" s="45"/>
      <c r="J13" s="45" t="s">
        <v>166</v>
      </c>
      <c r="K13" s="45"/>
      <c r="L13" s="45"/>
      <c r="M13" s="106">
        <v>1</v>
      </c>
      <c r="N13" s="50"/>
      <c r="O13" s="110">
        <f>IF(OR(ISBLANK(BOM_table6[[#This Row],[SKU QTY]]),BOM_table6[[#This Row],[SKU Cost]]=0),0,BOM_table6[[#This Row],[SKU Cost]]/BOM_table6[[#This Row],[SKU QTY]])</f>
        <v>0</v>
      </c>
      <c r="P13" s="110">
        <f>IF(OR(ISBLANK(BOM_table6[[#This Row],[ASM QTY]]),ISBLANK(BOM_table6[[#This Row],[Unit Cost]])),0,BOM_table6[[#This Row],[ASM QTY]]*BOM_table6[[#This Row],[Unit Cost]])</f>
        <v>0</v>
      </c>
      <c r="Q13" s="45"/>
      <c r="R13" s="81"/>
      <c r="S13" s="111">
        <f>BOM_table6[[#This Row],[ASM QTY]]*$Q$2+BOM_table6[[#This Row],[Spare QTY Needed]]-BOM_table6[[#This Row],[QTY in Inventory]]</f>
        <v>1</v>
      </c>
      <c r="T13" s="111">
        <f>ROUNDUP((BOM_table6[[#This Row],[QTY to Order]]/BOM_table6[[#This Row],[SKU QTY]]),0)</f>
        <v>1</v>
      </c>
      <c r="U13" s="110">
        <f>BOM_table6[[#This Row],[SKU QTY to Order]]*BOM_table6[[#This Row],[SKU Cost]]</f>
        <v>0</v>
      </c>
      <c r="V13" s="62"/>
      <c r="W13" s="45"/>
      <c r="X13" s="45"/>
      <c r="Y13" s="45"/>
      <c r="Z13" s="54"/>
      <c r="AA13" s="45"/>
      <c r="AB13" s="45"/>
      <c r="AC13" s="45"/>
    </row>
    <row r="14" spans="1:29" ht="15" customHeight="1" x14ac:dyDescent="0.2">
      <c r="A14" s="105" t="s">
        <v>160</v>
      </c>
      <c r="B14" s="44" t="s">
        <v>286</v>
      </c>
      <c r="C14" s="45" t="s">
        <v>287</v>
      </c>
      <c r="D14" s="45"/>
      <c r="E14" s="45" t="s">
        <v>1049</v>
      </c>
      <c r="F14" s="45" t="s">
        <v>213</v>
      </c>
      <c r="G14" s="45">
        <v>1</v>
      </c>
      <c r="H14" s="45"/>
      <c r="J14" s="45" t="s">
        <v>1320</v>
      </c>
      <c r="K14" s="45"/>
      <c r="L14" s="45"/>
      <c r="M14" s="106">
        <v>1</v>
      </c>
      <c r="N14" s="50"/>
      <c r="O14" s="110">
        <f>IF(OR(ISBLANK(BOM_table6[[#This Row],[SKU QTY]]),BOM_table6[[#This Row],[SKU Cost]]=0),0,BOM_table6[[#This Row],[SKU Cost]]/BOM_table6[[#This Row],[SKU QTY]])</f>
        <v>0</v>
      </c>
      <c r="P14" s="110">
        <f>IF(OR(ISBLANK(BOM_table6[[#This Row],[ASM QTY]]),ISBLANK(BOM_table6[[#This Row],[Unit Cost]])),0,BOM_table6[[#This Row],[ASM QTY]]*BOM_table6[[#This Row],[Unit Cost]])</f>
        <v>0</v>
      </c>
      <c r="Q14" s="45"/>
      <c r="R14" s="81"/>
      <c r="S14" s="111">
        <f>BOM_table6[[#This Row],[ASM QTY]]*$Q$2+BOM_table6[[#This Row],[Spare QTY Needed]]-BOM_table6[[#This Row],[QTY in Inventory]]</f>
        <v>1</v>
      </c>
      <c r="T14" s="111">
        <f>ROUNDUP((BOM_table6[[#This Row],[QTY to Order]]/BOM_table6[[#This Row],[SKU QTY]]),0)</f>
        <v>1</v>
      </c>
      <c r="U14" s="110">
        <f>BOM_table6[[#This Row],[SKU QTY to Order]]*BOM_table6[[#This Row],[SKU Cost]]</f>
        <v>0</v>
      </c>
      <c r="V14" s="62"/>
      <c r="W14" s="45"/>
      <c r="X14" s="45"/>
      <c r="Y14" s="45"/>
      <c r="Z14" s="54"/>
      <c r="AA14" s="45"/>
      <c r="AB14" s="45"/>
      <c r="AC14" s="45"/>
    </row>
    <row r="15" spans="1:29" ht="15" customHeight="1" x14ac:dyDescent="0.2">
      <c r="A15" s="105" t="s">
        <v>160</v>
      </c>
      <c r="B15" s="44" t="s">
        <v>211</v>
      </c>
      <c r="C15" s="45" t="s">
        <v>212</v>
      </c>
      <c r="D15" s="45"/>
      <c r="E15" s="45" t="s">
        <v>1049</v>
      </c>
      <c r="F15" s="45" t="s">
        <v>213</v>
      </c>
      <c r="G15" s="45">
        <v>1</v>
      </c>
      <c r="H15" s="45"/>
      <c r="J15" s="45" t="s">
        <v>1320</v>
      </c>
      <c r="K15" s="45"/>
      <c r="L15" s="45"/>
      <c r="M15" s="106">
        <v>1</v>
      </c>
      <c r="N15" s="50"/>
      <c r="O15" s="110">
        <f>IF(OR(ISBLANK(BOM_table6[[#This Row],[SKU QTY]]),BOM_table6[[#This Row],[SKU Cost]]=0),0,BOM_table6[[#This Row],[SKU Cost]]/BOM_table6[[#This Row],[SKU QTY]])</f>
        <v>0</v>
      </c>
      <c r="P15" s="110">
        <f>IF(OR(ISBLANK(BOM_table6[[#This Row],[ASM QTY]]),ISBLANK(BOM_table6[[#This Row],[Unit Cost]])),0,BOM_table6[[#This Row],[ASM QTY]]*BOM_table6[[#This Row],[Unit Cost]])</f>
        <v>0</v>
      </c>
      <c r="Q15" s="45"/>
      <c r="R15" s="81"/>
      <c r="S15" s="111">
        <f>BOM_table6[[#This Row],[ASM QTY]]*$Q$2+BOM_table6[[#This Row],[Spare QTY Needed]]-BOM_table6[[#This Row],[QTY in Inventory]]</f>
        <v>1</v>
      </c>
      <c r="T15" s="111">
        <f>ROUNDUP((BOM_table6[[#This Row],[QTY to Order]]/BOM_table6[[#This Row],[SKU QTY]]),0)</f>
        <v>1</v>
      </c>
      <c r="U15" s="110">
        <f>BOM_table6[[#This Row],[SKU QTY to Order]]*BOM_table6[[#This Row],[SKU Cost]]</f>
        <v>0</v>
      </c>
      <c r="V15" s="62"/>
      <c r="W15" s="45"/>
      <c r="X15" s="45"/>
      <c r="Y15" s="45"/>
      <c r="Z15" s="54"/>
      <c r="AA15" s="45"/>
      <c r="AB15" s="45"/>
      <c r="AC15" s="45"/>
    </row>
    <row r="16" spans="1:29" ht="15" customHeight="1" x14ac:dyDescent="0.2">
      <c r="A16" s="105" t="s">
        <v>160</v>
      </c>
      <c r="B16" s="44" t="s">
        <v>868</v>
      </c>
      <c r="C16" s="45" t="s">
        <v>869</v>
      </c>
      <c r="D16" s="45"/>
      <c r="E16" s="45" t="s">
        <v>1049</v>
      </c>
      <c r="F16" s="45" t="s">
        <v>213</v>
      </c>
      <c r="G16" s="45">
        <v>1</v>
      </c>
      <c r="H16" s="45"/>
      <c r="J16" s="45" t="s">
        <v>1320</v>
      </c>
      <c r="K16" s="45"/>
      <c r="L16" s="45"/>
      <c r="M16" s="106">
        <v>1</v>
      </c>
      <c r="N16" s="50"/>
      <c r="O16" s="110">
        <f>IF(OR(ISBLANK(BOM_table6[[#This Row],[SKU QTY]]),BOM_table6[[#This Row],[SKU Cost]]=0),0,BOM_table6[[#This Row],[SKU Cost]]/BOM_table6[[#This Row],[SKU QTY]])</f>
        <v>0</v>
      </c>
      <c r="P16" s="110">
        <f>IF(OR(ISBLANK(BOM_table6[[#This Row],[ASM QTY]]),ISBLANK(BOM_table6[[#This Row],[Unit Cost]])),0,BOM_table6[[#This Row],[ASM QTY]]*BOM_table6[[#This Row],[Unit Cost]])</f>
        <v>0</v>
      </c>
      <c r="Q16" s="45"/>
      <c r="R16" s="81"/>
      <c r="S16" s="111">
        <f>BOM_table6[[#This Row],[ASM QTY]]*$Q$2+BOM_table6[[#This Row],[Spare QTY Needed]]-BOM_table6[[#This Row],[QTY in Inventory]]</f>
        <v>1</v>
      </c>
      <c r="T16" s="111">
        <f>ROUNDUP((BOM_table6[[#This Row],[QTY to Order]]/BOM_table6[[#This Row],[SKU QTY]]),0)</f>
        <v>1</v>
      </c>
      <c r="U16" s="110">
        <f>BOM_table6[[#This Row],[SKU QTY to Order]]*BOM_table6[[#This Row],[SKU Cost]]</f>
        <v>0</v>
      </c>
      <c r="V16" s="62"/>
      <c r="W16" s="45"/>
      <c r="X16" s="45"/>
      <c r="Y16" s="45"/>
      <c r="Z16" s="54"/>
      <c r="AA16" s="45"/>
      <c r="AB16" s="45"/>
      <c r="AC16" s="45"/>
    </row>
    <row r="17" spans="1:38" ht="15" customHeight="1" x14ac:dyDescent="0.2">
      <c r="A17" s="105" t="s">
        <v>160</v>
      </c>
      <c r="B17" s="44" t="s">
        <v>1633</v>
      </c>
      <c r="C17" s="45">
        <v>109628</v>
      </c>
      <c r="D17" s="45"/>
      <c r="E17" s="45" t="s">
        <v>1430</v>
      </c>
      <c r="F17" s="45" t="s">
        <v>2128</v>
      </c>
      <c r="G17" s="45">
        <v>2</v>
      </c>
      <c r="H17" s="45"/>
      <c r="I17" s="43" t="s">
        <v>1634</v>
      </c>
      <c r="J17" s="45" t="s">
        <v>171</v>
      </c>
      <c r="K17" s="45" t="s">
        <v>1723</v>
      </c>
      <c r="L17" s="45"/>
      <c r="M17" s="106">
        <v>1</v>
      </c>
      <c r="N17" s="50"/>
      <c r="O17" s="110">
        <f>IF(OR(ISBLANK(BOM_table6[[#This Row],[SKU QTY]]),BOM_table6[[#This Row],[SKU Cost]]=0),0,BOM_table6[[#This Row],[SKU Cost]]/BOM_table6[[#This Row],[SKU QTY]])</f>
        <v>0</v>
      </c>
      <c r="P17" s="110">
        <f>IF(OR(ISBLANK(BOM_table6[[#This Row],[ASM QTY]]),ISBLANK(BOM_table6[[#This Row],[Unit Cost]])),0,BOM_table6[[#This Row],[ASM QTY]]*BOM_table6[[#This Row],[Unit Cost]])</f>
        <v>0</v>
      </c>
      <c r="Q17" s="45"/>
      <c r="R17" s="81"/>
      <c r="S17" s="111">
        <f>BOM_table6[[#This Row],[ASM QTY]]*$Q$2+BOM_table6[[#This Row],[Spare QTY Needed]]-BOM_table6[[#This Row],[QTY in Inventory]]</f>
        <v>2</v>
      </c>
      <c r="T17" s="111">
        <f>ROUNDUP((BOM_table6[[#This Row],[QTY to Order]]/BOM_table6[[#This Row],[SKU QTY]]),0)</f>
        <v>2</v>
      </c>
      <c r="U17" s="110">
        <f>BOM_table6[[#This Row],[SKU QTY to Order]]*BOM_table6[[#This Row],[SKU Cost]]</f>
        <v>0</v>
      </c>
      <c r="V17" s="50"/>
      <c r="W17" s="45"/>
      <c r="X17" s="45"/>
      <c r="Y17" s="54"/>
      <c r="Z17" s="54"/>
      <c r="AA17" s="45"/>
      <c r="AB17" s="45"/>
      <c r="AC17" s="45"/>
      <c r="AD17" s="45"/>
      <c r="AE17" s="63"/>
      <c r="AF17" s="45"/>
      <c r="AG17" s="50"/>
      <c r="AH17" s="50"/>
      <c r="AI17" s="45"/>
      <c r="AJ17" s="54"/>
      <c r="AK17" s="45"/>
      <c r="AL17" s="45"/>
    </row>
    <row r="18" spans="1:38" ht="15" customHeight="1" x14ac:dyDescent="0.2">
      <c r="A18" s="105" t="s">
        <v>160</v>
      </c>
      <c r="B18" s="44" t="s">
        <v>1949</v>
      </c>
      <c r="C18" s="45">
        <v>109659</v>
      </c>
      <c r="D18" s="45" t="s">
        <v>152</v>
      </c>
      <c r="E18" s="45" t="s">
        <v>1430</v>
      </c>
      <c r="F18" s="45" t="s">
        <v>2128</v>
      </c>
      <c r="G18" s="45">
        <v>1</v>
      </c>
      <c r="H18" s="45"/>
      <c r="I18" s="43" t="s">
        <v>1948</v>
      </c>
      <c r="J18" s="45" t="s">
        <v>167</v>
      </c>
      <c r="K18" s="45" t="s">
        <v>1944</v>
      </c>
      <c r="L18" s="45"/>
      <c r="M18" s="106">
        <v>1</v>
      </c>
      <c r="N18" s="50"/>
      <c r="O18" s="110">
        <f>IF(OR(ISBLANK(BOM_table6[[#This Row],[SKU QTY]]),BOM_table6[[#This Row],[SKU Cost]]=0),0,BOM_table6[[#This Row],[SKU Cost]]/BOM_table6[[#This Row],[SKU QTY]])</f>
        <v>0</v>
      </c>
      <c r="P18" s="110">
        <f>IF(OR(ISBLANK(BOM_table6[[#This Row],[ASM QTY]]),ISBLANK(BOM_table6[[#This Row],[Unit Cost]])),0,BOM_table6[[#This Row],[ASM QTY]]*BOM_table6[[#This Row],[Unit Cost]])</f>
        <v>0</v>
      </c>
      <c r="Q18" s="45"/>
      <c r="R18" s="81"/>
      <c r="S18" s="111">
        <f>BOM_table6[[#This Row],[ASM QTY]]*$Q$2+BOM_table6[[#This Row],[Spare QTY Needed]]-BOM_table6[[#This Row],[QTY in Inventory]]</f>
        <v>1</v>
      </c>
      <c r="T18" s="111">
        <f>ROUNDUP((BOM_table6[[#This Row],[QTY to Order]]/BOM_table6[[#This Row],[SKU QTY]]),0)</f>
        <v>1</v>
      </c>
      <c r="U18" s="110">
        <f>BOM_table6[[#This Row],[SKU QTY to Order]]*BOM_table6[[#This Row],[SKU Cost]]</f>
        <v>0</v>
      </c>
      <c r="V18" s="50"/>
      <c r="W18" s="45"/>
      <c r="X18" s="45"/>
      <c r="Y18" s="54"/>
      <c r="Z18" s="54"/>
      <c r="AA18" s="54"/>
      <c r="AB18" s="45"/>
      <c r="AC18" s="45"/>
      <c r="AD18" s="45"/>
      <c r="AE18" s="63"/>
      <c r="AF18" s="45"/>
      <c r="AG18" s="50"/>
      <c r="AH18" s="50"/>
      <c r="AI18" s="45"/>
      <c r="AJ18" s="54"/>
      <c r="AK18" s="45"/>
      <c r="AL18" s="45"/>
    </row>
    <row r="19" spans="1:38" ht="15" customHeight="1" x14ac:dyDescent="0.2">
      <c r="A19" s="105" t="s">
        <v>160</v>
      </c>
      <c r="B19" s="44" t="s">
        <v>1950</v>
      </c>
      <c r="C19" s="45">
        <v>109659</v>
      </c>
      <c r="D19" s="45"/>
      <c r="E19" s="45" t="s">
        <v>1621</v>
      </c>
      <c r="F19" s="45" t="s">
        <v>2128</v>
      </c>
      <c r="G19" s="45">
        <v>1</v>
      </c>
      <c r="H19" s="45"/>
      <c r="I19" s="43" t="s">
        <v>1951</v>
      </c>
      <c r="J19" s="45" t="s">
        <v>167</v>
      </c>
      <c r="K19" s="45" t="s">
        <v>1952</v>
      </c>
      <c r="L19" s="45"/>
      <c r="M19" s="106">
        <v>1</v>
      </c>
      <c r="N19" s="50"/>
      <c r="O19" s="110">
        <f>IF(OR(ISBLANK(BOM_table6[[#This Row],[SKU QTY]]),BOM_table6[[#This Row],[SKU Cost]]=0),0,BOM_table6[[#This Row],[SKU Cost]]/BOM_table6[[#This Row],[SKU QTY]])</f>
        <v>0</v>
      </c>
      <c r="P19" s="110">
        <f>IF(OR(ISBLANK(BOM_table6[[#This Row],[ASM QTY]]),ISBLANK(BOM_table6[[#This Row],[Unit Cost]])),0,BOM_table6[[#This Row],[ASM QTY]]*BOM_table6[[#This Row],[Unit Cost]])</f>
        <v>0</v>
      </c>
      <c r="Q19" s="45"/>
      <c r="R19" s="81"/>
      <c r="S19" s="111">
        <f>BOM_table6[[#This Row],[ASM QTY]]*$Q$2+BOM_table6[[#This Row],[Spare QTY Needed]]-BOM_table6[[#This Row],[QTY in Inventory]]</f>
        <v>1</v>
      </c>
      <c r="T19" s="111">
        <f>ROUNDUP((BOM_table6[[#This Row],[QTY to Order]]/BOM_table6[[#This Row],[SKU QTY]]),0)</f>
        <v>1</v>
      </c>
      <c r="U19" s="110">
        <f>BOM_table6[[#This Row],[SKU QTY to Order]]*BOM_table6[[#This Row],[SKU Cost]]</f>
        <v>0</v>
      </c>
      <c r="V19" s="50"/>
      <c r="W19" s="45"/>
      <c r="X19" s="45"/>
      <c r="Y19" s="54"/>
      <c r="Z19" s="156"/>
      <c r="AA19" s="45"/>
      <c r="AB19" s="45"/>
      <c r="AC19" s="45"/>
      <c r="AD19" s="45"/>
      <c r="AE19" s="63"/>
      <c r="AF19" s="45"/>
      <c r="AG19" s="50"/>
      <c r="AH19" s="50"/>
      <c r="AI19" s="45"/>
      <c r="AJ19" s="54"/>
      <c r="AK19" s="54"/>
      <c r="AL19" s="45"/>
    </row>
    <row r="20" spans="1:38" ht="15" customHeight="1" x14ac:dyDescent="0.2">
      <c r="A20" s="105" t="s">
        <v>161</v>
      </c>
      <c r="B20" s="44" t="s">
        <v>922</v>
      </c>
      <c r="C20" s="45" t="s">
        <v>923</v>
      </c>
      <c r="D20" s="45"/>
      <c r="E20" s="45"/>
      <c r="F20" s="45" t="s">
        <v>2128</v>
      </c>
      <c r="G20" s="45">
        <v>4</v>
      </c>
      <c r="H20" s="45"/>
      <c r="I20" s="43" t="s">
        <v>2327</v>
      </c>
      <c r="J20" s="45" t="s">
        <v>166</v>
      </c>
      <c r="K20" s="45" t="s">
        <v>216</v>
      </c>
      <c r="L20" s="45"/>
      <c r="M20" s="106">
        <v>1</v>
      </c>
      <c r="N20" s="50">
        <f>8.92/10</f>
        <v>0.89200000000000002</v>
      </c>
      <c r="O20" s="110">
        <f>IF(OR(ISBLANK(BOM_table6[[#This Row],[SKU QTY]]),BOM_table6[[#This Row],[SKU Cost]]=0),0,BOM_table6[[#This Row],[SKU Cost]]/BOM_table6[[#This Row],[SKU QTY]])</f>
        <v>0.89200000000000002</v>
      </c>
      <c r="P20" s="110">
        <f>IF(OR(ISBLANK(BOM_table6[[#This Row],[ASM QTY]]),ISBLANK(BOM_table6[[#This Row],[Unit Cost]])),0,BOM_table6[[#This Row],[ASM QTY]]*BOM_table6[[#This Row],[Unit Cost]])</f>
        <v>3.5680000000000001</v>
      </c>
      <c r="Q20" s="45">
        <v>6</v>
      </c>
      <c r="R20" s="81"/>
      <c r="S20" s="111">
        <f>BOM_table6[[#This Row],[ASM QTY]]*$Q$2+BOM_table6[[#This Row],[Spare QTY Needed]]-BOM_table6[[#This Row],[QTY in Inventory]]</f>
        <v>10</v>
      </c>
      <c r="T20" s="111">
        <f>ROUNDUP((BOM_table6[[#This Row],[QTY to Order]]/BOM_table6[[#This Row],[SKU QTY]]),0)</f>
        <v>10</v>
      </c>
      <c r="U20" s="110">
        <f>BOM_table6[[#This Row],[SKU QTY to Order]]*BOM_table6[[#This Row],[SKU Cost]]</f>
        <v>8.92</v>
      </c>
      <c r="V20" s="50"/>
      <c r="W20" s="45" t="s">
        <v>2191</v>
      </c>
      <c r="X20" s="45" t="s">
        <v>2192</v>
      </c>
      <c r="Y20" s="54">
        <v>44923</v>
      </c>
      <c r="Z20" s="54"/>
      <c r="AA20" s="97">
        <v>44924</v>
      </c>
      <c r="AB20" s="45"/>
      <c r="AC20" s="45"/>
      <c r="AD20" s="45"/>
      <c r="AE20" s="63"/>
      <c r="AF20" s="45"/>
      <c r="AG20" s="50"/>
      <c r="AH20" s="50"/>
      <c r="AI20" s="45"/>
      <c r="AJ20" s="54"/>
      <c r="AK20" s="54"/>
      <c r="AL20" s="45"/>
    </row>
    <row r="21" spans="1:38" ht="15" customHeight="1" x14ac:dyDescent="0.2">
      <c r="A21" s="105" t="s">
        <v>160</v>
      </c>
      <c r="B21" s="44" t="s">
        <v>2141</v>
      </c>
      <c r="C21" s="45" t="s">
        <v>2142</v>
      </c>
      <c r="D21" s="45"/>
      <c r="E21" s="45" t="s">
        <v>1380</v>
      </c>
      <c r="F21" s="45" t="s">
        <v>2128</v>
      </c>
      <c r="G21" s="45">
        <v>5</v>
      </c>
      <c r="H21" s="45"/>
      <c r="J21" s="45" t="s">
        <v>166</v>
      </c>
      <c r="K21" s="45"/>
      <c r="L21" s="45"/>
      <c r="M21" s="106">
        <v>1</v>
      </c>
      <c r="N21" s="50"/>
      <c r="O21" s="110">
        <f>IF(OR(ISBLANK(BOM_table6[[#This Row],[SKU QTY]]),BOM_table6[[#This Row],[SKU Cost]]=0),0,BOM_table6[[#This Row],[SKU Cost]]/BOM_table6[[#This Row],[SKU QTY]])</f>
        <v>0</v>
      </c>
      <c r="P21" s="110">
        <f>IF(OR(ISBLANK(BOM_table6[[#This Row],[ASM QTY]]),ISBLANK(BOM_table6[[#This Row],[Unit Cost]])),0,BOM_table6[[#This Row],[ASM QTY]]*BOM_table6[[#This Row],[Unit Cost]])</f>
        <v>0</v>
      </c>
      <c r="Q21" s="45"/>
      <c r="R21" s="81"/>
      <c r="S21" s="111">
        <f>BOM_table6[[#This Row],[ASM QTY]]*$Q$2+BOM_table6[[#This Row],[Spare QTY Needed]]-BOM_table6[[#This Row],[QTY in Inventory]]</f>
        <v>5</v>
      </c>
      <c r="T21" s="111">
        <f>ROUNDUP((BOM_table6[[#This Row],[QTY to Order]]/BOM_table6[[#This Row],[SKU QTY]]),0)</f>
        <v>5</v>
      </c>
      <c r="U21" s="110">
        <f>BOM_table6[[#This Row],[SKU QTY to Order]]*BOM_table6[[#This Row],[SKU Cost]]</f>
        <v>0</v>
      </c>
      <c r="V21" s="50"/>
      <c r="W21" s="45"/>
      <c r="X21" s="45"/>
      <c r="Y21" s="63"/>
      <c r="Z21" s="156"/>
      <c r="AA21" s="45"/>
      <c r="AB21" s="45"/>
      <c r="AC21" s="45"/>
      <c r="AD21" s="45"/>
      <c r="AE21" s="63"/>
      <c r="AF21" s="45"/>
      <c r="AG21" s="50"/>
      <c r="AH21" s="50"/>
      <c r="AI21" s="45"/>
      <c r="AJ21" s="54"/>
      <c r="AK21" s="54"/>
      <c r="AL21" s="45"/>
    </row>
    <row r="22" spans="1:38" ht="15" customHeight="1" x14ac:dyDescent="0.2">
      <c r="A22" s="105" t="s">
        <v>160</v>
      </c>
      <c r="B22" s="44" t="s">
        <v>2139</v>
      </c>
      <c r="C22" s="45" t="s">
        <v>2140</v>
      </c>
      <c r="D22" s="45"/>
      <c r="E22" s="45" t="s">
        <v>1380</v>
      </c>
      <c r="F22" s="45" t="s">
        <v>2128</v>
      </c>
      <c r="G22" s="45">
        <v>14</v>
      </c>
      <c r="H22" s="45"/>
      <c r="J22" s="45" t="s">
        <v>166</v>
      </c>
      <c r="K22" s="45"/>
      <c r="L22" s="45"/>
      <c r="M22" s="106">
        <v>1</v>
      </c>
      <c r="N22" s="50"/>
      <c r="O22" s="110">
        <f>IF(OR(ISBLANK(BOM_table6[[#This Row],[SKU QTY]]),BOM_table6[[#This Row],[SKU Cost]]=0),0,BOM_table6[[#This Row],[SKU Cost]]/BOM_table6[[#This Row],[SKU QTY]])</f>
        <v>0</v>
      </c>
      <c r="P22" s="110">
        <f>IF(OR(ISBLANK(BOM_table6[[#This Row],[ASM QTY]]),ISBLANK(BOM_table6[[#This Row],[Unit Cost]])),0,BOM_table6[[#This Row],[ASM QTY]]*BOM_table6[[#This Row],[Unit Cost]])</f>
        <v>0</v>
      </c>
      <c r="Q22" s="45"/>
      <c r="R22" s="81"/>
      <c r="S22" s="111">
        <f>BOM_table6[[#This Row],[ASM QTY]]*$Q$2+BOM_table6[[#This Row],[Spare QTY Needed]]-BOM_table6[[#This Row],[QTY in Inventory]]</f>
        <v>14</v>
      </c>
      <c r="T22" s="111">
        <f>ROUNDUP((BOM_table6[[#This Row],[QTY to Order]]/BOM_table6[[#This Row],[SKU QTY]]),0)</f>
        <v>14</v>
      </c>
      <c r="U22" s="110">
        <f>BOM_table6[[#This Row],[SKU QTY to Order]]*BOM_table6[[#This Row],[SKU Cost]]</f>
        <v>0</v>
      </c>
      <c r="V22" s="50"/>
      <c r="W22" s="45"/>
      <c r="X22" s="45"/>
      <c r="Y22" s="63"/>
      <c r="Z22" s="156"/>
      <c r="AA22" s="45"/>
      <c r="AB22" s="45"/>
      <c r="AC22" s="45"/>
      <c r="AD22" s="45"/>
      <c r="AE22" s="63"/>
      <c r="AF22" s="45"/>
      <c r="AG22" s="50"/>
      <c r="AH22" s="50"/>
      <c r="AI22" s="45"/>
      <c r="AJ22" s="54"/>
      <c r="AK22" s="54"/>
      <c r="AL22" s="45"/>
    </row>
    <row r="23" spans="1:38" ht="15" customHeight="1" x14ac:dyDescent="0.2">
      <c r="A23" s="105" t="s">
        <v>161</v>
      </c>
      <c r="B23" s="44" t="s">
        <v>920</v>
      </c>
      <c r="C23" s="45" t="s">
        <v>921</v>
      </c>
      <c r="D23" s="45"/>
      <c r="E23" s="45"/>
      <c r="F23" s="45" t="s">
        <v>2128</v>
      </c>
      <c r="G23" s="45">
        <v>2</v>
      </c>
      <c r="H23" s="45"/>
      <c r="I23" s="43" t="s">
        <v>2328</v>
      </c>
      <c r="J23" s="45" t="s">
        <v>166</v>
      </c>
      <c r="K23" s="45" t="s">
        <v>216</v>
      </c>
      <c r="L23" s="45"/>
      <c r="M23" s="106">
        <v>1</v>
      </c>
      <c r="N23" s="50">
        <f>5.64/5</f>
        <v>1.1279999999999999</v>
      </c>
      <c r="O23" s="110">
        <f>IF(OR(ISBLANK(BOM_table6[[#This Row],[SKU QTY]]),BOM_table6[[#This Row],[SKU Cost]]=0),0,BOM_table6[[#This Row],[SKU Cost]]/BOM_table6[[#This Row],[SKU QTY]])</f>
        <v>1.1279999999999999</v>
      </c>
      <c r="P23" s="110">
        <f>IF(OR(ISBLANK(BOM_table6[[#This Row],[ASM QTY]]),ISBLANK(BOM_table6[[#This Row],[Unit Cost]])),0,BOM_table6[[#This Row],[ASM QTY]]*BOM_table6[[#This Row],[Unit Cost]])</f>
        <v>2.2559999999999998</v>
      </c>
      <c r="Q23" s="45">
        <v>3</v>
      </c>
      <c r="R23" s="81"/>
      <c r="S23" s="111">
        <f>BOM_table6[[#This Row],[ASM QTY]]*$Q$2+BOM_table6[[#This Row],[Spare QTY Needed]]-BOM_table6[[#This Row],[QTY in Inventory]]</f>
        <v>5</v>
      </c>
      <c r="T23" s="111">
        <f>ROUNDUP((BOM_table6[[#This Row],[QTY to Order]]/BOM_table6[[#This Row],[SKU QTY]]),0)</f>
        <v>5</v>
      </c>
      <c r="U23" s="110">
        <f>BOM_table6[[#This Row],[SKU QTY to Order]]*BOM_table6[[#This Row],[SKU Cost]]</f>
        <v>5.64</v>
      </c>
      <c r="V23" s="50"/>
      <c r="W23" s="45" t="s">
        <v>2191</v>
      </c>
      <c r="X23" s="45" t="s">
        <v>2192</v>
      </c>
      <c r="Y23" s="54">
        <v>44923</v>
      </c>
      <c r="Z23" s="54"/>
      <c r="AA23" s="97">
        <v>44924</v>
      </c>
      <c r="AB23" s="45"/>
      <c r="AC23" s="45"/>
      <c r="AD23" s="45"/>
      <c r="AE23" s="63"/>
      <c r="AF23" s="45"/>
      <c r="AG23" s="50"/>
      <c r="AH23" s="50"/>
      <c r="AI23" s="45"/>
      <c r="AJ23" s="54"/>
      <c r="AK23" s="54"/>
      <c r="AL23" s="45"/>
    </row>
    <row r="24" spans="1:38" ht="15" customHeight="1" x14ac:dyDescent="0.2">
      <c r="A24" s="105" t="s">
        <v>160</v>
      </c>
      <c r="B24" s="44" t="s">
        <v>2143</v>
      </c>
      <c r="C24" s="45" t="s">
        <v>2144</v>
      </c>
      <c r="D24" s="45"/>
      <c r="E24" s="45" t="s">
        <v>1380</v>
      </c>
      <c r="F24" s="45" t="s">
        <v>2128</v>
      </c>
      <c r="G24" s="45">
        <v>14</v>
      </c>
      <c r="H24" s="45"/>
      <c r="J24" s="45" t="s">
        <v>166</v>
      </c>
      <c r="K24" s="45"/>
      <c r="L24" s="45"/>
      <c r="M24" s="106">
        <v>1</v>
      </c>
      <c r="N24" s="50"/>
      <c r="O24" s="110">
        <f>IF(OR(ISBLANK(BOM_table6[[#This Row],[SKU QTY]]),BOM_table6[[#This Row],[SKU Cost]]=0),0,BOM_table6[[#This Row],[SKU Cost]]/BOM_table6[[#This Row],[SKU QTY]])</f>
        <v>0</v>
      </c>
      <c r="P24" s="110">
        <f>IF(OR(ISBLANK(BOM_table6[[#This Row],[ASM QTY]]),ISBLANK(BOM_table6[[#This Row],[Unit Cost]])),0,BOM_table6[[#This Row],[ASM QTY]]*BOM_table6[[#This Row],[Unit Cost]])</f>
        <v>0</v>
      </c>
      <c r="Q24" s="45"/>
      <c r="R24" s="81"/>
      <c r="S24" s="111">
        <f>BOM_table6[[#This Row],[ASM QTY]]*$Q$2+BOM_table6[[#This Row],[Spare QTY Needed]]-BOM_table6[[#This Row],[QTY in Inventory]]</f>
        <v>14</v>
      </c>
      <c r="T24" s="111">
        <f>ROUNDUP((BOM_table6[[#This Row],[QTY to Order]]/BOM_table6[[#This Row],[SKU QTY]]),0)</f>
        <v>14</v>
      </c>
      <c r="U24" s="110">
        <f>BOM_table6[[#This Row],[SKU QTY to Order]]*BOM_table6[[#This Row],[SKU Cost]]</f>
        <v>0</v>
      </c>
      <c r="V24" s="50"/>
      <c r="W24" s="45"/>
      <c r="X24" s="45"/>
      <c r="Y24" s="63"/>
      <c r="Z24" s="156"/>
      <c r="AA24" s="45"/>
      <c r="AB24" s="45"/>
      <c r="AC24" s="45"/>
      <c r="AD24" s="45"/>
      <c r="AE24" s="63"/>
      <c r="AF24" s="45"/>
      <c r="AG24" s="50"/>
      <c r="AH24" s="50"/>
      <c r="AI24" s="45"/>
      <c r="AJ24" s="54"/>
      <c r="AK24" s="54"/>
      <c r="AL24" s="45"/>
    </row>
    <row r="25" spans="1:38" ht="15" customHeight="1" x14ac:dyDescent="0.2">
      <c r="A25" s="105" t="s">
        <v>160</v>
      </c>
      <c r="B25" s="44" t="s">
        <v>2145</v>
      </c>
      <c r="C25" s="45" t="s">
        <v>2146</v>
      </c>
      <c r="D25" s="45"/>
      <c r="E25" s="45" t="s">
        <v>1380</v>
      </c>
      <c r="F25" s="45" t="s">
        <v>2128</v>
      </c>
      <c r="G25" s="45">
        <v>1</v>
      </c>
      <c r="H25" s="45"/>
      <c r="J25" s="45" t="s">
        <v>166</v>
      </c>
      <c r="K25" s="45"/>
      <c r="L25" s="45"/>
      <c r="M25" s="106">
        <v>1</v>
      </c>
      <c r="N25" s="50"/>
      <c r="O25" s="110">
        <f>IF(OR(ISBLANK(BOM_table6[[#This Row],[SKU QTY]]),BOM_table6[[#This Row],[SKU Cost]]=0),0,BOM_table6[[#This Row],[SKU Cost]]/BOM_table6[[#This Row],[SKU QTY]])</f>
        <v>0</v>
      </c>
      <c r="P25" s="110">
        <f>IF(OR(ISBLANK(BOM_table6[[#This Row],[ASM QTY]]),ISBLANK(BOM_table6[[#This Row],[Unit Cost]])),0,BOM_table6[[#This Row],[ASM QTY]]*BOM_table6[[#This Row],[Unit Cost]])</f>
        <v>0</v>
      </c>
      <c r="Q25" s="45"/>
      <c r="R25" s="81"/>
      <c r="S25" s="111">
        <f>BOM_table6[[#This Row],[ASM QTY]]*$Q$2+BOM_table6[[#This Row],[Spare QTY Needed]]-BOM_table6[[#This Row],[QTY in Inventory]]</f>
        <v>1</v>
      </c>
      <c r="T25" s="111">
        <f>ROUNDUP((BOM_table6[[#This Row],[QTY to Order]]/BOM_table6[[#This Row],[SKU QTY]]),0)</f>
        <v>1</v>
      </c>
      <c r="U25" s="110">
        <f>BOM_table6[[#This Row],[SKU QTY to Order]]*BOM_table6[[#This Row],[SKU Cost]]</f>
        <v>0</v>
      </c>
      <c r="V25" s="50"/>
      <c r="W25" s="45"/>
      <c r="X25" s="45"/>
      <c r="Y25" s="63"/>
      <c r="Z25" s="156"/>
      <c r="AA25" s="45"/>
      <c r="AB25" s="45"/>
      <c r="AC25" s="45"/>
      <c r="AD25" s="45"/>
      <c r="AE25" s="63"/>
      <c r="AF25" s="45"/>
      <c r="AG25" s="50"/>
      <c r="AH25" s="50"/>
      <c r="AI25" s="45"/>
      <c r="AJ25" s="54"/>
      <c r="AK25" s="54"/>
      <c r="AL25" s="45"/>
    </row>
    <row r="26" spans="1:38" ht="15" customHeight="1" x14ac:dyDescent="0.2">
      <c r="A26" s="105" t="s">
        <v>160</v>
      </c>
      <c r="B26" s="44" t="s">
        <v>1173</v>
      </c>
      <c r="C26" s="45" t="s">
        <v>1174</v>
      </c>
      <c r="D26" s="45"/>
      <c r="E26" s="45" t="s">
        <v>1123</v>
      </c>
      <c r="F26" s="45" t="s">
        <v>2128</v>
      </c>
      <c r="G26" s="45">
        <v>1</v>
      </c>
      <c r="H26" s="45"/>
      <c r="I26" s="157" t="s">
        <v>1988</v>
      </c>
      <c r="J26" s="45"/>
      <c r="K26" s="45" t="s">
        <v>1123</v>
      </c>
      <c r="L26" s="45"/>
      <c r="M26" s="106">
        <v>1</v>
      </c>
      <c r="N26" s="50"/>
      <c r="O26" s="110">
        <f>IF(OR(ISBLANK(BOM_table6[[#This Row],[SKU QTY]]),BOM_table6[[#This Row],[SKU Cost]]=0),0,BOM_table6[[#This Row],[SKU Cost]]/BOM_table6[[#This Row],[SKU QTY]])</f>
        <v>0</v>
      </c>
      <c r="P26" s="110">
        <f>IF(OR(ISBLANK(BOM_table6[[#This Row],[ASM QTY]]),ISBLANK(BOM_table6[[#This Row],[Unit Cost]])),0,BOM_table6[[#This Row],[ASM QTY]]*BOM_table6[[#This Row],[Unit Cost]])</f>
        <v>0</v>
      </c>
      <c r="Q26" s="45"/>
      <c r="R26" s="81"/>
      <c r="S26" s="111">
        <f>BOM_table6[[#This Row],[ASM QTY]]*$Q$2+BOM_table6[[#This Row],[Spare QTY Needed]]-BOM_table6[[#This Row],[QTY in Inventory]]</f>
        <v>1</v>
      </c>
      <c r="T26" s="111">
        <f>ROUNDUP((BOM_table6[[#This Row],[QTY to Order]]/BOM_table6[[#This Row],[SKU QTY]]),0)</f>
        <v>1</v>
      </c>
      <c r="U26" s="110">
        <f>BOM_table6[[#This Row],[SKU QTY to Order]]*BOM_table6[[#This Row],[SKU Cost]]</f>
        <v>0</v>
      </c>
      <c r="V26" s="50"/>
      <c r="W26" s="45"/>
      <c r="X26" s="45"/>
      <c r="Y26" s="63"/>
      <c r="Z26" s="54"/>
      <c r="AA26" s="45"/>
      <c r="AB26" s="45"/>
      <c r="AC26" s="45"/>
      <c r="AD26" s="45"/>
      <c r="AE26" s="63"/>
      <c r="AF26" s="45"/>
      <c r="AG26" s="50"/>
      <c r="AH26" s="50"/>
      <c r="AI26" s="45"/>
      <c r="AJ26" s="54"/>
      <c r="AK26" s="54"/>
      <c r="AL26" s="45"/>
    </row>
    <row r="27" spans="1:38" ht="15" customHeight="1" x14ac:dyDescent="0.2">
      <c r="A27" s="105" t="s">
        <v>161</v>
      </c>
      <c r="B27" s="44" t="s">
        <v>2129</v>
      </c>
      <c r="C27" s="45" t="s">
        <v>2130</v>
      </c>
      <c r="D27" s="45"/>
      <c r="E27" s="45"/>
      <c r="F27" s="45" t="s">
        <v>2128</v>
      </c>
      <c r="G27" s="45">
        <v>1</v>
      </c>
      <c r="H27" s="45" t="s">
        <v>2175</v>
      </c>
      <c r="I27" s="43" t="s">
        <v>2349</v>
      </c>
      <c r="J27" s="45" t="s">
        <v>867</v>
      </c>
      <c r="K27" s="45"/>
      <c r="L27" s="45"/>
      <c r="M27" s="106">
        <v>1</v>
      </c>
      <c r="N27" s="50"/>
      <c r="O27" s="110">
        <f>IF(OR(ISBLANK(BOM_table6[[#This Row],[SKU QTY]]),BOM_table6[[#This Row],[SKU Cost]]=0),0,BOM_table6[[#This Row],[SKU Cost]]/BOM_table6[[#This Row],[SKU QTY]])</f>
        <v>0</v>
      </c>
      <c r="P27" s="110">
        <f>IF(OR(ISBLANK(BOM_table6[[#This Row],[ASM QTY]]),ISBLANK(BOM_table6[[#This Row],[Unit Cost]])),0,BOM_table6[[#This Row],[ASM QTY]]*BOM_table6[[#This Row],[Unit Cost]])</f>
        <v>0</v>
      </c>
      <c r="Q27" s="45"/>
      <c r="R27" s="81"/>
      <c r="S27" s="111">
        <f>BOM_table6[[#This Row],[ASM QTY]]*$Q$2+BOM_table6[[#This Row],[Spare QTY Needed]]-BOM_table6[[#This Row],[QTY in Inventory]]</f>
        <v>1</v>
      </c>
      <c r="T27" s="111">
        <f>ROUNDUP((BOM_table6[[#This Row],[QTY to Order]]/BOM_table6[[#This Row],[SKU QTY]]),0)</f>
        <v>1</v>
      </c>
      <c r="U27" s="110">
        <f>BOM_table6[[#This Row],[SKU QTY to Order]]*BOM_table6[[#This Row],[SKU Cost]]</f>
        <v>0</v>
      </c>
      <c r="V27" s="50"/>
      <c r="W27" s="45"/>
      <c r="X27" s="45"/>
      <c r="Y27" s="63"/>
      <c r="Z27" s="156"/>
      <c r="AA27" s="45"/>
      <c r="AB27" s="45"/>
      <c r="AC27" s="45"/>
      <c r="AD27" s="45"/>
      <c r="AE27" s="63"/>
      <c r="AF27" s="45"/>
      <c r="AG27" s="50"/>
      <c r="AH27" s="50"/>
      <c r="AI27" s="45"/>
      <c r="AJ27" s="54"/>
      <c r="AK27" s="54"/>
      <c r="AL27" s="45"/>
    </row>
    <row r="28" spans="1:38" ht="15" customHeight="1" x14ac:dyDescent="0.2">
      <c r="A28" s="105" t="s">
        <v>161</v>
      </c>
      <c r="B28" s="44" t="s">
        <v>2131</v>
      </c>
      <c r="C28" s="45" t="s">
        <v>2132</v>
      </c>
      <c r="D28" s="45"/>
      <c r="E28" s="45"/>
      <c r="F28" s="45" t="s">
        <v>2128</v>
      </c>
      <c r="G28" s="45">
        <v>1</v>
      </c>
      <c r="H28" s="45" t="s">
        <v>2175</v>
      </c>
      <c r="I28" s="43" t="s">
        <v>2349</v>
      </c>
      <c r="J28" s="45" t="s">
        <v>867</v>
      </c>
      <c r="K28" s="45"/>
      <c r="L28" s="45"/>
      <c r="M28" s="106">
        <v>1</v>
      </c>
      <c r="N28" s="50"/>
      <c r="O28" s="110">
        <f>IF(OR(ISBLANK(BOM_table6[[#This Row],[SKU QTY]]),BOM_table6[[#This Row],[SKU Cost]]=0),0,BOM_table6[[#This Row],[SKU Cost]]/BOM_table6[[#This Row],[SKU QTY]])</f>
        <v>0</v>
      </c>
      <c r="P28" s="110">
        <f>IF(OR(ISBLANK(BOM_table6[[#This Row],[ASM QTY]]),ISBLANK(BOM_table6[[#This Row],[Unit Cost]])),0,BOM_table6[[#This Row],[ASM QTY]]*BOM_table6[[#This Row],[Unit Cost]])</f>
        <v>0</v>
      </c>
      <c r="Q28" s="45"/>
      <c r="R28" s="81"/>
      <c r="S28" s="111">
        <f>BOM_table6[[#This Row],[ASM QTY]]*$Q$2+BOM_table6[[#This Row],[Spare QTY Needed]]-BOM_table6[[#This Row],[QTY in Inventory]]</f>
        <v>1</v>
      </c>
      <c r="T28" s="111">
        <f>ROUNDUP((BOM_table6[[#This Row],[QTY to Order]]/BOM_table6[[#This Row],[SKU QTY]]),0)</f>
        <v>1</v>
      </c>
      <c r="U28" s="110">
        <f>BOM_table6[[#This Row],[SKU QTY to Order]]*BOM_table6[[#This Row],[SKU Cost]]</f>
        <v>0</v>
      </c>
      <c r="V28" s="50"/>
      <c r="W28" s="45"/>
      <c r="X28" s="45"/>
      <c r="Y28" s="63"/>
      <c r="Z28" s="156"/>
      <c r="AA28" s="45"/>
      <c r="AB28" s="45"/>
      <c r="AC28" s="45"/>
      <c r="AD28" s="45"/>
      <c r="AE28" s="63"/>
      <c r="AF28" s="45"/>
      <c r="AG28" s="50"/>
      <c r="AH28" s="50"/>
      <c r="AI28" s="45"/>
      <c r="AJ28" s="54"/>
      <c r="AK28" s="54"/>
      <c r="AL28" s="45"/>
    </row>
    <row r="29" spans="1:38" ht="15" customHeight="1" x14ac:dyDescent="0.2">
      <c r="A29" s="105" t="s">
        <v>161</v>
      </c>
      <c r="B29" s="44" t="s">
        <v>2133</v>
      </c>
      <c r="C29" s="45" t="s">
        <v>2134</v>
      </c>
      <c r="D29" s="45"/>
      <c r="E29" s="45"/>
      <c r="F29" s="45" t="s">
        <v>2128</v>
      </c>
      <c r="G29" s="45">
        <v>1</v>
      </c>
      <c r="H29" s="45" t="s">
        <v>2175</v>
      </c>
      <c r="I29" s="43" t="s">
        <v>2349</v>
      </c>
      <c r="J29" s="45" t="s">
        <v>867</v>
      </c>
      <c r="K29" s="45"/>
      <c r="L29" s="45"/>
      <c r="M29" s="106">
        <v>1</v>
      </c>
      <c r="N29" s="50"/>
      <c r="O29" s="110">
        <f>IF(OR(ISBLANK(BOM_table6[[#This Row],[SKU QTY]]),BOM_table6[[#This Row],[SKU Cost]]=0),0,BOM_table6[[#This Row],[SKU Cost]]/BOM_table6[[#This Row],[SKU QTY]])</f>
        <v>0</v>
      </c>
      <c r="P29" s="110">
        <f>IF(OR(ISBLANK(BOM_table6[[#This Row],[ASM QTY]]),ISBLANK(BOM_table6[[#This Row],[Unit Cost]])),0,BOM_table6[[#This Row],[ASM QTY]]*BOM_table6[[#This Row],[Unit Cost]])</f>
        <v>0</v>
      </c>
      <c r="Q29" s="45"/>
      <c r="R29" s="81"/>
      <c r="S29" s="111">
        <f>BOM_table6[[#This Row],[ASM QTY]]*$Q$2+BOM_table6[[#This Row],[Spare QTY Needed]]-BOM_table6[[#This Row],[QTY in Inventory]]</f>
        <v>1</v>
      </c>
      <c r="T29" s="111">
        <f>ROUNDUP((BOM_table6[[#This Row],[QTY to Order]]/BOM_table6[[#This Row],[SKU QTY]]),0)</f>
        <v>1</v>
      </c>
      <c r="U29" s="110">
        <f>BOM_table6[[#This Row],[SKU QTY to Order]]*BOM_table6[[#This Row],[SKU Cost]]</f>
        <v>0</v>
      </c>
      <c r="V29" s="50"/>
      <c r="W29" s="45"/>
      <c r="X29" s="45"/>
      <c r="Y29" s="63"/>
      <c r="Z29" s="156"/>
      <c r="AA29" s="45"/>
      <c r="AB29" s="45"/>
      <c r="AC29" s="45"/>
      <c r="AD29" s="45"/>
      <c r="AE29" s="63"/>
      <c r="AF29" s="45"/>
      <c r="AG29" s="50"/>
      <c r="AH29" s="50"/>
      <c r="AI29" s="45"/>
      <c r="AJ29" s="54"/>
      <c r="AK29" s="54"/>
      <c r="AL29" s="45"/>
    </row>
    <row r="30" spans="1:38" ht="15" customHeight="1" x14ac:dyDescent="0.2">
      <c r="A30" s="105" t="s">
        <v>160</v>
      </c>
      <c r="B30" s="44" t="s">
        <v>2135</v>
      </c>
      <c r="C30" s="45" t="s">
        <v>2136</v>
      </c>
      <c r="D30" s="45"/>
      <c r="E30" s="45"/>
      <c r="F30" s="45" t="s">
        <v>2128</v>
      </c>
      <c r="G30" s="45">
        <v>1</v>
      </c>
      <c r="H30" s="45"/>
      <c r="J30" s="45" t="s">
        <v>867</v>
      </c>
      <c r="K30" s="45"/>
      <c r="L30" s="45"/>
      <c r="M30" s="106">
        <v>1</v>
      </c>
      <c r="N30" s="50"/>
      <c r="O30" s="110">
        <f>IF(OR(ISBLANK(BOM_table6[[#This Row],[SKU QTY]]),BOM_table6[[#This Row],[SKU Cost]]=0),0,BOM_table6[[#This Row],[SKU Cost]]/BOM_table6[[#This Row],[SKU QTY]])</f>
        <v>0</v>
      </c>
      <c r="P30" s="110">
        <f>IF(OR(ISBLANK(BOM_table6[[#This Row],[ASM QTY]]),ISBLANK(BOM_table6[[#This Row],[Unit Cost]])),0,BOM_table6[[#This Row],[ASM QTY]]*BOM_table6[[#This Row],[Unit Cost]])</f>
        <v>0</v>
      </c>
      <c r="Q30" s="45"/>
      <c r="R30" s="81"/>
      <c r="S30" s="111">
        <f>BOM_table6[[#This Row],[ASM QTY]]*$Q$2+BOM_table6[[#This Row],[Spare QTY Needed]]-BOM_table6[[#This Row],[QTY in Inventory]]</f>
        <v>1</v>
      </c>
      <c r="T30" s="111">
        <f>ROUNDUP((BOM_table6[[#This Row],[QTY to Order]]/BOM_table6[[#This Row],[SKU QTY]]),0)</f>
        <v>1</v>
      </c>
      <c r="U30" s="110">
        <f>BOM_table6[[#This Row],[SKU QTY to Order]]*BOM_table6[[#This Row],[SKU Cost]]</f>
        <v>0</v>
      </c>
      <c r="V30" s="50"/>
      <c r="W30" s="45"/>
      <c r="X30" s="45"/>
      <c r="Y30" s="63"/>
      <c r="Z30" s="156"/>
      <c r="AA30" s="45"/>
      <c r="AB30" s="45"/>
      <c r="AC30" s="45"/>
      <c r="AD30" s="45"/>
      <c r="AE30" s="63"/>
      <c r="AF30" s="45"/>
      <c r="AG30" s="50"/>
      <c r="AH30" s="50"/>
      <c r="AI30" s="45"/>
      <c r="AJ30" s="54"/>
      <c r="AK30" s="54"/>
      <c r="AL30" s="45"/>
    </row>
    <row r="31" spans="1:38" ht="15" customHeight="1" x14ac:dyDescent="0.2">
      <c r="A31" s="105" t="s">
        <v>160</v>
      </c>
      <c r="B31" s="44" t="s">
        <v>2137</v>
      </c>
      <c r="C31" s="45" t="s">
        <v>2138</v>
      </c>
      <c r="D31" s="45"/>
      <c r="E31" s="45"/>
      <c r="F31" s="45" t="s">
        <v>2128</v>
      </c>
      <c r="G31" s="45">
        <v>1</v>
      </c>
      <c r="H31" s="45"/>
      <c r="J31" s="45" t="s">
        <v>867</v>
      </c>
      <c r="K31" s="45"/>
      <c r="L31" s="45"/>
      <c r="M31" s="106">
        <v>1</v>
      </c>
      <c r="N31" s="50"/>
      <c r="O31" s="110">
        <f>IF(OR(ISBLANK(BOM_table6[[#This Row],[SKU QTY]]),BOM_table6[[#This Row],[SKU Cost]]=0),0,BOM_table6[[#This Row],[SKU Cost]]/BOM_table6[[#This Row],[SKU QTY]])</f>
        <v>0</v>
      </c>
      <c r="P31" s="110">
        <f>IF(OR(ISBLANK(BOM_table6[[#This Row],[ASM QTY]]),ISBLANK(BOM_table6[[#This Row],[Unit Cost]])),0,BOM_table6[[#This Row],[ASM QTY]]*BOM_table6[[#This Row],[Unit Cost]])</f>
        <v>0</v>
      </c>
      <c r="Q31" s="45"/>
      <c r="R31" s="81"/>
      <c r="S31" s="111">
        <f>BOM_table6[[#This Row],[ASM QTY]]*$Q$2+BOM_table6[[#This Row],[Spare QTY Needed]]-BOM_table6[[#This Row],[QTY in Inventory]]</f>
        <v>1</v>
      </c>
      <c r="T31" s="111">
        <f>ROUNDUP((BOM_table6[[#This Row],[QTY to Order]]/BOM_table6[[#This Row],[SKU QTY]]),0)</f>
        <v>1</v>
      </c>
      <c r="U31" s="110">
        <f>BOM_table6[[#This Row],[SKU QTY to Order]]*BOM_table6[[#This Row],[SKU Cost]]</f>
        <v>0</v>
      </c>
      <c r="V31" s="50"/>
      <c r="W31" s="45"/>
      <c r="X31" s="45"/>
      <c r="Y31" s="63"/>
      <c r="Z31" s="156"/>
      <c r="AA31" s="45"/>
      <c r="AB31" s="45"/>
      <c r="AC31" s="45"/>
      <c r="AD31" s="45"/>
      <c r="AE31" s="63"/>
      <c r="AF31" s="45"/>
      <c r="AG31" s="50"/>
      <c r="AH31" s="50"/>
      <c r="AI31" s="45"/>
      <c r="AJ31" s="54"/>
      <c r="AK31" s="45"/>
      <c r="AL31" s="45"/>
    </row>
    <row r="32" spans="1:38" ht="15" customHeight="1" x14ac:dyDescent="0.25">
      <c r="A32" s="105" t="s">
        <v>161</v>
      </c>
      <c r="B32" t="s">
        <v>1420</v>
      </c>
      <c r="C32" s="45" t="s">
        <v>1421</v>
      </c>
      <c r="D32" s="45"/>
      <c r="E32" s="45" t="s">
        <v>949</v>
      </c>
      <c r="F32" s="45" t="s">
        <v>2128</v>
      </c>
      <c r="G32" s="45">
        <v>1</v>
      </c>
      <c r="H32" s="45" t="s">
        <v>2175</v>
      </c>
      <c r="J32" s="45" t="s">
        <v>166</v>
      </c>
      <c r="K32" s="45" t="s">
        <v>949</v>
      </c>
      <c r="L32" s="45"/>
      <c r="M32" s="106">
        <v>1</v>
      </c>
      <c r="N32" s="50"/>
      <c r="O32" s="110">
        <f>IF(OR(ISBLANK(BOM_table6[[#This Row],[SKU QTY]]),BOM_table6[[#This Row],[SKU Cost]]=0),0,BOM_table6[[#This Row],[SKU Cost]]/BOM_table6[[#This Row],[SKU QTY]])</f>
        <v>0</v>
      </c>
      <c r="P32" s="110">
        <f>IF(OR(ISBLANK(BOM_table6[[#This Row],[ASM QTY]]),ISBLANK(BOM_table6[[#This Row],[Unit Cost]])),0,BOM_table6[[#This Row],[ASM QTY]]*BOM_table6[[#This Row],[Unit Cost]])</f>
        <v>0</v>
      </c>
      <c r="Q32" s="45"/>
      <c r="R32" s="81"/>
      <c r="S32" s="111">
        <f>BOM_table6[[#This Row],[ASM QTY]]*$Q$2+BOM_table6[[#This Row],[Spare QTY Needed]]-BOM_table6[[#This Row],[QTY in Inventory]]</f>
        <v>1</v>
      </c>
      <c r="T32" s="111">
        <f>ROUNDUP((BOM_table6[[#This Row],[QTY to Order]]/BOM_table6[[#This Row],[SKU QTY]]),0)</f>
        <v>1</v>
      </c>
      <c r="U32" s="110">
        <f>BOM_table6[[#This Row],[SKU QTY to Order]]*BOM_table6[[#This Row],[SKU Cost]]</f>
        <v>0</v>
      </c>
      <c r="V32" s="50"/>
      <c r="W32" s="45"/>
      <c r="X32" s="45"/>
      <c r="Y32" s="63"/>
      <c r="Z32" s="54"/>
      <c r="AA32" s="45"/>
      <c r="AB32" s="45"/>
      <c r="AC32" s="45"/>
      <c r="AD32" s="45"/>
      <c r="AE32" s="63"/>
      <c r="AF32" s="45"/>
      <c r="AG32" s="50"/>
      <c r="AH32" s="50"/>
      <c r="AI32" s="45"/>
      <c r="AJ32" s="54"/>
      <c r="AK32" s="45"/>
      <c r="AL32" s="45"/>
    </row>
    <row r="33" spans="1:29" ht="15" customHeight="1" x14ac:dyDescent="0.2">
      <c r="A33" s="105" t="s">
        <v>160</v>
      </c>
      <c r="B33" s="44" t="s">
        <v>2147</v>
      </c>
      <c r="C33" s="65">
        <v>109467</v>
      </c>
      <c r="D33" s="65"/>
      <c r="E33" s="65"/>
      <c r="F33" s="65" t="s">
        <v>982</v>
      </c>
      <c r="G33" s="65">
        <v>2</v>
      </c>
      <c r="H33" s="65"/>
      <c r="I33" s="43" t="s">
        <v>2148</v>
      </c>
      <c r="J33" s="65" t="s">
        <v>167</v>
      </c>
      <c r="K33" s="45" t="s">
        <v>1494</v>
      </c>
      <c r="L33" s="45"/>
      <c r="M33" s="106">
        <v>1</v>
      </c>
      <c r="N33" s="67"/>
      <c r="O33" s="110">
        <f>IF(OR(ISBLANK(BOM_table6[[#This Row],[SKU QTY]]),BOM_table6[[#This Row],[SKU Cost]]=0),0,BOM_table6[[#This Row],[SKU Cost]]/BOM_table6[[#This Row],[SKU QTY]])</f>
        <v>0</v>
      </c>
      <c r="P33" s="110">
        <f>IF(OR(ISBLANK(BOM_table6[[#This Row],[ASM QTY]]),ISBLANK(BOM_table6[[#This Row],[Unit Cost]])),0,BOM_table6[[#This Row],[ASM QTY]]*BOM_table6[[#This Row],[Unit Cost]])</f>
        <v>0</v>
      </c>
      <c r="Q33" s="65"/>
      <c r="R33" s="80"/>
      <c r="S33" s="111">
        <f>BOM_table6[[#This Row],[ASM QTY]]*$Q$2+BOM_table6[[#This Row],[Spare QTY Needed]]-BOM_table6[[#This Row],[QTY in Inventory]]</f>
        <v>2</v>
      </c>
      <c r="T33" s="111">
        <f>ROUNDUP((BOM_table6[[#This Row],[QTY to Order]]/BOM_table6[[#This Row],[SKU QTY]]),0)</f>
        <v>2</v>
      </c>
      <c r="U33" s="110">
        <f>BOM_table6[[#This Row],[SKU QTY to Order]]*BOM_table6[[#This Row],[SKU Cost]]</f>
        <v>0</v>
      </c>
      <c r="V33" s="67"/>
      <c r="W33" s="45"/>
      <c r="X33" s="45"/>
      <c r="Y33" s="71"/>
      <c r="Z33" s="71"/>
      <c r="AA33" s="65"/>
      <c r="AB33" s="65"/>
      <c r="AC33" s="65"/>
    </row>
    <row r="34" spans="1:29" ht="15" customHeight="1" x14ac:dyDescent="0.2">
      <c r="A34" s="105" t="s">
        <v>161</v>
      </c>
      <c r="B34" s="64" t="s">
        <v>987</v>
      </c>
      <c r="C34" s="65" t="s">
        <v>986</v>
      </c>
      <c r="D34" s="65"/>
      <c r="E34" s="65"/>
      <c r="F34" s="65" t="s">
        <v>982</v>
      </c>
      <c r="G34" s="65">
        <v>8</v>
      </c>
      <c r="H34" s="45"/>
      <c r="I34" s="43" t="s">
        <v>2321</v>
      </c>
      <c r="J34" s="65" t="s">
        <v>166</v>
      </c>
      <c r="K34" s="45" t="s">
        <v>216</v>
      </c>
      <c r="L34" s="45"/>
      <c r="M34" s="106">
        <v>1</v>
      </c>
      <c r="N34" s="67">
        <f>8.78/100</f>
        <v>8.7799999999999989E-2</v>
      </c>
      <c r="O34" s="110">
        <f>IF(OR(ISBLANK(BOM_table6[[#This Row],[SKU QTY]]),BOM_table6[[#This Row],[SKU Cost]]=0),0,BOM_table6[[#This Row],[SKU Cost]]/BOM_table6[[#This Row],[SKU QTY]])</f>
        <v>8.7799999999999989E-2</v>
      </c>
      <c r="P34" s="110">
        <f>IF(OR(ISBLANK(BOM_table6[[#This Row],[ASM QTY]]),ISBLANK(BOM_table6[[#This Row],[Unit Cost]])),0,BOM_table6[[#This Row],[ASM QTY]]*BOM_table6[[#This Row],[Unit Cost]])</f>
        <v>0.70239999999999991</v>
      </c>
      <c r="Q34" s="65">
        <v>92</v>
      </c>
      <c r="R34" s="80"/>
      <c r="S34" s="111">
        <f>BOM_table6[[#This Row],[ASM QTY]]*$Q$2+BOM_table6[[#This Row],[Spare QTY Needed]]-BOM_table6[[#This Row],[QTY in Inventory]]</f>
        <v>100</v>
      </c>
      <c r="T34" s="111">
        <f>ROUNDUP((BOM_table6[[#This Row],[QTY to Order]]/BOM_table6[[#This Row],[SKU QTY]]),0)</f>
        <v>100</v>
      </c>
      <c r="U34" s="110">
        <f>BOM_table6[[#This Row],[SKU QTY to Order]]*BOM_table6[[#This Row],[SKU Cost]]</f>
        <v>8.7799999999999994</v>
      </c>
      <c r="V34" s="67"/>
      <c r="W34" s="45" t="s">
        <v>2191</v>
      </c>
      <c r="X34" s="45" t="s">
        <v>2192</v>
      </c>
      <c r="Y34" s="71">
        <v>44923</v>
      </c>
      <c r="Z34" s="71"/>
      <c r="AA34" s="217">
        <v>44924</v>
      </c>
      <c r="AB34" s="65"/>
      <c r="AC34" s="65"/>
    </row>
    <row r="35" spans="1:29" ht="15" customHeight="1" x14ac:dyDescent="0.2">
      <c r="A35" s="105" t="s">
        <v>160</v>
      </c>
      <c r="B35" s="64" t="s">
        <v>985</v>
      </c>
      <c r="C35" s="65" t="s">
        <v>984</v>
      </c>
      <c r="D35" s="65"/>
      <c r="E35" s="65"/>
      <c r="F35" s="65" t="s">
        <v>982</v>
      </c>
      <c r="G35" s="65">
        <v>8</v>
      </c>
      <c r="H35" s="45"/>
      <c r="J35" s="65" t="s">
        <v>166</v>
      </c>
      <c r="K35" s="45" t="s">
        <v>216</v>
      </c>
      <c r="L35" s="45"/>
      <c r="M35" s="106">
        <v>1</v>
      </c>
      <c r="N35" s="67"/>
      <c r="O35" s="110">
        <f>IF(OR(ISBLANK(BOM_table6[[#This Row],[SKU QTY]]),BOM_table6[[#This Row],[SKU Cost]]=0),0,BOM_table6[[#This Row],[SKU Cost]]/BOM_table6[[#This Row],[SKU QTY]])</f>
        <v>0</v>
      </c>
      <c r="P35" s="110">
        <f>IF(OR(ISBLANK(BOM_table6[[#This Row],[ASM QTY]]),ISBLANK(BOM_table6[[#This Row],[Unit Cost]])),0,BOM_table6[[#This Row],[ASM QTY]]*BOM_table6[[#This Row],[Unit Cost]])</f>
        <v>0</v>
      </c>
      <c r="Q35" s="65"/>
      <c r="R35" s="80"/>
      <c r="S35" s="111">
        <f>BOM_table6[[#This Row],[ASM QTY]]*$Q$2+BOM_table6[[#This Row],[Spare QTY Needed]]-BOM_table6[[#This Row],[QTY in Inventory]]</f>
        <v>8</v>
      </c>
      <c r="T35" s="111">
        <f>ROUNDUP((BOM_table6[[#This Row],[QTY to Order]]/BOM_table6[[#This Row],[SKU QTY]]),0)</f>
        <v>8</v>
      </c>
      <c r="U35" s="110">
        <f>BOM_table6[[#This Row],[SKU QTY to Order]]*BOM_table6[[#This Row],[SKU Cost]]</f>
        <v>0</v>
      </c>
      <c r="V35" s="67"/>
      <c r="W35" s="65"/>
      <c r="X35" s="65"/>
      <c r="Y35" s="69"/>
      <c r="Z35" s="71"/>
      <c r="AA35" s="65"/>
      <c r="AB35" s="65"/>
      <c r="AC35" s="65"/>
    </row>
    <row r="36" spans="1:29" ht="15" customHeight="1" x14ac:dyDescent="0.2">
      <c r="A36" s="105" t="s">
        <v>160</v>
      </c>
      <c r="B36" s="64" t="s">
        <v>981</v>
      </c>
      <c r="C36" s="65" t="s">
        <v>983</v>
      </c>
      <c r="D36" s="65"/>
      <c r="E36" s="65"/>
      <c r="F36" s="65" t="s">
        <v>982</v>
      </c>
      <c r="G36" s="65">
        <v>16</v>
      </c>
      <c r="H36" s="45"/>
      <c r="J36" s="65" t="s">
        <v>166</v>
      </c>
      <c r="K36" s="45" t="s">
        <v>216</v>
      </c>
      <c r="L36" s="45"/>
      <c r="M36" s="106">
        <v>1</v>
      </c>
      <c r="N36" s="67"/>
      <c r="O36" s="110">
        <f>IF(OR(ISBLANK(BOM_table6[[#This Row],[SKU QTY]]),BOM_table6[[#This Row],[SKU Cost]]=0),0,BOM_table6[[#This Row],[SKU Cost]]/BOM_table6[[#This Row],[SKU QTY]])</f>
        <v>0</v>
      </c>
      <c r="P36" s="110">
        <f>IF(OR(ISBLANK(BOM_table6[[#This Row],[ASM QTY]]),ISBLANK(BOM_table6[[#This Row],[Unit Cost]])),0,BOM_table6[[#This Row],[ASM QTY]]*BOM_table6[[#This Row],[Unit Cost]])</f>
        <v>0</v>
      </c>
      <c r="Q36" s="65"/>
      <c r="R36" s="80"/>
      <c r="S36" s="111">
        <f>BOM_table6[[#This Row],[ASM QTY]]*$Q$2+BOM_table6[[#This Row],[Spare QTY Needed]]-BOM_table6[[#This Row],[QTY in Inventory]]</f>
        <v>16</v>
      </c>
      <c r="T36" s="111">
        <f>ROUNDUP((BOM_table6[[#This Row],[QTY to Order]]/BOM_table6[[#This Row],[SKU QTY]]),0)</f>
        <v>16</v>
      </c>
      <c r="U36" s="110">
        <f>BOM_table6[[#This Row],[SKU QTY to Order]]*BOM_table6[[#This Row],[SKU Cost]]</f>
        <v>0</v>
      </c>
      <c r="V36" s="67"/>
      <c r="W36" s="65"/>
      <c r="X36" s="65"/>
      <c r="Y36" s="69"/>
      <c r="Z36" s="71"/>
      <c r="AA36" s="65"/>
      <c r="AB36" s="65"/>
      <c r="AC36" s="65"/>
    </row>
    <row r="37" spans="1:29" ht="15" customHeight="1" x14ac:dyDescent="0.2">
      <c r="A37" s="105" t="s">
        <v>1318</v>
      </c>
      <c r="B37" s="64" t="s">
        <v>1018</v>
      </c>
      <c r="C37" s="65">
        <v>10045</v>
      </c>
      <c r="D37" s="65"/>
      <c r="E37" s="45" t="s">
        <v>1019</v>
      </c>
      <c r="F37" s="65" t="s">
        <v>997</v>
      </c>
      <c r="G37" s="65">
        <v>12</v>
      </c>
      <c r="H37" s="45" t="s">
        <v>2175</v>
      </c>
      <c r="I37" s="66"/>
      <c r="J37" s="65" t="s">
        <v>166</v>
      </c>
      <c r="K37" s="45" t="s">
        <v>1495</v>
      </c>
      <c r="L37" s="45"/>
      <c r="M37" s="106">
        <v>1</v>
      </c>
      <c r="N37" s="67"/>
      <c r="O37" s="110">
        <f>IF(OR(ISBLANK(BOM_table6[[#This Row],[SKU QTY]]),BOM_table6[[#This Row],[SKU Cost]]=0),0,BOM_table6[[#This Row],[SKU Cost]]/BOM_table6[[#This Row],[SKU QTY]])</f>
        <v>0</v>
      </c>
      <c r="P37" s="110">
        <f>IF(OR(ISBLANK(BOM_table6[[#This Row],[ASM QTY]]),ISBLANK(BOM_table6[[#This Row],[Unit Cost]])),0,BOM_table6[[#This Row],[ASM QTY]]*BOM_table6[[#This Row],[Unit Cost]])</f>
        <v>0</v>
      </c>
      <c r="Q37" s="65"/>
      <c r="R37" s="80"/>
      <c r="S37" s="111">
        <f>BOM_table6[[#This Row],[ASM QTY]]*$Q$2+BOM_table6[[#This Row],[Spare QTY Needed]]-BOM_table6[[#This Row],[QTY in Inventory]]</f>
        <v>12</v>
      </c>
      <c r="T37" s="111">
        <f>ROUNDUP((BOM_table6[[#This Row],[QTY to Order]]/BOM_table6[[#This Row],[SKU QTY]]),0)</f>
        <v>12</v>
      </c>
      <c r="U37" s="110">
        <f>BOM_table6[[#This Row],[SKU QTY to Order]]*BOM_table6[[#This Row],[SKU Cost]]</f>
        <v>0</v>
      </c>
      <c r="V37" s="67"/>
      <c r="W37" s="45"/>
      <c r="X37" s="45"/>
      <c r="Y37" s="71"/>
      <c r="Z37" s="71"/>
      <c r="AA37" s="71"/>
      <c r="AB37" s="65"/>
      <c r="AC37" s="65"/>
    </row>
    <row r="38" spans="1:29" ht="15" customHeight="1" x14ac:dyDescent="0.25">
      <c r="A38" s="105" t="s">
        <v>1318</v>
      </c>
      <c r="B38" s="64" t="s">
        <v>1001</v>
      </c>
      <c r="C38" s="65" t="s">
        <v>1002</v>
      </c>
      <c r="D38" s="65"/>
      <c r="E38" s="45" t="s">
        <v>1523</v>
      </c>
      <c r="F38" s="65" t="s">
        <v>997</v>
      </c>
      <c r="G38" s="65">
        <v>8</v>
      </c>
      <c r="H38" s="45" t="s">
        <v>2175</v>
      </c>
      <c r="I38" s="104" t="s">
        <v>1500</v>
      </c>
      <c r="J38" s="65" t="s">
        <v>166</v>
      </c>
      <c r="K38" s="45" t="s">
        <v>1495</v>
      </c>
      <c r="L38" s="45"/>
      <c r="M38" s="106">
        <v>1</v>
      </c>
      <c r="N38" s="67"/>
      <c r="O38" s="110">
        <f>IF(OR(ISBLANK(BOM_table6[[#This Row],[SKU QTY]]),BOM_table6[[#This Row],[SKU Cost]]=0),0,BOM_table6[[#This Row],[SKU Cost]]/BOM_table6[[#This Row],[SKU QTY]])</f>
        <v>0</v>
      </c>
      <c r="P38" s="110">
        <f>IF(OR(ISBLANK(BOM_table6[[#This Row],[ASM QTY]]),ISBLANK(BOM_table6[[#This Row],[Unit Cost]])),0,BOM_table6[[#This Row],[ASM QTY]]*BOM_table6[[#This Row],[Unit Cost]])</f>
        <v>0</v>
      </c>
      <c r="Q38" s="65"/>
      <c r="R38" s="80"/>
      <c r="S38" s="111">
        <f>BOM_table6[[#This Row],[ASM QTY]]*$Q$2+BOM_table6[[#This Row],[Spare QTY Needed]]-BOM_table6[[#This Row],[QTY in Inventory]]</f>
        <v>8</v>
      </c>
      <c r="T38" s="111">
        <f>ROUNDUP((BOM_table6[[#This Row],[QTY to Order]]/BOM_table6[[#This Row],[SKU QTY]]),0)</f>
        <v>8</v>
      </c>
      <c r="U38" s="110">
        <f>BOM_table6[[#This Row],[SKU QTY to Order]]*BOM_table6[[#This Row],[SKU Cost]]</f>
        <v>0</v>
      </c>
      <c r="V38" s="67"/>
      <c r="W38" s="45"/>
      <c r="X38" s="45"/>
      <c r="Y38" s="71"/>
      <c r="Z38" s="71"/>
      <c r="AA38" s="65"/>
      <c r="AB38" s="65"/>
      <c r="AC38" s="65"/>
    </row>
    <row r="39" spans="1:29" ht="15" customHeight="1" x14ac:dyDescent="0.2">
      <c r="A39" s="105" t="s">
        <v>160</v>
      </c>
      <c r="B39" s="44" t="s">
        <v>1497</v>
      </c>
      <c r="C39" s="65" t="s">
        <v>1000</v>
      </c>
      <c r="D39" s="65"/>
      <c r="E39" s="65"/>
      <c r="F39" s="45" t="s">
        <v>997</v>
      </c>
      <c r="G39" s="65">
        <v>12</v>
      </c>
      <c r="H39" s="65"/>
      <c r="I39" s="43" t="s">
        <v>1498</v>
      </c>
      <c r="J39" s="65" t="s">
        <v>166</v>
      </c>
      <c r="K39" s="45" t="s">
        <v>216</v>
      </c>
      <c r="L39" s="45"/>
      <c r="M39" s="106">
        <v>1</v>
      </c>
      <c r="N39" s="67"/>
      <c r="O39" s="110">
        <f>IF(OR(ISBLANK(BOM_table6[[#This Row],[SKU QTY]]),BOM_table6[[#This Row],[SKU Cost]]=0),0,BOM_table6[[#This Row],[SKU Cost]]/BOM_table6[[#This Row],[SKU QTY]])</f>
        <v>0</v>
      </c>
      <c r="P39" s="110">
        <f>IF(OR(ISBLANK(BOM_table6[[#This Row],[ASM QTY]]),ISBLANK(BOM_table6[[#This Row],[Unit Cost]])),0,BOM_table6[[#This Row],[ASM QTY]]*BOM_table6[[#This Row],[Unit Cost]])</f>
        <v>0</v>
      </c>
      <c r="Q39" s="65"/>
      <c r="R39" s="80"/>
      <c r="S39" s="111">
        <f>BOM_table6[[#This Row],[ASM QTY]]*$Q$2+BOM_table6[[#This Row],[Spare QTY Needed]]-BOM_table6[[#This Row],[QTY in Inventory]]</f>
        <v>12</v>
      </c>
      <c r="T39" s="111">
        <f>ROUNDUP((BOM_table6[[#This Row],[QTY to Order]]/BOM_table6[[#This Row],[SKU QTY]]),0)</f>
        <v>12</v>
      </c>
      <c r="U39" s="110">
        <f>BOM_table6[[#This Row],[SKU QTY to Order]]*BOM_table6[[#This Row],[SKU Cost]]</f>
        <v>0</v>
      </c>
      <c r="V39" s="67"/>
      <c r="W39" s="45"/>
      <c r="X39" s="45"/>
      <c r="Y39" s="71"/>
      <c r="Z39" s="71"/>
      <c r="AA39" s="71"/>
      <c r="AB39" s="65"/>
      <c r="AC39" s="65"/>
    </row>
    <row r="40" spans="1:29" ht="15" customHeight="1" x14ac:dyDescent="0.2">
      <c r="A40" s="105" t="s">
        <v>161</v>
      </c>
      <c r="B40" s="64" t="s">
        <v>492</v>
      </c>
      <c r="C40" s="65" t="s">
        <v>1010</v>
      </c>
      <c r="D40" s="65"/>
      <c r="E40" s="65"/>
      <c r="F40" s="65" t="s">
        <v>997</v>
      </c>
      <c r="G40" s="65">
        <v>12</v>
      </c>
      <c r="H40" s="65"/>
      <c r="I40" s="43" t="s">
        <v>2330</v>
      </c>
      <c r="J40" s="65" t="s">
        <v>166</v>
      </c>
      <c r="K40" s="45" t="s">
        <v>216</v>
      </c>
      <c r="L40" s="45"/>
      <c r="M40" s="106">
        <v>1</v>
      </c>
      <c r="N40" s="67">
        <f>8.55/100</f>
        <v>8.5500000000000007E-2</v>
      </c>
      <c r="O40" s="110">
        <f>IF(OR(ISBLANK(BOM_table6[[#This Row],[SKU QTY]]),BOM_table6[[#This Row],[SKU Cost]]=0),0,BOM_table6[[#This Row],[SKU Cost]]/BOM_table6[[#This Row],[SKU QTY]])</f>
        <v>8.5500000000000007E-2</v>
      </c>
      <c r="P40" s="110">
        <f>IF(OR(ISBLANK(BOM_table6[[#This Row],[ASM QTY]]),ISBLANK(BOM_table6[[#This Row],[Unit Cost]])),0,BOM_table6[[#This Row],[ASM QTY]]*BOM_table6[[#This Row],[Unit Cost]])</f>
        <v>1.026</v>
      </c>
      <c r="Q40" s="65">
        <f>100-12</f>
        <v>88</v>
      </c>
      <c r="R40" s="80"/>
      <c r="S40" s="111">
        <f>BOM_table6[[#This Row],[ASM QTY]]*$Q$2+BOM_table6[[#This Row],[Spare QTY Needed]]-BOM_table6[[#This Row],[QTY in Inventory]]</f>
        <v>100</v>
      </c>
      <c r="T40" s="111">
        <f>ROUNDUP((BOM_table6[[#This Row],[QTY to Order]]/BOM_table6[[#This Row],[SKU QTY]]),0)</f>
        <v>100</v>
      </c>
      <c r="U40" s="110">
        <f>BOM_table6[[#This Row],[SKU QTY to Order]]*BOM_table6[[#This Row],[SKU Cost]]</f>
        <v>8.5500000000000007</v>
      </c>
      <c r="V40" s="67"/>
      <c r="W40" s="45" t="s">
        <v>2191</v>
      </c>
      <c r="X40" s="45" t="s">
        <v>2192</v>
      </c>
      <c r="Y40" s="71">
        <v>44923</v>
      </c>
      <c r="Z40" s="71"/>
      <c r="AA40" s="217">
        <v>44924</v>
      </c>
      <c r="AB40" s="65"/>
      <c r="AC40" s="65"/>
    </row>
    <row r="41" spans="1:29" ht="15" customHeight="1" x14ac:dyDescent="0.2">
      <c r="A41" s="105" t="s">
        <v>161</v>
      </c>
      <c r="B41" s="64" t="s">
        <v>1006</v>
      </c>
      <c r="C41" s="65" t="s">
        <v>1007</v>
      </c>
      <c r="D41" s="65"/>
      <c r="E41" s="65"/>
      <c r="F41" s="65" t="s">
        <v>997</v>
      </c>
      <c r="G41" s="65">
        <v>16</v>
      </c>
      <c r="H41" s="65"/>
      <c r="I41" s="43" t="s">
        <v>2322</v>
      </c>
      <c r="J41" s="65" t="s">
        <v>166</v>
      </c>
      <c r="K41" s="45" t="s">
        <v>216</v>
      </c>
      <c r="L41" s="45"/>
      <c r="M41" s="106">
        <v>1</v>
      </c>
      <c r="N41" s="67">
        <f>5.51/25</f>
        <v>0.22039999999999998</v>
      </c>
      <c r="O41" s="110">
        <f>IF(OR(ISBLANK(BOM_table6[[#This Row],[SKU QTY]]),BOM_table6[[#This Row],[SKU Cost]]=0),0,BOM_table6[[#This Row],[SKU Cost]]/BOM_table6[[#This Row],[SKU QTY]])</f>
        <v>0.22039999999999998</v>
      </c>
      <c r="P41" s="110">
        <f>IF(OR(ISBLANK(BOM_table6[[#This Row],[ASM QTY]]),ISBLANK(BOM_table6[[#This Row],[Unit Cost]])),0,BOM_table6[[#This Row],[ASM QTY]]*BOM_table6[[#This Row],[Unit Cost]])</f>
        <v>3.5263999999999998</v>
      </c>
      <c r="Q41" s="65">
        <f>25-16</f>
        <v>9</v>
      </c>
      <c r="R41" s="80"/>
      <c r="S41" s="111">
        <f>BOM_table6[[#This Row],[ASM QTY]]*$Q$2+BOM_table6[[#This Row],[Spare QTY Needed]]-BOM_table6[[#This Row],[QTY in Inventory]]</f>
        <v>25</v>
      </c>
      <c r="T41" s="111">
        <f>ROUNDUP((BOM_table6[[#This Row],[QTY to Order]]/BOM_table6[[#This Row],[SKU QTY]]),0)</f>
        <v>25</v>
      </c>
      <c r="U41" s="110">
        <f>BOM_table6[[#This Row],[SKU QTY to Order]]*BOM_table6[[#This Row],[SKU Cost]]</f>
        <v>5.51</v>
      </c>
      <c r="V41" s="67"/>
      <c r="W41" s="45" t="s">
        <v>2191</v>
      </c>
      <c r="X41" s="45" t="s">
        <v>2192</v>
      </c>
      <c r="Y41" s="71">
        <v>44923</v>
      </c>
      <c r="Z41" s="71"/>
      <c r="AA41" s="217">
        <v>44924</v>
      </c>
      <c r="AB41" s="65"/>
      <c r="AC41" s="65"/>
    </row>
    <row r="42" spans="1:29" ht="15" customHeight="1" x14ac:dyDescent="0.2">
      <c r="A42" s="105" t="s">
        <v>161</v>
      </c>
      <c r="B42" s="44" t="s">
        <v>487</v>
      </c>
      <c r="C42" s="65" t="s">
        <v>485</v>
      </c>
      <c r="D42" s="65"/>
      <c r="E42" s="65"/>
      <c r="F42" s="45" t="s">
        <v>997</v>
      </c>
      <c r="G42" s="65">
        <v>8</v>
      </c>
      <c r="H42" s="45"/>
      <c r="I42" s="43" t="s">
        <v>2310</v>
      </c>
      <c r="J42" s="65" t="s">
        <v>166</v>
      </c>
      <c r="K42" s="45" t="s">
        <v>216</v>
      </c>
      <c r="L42" s="45"/>
      <c r="M42" s="106">
        <v>1</v>
      </c>
      <c r="N42" s="67">
        <f>3.73/50</f>
        <v>7.46E-2</v>
      </c>
      <c r="O42" s="110">
        <f>IF(OR(ISBLANK(BOM_table6[[#This Row],[SKU QTY]]),BOM_table6[[#This Row],[SKU Cost]]=0),0,BOM_table6[[#This Row],[SKU Cost]]/BOM_table6[[#This Row],[SKU QTY]])</f>
        <v>7.46E-2</v>
      </c>
      <c r="P42" s="110">
        <f>IF(OR(ISBLANK(BOM_table6[[#This Row],[ASM QTY]]),ISBLANK(BOM_table6[[#This Row],[Unit Cost]])),0,BOM_table6[[#This Row],[ASM QTY]]*BOM_table6[[#This Row],[Unit Cost]])</f>
        <v>0.5968</v>
      </c>
      <c r="Q42" s="65">
        <f>50-8</f>
        <v>42</v>
      </c>
      <c r="R42" s="80"/>
      <c r="S42" s="111">
        <f>BOM_table6[[#This Row],[ASM QTY]]*$Q$2+BOM_table6[[#This Row],[Spare QTY Needed]]-BOM_table6[[#This Row],[QTY in Inventory]]</f>
        <v>50</v>
      </c>
      <c r="T42" s="111">
        <f>ROUNDUP((BOM_table6[[#This Row],[QTY to Order]]/BOM_table6[[#This Row],[SKU QTY]]),0)</f>
        <v>50</v>
      </c>
      <c r="U42" s="110">
        <f>BOM_table6[[#This Row],[SKU QTY to Order]]*BOM_table6[[#This Row],[SKU Cost]]</f>
        <v>3.73</v>
      </c>
      <c r="V42" s="67"/>
      <c r="W42" s="45" t="s">
        <v>2191</v>
      </c>
      <c r="X42" s="45" t="s">
        <v>2192</v>
      </c>
      <c r="Y42" s="71">
        <v>44923</v>
      </c>
      <c r="Z42" s="71"/>
      <c r="AA42" s="217">
        <v>44924</v>
      </c>
      <c r="AB42" s="65"/>
      <c r="AC42" s="65"/>
    </row>
    <row r="43" spans="1:29" ht="15" customHeight="1" x14ac:dyDescent="0.2">
      <c r="A43" s="105" t="s">
        <v>161</v>
      </c>
      <c r="B43" s="64" t="s">
        <v>1021</v>
      </c>
      <c r="C43" s="65" t="s">
        <v>1020</v>
      </c>
      <c r="D43" s="65"/>
      <c r="E43" s="65"/>
      <c r="F43" s="65" t="s">
        <v>997</v>
      </c>
      <c r="G43" s="65">
        <v>12</v>
      </c>
      <c r="H43" s="65"/>
      <c r="I43" s="43" t="s">
        <v>2333</v>
      </c>
      <c r="J43" s="65" t="s">
        <v>166</v>
      </c>
      <c r="K43" s="45" t="s">
        <v>216</v>
      </c>
      <c r="L43" s="45"/>
      <c r="M43" s="106">
        <v>1</v>
      </c>
      <c r="N43" s="67">
        <f>6.18/50</f>
        <v>0.12359999999999999</v>
      </c>
      <c r="O43" s="110">
        <f>IF(OR(ISBLANK(BOM_table6[[#This Row],[SKU QTY]]),BOM_table6[[#This Row],[SKU Cost]]=0),0,BOM_table6[[#This Row],[SKU Cost]]/BOM_table6[[#This Row],[SKU QTY]])</f>
        <v>0.12359999999999999</v>
      </c>
      <c r="P43" s="110">
        <f>IF(OR(ISBLANK(BOM_table6[[#This Row],[ASM QTY]]),ISBLANK(BOM_table6[[#This Row],[Unit Cost]])),0,BOM_table6[[#This Row],[ASM QTY]]*BOM_table6[[#This Row],[Unit Cost]])</f>
        <v>1.4831999999999999</v>
      </c>
      <c r="Q43" s="65">
        <f>50-12</f>
        <v>38</v>
      </c>
      <c r="R43" s="80"/>
      <c r="S43" s="111">
        <f>BOM_table6[[#This Row],[ASM QTY]]*$Q$2+BOM_table6[[#This Row],[Spare QTY Needed]]-BOM_table6[[#This Row],[QTY in Inventory]]</f>
        <v>50</v>
      </c>
      <c r="T43" s="111">
        <f>ROUNDUP((BOM_table6[[#This Row],[QTY to Order]]/BOM_table6[[#This Row],[SKU QTY]]),0)</f>
        <v>50</v>
      </c>
      <c r="U43" s="110">
        <f>BOM_table6[[#This Row],[SKU QTY to Order]]*BOM_table6[[#This Row],[SKU Cost]]</f>
        <v>6.18</v>
      </c>
      <c r="V43" s="67"/>
      <c r="W43" s="45" t="s">
        <v>2191</v>
      </c>
      <c r="X43" s="45" t="s">
        <v>2192</v>
      </c>
      <c r="Y43" s="71">
        <v>44923</v>
      </c>
      <c r="Z43" s="71"/>
      <c r="AA43" s="217">
        <v>44924</v>
      </c>
      <c r="AB43" s="65"/>
      <c r="AC43" s="65"/>
    </row>
    <row r="44" spans="1:29" ht="15" customHeight="1" x14ac:dyDescent="0.2">
      <c r="A44" s="105" t="s">
        <v>161</v>
      </c>
      <c r="B44" s="64" t="s">
        <v>1013</v>
      </c>
      <c r="C44" s="65" t="s">
        <v>1012</v>
      </c>
      <c r="D44" s="65"/>
      <c r="E44" s="65"/>
      <c r="F44" s="65" t="s">
        <v>997</v>
      </c>
      <c r="G44" s="65">
        <v>12</v>
      </c>
      <c r="H44" s="65"/>
      <c r="I44" s="43" t="s">
        <v>2330</v>
      </c>
      <c r="J44" s="65" t="s">
        <v>166</v>
      </c>
      <c r="K44" s="45" t="s">
        <v>216</v>
      </c>
      <c r="L44" s="45"/>
      <c r="M44" s="106">
        <v>1</v>
      </c>
      <c r="N44" s="67">
        <f>3.89/100</f>
        <v>3.8900000000000004E-2</v>
      </c>
      <c r="O44" s="110">
        <f>IF(OR(ISBLANK(BOM_table6[[#This Row],[SKU QTY]]),BOM_table6[[#This Row],[SKU Cost]]=0),0,BOM_table6[[#This Row],[SKU Cost]]/BOM_table6[[#This Row],[SKU QTY]])</f>
        <v>3.8900000000000004E-2</v>
      </c>
      <c r="P44" s="110">
        <f>IF(OR(ISBLANK(BOM_table6[[#This Row],[ASM QTY]]),ISBLANK(BOM_table6[[#This Row],[Unit Cost]])),0,BOM_table6[[#This Row],[ASM QTY]]*BOM_table6[[#This Row],[Unit Cost]])</f>
        <v>0.46680000000000005</v>
      </c>
      <c r="Q44" s="65">
        <f>100-12</f>
        <v>88</v>
      </c>
      <c r="R44" s="80"/>
      <c r="S44" s="111">
        <f>BOM_table6[[#This Row],[ASM QTY]]*$Q$2+BOM_table6[[#This Row],[Spare QTY Needed]]-BOM_table6[[#This Row],[QTY in Inventory]]</f>
        <v>100</v>
      </c>
      <c r="T44" s="111">
        <f>ROUNDUP((BOM_table6[[#This Row],[QTY to Order]]/BOM_table6[[#This Row],[SKU QTY]]),0)</f>
        <v>100</v>
      </c>
      <c r="U44" s="110">
        <f>BOM_table6[[#This Row],[SKU QTY to Order]]*BOM_table6[[#This Row],[SKU Cost]]</f>
        <v>3.8900000000000006</v>
      </c>
      <c r="V44" s="67"/>
      <c r="W44" s="45" t="s">
        <v>2191</v>
      </c>
      <c r="X44" s="45" t="s">
        <v>2192</v>
      </c>
      <c r="Y44" s="71">
        <v>44923</v>
      </c>
      <c r="Z44" s="71"/>
      <c r="AA44" s="217">
        <v>44924</v>
      </c>
      <c r="AB44" s="65"/>
      <c r="AC44" s="65"/>
    </row>
    <row r="45" spans="1:29" ht="15" customHeight="1" x14ac:dyDescent="0.2">
      <c r="A45" s="105" t="s">
        <v>161</v>
      </c>
      <c r="B45" s="64" t="s">
        <v>994</v>
      </c>
      <c r="C45" s="65" t="s">
        <v>993</v>
      </c>
      <c r="D45" s="65"/>
      <c r="E45" s="65"/>
      <c r="F45" s="45" t="s">
        <v>997</v>
      </c>
      <c r="G45" s="65">
        <v>12</v>
      </c>
      <c r="H45" s="65"/>
      <c r="I45" s="66"/>
      <c r="J45" s="65" t="s">
        <v>166</v>
      </c>
      <c r="K45" s="45" t="s">
        <v>216</v>
      </c>
      <c r="L45" s="45"/>
      <c r="M45" s="106">
        <v>1</v>
      </c>
      <c r="N45" s="67">
        <f>12.06/50</f>
        <v>0.2412</v>
      </c>
      <c r="O45" s="110">
        <f>IF(OR(ISBLANK(BOM_table6[[#This Row],[SKU QTY]]),BOM_table6[[#This Row],[SKU Cost]]=0),0,BOM_table6[[#This Row],[SKU Cost]]/BOM_table6[[#This Row],[SKU QTY]])</f>
        <v>0.2412</v>
      </c>
      <c r="P45" s="110">
        <f>IF(OR(ISBLANK(BOM_table6[[#This Row],[ASM QTY]]),ISBLANK(BOM_table6[[#This Row],[Unit Cost]])),0,BOM_table6[[#This Row],[ASM QTY]]*BOM_table6[[#This Row],[Unit Cost]])</f>
        <v>2.8944000000000001</v>
      </c>
      <c r="Q45" s="65"/>
      <c r="R45" s="80"/>
      <c r="S45" s="111">
        <f>BOM_table6[[#This Row],[ASM QTY]]*$Q$2+BOM_table6[[#This Row],[Spare QTY Needed]]-BOM_table6[[#This Row],[QTY in Inventory]]</f>
        <v>12</v>
      </c>
      <c r="T45" s="111">
        <f>ROUNDUP((BOM_table6[[#This Row],[QTY to Order]]/BOM_table6[[#This Row],[SKU QTY]]),0)</f>
        <v>12</v>
      </c>
      <c r="U45" s="110">
        <f>BOM_table6[[#This Row],[SKU QTY to Order]]*BOM_table6[[#This Row],[SKU Cost]]</f>
        <v>2.8944000000000001</v>
      </c>
      <c r="V45" s="67"/>
      <c r="W45" s="45" t="s">
        <v>2191</v>
      </c>
      <c r="X45" s="45" t="s">
        <v>2192</v>
      </c>
      <c r="Y45" s="71">
        <v>44923</v>
      </c>
      <c r="Z45" s="71"/>
      <c r="AA45" s="217">
        <v>44924</v>
      </c>
      <c r="AB45" s="45"/>
      <c r="AC45" s="45"/>
    </row>
    <row r="46" spans="1:29" ht="15" customHeight="1" x14ac:dyDescent="0.2">
      <c r="A46" s="105" t="s">
        <v>161</v>
      </c>
      <c r="B46" s="64" t="s">
        <v>1017</v>
      </c>
      <c r="C46" s="65" t="s">
        <v>1016</v>
      </c>
      <c r="D46" s="65"/>
      <c r="E46" s="65"/>
      <c r="F46" s="45" t="s">
        <v>997</v>
      </c>
      <c r="G46" s="65">
        <v>8</v>
      </c>
      <c r="H46" s="65"/>
      <c r="I46" s="43" t="s">
        <v>2323</v>
      </c>
      <c r="J46" s="65" t="s">
        <v>166</v>
      </c>
      <c r="K46" s="45" t="s">
        <v>216</v>
      </c>
      <c r="L46" s="45"/>
      <c r="M46" s="106">
        <v>1</v>
      </c>
      <c r="N46" s="67">
        <f>13.2/50</f>
        <v>0.26400000000000001</v>
      </c>
      <c r="O46" s="110">
        <f>IF(OR(ISBLANK(BOM_table6[[#This Row],[SKU QTY]]),BOM_table6[[#This Row],[SKU Cost]]=0),0,BOM_table6[[#This Row],[SKU Cost]]/BOM_table6[[#This Row],[SKU QTY]])</f>
        <v>0.26400000000000001</v>
      </c>
      <c r="P46" s="110">
        <f>IF(OR(ISBLANK(BOM_table6[[#This Row],[ASM QTY]]),ISBLANK(BOM_table6[[#This Row],[Unit Cost]])),0,BOM_table6[[#This Row],[ASM QTY]]*BOM_table6[[#This Row],[Unit Cost]])</f>
        <v>2.1120000000000001</v>
      </c>
      <c r="Q46" s="65">
        <f>50-14</f>
        <v>36</v>
      </c>
      <c r="R46" s="80"/>
      <c r="S46" s="111">
        <f>BOM_table6[[#This Row],[ASM QTY]]*$Q$2+BOM_table6[[#This Row],[Spare QTY Needed]]-BOM_table6[[#This Row],[QTY in Inventory]]</f>
        <v>44</v>
      </c>
      <c r="T46" s="111">
        <f>ROUNDUP((BOM_table6[[#This Row],[QTY to Order]]/BOM_table6[[#This Row],[SKU QTY]]),0)</f>
        <v>44</v>
      </c>
      <c r="U46" s="110">
        <f>BOM_table6[[#This Row],[SKU QTY to Order]]*BOM_table6[[#This Row],[SKU Cost]]</f>
        <v>11.616</v>
      </c>
      <c r="V46" s="67"/>
      <c r="W46" s="45" t="s">
        <v>2191</v>
      </c>
      <c r="X46" s="45" t="s">
        <v>2192</v>
      </c>
      <c r="Y46" s="71">
        <v>44923</v>
      </c>
      <c r="Z46" s="71"/>
      <c r="AA46" s="217">
        <v>44924</v>
      </c>
      <c r="AB46" s="65"/>
      <c r="AC46" s="65"/>
    </row>
    <row r="47" spans="1:29" ht="15" customHeight="1" x14ac:dyDescent="0.2">
      <c r="A47" s="105" t="s">
        <v>161</v>
      </c>
      <c r="B47" s="64" t="s">
        <v>1015</v>
      </c>
      <c r="C47" s="65" t="s">
        <v>1014</v>
      </c>
      <c r="D47" s="65"/>
      <c r="E47" s="65"/>
      <c r="F47" s="65" t="s">
        <v>997</v>
      </c>
      <c r="G47" s="65">
        <v>8</v>
      </c>
      <c r="H47" s="65"/>
      <c r="I47" s="43" t="s">
        <v>2331</v>
      </c>
      <c r="J47" s="65" t="s">
        <v>166</v>
      </c>
      <c r="K47" s="45" t="s">
        <v>216</v>
      </c>
      <c r="L47" s="45"/>
      <c r="M47" s="106">
        <v>1</v>
      </c>
      <c r="N47" s="67">
        <f>8/25</f>
        <v>0.32</v>
      </c>
      <c r="O47" s="110">
        <f>IF(OR(ISBLANK(BOM_table6[[#This Row],[SKU QTY]]),BOM_table6[[#This Row],[SKU Cost]]=0),0,BOM_table6[[#This Row],[SKU Cost]]/BOM_table6[[#This Row],[SKU QTY]])</f>
        <v>0.32</v>
      </c>
      <c r="P47" s="110">
        <f>IF(OR(ISBLANK(BOM_table6[[#This Row],[ASM QTY]]),ISBLANK(BOM_table6[[#This Row],[Unit Cost]])),0,BOM_table6[[#This Row],[ASM QTY]]*BOM_table6[[#This Row],[Unit Cost]])</f>
        <v>2.56</v>
      </c>
      <c r="Q47" s="65">
        <f>25-8</f>
        <v>17</v>
      </c>
      <c r="R47" s="80"/>
      <c r="S47" s="111">
        <f>BOM_table6[[#This Row],[ASM QTY]]*$Q$2+BOM_table6[[#This Row],[Spare QTY Needed]]-BOM_table6[[#This Row],[QTY in Inventory]]</f>
        <v>25</v>
      </c>
      <c r="T47" s="111">
        <f>ROUNDUP((BOM_table6[[#This Row],[QTY to Order]]/BOM_table6[[#This Row],[SKU QTY]]),0)</f>
        <v>25</v>
      </c>
      <c r="U47" s="110">
        <f>BOM_table6[[#This Row],[SKU QTY to Order]]*BOM_table6[[#This Row],[SKU Cost]]</f>
        <v>8</v>
      </c>
      <c r="V47" s="67"/>
      <c r="W47" s="45" t="s">
        <v>2191</v>
      </c>
      <c r="X47" s="45" t="s">
        <v>2192</v>
      </c>
      <c r="Y47" s="71">
        <v>44923</v>
      </c>
      <c r="Z47" s="71"/>
      <c r="AA47" s="217">
        <v>44924</v>
      </c>
      <c r="AB47" s="65"/>
      <c r="AC47" s="65"/>
    </row>
    <row r="48" spans="1:29" ht="15" customHeight="1" x14ac:dyDescent="0.2">
      <c r="A48" s="105" t="s">
        <v>161</v>
      </c>
      <c r="B48" s="64" t="s">
        <v>1008</v>
      </c>
      <c r="C48" s="65" t="s">
        <v>1009</v>
      </c>
      <c r="D48" s="65"/>
      <c r="E48" s="65"/>
      <c r="F48" s="65" t="s">
        <v>997</v>
      </c>
      <c r="G48" s="65">
        <v>12</v>
      </c>
      <c r="H48" s="65"/>
      <c r="I48" s="66"/>
      <c r="J48" s="65" t="s">
        <v>166</v>
      </c>
      <c r="K48" s="45" t="s">
        <v>216</v>
      </c>
      <c r="L48" s="45"/>
      <c r="M48" s="106">
        <v>1</v>
      </c>
      <c r="N48" s="67">
        <f>3.63/2</f>
        <v>1.8149999999999999</v>
      </c>
      <c r="O48" s="110">
        <f>IF(OR(ISBLANK(BOM_table6[[#This Row],[SKU QTY]]),BOM_table6[[#This Row],[SKU Cost]]=0),0,BOM_table6[[#This Row],[SKU Cost]]/BOM_table6[[#This Row],[SKU QTY]])</f>
        <v>1.8149999999999999</v>
      </c>
      <c r="P48" s="110">
        <f>IF(OR(ISBLANK(BOM_table6[[#This Row],[ASM QTY]]),ISBLANK(BOM_table6[[#This Row],[Unit Cost]])),0,BOM_table6[[#This Row],[ASM QTY]]*BOM_table6[[#This Row],[Unit Cost]])</f>
        <v>21.78</v>
      </c>
      <c r="Q48" s="65"/>
      <c r="R48" s="80"/>
      <c r="S48" s="111">
        <f>BOM_table6[[#This Row],[ASM QTY]]*$Q$2+BOM_table6[[#This Row],[Spare QTY Needed]]-BOM_table6[[#This Row],[QTY in Inventory]]</f>
        <v>12</v>
      </c>
      <c r="T48" s="111">
        <f>ROUNDUP((BOM_table6[[#This Row],[QTY to Order]]/BOM_table6[[#This Row],[SKU QTY]]),0)</f>
        <v>12</v>
      </c>
      <c r="U48" s="110">
        <f>BOM_table6[[#This Row],[SKU QTY to Order]]*BOM_table6[[#This Row],[SKU Cost]]</f>
        <v>21.78</v>
      </c>
      <c r="V48" s="67"/>
      <c r="W48" s="45" t="s">
        <v>2191</v>
      </c>
      <c r="X48" s="45" t="s">
        <v>2192</v>
      </c>
      <c r="Y48" s="71">
        <v>44923</v>
      </c>
      <c r="Z48" s="71"/>
      <c r="AA48" s="217">
        <v>44924</v>
      </c>
      <c r="AB48" s="45"/>
      <c r="AC48" s="45"/>
    </row>
    <row r="49" spans="1:29" ht="15" customHeight="1" x14ac:dyDescent="0.2">
      <c r="A49" s="105" t="s">
        <v>161</v>
      </c>
      <c r="B49" s="127" t="s">
        <v>1670</v>
      </c>
      <c r="C49" s="126" t="s">
        <v>1673</v>
      </c>
      <c r="D49" s="126"/>
      <c r="E49" s="45" t="s">
        <v>1049</v>
      </c>
      <c r="F49" s="65" t="s">
        <v>997</v>
      </c>
      <c r="G49" s="126">
        <v>2</v>
      </c>
      <c r="H49" s="45" t="s">
        <v>2175</v>
      </c>
      <c r="I49" s="43" t="s">
        <v>2350</v>
      </c>
      <c r="J49" s="65" t="s">
        <v>1320</v>
      </c>
      <c r="K49" s="126"/>
      <c r="L49" s="126"/>
      <c r="M49" s="106">
        <v>1</v>
      </c>
      <c r="N49" s="128"/>
      <c r="O49" s="110">
        <f>IF(OR(ISBLANK(BOM_table6[[#This Row],[SKU QTY]]),BOM_table6[[#This Row],[SKU Cost]]=0),0,BOM_table6[[#This Row],[SKU Cost]]/BOM_table6[[#This Row],[SKU QTY]])</f>
        <v>0</v>
      </c>
      <c r="P49" s="110">
        <f>IF(OR(ISBLANK(BOM_table6[[#This Row],[ASM QTY]]),ISBLANK(BOM_table6[[#This Row],[Unit Cost]])),0,BOM_table6[[#This Row],[ASM QTY]]*BOM_table6[[#This Row],[Unit Cost]])</f>
        <v>0</v>
      </c>
      <c r="Q49" s="126"/>
      <c r="R49" s="132"/>
      <c r="S49" s="111">
        <f>BOM_table6[[#This Row],[ASM QTY]]*$Q$2+BOM_table6[[#This Row],[Spare QTY Needed]]-BOM_table6[[#This Row],[QTY in Inventory]]</f>
        <v>2</v>
      </c>
      <c r="T49" s="111">
        <f>ROUNDUP((BOM_table6[[#This Row],[QTY to Order]]/BOM_table6[[#This Row],[SKU QTY]]),0)</f>
        <v>2</v>
      </c>
      <c r="U49" s="110">
        <f>BOM_table6[[#This Row],[SKU QTY to Order]]*BOM_table6[[#This Row],[SKU Cost]]</f>
        <v>0</v>
      </c>
      <c r="V49" s="128"/>
      <c r="W49" s="126"/>
      <c r="X49" s="126"/>
      <c r="Y49" s="129"/>
      <c r="Z49" s="133"/>
      <c r="AA49" s="126"/>
      <c r="AB49" s="126"/>
      <c r="AC49" s="65"/>
    </row>
    <row r="50" spans="1:29" ht="15" customHeight="1" x14ac:dyDescent="0.2">
      <c r="A50" s="105" t="s">
        <v>161</v>
      </c>
      <c r="B50" s="44" t="s">
        <v>1005</v>
      </c>
      <c r="C50" s="45" t="s">
        <v>1668</v>
      </c>
      <c r="D50" s="65"/>
      <c r="E50" s="45" t="s">
        <v>1049</v>
      </c>
      <c r="F50" s="65" t="s">
        <v>997</v>
      </c>
      <c r="G50" s="65">
        <v>2</v>
      </c>
      <c r="H50" s="45" t="s">
        <v>2175</v>
      </c>
      <c r="I50" s="66"/>
      <c r="J50" s="65" t="s">
        <v>1320</v>
      </c>
      <c r="K50" s="65"/>
      <c r="L50" s="65"/>
      <c r="M50" s="106">
        <v>1</v>
      </c>
      <c r="N50" s="67"/>
      <c r="O50" s="110">
        <f>IF(OR(ISBLANK(BOM_table6[[#This Row],[SKU QTY]]),BOM_table6[[#This Row],[SKU Cost]]=0),0,BOM_table6[[#This Row],[SKU Cost]]/BOM_table6[[#This Row],[SKU QTY]])</f>
        <v>0</v>
      </c>
      <c r="P50" s="110">
        <f>IF(OR(ISBLANK(BOM_table6[[#This Row],[ASM QTY]]),ISBLANK(BOM_table6[[#This Row],[Unit Cost]])),0,BOM_table6[[#This Row],[ASM QTY]]*BOM_table6[[#This Row],[Unit Cost]])</f>
        <v>0</v>
      </c>
      <c r="Q50" s="65"/>
      <c r="R50" s="80"/>
      <c r="S50" s="111">
        <f>BOM_table6[[#This Row],[ASM QTY]]*$Q$2+BOM_table6[[#This Row],[Spare QTY Needed]]-BOM_table6[[#This Row],[QTY in Inventory]]</f>
        <v>2</v>
      </c>
      <c r="T50" s="111">
        <f>ROUNDUP((BOM_table6[[#This Row],[QTY to Order]]/BOM_table6[[#This Row],[SKU QTY]]),0)</f>
        <v>2</v>
      </c>
      <c r="U50" s="110">
        <f>BOM_table6[[#This Row],[SKU QTY to Order]]*BOM_table6[[#This Row],[SKU Cost]]</f>
        <v>0</v>
      </c>
      <c r="V50" s="67"/>
      <c r="W50" s="65"/>
      <c r="X50" s="65"/>
      <c r="Y50" s="69"/>
      <c r="Z50" s="71"/>
      <c r="AA50" s="65"/>
      <c r="AB50" s="65"/>
      <c r="AC50" s="126"/>
    </row>
    <row r="51" spans="1:29" ht="15" customHeight="1" x14ac:dyDescent="0.2">
      <c r="A51" s="105" t="s">
        <v>161</v>
      </c>
      <c r="B51" s="127" t="s">
        <v>1671</v>
      </c>
      <c r="C51" s="126" t="s">
        <v>1674</v>
      </c>
      <c r="D51" s="126"/>
      <c r="E51" s="45" t="s">
        <v>1049</v>
      </c>
      <c r="F51" s="65" t="s">
        <v>997</v>
      </c>
      <c r="G51" s="126">
        <v>2</v>
      </c>
      <c r="H51" s="45" t="s">
        <v>2175</v>
      </c>
      <c r="I51" s="131"/>
      <c r="J51" s="65" t="s">
        <v>1320</v>
      </c>
      <c r="K51" s="126"/>
      <c r="L51" s="126"/>
      <c r="M51" s="106">
        <v>1</v>
      </c>
      <c r="N51" s="128"/>
      <c r="O51" s="110">
        <f>IF(OR(ISBLANK(BOM_table6[[#This Row],[SKU QTY]]),BOM_table6[[#This Row],[SKU Cost]]=0),0,BOM_table6[[#This Row],[SKU Cost]]/BOM_table6[[#This Row],[SKU QTY]])</f>
        <v>0</v>
      </c>
      <c r="P51" s="110">
        <f>IF(OR(ISBLANK(BOM_table6[[#This Row],[ASM QTY]]),ISBLANK(BOM_table6[[#This Row],[Unit Cost]])),0,BOM_table6[[#This Row],[ASM QTY]]*BOM_table6[[#This Row],[Unit Cost]])</f>
        <v>0</v>
      </c>
      <c r="Q51" s="126"/>
      <c r="R51" s="132"/>
      <c r="S51" s="111">
        <f>BOM_table6[[#This Row],[ASM QTY]]*$Q$2+BOM_table6[[#This Row],[Spare QTY Needed]]-BOM_table6[[#This Row],[QTY in Inventory]]</f>
        <v>2</v>
      </c>
      <c r="T51" s="111">
        <f>ROUNDUP((BOM_table6[[#This Row],[QTY to Order]]/BOM_table6[[#This Row],[SKU QTY]]),0)</f>
        <v>2</v>
      </c>
      <c r="U51" s="110">
        <f>BOM_table6[[#This Row],[SKU QTY to Order]]*BOM_table6[[#This Row],[SKU Cost]]</f>
        <v>0</v>
      </c>
      <c r="V51" s="128"/>
      <c r="W51" s="126"/>
      <c r="X51" s="126"/>
      <c r="Y51" s="129"/>
      <c r="Z51" s="133"/>
      <c r="AA51" s="126"/>
      <c r="AB51" s="126"/>
      <c r="AC51" s="126"/>
    </row>
    <row r="52" spans="1:29" ht="15" customHeight="1" x14ac:dyDescent="0.2">
      <c r="A52" s="105" t="s">
        <v>161</v>
      </c>
      <c r="B52" s="127" t="s">
        <v>1669</v>
      </c>
      <c r="C52" s="126" t="s">
        <v>1672</v>
      </c>
      <c r="D52" s="126"/>
      <c r="E52" s="45" t="s">
        <v>1049</v>
      </c>
      <c r="F52" s="65" t="s">
        <v>997</v>
      </c>
      <c r="G52" s="126">
        <v>2</v>
      </c>
      <c r="H52" s="45" t="s">
        <v>2175</v>
      </c>
      <c r="I52" s="131"/>
      <c r="J52" s="65" t="s">
        <v>1320</v>
      </c>
      <c r="K52" s="126"/>
      <c r="L52" s="126"/>
      <c r="M52" s="106">
        <v>1</v>
      </c>
      <c r="N52" s="128"/>
      <c r="O52" s="110">
        <f>IF(OR(ISBLANK(BOM_table6[[#This Row],[SKU QTY]]),BOM_table6[[#This Row],[SKU Cost]]=0),0,BOM_table6[[#This Row],[SKU Cost]]/BOM_table6[[#This Row],[SKU QTY]])</f>
        <v>0</v>
      </c>
      <c r="P52" s="110">
        <f>IF(OR(ISBLANK(BOM_table6[[#This Row],[ASM QTY]]),ISBLANK(BOM_table6[[#This Row],[Unit Cost]])),0,BOM_table6[[#This Row],[ASM QTY]]*BOM_table6[[#This Row],[Unit Cost]])</f>
        <v>0</v>
      </c>
      <c r="Q52" s="126"/>
      <c r="R52" s="132"/>
      <c r="S52" s="111">
        <f>BOM_table6[[#This Row],[ASM QTY]]*$Q$2+BOM_table6[[#This Row],[Spare QTY Needed]]-BOM_table6[[#This Row],[QTY in Inventory]]</f>
        <v>2</v>
      </c>
      <c r="T52" s="111">
        <f>ROUNDUP((BOM_table6[[#This Row],[QTY to Order]]/BOM_table6[[#This Row],[SKU QTY]]),0)</f>
        <v>2</v>
      </c>
      <c r="U52" s="110">
        <f>BOM_table6[[#This Row],[SKU QTY to Order]]*BOM_table6[[#This Row],[SKU Cost]]</f>
        <v>0</v>
      </c>
      <c r="V52" s="128"/>
      <c r="W52" s="126"/>
      <c r="X52" s="126"/>
      <c r="Y52" s="129"/>
      <c r="Z52" s="133"/>
      <c r="AA52" s="126"/>
      <c r="AB52" s="126"/>
      <c r="AC52" s="126"/>
    </row>
    <row r="53" spans="1:29" ht="15" customHeight="1" x14ac:dyDescent="0.2">
      <c r="A53" s="105" t="s">
        <v>160</v>
      </c>
      <c r="B53" s="64" t="s">
        <v>978</v>
      </c>
      <c r="C53" s="65" t="s">
        <v>977</v>
      </c>
      <c r="D53" s="65"/>
      <c r="E53" s="45" t="s">
        <v>1049</v>
      </c>
      <c r="F53" s="65" t="s">
        <v>997</v>
      </c>
      <c r="G53" s="65">
        <v>2</v>
      </c>
      <c r="H53" s="65"/>
      <c r="J53" s="65" t="s">
        <v>1320</v>
      </c>
      <c r="K53" s="65"/>
      <c r="L53" s="65"/>
      <c r="M53" s="106">
        <v>1</v>
      </c>
      <c r="N53" s="67"/>
      <c r="O53" s="110">
        <f>IF(OR(ISBLANK(BOM_table6[[#This Row],[SKU QTY]]),BOM_table6[[#This Row],[SKU Cost]]=0),0,BOM_table6[[#This Row],[SKU Cost]]/BOM_table6[[#This Row],[SKU QTY]])</f>
        <v>0</v>
      </c>
      <c r="P53" s="110">
        <f>IF(OR(ISBLANK(BOM_table6[[#This Row],[ASM QTY]]),ISBLANK(BOM_table6[[#This Row],[Unit Cost]])),0,BOM_table6[[#This Row],[ASM QTY]]*BOM_table6[[#This Row],[Unit Cost]])</f>
        <v>0</v>
      </c>
      <c r="Q53" s="65"/>
      <c r="R53" s="80"/>
      <c r="S53" s="111">
        <f>BOM_table6[[#This Row],[ASM QTY]]*$Q$2+BOM_table6[[#This Row],[Spare QTY Needed]]-BOM_table6[[#This Row],[QTY in Inventory]]</f>
        <v>2</v>
      </c>
      <c r="T53" s="111">
        <f>ROUNDUP((BOM_table6[[#This Row],[QTY to Order]]/BOM_table6[[#This Row],[SKU QTY]]),0)</f>
        <v>2</v>
      </c>
      <c r="U53" s="110">
        <f>BOM_table6[[#This Row],[SKU QTY to Order]]*BOM_table6[[#This Row],[SKU Cost]]</f>
        <v>0</v>
      </c>
      <c r="V53" s="67"/>
      <c r="W53" s="65"/>
      <c r="X53" s="65"/>
      <c r="Y53" s="69"/>
      <c r="Z53" s="71"/>
      <c r="AA53" s="65"/>
      <c r="AB53" s="65"/>
      <c r="AC53" s="65"/>
    </row>
    <row r="54" spans="1:29" ht="15" customHeight="1" x14ac:dyDescent="0.2">
      <c r="A54" s="105" t="s">
        <v>160</v>
      </c>
      <c r="B54" s="64" t="s">
        <v>1003</v>
      </c>
      <c r="C54" s="65" t="s">
        <v>1004</v>
      </c>
      <c r="D54" s="65" t="s">
        <v>233</v>
      </c>
      <c r="E54" s="45" t="s">
        <v>1049</v>
      </c>
      <c r="F54" s="65" t="s">
        <v>997</v>
      </c>
      <c r="G54" s="65">
        <v>2</v>
      </c>
      <c r="H54" s="45" t="s">
        <v>2177</v>
      </c>
      <c r="J54" s="65" t="s">
        <v>169</v>
      </c>
      <c r="K54" s="65"/>
      <c r="L54" s="65"/>
      <c r="M54" s="106">
        <v>1</v>
      </c>
      <c r="N54" s="67"/>
      <c r="O54" s="110">
        <f>IF(OR(ISBLANK(BOM_table6[[#This Row],[SKU QTY]]),BOM_table6[[#This Row],[SKU Cost]]=0),0,BOM_table6[[#This Row],[SKU Cost]]/BOM_table6[[#This Row],[SKU QTY]])</f>
        <v>0</v>
      </c>
      <c r="P54" s="110">
        <f>IF(OR(ISBLANK(BOM_table6[[#This Row],[ASM QTY]]),ISBLANK(BOM_table6[[#This Row],[Unit Cost]])),0,BOM_table6[[#This Row],[ASM QTY]]*BOM_table6[[#This Row],[Unit Cost]])</f>
        <v>0</v>
      </c>
      <c r="Q54" s="65"/>
      <c r="R54" s="80"/>
      <c r="S54" s="111">
        <f>BOM_table6[[#This Row],[ASM QTY]]*$Q$2+BOM_table6[[#This Row],[Spare QTY Needed]]-BOM_table6[[#This Row],[QTY in Inventory]]</f>
        <v>2</v>
      </c>
      <c r="T54" s="111">
        <f>ROUNDUP((BOM_table6[[#This Row],[QTY to Order]]/BOM_table6[[#This Row],[SKU QTY]]),0)</f>
        <v>2</v>
      </c>
      <c r="U54" s="110">
        <f>BOM_table6[[#This Row],[SKU QTY to Order]]*BOM_table6[[#This Row],[SKU Cost]]</f>
        <v>0</v>
      </c>
      <c r="V54" s="67"/>
      <c r="W54" s="45"/>
      <c r="X54" s="45"/>
      <c r="Y54" s="71"/>
      <c r="Z54" s="71"/>
      <c r="AA54" s="71"/>
      <c r="AB54" s="65"/>
      <c r="AC54" s="65"/>
    </row>
    <row r="55" spans="1:29" ht="15" customHeight="1" x14ac:dyDescent="0.2">
      <c r="A55" s="105" t="s">
        <v>160</v>
      </c>
      <c r="B55" s="64" t="s">
        <v>999</v>
      </c>
      <c r="C55" s="65" t="s">
        <v>998</v>
      </c>
      <c r="D55" s="65" t="s">
        <v>364</v>
      </c>
      <c r="E55" s="45" t="s">
        <v>1049</v>
      </c>
      <c r="F55" s="65" t="s">
        <v>997</v>
      </c>
      <c r="G55" s="65">
        <v>2</v>
      </c>
      <c r="H55" s="186" t="s">
        <v>2177</v>
      </c>
      <c r="I55" s="66" t="s">
        <v>989</v>
      </c>
      <c r="J55" s="65" t="s">
        <v>867</v>
      </c>
      <c r="K55" s="45" t="s">
        <v>1712</v>
      </c>
      <c r="L55" s="45"/>
      <c r="M55" s="106">
        <v>1</v>
      </c>
      <c r="N55" s="67"/>
      <c r="O55" s="110">
        <f>IF(OR(ISBLANK(BOM_table6[[#This Row],[SKU QTY]]),BOM_table6[[#This Row],[SKU Cost]]=0),0,BOM_table6[[#This Row],[SKU Cost]]/BOM_table6[[#This Row],[SKU QTY]])</f>
        <v>0</v>
      </c>
      <c r="P55" s="110">
        <f>IF(OR(ISBLANK(BOM_table6[[#This Row],[ASM QTY]]),ISBLANK(BOM_table6[[#This Row],[Unit Cost]])),0,BOM_table6[[#This Row],[ASM QTY]]*BOM_table6[[#This Row],[Unit Cost]])</f>
        <v>0</v>
      </c>
      <c r="Q55" s="65"/>
      <c r="R55" s="80"/>
      <c r="S55" s="111">
        <f>BOM_table6[[#This Row],[ASM QTY]]*$Q$2+BOM_table6[[#This Row],[Spare QTY Needed]]-BOM_table6[[#This Row],[QTY in Inventory]]</f>
        <v>2</v>
      </c>
      <c r="T55" s="111">
        <f>ROUNDUP((BOM_table6[[#This Row],[QTY to Order]]/BOM_table6[[#This Row],[SKU QTY]]),0)</f>
        <v>2</v>
      </c>
      <c r="U55" s="110">
        <f>BOM_table6[[#This Row],[SKU QTY to Order]]*BOM_table6[[#This Row],[SKU Cost]]</f>
        <v>0</v>
      </c>
      <c r="V55" s="67"/>
      <c r="W55" s="45"/>
      <c r="X55" s="45"/>
      <c r="Y55" s="54"/>
      <c r="Z55" s="71"/>
      <c r="AA55" s="71"/>
      <c r="AB55" s="65"/>
      <c r="AC55" s="65"/>
    </row>
    <row r="56" spans="1:29" ht="15" customHeight="1" x14ac:dyDescent="0.2">
      <c r="A56" s="105" t="s">
        <v>160</v>
      </c>
      <c r="B56" s="64" t="s">
        <v>1011</v>
      </c>
      <c r="C56" s="45" t="s">
        <v>1499</v>
      </c>
      <c r="D56" s="65"/>
      <c r="E56" s="65"/>
      <c r="F56" s="45" t="s">
        <v>997</v>
      </c>
      <c r="G56" s="65">
        <v>12</v>
      </c>
      <c r="H56" s="186" t="s">
        <v>2177</v>
      </c>
      <c r="I56" s="66"/>
      <c r="J56" s="65" t="s">
        <v>166</v>
      </c>
      <c r="K56" s="45" t="s">
        <v>216</v>
      </c>
      <c r="L56" s="45"/>
      <c r="M56" s="106">
        <v>1</v>
      </c>
      <c r="N56" s="67"/>
      <c r="O56" s="110">
        <f>IF(OR(ISBLANK(BOM_table6[[#This Row],[SKU QTY]]),BOM_table6[[#This Row],[SKU Cost]]=0),0,BOM_table6[[#This Row],[SKU Cost]]/BOM_table6[[#This Row],[SKU QTY]])</f>
        <v>0</v>
      </c>
      <c r="P56" s="110">
        <f>IF(OR(ISBLANK(BOM_table6[[#This Row],[ASM QTY]]),ISBLANK(BOM_table6[[#This Row],[Unit Cost]])),0,BOM_table6[[#This Row],[ASM QTY]]*BOM_table6[[#This Row],[Unit Cost]])</f>
        <v>0</v>
      </c>
      <c r="Q56" s="65"/>
      <c r="R56" s="80"/>
      <c r="S56" s="111">
        <f>BOM_table6[[#This Row],[ASM QTY]]*$Q$2+BOM_table6[[#This Row],[Spare QTY Needed]]-BOM_table6[[#This Row],[QTY in Inventory]]</f>
        <v>12</v>
      </c>
      <c r="T56" s="111">
        <f>ROUNDUP((BOM_table6[[#This Row],[QTY to Order]]/BOM_table6[[#This Row],[SKU QTY]]),0)</f>
        <v>12</v>
      </c>
      <c r="U56" s="110">
        <f>BOM_table6[[#This Row],[SKU QTY to Order]]*BOM_table6[[#This Row],[SKU Cost]]</f>
        <v>0</v>
      </c>
      <c r="V56" s="67"/>
      <c r="W56" s="45"/>
      <c r="X56" s="45"/>
      <c r="Y56" s="71"/>
      <c r="Z56" s="71"/>
      <c r="AA56" s="65"/>
      <c r="AB56" s="65"/>
      <c r="AC56" s="65"/>
    </row>
    <row r="57" spans="1:29" ht="15" customHeight="1" x14ac:dyDescent="0.2">
      <c r="A57" s="105" t="s">
        <v>161</v>
      </c>
      <c r="B57" s="64" t="s">
        <v>992</v>
      </c>
      <c r="C57" s="65" t="s">
        <v>990</v>
      </c>
      <c r="D57" s="65"/>
      <c r="E57" s="65"/>
      <c r="F57" s="65" t="s">
        <v>980</v>
      </c>
      <c r="G57" s="65">
        <v>12</v>
      </c>
      <c r="H57" s="186" t="s">
        <v>2177</v>
      </c>
      <c r="I57" s="43" t="s">
        <v>2323</v>
      </c>
      <c r="J57" s="65" t="s">
        <v>166</v>
      </c>
      <c r="K57" s="45" t="s">
        <v>216</v>
      </c>
      <c r="L57" s="45"/>
      <c r="M57" s="106">
        <v>1</v>
      </c>
      <c r="N57" s="67">
        <f>6.61/50</f>
        <v>0.13220000000000001</v>
      </c>
      <c r="O57" s="110">
        <f>IF(OR(ISBLANK(BOM_table6[[#This Row],[SKU QTY]]),BOM_table6[[#This Row],[SKU Cost]]=0),0,BOM_table6[[#This Row],[SKU Cost]]/BOM_table6[[#This Row],[SKU QTY]])</f>
        <v>0.13220000000000001</v>
      </c>
      <c r="P57" s="110">
        <f>IF(OR(ISBLANK(BOM_table6[[#This Row],[ASM QTY]]),ISBLANK(BOM_table6[[#This Row],[Unit Cost]])),0,BOM_table6[[#This Row],[ASM QTY]]*BOM_table6[[#This Row],[Unit Cost]])</f>
        <v>1.5864000000000003</v>
      </c>
      <c r="Q57" s="65">
        <f>50-12</f>
        <v>38</v>
      </c>
      <c r="R57" s="80"/>
      <c r="S57" s="111">
        <f>BOM_table6[[#This Row],[ASM QTY]]*$Q$2+BOM_table6[[#This Row],[Spare QTY Needed]]-BOM_table6[[#This Row],[QTY in Inventory]]</f>
        <v>50</v>
      </c>
      <c r="T57" s="111">
        <f>ROUNDUP((BOM_table6[[#This Row],[QTY to Order]]/BOM_table6[[#This Row],[SKU QTY]]),0)</f>
        <v>50</v>
      </c>
      <c r="U57" s="110">
        <f>BOM_table6[[#This Row],[SKU QTY to Order]]*BOM_table6[[#This Row],[SKU Cost]]</f>
        <v>6.61</v>
      </c>
      <c r="V57" s="67"/>
      <c r="W57" s="45" t="s">
        <v>2191</v>
      </c>
      <c r="X57" s="45" t="s">
        <v>2192</v>
      </c>
      <c r="Y57" s="71">
        <v>44923</v>
      </c>
      <c r="Z57" s="71"/>
      <c r="AA57" s="217">
        <v>44924</v>
      </c>
      <c r="AB57" s="65"/>
      <c r="AC57" s="65"/>
    </row>
    <row r="58" spans="1:29" ht="15" customHeight="1" x14ac:dyDescent="0.2">
      <c r="A58" s="105" t="s">
        <v>161</v>
      </c>
      <c r="B58" s="44" t="s">
        <v>994</v>
      </c>
      <c r="C58" s="65" t="s">
        <v>993</v>
      </c>
      <c r="D58" s="65"/>
      <c r="E58" s="65"/>
      <c r="F58" s="45" t="s">
        <v>980</v>
      </c>
      <c r="G58" s="65">
        <v>24</v>
      </c>
      <c r="H58" s="186" t="s">
        <v>2177</v>
      </c>
      <c r="I58" s="43" t="s">
        <v>2323</v>
      </c>
      <c r="J58" s="65" t="s">
        <v>166</v>
      </c>
      <c r="K58" s="45" t="s">
        <v>216</v>
      </c>
      <c r="L58" s="45"/>
      <c r="M58" s="106">
        <v>1</v>
      </c>
      <c r="N58" s="67">
        <v>0.24</v>
      </c>
      <c r="O58" s="110">
        <f>IF(OR(ISBLANK(BOM_table6[[#This Row],[SKU QTY]]),BOM_table6[[#This Row],[SKU Cost]]=0),0,BOM_table6[[#This Row],[SKU Cost]]/BOM_table6[[#This Row],[SKU QTY]])</f>
        <v>0.24</v>
      </c>
      <c r="P58" s="110">
        <f>IF(OR(ISBLANK(BOM_table6[[#This Row],[ASM QTY]]),ISBLANK(BOM_table6[[#This Row],[Unit Cost]])),0,BOM_table6[[#This Row],[ASM QTY]]*BOM_table6[[#This Row],[Unit Cost]])</f>
        <v>5.76</v>
      </c>
      <c r="Q58" s="65">
        <f>50-36</f>
        <v>14</v>
      </c>
      <c r="R58" s="80"/>
      <c r="S58" s="111">
        <f>BOM_table6[[#This Row],[ASM QTY]]*$Q$2+BOM_table6[[#This Row],[Spare QTY Needed]]-BOM_table6[[#This Row],[QTY in Inventory]]</f>
        <v>38</v>
      </c>
      <c r="T58" s="111">
        <f>ROUNDUP((BOM_table6[[#This Row],[QTY to Order]]/BOM_table6[[#This Row],[SKU QTY]]),0)</f>
        <v>38</v>
      </c>
      <c r="U58" s="110">
        <f>BOM_table6[[#This Row],[SKU QTY to Order]]*BOM_table6[[#This Row],[SKU Cost]]</f>
        <v>9.1199999999999992</v>
      </c>
      <c r="V58" s="67"/>
      <c r="W58" s="45" t="s">
        <v>2191</v>
      </c>
      <c r="X58" s="45" t="s">
        <v>2192</v>
      </c>
      <c r="Y58" s="71">
        <v>44923</v>
      </c>
      <c r="Z58" s="71"/>
      <c r="AA58" s="217">
        <v>44924</v>
      </c>
      <c r="AB58" s="65"/>
      <c r="AC58" s="65"/>
    </row>
    <row r="59" spans="1:29" ht="15" customHeight="1" x14ac:dyDescent="0.2">
      <c r="A59" s="105" t="s">
        <v>160</v>
      </c>
      <c r="B59" s="64" t="s">
        <v>979</v>
      </c>
      <c r="C59" s="65" t="s">
        <v>965</v>
      </c>
      <c r="D59" s="65" t="s">
        <v>152</v>
      </c>
      <c r="E59" s="45" t="s">
        <v>1049</v>
      </c>
      <c r="F59" s="65" t="s">
        <v>980</v>
      </c>
      <c r="G59" s="65">
        <v>2</v>
      </c>
      <c r="H59" s="186" t="s">
        <v>2177</v>
      </c>
      <c r="J59" s="65" t="s">
        <v>1320</v>
      </c>
      <c r="K59" s="65"/>
      <c r="L59" s="65"/>
      <c r="M59" s="106">
        <v>1</v>
      </c>
      <c r="N59" s="67"/>
      <c r="O59" s="110">
        <f>IF(OR(ISBLANK(BOM_table6[[#This Row],[SKU QTY]]),BOM_table6[[#This Row],[SKU Cost]]=0),0,BOM_table6[[#This Row],[SKU Cost]]/BOM_table6[[#This Row],[SKU QTY]])</f>
        <v>0</v>
      </c>
      <c r="P59" s="110">
        <f>IF(OR(ISBLANK(BOM_table6[[#This Row],[ASM QTY]]),ISBLANK(BOM_table6[[#This Row],[Unit Cost]])),0,BOM_table6[[#This Row],[ASM QTY]]*BOM_table6[[#This Row],[Unit Cost]])</f>
        <v>0</v>
      </c>
      <c r="Q59" s="65"/>
      <c r="R59" s="80"/>
      <c r="S59" s="111">
        <f>BOM_table6[[#This Row],[ASM QTY]]*$Q$2+BOM_table6[[#This Row],[Spare QTY Needed]]-BOM_table6[[#This Row],[QTY in Inventory]]</f>
        <v>2</v>
      </c>
      <c r="T59" s="111">
        <f>ROUNDUP((BOM_table6[[#This Row],[QTY to Order]]/BOM_table6[[#This Row],[SKU QTY]]),0)</f>
        <v>2</v>
      </c>
      <c r="U59" s="110">
        <f>BOM_table6[[#This Row],[SKU QTY to Order]]*BOM_table6[[#This Row],[SKU Cost]]</f>
        <v>0</v>
      </c>
      <c r="V59" s="67"/>
      <c r="W59" s="65"/>
      <c r="X59" s="65"/>
      <c r="Y59" s="69"/>
      <c r="Z59" s="71"/>
      <c r="AA59" s="65"/>
      <c r="AB59" s="65"/>
      <c r="AC59" s="65"/>
    </row>
    <row r="60" spans="1:29" ht="15" customHeight="1" x14ac:dyDescent="0.2">
      <c r="A60" s="105" t="s">
        <v>160</v>
      </c>
      <c r="B60" s="64" t="s">
        <v>988</v>
      </c>
      <c r="C60" s="65" t="s">
        <v>991</v>
      </c>
      <c r="D60" s="65" t="s">
        <v>239</v>
      </c>
      <c r="E60" s="45" t="s">
        <v>1049</v>
      </c>
      <c r="F60" s="65" t="s">
        <v>980</v>
      </c>
      <c r="G60" s="65">
        <v>2</v>
      </c>
      <c r="H60" s="186" t="s">
        <v>2177</v>
      </c>
      <c r="J60" s="65" t="s">
        <v>867</v>
      </c>
      <c r="K60" s="45" t="s">
        <v>1712</v>
      </c>
      <c r="L60" s="45"/>
      <c r="M60" s="106">
        <v>1</v>
      </c>
      <c r="N60" s="67"/>
      <c r="O60" s="110">
        <f>IF(OR(ISBLANK(BOM_table6[[#This Row],[SKU QTY]]),BOM_table6[[#This Row],[SKU Cost]]=0),0,BOM_table6[[#This Row],[SKU Cost]]/BOM_table6[[#This Row],[SKU QTY]])</f>
        <v>0</v>
      </c>
      <c r="P60" s="110">
        <f>IF(OR(ISBLANK(BOM_table6[[#This Row],[ASM QTY]]),ISBLANK(BOM_table6[[#This Row],[Unit Cost]])),0,BOM_table6[[#This Row],[ASM QTY]]*BOM_table6[[#This Row],[Unit Cost]])</f>
        <v>0</v>
      </c>
      <c r="Q60" s="65"/>
      <c r="R60" s="80"/>
      <c r="S60" s="111">
        <f>BOM_table6[[#This Row],[ASM QTY]]*$Q$2+BOM_table6[[#This Row],[Spare QTY Needed]]-BOM_table6[[#This Row],[QTY in Inventory]]</f>
        <v>2</v>
      </c>
      <c r="T60" s="111">
        <f>ROUNDUP((BOM_table6[[#This Row],[QTY to Order]]/BOM_table6[[#This Row],[SKU QTY]]),0)</f>
        <v>2</v>
      </c>
      <c r="U60" s="110">
        <f>BOM_table6[[#This Row],[SKU QTY to Order]]*BOM_table6[[#This Row],[SKU Cost]]</f>
        <v>0</v>
      </c>
      <c r="V60" s="67"/>
      <c r="W60" s="45"/>
      <c r="X60" s="45"/>
      <c r="Y60" s="54"/>
      <c r="Z60" s="71"/>
      <c r="AA60" s="71"/>
      <c r="AB60" s="65"/>
      <c r="AC60" s="65"/>
    </row>
    <row r="61" spans="1:29" ht="15" customHeight="1" x14ac:dyDescent="0.2">
      <c r="A61" s="105" t="s">
        <v>161</v>
      </c>
      <c r="B61" s="44" t="s">
        <v>2010</v>
      </c>
      <c r="C61" s="45" t="s">
        <v>1637</v>
      </c>
      <c r="D61" s="45"/>
      <c r="E61" s="45" t="s">
        <v>770</v>
      </c>
      <c r="F61" s="45" t="s">
        <v>2026</v>
      </c>
      <c r="G61" s="45">
        <v>1</v>
      </c>
      <c r="H61" s="186" t="s">
        <v>2177</v>
      </c>
      <c r="I61" s="43" t="s">
        <v>2281</v>
      </c>
      <c r="J61" s="45" t="s">
        <v>166</v>
      </c>
      <c r="K61" s="45" t="s">
        <v>770</v>
      </c>
      <c r="L61" s="45"/>
      <c r="M61" s="106">
        <v>1</v>
      </c>
      <c r="N61" s="50"/>
      <c r="O61" s="110">
        <f>IF(OR(ISBLANK(BOM_table6[[#This Row],[SKU QTY]]),BOM_table6[[#This Row],[SKU Cost]]=0),0,BOM_table6[[#This Row],[SKU Cost]]/BOM_table6[[#This Row],[SKU QTY]])</f>
        <v>0</v>
      </c>
      <c r="P61" s="110">
        <f>IF(OR(ISBLANK(BOM_table6[[#This Row],[ASM QTY]]),ISBLANK(BOM_table6[[#This Row],[Unit Cost]])),0,BOM_table6[[#This Row],[ASM QTY]]*BOM_table6[[#This Row],[Unit Cost]])</f>
        <v>0</v>
      </c>
      <c r="Q61" s="45"/>
      <c r="R61" s="81">
        <v>1</v>
      </c>
      <c r="S61" s="111">
        <f>BOM_table6[[#This Row],[ASM QTY]]*$Q$2+BOM_table6[[#This Row],[Spare QTY Needed]]-BOM_table6[[#This Row],[QTY in Inventory]]</f>
        <v>0</v>
      </c>
      <c r="T61" s="111">
        <f>ROUNDUP((BOM_table6[[#This Row],[QTY to Order]]/BOM_table6[[#This Row],[SKU QTY]]),0)</f>
        <v>0</v>
      </c>
      <c r="U61" s="110">
        <f>BOM_table6[[#This Row],[SKU QTY to Order]]*BOM_table6[[#This Row],[SKU Cost]]</f>
        <v>0</v>
      </c>
      <c r="V61" s="62"/>
      <c r="W61" s="45"/>
      <c r="X61" s="45"/>
      <c r="Y61" s="54"/>
      <c r="Z61" s="54"/>
      <c r="AA61" s="54"/>
      <c r="AB61" s="45"/>
      <c r="AC61" s="45"/>
    </row>
    <row r="62" spans="1:29" ht="15" customHeight="1" x14ac:dyDescent="0.2">
      <c r="A62" s="105" t="s">
        <v>159</v>
      </c>
      <c r="B62" s="44" t="s">
        <v>1374</v>
      </c>
      <c r="C62" s="45" t="s">
        <v>1165</v>
      </c>
      <c r="D62" s="45"/>
      <c r="E62" s="45" t="s">
        <v>199</v>
      </c>
      <c r="F62" s="45" t="s">
        <v>2002</v>
      </c>
      <c r="G62" s="45">
        <v>5</v>
      </c>
      <c r="H62" s="186" t="s">
        <v>2177</v>
      </c>
      <c r="J62" s="45" t="s">
        <v>166</v>
      </c>
      <c r="K62" s="45" t="s">
        <v>200</v>
      </c>
      <c r="L62" s="45"/>
      <c r="M62" s="106">
        <v>1</v>
      </c>
      <c r="N62" s="50">
        <v>6.64</v>
      </c>
      <c r="O62" s="110">
        <f>IF(OR(ISBLANK(BOM_table6[[#This Row],[SKU QTY]]),BOM_table6[[#This Row],[SKU Cost]]=0),0,BOM_table6[[#This Row],[SKU Cost]]/BOM_table6[[#This Row],[SKU QTY]])</f>
        <v>6.64</v>
      </c>
      <c r="P62" s="110">
        <f>IF(OR(ISBLANK(BOM_table6[[#This Row],[ASM QTY]]),ISBLANK(BOM_table6[[#This Row],[Unit Cost]])),0,BOM_table6[[#This Row],[ASM QTY]]*BOM_table6[[#This Row],[Unit Cost]])</f>
        <v>33.199999999999996</v>
      </c>
      <c r="Q62" s="45"/>
      <c r="R62" s="81">
        <v>3</v>
      </c>
      <c r="S62" s="111">
        <f>BOM_table6[[#This Row],[ASM QTY]]*$Q$2+BOM_table6[[#This Row],[Spare QTY Needed]]-BOM_table6[[#This Row],[QTY in Inventory]]</f>
        <v>2</v>
      </c>
      <c r="T62" s="111">
        <f>ROUNDUP((BOM_table6[[#This Row],[QTY to Order]]/BOM_table6[[#This Row],[SKU QTY]]),0)</f>
        <v>2</v>
      </c>
      <c r="U62" s="110">
        <f>BOM_table6[[#This Row],[SKU QTY to Order]]*BOM_table6[[#This Row],[SKU Cost]]</f>
        <v>13.28</v>
      </c>
      <c r="V62" s="50" t="s">
        <v>2190</v>
      </c>
      <c r="W62" s="45" t="s">
        <v>2191</v>
      </c>
      <c r="X62" s="45" t="s">
        <v>2345</v>
      </c>
      <c r="Y62" s="54">
        <v>44936</v>
      </c>
      <c r="Z62" s="54"/>
      <c r="AA62" s="54"/>
      <c r="AB62" s="45"/>
      <c r="AC62" s="45"/>
    </row>
    <row r="63" spans="1:29" ht="15" customHeight="1" x14ac:dyDescent="0.2">
      <c r="A63" s="105" t="s">
        <v>159</v>
      </c>
      <c r="B63" s="73" t="s">
        <v>1371</v>
      </c>
      <c r="C63" s="74" t="s">
        <v>1163</v>
      </c>
      <c r="D63" s="74"/>
      <c r="E63" s="45" t="s">
        <v>199</v>
      </c>
      <c r="F63" s="45" t="s">
        <v>2002</v>
      </c>
      <c r="G63" s="74">
        <v>5</v>
      </c>
      <c r="H63" s="186" t="s">
        <v>2177</v>
      </c>
      <c r="J63" s="45" t="s">
        <v>171</v>
      </c>
      <c r="K63" s="45" t="s">
        <v>200</v>
      </c>
      <c r="L63" s="45"/>
      <c r="M63" s="106">
        <v>1</v>
      </c>
      <c r="N63" s="76">
        <v>6.64</v>
      </c>
      <c r="O63" s="110">
        <f>IF(OR(ISBLANK(BOM_table6[[#This Row],[SKU QTY]]),BOM_table6[[#This Row],[SKU Cost]]=0),0,BOM_table6[[#This Row],[SKU Cost]]/BOM_table6[[#This Row],[SKU QTY]])</f>
        <v>6.64</v>
      </c>
      <c r="P63" s="110">
        <f>IF(OR(ISBLANK(BOM_table6[[#This Row],[ASM QTY]]),ISBLANK(BOM_table6[[#This Row],[Unit Cost]])),0,BOM_table6[[#This Row],[ASM QTY]]*BOM_table6[[#This Row],[Unit Cost]])</f>
        <v>33.199999999999996</v>
      </c>
      <c r="Q63" s="74"/>
      <c r="R63" s="82">
        <v>3</v>
      </c>
      <c r="S63" s="111">
        <f>BOM_table6[[#This Row],[ASM QTY]]*$Q$2+BOM_table6[[#This Row],[Spare QTY Needed]]-BOM_table6[[#This Row],[QTY in Inventory]]</f>
        <v>2</v>
      </c>
      <c r="T63" s="111">
        <f>ROUNDUP((BOM_table6[[#This Row],[QTY to Order]]/BOM_table6[[#This Row],[SKU QTY]]),0)</f>
        <v>2</v>
      </c>
      <c r="U63" s="110">
        <f>BOM_table6[[#This Row],[SKU QTY to Order]]*BOM_table6[[#This Row],[SKU Cost]]</f>
        <v>13.28</v>
      </c>
      <c r="V63" s="50" t="s">
        <v>2190</v>
      </c>
      <c r="W63" s="45" t="s">
        <v>2191</v>
      </c>
      <c r="X63" s="45" t="s">
        <v>2345</v>
      </c>
      <c r="Y63" s="84">
        <v>44936</v>
      </c>
      <c r="Z63" s="84"/>
      <c r="AA63" s="84"/>
      <c r="AB63" s="45"/>
      <c r="AC63" s="45"/>
    </row>
    <row r="64" spans="1:29" ht="15" customHeight="1" x14ac:dyDescent="0.2">
      <c r="A64" s="105" t="s">
        <v>1318</v>
      </c>
      <c r="B64" s="44" t="s">
        <v>1375</v>
      </c>
      <c r="C64" s="45" t="s">
        <v>1366</v>
      </c>
      <c r="D64" s="45"/>
      <c r="E64" s="45" t="s">
        <v>199</v>
      </c>
      <c r="F64" s="45" t="s">
        <v>2002</v>
      </c>
      <c r="G64" s="45">
        <v>6</v>
      </c>
      <c r="H64" s="186" t="s">
        <v>2177</v>
      </c>
      <c r="J64" s="45" t="s">
        <v>166</v>
      </c>
      <c r="K64" s="45" t="s">
        <v>200</v>
      </c>
      <c r="L64" s="45"/>
      <c r="M64" s="106">
        <v>1</v>
      </c>
      <c r="N64" s="50">
        <v>222.11</v>
      </c>
      <c r="O64" s="110">
        <f>IF(OR(ISBLANK(BOM_table6[[#This Row],[SKU QTY]]),BOM_table6[[#This Row],[SKU Cost]]=0),0,BOM_table6[[#This Row],[SKU Cost]]/BOM_table6[[#This Row],[SKU QTY]])</f>
        <v>222.11</v>
      </c>
      <c r="P64" s="110">
        <f>IF(OR(ISBLANK(BOM_table6[[#This Row],[ASM QTY]]),ISBLANK(BOM_table6[[#This Row],[Unit Cost]])),0,BOM_table6[[#This Row],[ASM QTY]]*BOM_table6[[#This Row],[Unit Cost]])</f>
        <v>1332.66</v>
      </c>
      <c r="Q64" s="45"/>
      <c r="R64" s="81">
        <v>8</v>
      </c>
      <c r="S64" s="111">
        <f>BOM_table6[[#This Row],[ASM QTY]]*$Q$2+BOM_table6[[#This Row],[Spare QTY Needed]]-BOM_table6[[#This Row],[QTY in Inventory]]</f>
        <v>-2</v>
      </c>
      <c r="T64" s="111">
        <f>ROUNDUP((BOM_table6[[#This Row],[QTY to Order]]/BOM_table6[[#This Row],[SKU QTY]]),0)</f>
        <v>-2</v>
      </c>
      <c r="U64" s="110">
        <f>BOM_table6[[#This Row],[SKU QTY to Order]]*BOM_table6[[#This Row],[SKU Cost]]</f>
        <v>-444.22</v>
      </c>
      <c r="V64" s="50" t="s">
        <v>2207</v>
      </c>
      <c r="W64" s="45"/>
      <c r="X64" s="45"/>
      <c r="Y64" s="54"/>
      <c r="Z64" s="54"/>
      <c r="AA64" s="54"/>
      <c r="AB64" s="45"/>
      <c r="AC64" s="45"/>
    </row>
    <row r="65" spans="1:29" ht="15" customHeight="1" x14ac:dyDescent="0.2">
      <c r="A65" s="105" t="s">
        <v>159</v>
      </c>
      <c r="B65" s="73" t="s">
        <v>1372</v>
      </c>
      <c r="C65" s="74" t="s">
        <v>1373</v>
      </c>
      <c r="D65" s="74"/>
      <c r="E65" s="45" t="s">
        <v>199</v>
      </c>
      <c r="F65" s="45" t="s">
        <v>2002</v>
      </c>
      <c r="G65" s="74">
        <v>5</v>
      </c>
      <c r="H65" s="186" t="s">
        <v>2177</v>
      </c>
      <c r="J65" s="45" t="s">
        <v>171</v>
      </c>
      <c r="K65" s="45" t="s">
        <v>200</v>
      </c>
      <c r="L65" s="45"/>
      <c r="M65" s="106">
        <v>1</v>
      </c>
      <c r="N65" s="76">
        <v>37.68</v>
      </c>
      <c r="O65" s="110">
        <f>IF(OR(ISBLANK(BOM_table6[[#This Row],[SKU QTY]]),BOM_table6[[#This Row],[SKU Cost]]=0),0,BOM_table6[[#This Row],[SKU Cost]]/BOM_table6[[#This Row],[SKU QTY]])</f>
        <v>37.68</v>
      </c>
      <c r="P65" s="110">
        <f>IF(OR(ISBLANK(BOM_table6[[#This Row],[ASM QTY]]),ISBLANK(BOM_table6[[#This Row],[Unit Cost]])),0,BOM_table6[[#This Row],[ASM QTY]]*BOM_table6[[#This Row],[Unit Cost]])</f>
        <v>188.4</v>
      </c>
      <c r="Q65" s="74"/>
      <c r="R65" s="82">
        <v>1</v>
      </c>
      <c r="S65" s="111">
        <f>BOM_table6[[#This Row],[ASM QTY]]*$Q$2+BOM_table6[[#This Row],[Spare QTY Needed]]-BOM_table6[[#This Row],[QTY in Inventory]]</f>
        <v>4</v>
      </c>
      <c r="T65" s="111">
        <f>ROUNDUP((BOM_table6[[#This Row],[QTY to Order]]/BOM_table6[[#This Row],[SKU QTY]]),0)</f>
        <v>4</v>
      </c>
      <c r="U65" s="110">
        <f>BOM_table6[[#This Row],[SKU QTY to Order]]*BOM_table6[[#This Row],[SKU Cost]]</f>
        <v>150.72</v>
      </c>
      <c r="V65" s="50" t="s">
        <v>2190</v>
      </c>
      <c r="W65" s="45" t="s">
        <v>2191</v>
      </c>
      <c r="X65" s="45" t="s">
        <v>2345</v>
      </c>
      <c r="Y65" s="84">
        <v>44936</v>
      </c>
      <c r="Z65" s="84"/>
      <c r="AA65" s="84"/>
      <c r="AB65" s="45"/>
      <c r="AC65" s="45"/>
    </row>
    <row r="66" spans="1:29" ht="15" customHeight="1" x14ac:dyDescent="0.2">
      <c r="A66" s="105" t="s">
        <v>1318</v>
      </c>
      <c r="B66" s="44" t="s">
        <v>1376</v>
      </c>
      <c r="C66" s="45" t="s">
        <v>1378</v>
      </c>
      <c r="D66" s="45"/>
      <c r="E66" s="45" t="s">
        <v>199</v>
      </c>
      <c r="F66" s="45" t="s">
        <v>2002</v>
      </c>
      <c r="G66" s="45">
        <v>6</v>
      </c>
      <c r="H66" s="186" t="s">
        <v>2177</v>
      </c>
      <c r="J66" s="45" t="s">
        <v>166</v>
      </c>
      <c r="K66" s="45" t="s">
        <v>200</v>
      </c>
      <c r="L66" s="45"/>
      <c r="M66" s="106">
        <v>1</v>
      </c>
      <c r="N66" s="50">
        <v>46.16</v>
      </c>
      <c r="O66" s="110">
        <f>IF(OR(ISBLANK(BOM_table6[[#This Row],[SKU QTY]]),BOM_table6[[#This Row],[SKU Cost]]=0),0,BOM_table6[[#This Row],[SKU Cost]]/BOM_table6[[#This Row],[SKU QTY]])</f>
        <v>46.16</v>
      </c>
      <c r="P66" s="110">
        <f>IF(OR(ISBLANK(BOM_table6[[#This Row],[ASM QTY]]),ISBLANK(BOM_table6[[#This Row],[Unit Cost]])),0,BOM_table6[[#This Row],[ASM QTY]]*BOM_table6[[#This Row],[Unit Cost]])</f>
        <v>276.95999999999998</v>
      </c>
      <c r="Q66" s="45"/>
      <c r="R66" s="81">
        <v>5</v>
      </c>
      <c r="S66" s="111">
        <f>BOM_table6[[#This Row],[ASM QTY]]*$Q$2+BOM_table6[[#This Row],[Spare QTY Needed]]-BOM_table6[[#This Row],[QTY in Inventory]]</f>
        <v>1</v>
      </c>
      <c r="T66" s="111">
        <f>ROUNDUP((BOM_table6[[#This Row],[QTY to Order]]/BOM_table6[[#This Row],[SKU QTY]]),0)</f>
        <v>1</v>
      </c>
      <c r="U66" s="110">
        <f>BOM_table6[[#This Row],[SKU QTY to Order]]*BOM_table6[[#This Row],[SKU Cost]]</f>
        <v>46.16</v>
      </c>
      <c r="V66" s="50" t="s">
        <v>2190</v>
      </c>
      <c r="W66" s="45"/>
      <c r="X66" s="45"/>
      <c r="Y66" s="54"/>
      <c r="Z66" s="54"/>
      <c r="AA66" s="54"/>
      <c r="AB66" s="45"/>
      <c r="AC66" s="45"/>
    </row>
    <row r="67" spans="1:29" ht="15" customHeight="1" x14ac:dyDescent="0.2">
      <c r="A67" s="105" t="s">
        <v>1318</v>
      </c>
      <c r="B67" s="44" t="s">
        <v>1377</v>
      </c>
      <c r="C67" s="45" t="s">
        <v>1379</v>
      </c>
      <c r="D67" s="45"/>
      <c r="E67" s="45" t="s">
        <v>199</v>
      </c>
      <c r="F67" s="45" t="s">
        <v>2002</v>
      </c>
      <c r="G67" s="45">
        <v>6</v>
      </c>
      <c r="H67" s="186" t="s">
        <v>2177</v>
      </c>
      <c r="J67" s="45" t="s">
        <v>166</v>
      </c>
      <c r="K67" s="45" t="s">
        <v>200</v>
      </c>
      <c r="L67" s="45"/>
      <c r="M67" s="106">
        <v>1</v>
      </c>
      <c r="N67" s="50">
        <v>11.36</v>
      </c>
      <c r="O67" s="110">
        <f>IF(OR(ISBLANK(BOM_table6[[#This Row],[SKU QTY]]),BOM_table6[[#This Row],[SKU Cost]]=0),0,BOM_table6[[#This Row],[SKU Cost]]/BOM_table6[[#This Row],[SKU QTY]])</f>
        <v>11.36</v>
      </c>
      <c r="P67" s="110">
        <f>IF(OR(ISBLANK(BOM_table6[[#This Row],[ASM QTY]]),ISBLANK(BOM_table6[[#This Row],[Unit Cost]])),0,BOM_table6[[#This Row],[ASM QTY]]*BOM_table6[[#This Row],[Unit Cost]])</f>
        <v>68.16</v>
      </c>
      <c r="Q67" s="45"/>
      <c r="R67" s="81">
        <v>6</v>
      </c>
      <c r="S67" s="111">
        <f>BOM_table6[[#This Row],[ASM QTY]]*$Q$2+BOM_table6[[#This Row],[Spare QTY Needed]]-BOM_table6[[#This Row],[QTY in Inventory]]</f>
        <v>0</v>
      </c>
      <c r="T67" s="111">
        <f>ROUNDUP((BOM_table6[[#This Row],[QTY to Order]]/BOM_table6[[#This Row],[SKU QTY]]),0)</f>
        <v>0</v>
      </c>
      <c r="U67" s="110">
        <f>BOM_table6[[#This Row],[SKU QTY to Order]]*BOM_table6[[#This Row],[SKU Cost]]</f>
        <v>0</v>
      </c>
      <c r="V67" s="50" t="s">
        <v>2190</v>
      </c>
      <c r="W67" s="45"/>
      <c r="X67" s="45"/>
      <c r="Y67" s="54"/>
      <c r="Z67" s="54"/>
      <c r="AA67" s="54"/>
      <c r="AB67" s="45"/>
      <c r="AC67" s="45"/>
    </row>
    <row r="68" spans="1:29" ht="15" customHeight="1" x14ac:dyDescent="0.2">
      <c r="A68" s="105" t="s">
        <v>1318</v>
      </c>
      <c r="B68" s="44" t="s">
        <v>1368</v>
      </c>
      <c r="C68" s="45" t="s">
        <v>1638</v>
      </c>
      <c r="D68" s="45"/>
      <c r="E68" s="45" t="s">
        <v>770</v>
      </c>
      <c r="F68" s="45" t="s">
        <v>2002</v>
      </c>
      <c r="G68" s="45">
        <v>1</v>
      </c>
      <c r="H68" s="186" t="s">
        <v>2177</v>
      </c>
      <c r="I68" s="43" t="s">
        <v>2209</v>
      </c>
      <c r="J68" s="45" t="s">
        <v>166</v>
      </c>
      <c r="K68" s="45" t="s">
        <v>770</v>
      </c>
      <c r="L68" s="45"/>
      <c r="M68" s="106">
        <v>1</v>
      </c>
      <c r="N68" s="50"/>
      <c r="O68" s="110">
        <f>IF(OR(ISBLANK(BOM_table6[[#This Row],[SKU QTY]]),BOM_table6[[#This Row],[SKU Cost]]=0),0,BOM_table6[[#This Row],[SKU Cost]]/BOM_table6[[#This Row],[SKU QTY]])</f>
        <v>0</v>
      </c>
      <c r="P68" s="110">
        <f>IF(OR(ISBLANK(BOM_table6[[#This Row],[ASM QTY]]),ISBLANK(BOM_table6[[#This Row],[Unit Cost]])),0,BOM_table6[[#This Row],[ASM QTY]]*BOM_table6[[#This Row],[Unit Cost]])</f>
        <v>0</v>
      </c>
      <c r="Q68" s="45"/>
      <c r="R68" s="81"/>
      <c r="S68" s="111">
        <f>BOM_table6[[#This Row],[ASM QTY]]*$Q$2+BOM_table6[[#This Row],[Spare QTY Needed]]-BOM_table6[[#This Row],[QTY in Inventory]]</f>
        <v>1</v>
      </c>
      <c r="T68" s="111">
        <f>ROUNDUP((BOM_table6[[#This Row],[QTY to Order]]/BOM_table6[[#This Row],[SKU QTY]]),0)</f>
        <v>1</v>
      </c>
      <c r="U68" s="110">
        <f>BOM_table6[[#This Row],[SKU QTY to Order]]*BOM_table6[[#This Row],[SKU Cost]]</f>
        <v>0</v>
      </c>
      <c r="V68" s="50"/>
      <c r="W68" s="45"/>
      <c r="X68" s="45"/>
      <c r="Y68" s="54"/>
      <c r="Z68" s="54"/>
      <c r="AA68" s="54"/>
      <c r="AB68" s="45"/>
      <c r="AC68" s="45"/>
    </row>
    <row r="69" spans="1:29" ht="15" customHeight="1" x14ac:dyDescent="0.2">
      <c r="A69" s="105" t="s">
        <v>159</v>
      </c>
      <c r="B69" s="44" t="s">
        <v>1370</v>
      </c>
      <c r="C69" s="45" t="s">
        <v>1369</v>
      </c>
      <c r="D69" s="45"/>
      <c r="E69" s="45" t="s">
        <v>199</v>
      </c>
      <c r="F69" s="45" t="s">
        <v>2002</v>
      </c>
      <c r="G69" s="45">
        <v>5</v>
      </c>
      <c r="H69" s="186" t="s">
        <v>2177</v>
      </c>
      <c r="J69" s="45" t="s">
        <v>166</v>
      </c>
      <c r="K69" s="45" t="s">
        <v>200</v>
      </c>
      <c r="L69" s="45"/>
      <c r="M69" s="106">
        <v>1</v>
      </c>
      <c r="N69" s="50">
        <v>326.89999999999998</v>
      </c>
      <c r="O69" s="110">
        <f>IF(OR(ISBLANK(BOM_table6[[#This Row],[SKU QTY]]),BOM_table6[[#This Row],[SKU Cost]]=0),0,BOM_table6[[#This Row],[SKU Cost]]/BOM_table6[[#This Row],[SKU QTY]])</f>
        <v>326.89999999999998</v>
      </c>
      <c r="P69" s="110">
        <f>IF(OR(ISBLANK(BOM_table6[[#This Row],[ASM QTY]]),ISBLANK(BOM_table6[[#This Row],[Unit Cost]])),0,BOM_table6[[#This Row],[ASM QTY]]*BOM_table6[[#This Row],[Unit Cost]])</f>
        <v>1634.5</v>
      </c>
      <c r="Q69" s="45"/>
      <c r="R69" s="81">
        <v>1</v>
      </c>
      <c r="S69" s="111">
        <f>BOM_table6[[#This Row],[ASM QTY]]*$Q$2+BOM_table6[[#This Row],[Spare QTY Needed]]-BOM_table6[[#This Row],[QTY in Inventory]]</f>
        <v>4</v>
      </c>
      <c r="T69" s="111">
        <f>ROUNDUP((BOM_table6[[#This Row],[QTY to Order]]/BOM_table6[[#This Row],[SKU QTY]]),0)</f>
        <v>4</v>
      </c>
      <c r="U69" s="110">
        <f>BOM_table6[[#This Row],[SKU QTY to Order]]*BOM_table6[[#This Row],[SKU Cost]]</f>
        <v>1307.5999999999999</v>
      </c>
      <c r="V69" s="50" t="s">
        <v>2207</v>
      </c>
      <c r="W69" s="45" t="s">
        <v>2191</v>
      </c>
      <c r="X69" s="45" t="s">
        <v>2345</v>
      </c>
      <c r="Y69" s="54">
        <v>44936</v>
      </c>
      <c r="Z69" s="54"/>
      <c r="AA69" s="54"/>
      <c r="AB69" s="45"/>
      <c r="AC69" s="45"/>
    </row>
    <row r="70" spans="1:29" s="228" customFormat="1" ht="15" customHeight="1" x14ac:dyDescent="0.2">
      <c r="A70" s="219" t="s">
        <v>1318</v>
      </c>
      <c r="B70" s="228" t="s">
        <v>2009</v>
      </c>
      <c r="C70" s="221" t="s">
        <v>1369</v>
      </c>
      <c r="D70" s="221"/>
      <c r="E70" s="221" t="s">
        <v>199</v>
      </c>
      <c r="F70" s="221" t="s">
        <v>2002</v>
      </c>
      <c r="G70" s="221">
        <v>1</v>
      </c>
      <c r="H70" s="222" t="s">
        <v>2177</v>
      </c>
      <c r="I70" s="223" t="s">
        <v>2336</v>
      </c>
      <c r="J70" s="221"/>
      <c r="K70" s="221" t="s">
        <v>200</v>
      </c>
      <c r="L70" s="221"/>
      <c r="M70" s="220">
        <v>1</v>
      </c>
      <c r="N70" s="233"/>
      <c r="O70" s="224">
        <f>IF(OR(ISBLANK(BOM_table6[[#This Row],[SKU QTY]]),BOM_table6[[#This Row],[SKU Cost]]=0),0,BOM_table6[[#This Row],[SKU Cost]]/BOM_table6[[#This Row],[SKU QTY]])</f>
        <v>0</v>
      </c>
      <c r="P70" s="224">
        <f>IF(OR(ISBLANK(BOM_table6[[#This Row],[ASM QTY]]),ISBLANK(BOM_table6[[#This Row],[Unit Cost]])),0,BOM_table6[[#This Row],[ASM QTY]]*BOM_table6[[#This Row],[Unit Cost]])</f>
        <v>0</v>
      </c>
      <c r="Q70" s="221"/>
      <c r="R70" s="236"/>
      <c r="S70" s="220">
        <f>BOM_table6[[#This Row],[ASM QTY]]*$Q$2+BOM_table6[[#This Row],[Spare QTY Needed]]-BOM_table6[[#This Row],[QTY in Inventory]]</f>
        <v>1</v>
      </c>
      <c r="T70" s="220">
        <f>ROUNDUP((BOM_table6[[#This Row],[QTY to Order]]/BOM_table6[[#This Row],[SKU QTY]]),0)</f>
        <v>1</v>
      </c>
      <c r="U70" s="224">
        <f>BOM_table6[[#This Row],[SKU QTY to Order]]*BOM_table6[[#This Row],[SKU Cost]]</f>
        <v>0</v>
      </c>
      <c r="V70" s="233"/>
      <c r="W70" s="221"/>
      <c r="X70" s="221"/>
      <c r="Y70" s="237"/>
      <c r="Z70" s="238"/>
      <c r="AA70" s="239"/>
      <c r="AB70" s="221"/>
      <c r="AC70" s="221"/>
    </row>
    <row r="71" spans="1:29" ht="15" customHeight="1" x14ac:dyDescent="0.2">
      <c r="A71" s="105" t="s">
        <v>1318</v>
      </c>
      <c r="B71" s="44" t="s">
        <v>2011</v>
      </c>
      <c r="C71" s="45" t="s">
        <v>740</v>
      </c>
      <c r="D71" s="45"/>
      <c r="E71" s="45" t="s">
        <v>741</v>
      </c>
      <c r="F71" s="45" t="s">
        <v>2002</v>
      </c>
      <c r="G71" s="45">
        <v>2</v>
      </c>
      <c r="H71" s="186" t="s">
        <v>2177</v>
      </c>
      <c r="J71" s="45" t="s">
        <v>166</v>
      </c>
      <c r="K71" s="45" t="s">
        <v>1394</v>
      </c>
      <c r="L71" s="45"/>
      <c r="M71" s="106">
        <v>1</v>
      </c>
      <c r="N71" s="50"/>
      <c r="O71" s="110">
        <f>IF(OR(ISBLANK(BOM_table6[[#This Row],[SKU QTY]]),BOM_table6[[#This Row],[SKU Cost]]=0),0,BOM_table6[[#This Row],[SKU Cost]]/BOM_table6[[#This Row],[SKU QTY]])</f>
        <v>0</v>
      </c>
      <c r="P71" s="110">
        <f>IF(OR(ISBLANK(BOM_table6[[#This Row],[ASM QTY]]),ISBLANK(BOM_table6[[#This Row],[Unit Cost]])),0,BOM_table6[[#This Row],[ASM QTY]]*BOM_table6[[#This Row],[Unit Cost]])</f>
        <v>0</v>
      </c>
      <c r="Q71" s="45"/>
      <c r="R71" s="81"/>
      <c r="S71" s="111">
        <f>BOM_table6[[#This Row],[ASM QTY]]*$Q$2+BOM_table6[[#This Row],[Spare QTY Needed]]-BOM_table6[[#This Row],[QTY in Inventory]]</f>
        <v>2</v>
      </c>
      <c r="T71" s="111">
        <f>ROUNDUP((BOM_table6[[#This Row],[QTY to Order]]/BOM_table6[[#This Row],[SKU QTY]]),0)</f>
        <v>2</v>
      </c>
      <c r="U71" s="110">
        <f>BOM_table6[[#This Row],[SKU QTY to Order]]*BOM_table6[[#This Row],[SKU Cost]]</f>
        <v>0</v>
      </c>
      <c r="V71" s="50"/>
      <c r="W71" s="45"/>
      <c r="X71" s="45"/>
      <c r="Y71" s="54"/>
      <c r="Z71" s="54"/>
      <c r="AA71" s="54"/>
      <c r="AB71" s="45"/>
      <c r="AC71" s="45"/>
    </row>
    <row r="72" spans="1:29" s="228" customFormat="1" ht="15" customHeight="1" x14ac:dyDescent="0.25">
      <c r="A72" s="219" t="s">
        <v>1318</v>
      </c>
      <c r="B72" s="230" t="s">
        <v>2012</v>
      </c>
      <c r="C72" s="221" t="s">
        <v>1369</v>
      </c>
      <c r="D72" s="221"/>
      <c r="E72" s="221" t="s">
        <v>199</v>
      </c>
      <c r="F72" s="221" t="s">
        <v>2002</v>
      </c>
      <c r="G72" s="221">
        <v>1</v>
      </c>
      <c r="H72" s="222" t="s">
        <v>2177</v>
      </c>
      <c r="I72" s="223" t="s">
        <v>2336</v>
      </c>
      <c r="J72" s="221"/>
      <c r="K72" s="221" t="s">
        <v>200</v>
      </c>
      <c r="L72" s="221"/>
      <c r="M72" s="220">
        <v>1</v>
      </c>
      <c r="N72" s="233"/>
      <c r="O72" s="224">
        <f>IF(OR(ISBLANK(BOM_table6[[#This Row],[SKU QTY]]),BOM_table6[[#This Row],[SKU Cost]]=0),0,BOM_table6[[#This Row],[SKU Cost]]/BOM_table6[[#This Row],[SKU QTY]])</f>
        <v>0</v>
      </c>
      <c r="P72" s="224">
        <f>IF(OR(ISBLANK(BOM_table6[[#This Row],[ASM QTY]]),ISBLANK(BOM_table6[[#This Row],[Unit Cost]])),0,BOM_table6[[#This Row],[ASM QTY]]*BOM_table6[[#This Row],[Unit Cost]])</f>
        <v>0</v>
      </c>
      <c r="Q72" s="221"/>
      <c r="R72" s="236"/>
      <c r="S72" s="220">
        <f>BOM_table6[[#This Row],[ASM QTY]]*$Q$2+BOM_table6[[#This Row],[Spare QTY Needed]]-BOM_table6[[#This Row],[QTY in Inventory]]</f>
        <v>1</v>
      </c>
      <c r="T72" s="220">
        <f>ROUNDUP((BOM_table6[[#This Row],[QTY to Order]]/BOM_table6[[#This Row],[SKU QTY]]),0)</f>
        <v>1</v>
      </c>
      <c r="U72" s="224">
        <f>BOM_table6[[#This Row],[SKU QTY to Order]]*BOM_table6[[#This Row],[SKU Cost]]</f>
        <v>0</v>
      </c>
      <c r="V72" s="233"/>
      <c r="W72" s="221"/>
      <c r="X72" s="221"/>
      <c r="Y72" s="237"/>
      <c r="Z72" s="238"/>
      <c r="AA72" s="239"/>
      <c r="AB72" s="221"/>
      <c r="AC72" s="221"/>
    </row>
    <row r="73" spans="1:29" s="228" customFormat="1" ht="15" customHeight="1" x14ac:dyDescent="0.2">
      <c r="A73" s="219" t="s">
        <v>1318</v>
      </c>
      <c r="B73" s="228" t="s">
        <v>2013</v>
      </c>
      <c r="C73" s="221" t="s">
        <v>1369</v>
      </c>
      <c r="D73" s="221"/>
      <c r="E73" s="221" t="s">
        <v>199</v>
      </c>
      <c r="F73" s="221" t="s">
        <v>2002</v>
      </c>
      <c r="G73" s="221">
        <v>1</v>
      </c>
      <c r="H73" s="222" t="s">
        <v>2177</v>
      </c>
      <c r="I73" s="223" t="s">
        <v>2336</v>
      </c>
      <c r="J73" s="221"/>
      <c r="K73" s="221" t="s">
        <v>200</v>
      </c>
      <c r="L73" s="221"/>
      <c r="M73" s="220">
        <v>1</v>
      </c>
      <c r="N73" s="233"/>
      <c r="O73" s="224">
        <f>IF(OR(ISBLANK(BOM_table6[[#This Row],[SKU QTY]]),BOM_table6[[#This Row],[SKU Cost]]=0),0,BOM_table6[[#This Row],[SKU Cost]]/BOM_table6[[#This Row],[SKU QTY]])</f>
        <v>0</v>
      </c>
      <c r="P73" s="224">
        <f>IF(OR(ISBLANK(BOM_table6[[#This Row],[ASM QTY]]),ISBLANK(BOM_table6[[#This Row],[Unit Cost]])),0,BOM_table6[[#This Row],[ASM QTY]]*BOM_table6[[#This Row],[Unit Cost]])</f>
        <v>0</v>
      </c>
      <c r="Q73" s="221"/>
      <c r="R73" s="236"/>
      <c r="S73" s="220">
        <f>BOM_table6[[#This Row],[ASM QTY]]*$Q$2+BOM_table6[[#This Row],[Spare QTY Needed]]-BOM_table6[[#This Row],[QTY in Inventory]]</f>
        <v>1</v>
      </c>
      <c r="T73" s="220">
        <f>ROUNDUP((BOM_table6[[#This Row],[QTY to Order]]/BOM_table6[[#This Row],[SKU QTY]]),0)</f>
        <v>1</v>
      </c>
      <c r="U73" s="224">
        <f>BOM_table6[[#This Row],[SKU QTY to Order]]*BOM_table6[[#This Row],[SKU Cost]]</f>
        <v>0</v>
      </c>
      <c r="V73" s="233"/>
      <c r="W73" s="221"/>
      <c r="X73" s="221"/>
      <c r="Y73" s="237"/>
      <c r="Z73" s="238"/>
      <c r="AA73" s="239"/>
      <c r="AB73" s="221"/>
      <c r="AC73" s="221"/>
    </row>
    <row r="74" spans="1:29" s="228" customFormat="1" ht="15" customHeight="1" x14ac:dyDescent="0.25">
      <c r="A74" s="219" t="s">
        <v>1318</v>
      </c>
      <c r="B74" s="228" t="s">
        <v>1161</v>
      </c>
      <c r="C74" s="229" t="s">
        <v>646</v>
      </c>
      <c r="D74" s="229"/>
      <c r="E74" s="229" t="s">
        <v>199</v>
      </c>
      <c r="F74" s="221" t="s">
        <v>2002</v>
      </c>
      <c r="G74" s="229">
        <v>1</v>
      </c>
      <c r="H74" s="222" t="s">
        <v>2177</v>
      </c>
      <c r="I74" s="230" t="s">
        <v>2337</v>
      </c>
      <c r="J74" s="229"/>
      <c r="K74" s="221" t="s">
        <v>200</v>
      </c>
      <c r="L74" s="221"/>
      <c r="M74" s="220">
        <v>1</v>
      </c>
      <c r="N74" s="231">
        <v>118.72</v>
      </c>
      <c r="O74" s="224">
        <f>IF(OR(ISBLANK(BOM_table6[[#This Row],[SKU QTY]]),BOM_table6[[#This Row],[SKU Cost]]=0),0,BOM_table6[[#This Row],[SKU Cost]]/BOM_table6[[#This Row],[SKU QTY]])</f>
        <v>118.72</v>
      </c>
      <c r="P74" s="224">
        <f>IF(OR(ISBLANK(BOM_table6[[#This Row],[ASM QTY]]),ISBLANK(BOM_table6[[#This Row],[Unit Cost]])),0,BOM_table6[[#This Row],[ASM QTY]]*BOM_table6[[#This Row],[Unit Cost]])</f>
        <v>118.72</v>
      </c>
      <c r="Q74" s="229"/>
      <c r="R74" s="232"/>
      <c r="S74" s="220">
        <f>BOM_table6[[#This Row],[ASM QTY]]*$Q$2+BOM_table6[[#This Row],[Spare QTY Needed]]-BOM_table6[[#This Row],[QTY in Inventory]]</f>
        <v>1</v>
      </c>
      <c r="T74" s="220">
        <f>ROUNDUP((BOM_table6[[#This Row],[QTY to Order]]/BOM_table6[[#This Row],[SKU QTY]]),0)</f>
        <v>1</v>
      </c>
      <c r="U74" s="224">
        <f>BOM_table6[[#This Row],[SKU QTY to Order]]*BOM_table6[[#This Row],[SKU Cost]]</f>
        <v>118.72</v>
      </c>
      <c r="V74" s="233" t="s">
        <v>2206</v>
      </c>
      <c r="W74" s="229"/>
      <c r="X74" s="229"/>
      <c r="Y74" s="234"/>
      <c r="Z74" s="235"/>
      <c r="AA74" s="229"/>
      <c r="AB74" s="229"/>
      <c r="AC74" s="229"/>
    </row>
    <row r="75" spans="1:29" ht="15" customHeight="1" x14ac:dyDescent="0.2">
      <c r="A75" s="105" t="s">
        <v>159</v>
      </c>
      <c r="B75" s="44" t="s">
        <v>1989</v>
      </c>
      <c r="C75" s="45" t="s">
        <v>647</v>
      </c>
      <c r="D75" s="45"/>
      <c r="E75" s="45" t="s">
        <v>199</v>
      </c>
      <c r="F75" s="45" t="s">
        <v>2002</v>
      </c>
      <c r="G75" s="45">
        <v>1</v>
      </c>
      <c r="H75" s="186" t="s">
        <v>2177</v>
      </c>
      <c r="J75" s="45"/>
      <c r="K75" s="45" t="s">
        <v>200</v>
      </c>
      <c r="L75" s="45"/>
      <c r="M75" s="106">
        <v>1</v>
      </c>
      <c r="N75" s="50">
        <v>40.24</v>
      </c>
      <c r="O75" s="110">
        <f>IF(OR(ISBLANK(BOM_table6[[#This Row],[SKU QTY]]),BOM_table6[[#This Row],[SKU Cost]]=0),0,BOM_table6[[#This Row],[SKU Cost]]/BOM_table6[[#This Row],[SKU QTY]])</f>
        <v>40.24</v>
      </c>
      <c r="P75" s="110">
        <f>IF(OR(ISBLANK(BOM_table6[[#This Row],[ASM QTY]]),ISBLANK(BOM_table6[[#This Row],[Unit Cost]])),0,BOM_table6[[#This Row],[ASM QTY]]*BOM_table6[[#This Row],[Unit Cost]])</f>
        <v>40.24</v>
      </c>
      <c r="Q75" s="45"/>
      <c r="R75" s="81"/>
      <c r="S75" s="111">
        <f>BOM_table6[[#This Row],[ASM QTY]]*$Q$2+BOM_table6[[#This Row],[Spare QTY Needed]]-BOM_table6[[#This Row],[QTY in Inventory]]</f>
        <v>1</v>
      </c>
      <c r="T75" s="111">
        <f>ROUNDUP((BOM_table6[[#This Row],[QTY to Order]]/BOM_table6[[#This Row],[SKU QTY]]),0)</f>
        <v>1</v>
      </c>
      <c r="U75" s="110">
        <f>BOM_table6[[#This Row],[SKU QTY to Order]]*BOM_table6[[#This Row],[SKU Cost]]</f>
        <v>40.24</v>
      </c>
      <c r="V75" s="50" t="s">
        <v>2206</v>
      </c>
      <c r="W75" s="45" t="s">
        <v>2191</v>
      </c>
      <c r="X75" s="45" t="s">
        <v>2345</v>
      </c>
      <c r="Y75" s="54">
        <v>44936</v>
      </c>
      <c r="Z75" s="156"/>
      <c r="AA75" s="45"/>
      <c r="AB75" s="45"/>
      <c r="AC75" s="45"/>
    </row>
    <row r="76" spans="1:29" ht="15" customHeight="1" x14ac:dyDescent="0.2">
      <c r="A76" s="105" t="s">
        <v>160</v>
      </c>
      <c r="B76" s="44" t="s">
        <v>1529</v>
      </c>
      <c r="C76" s="106" t="str">
        <f>BOM_table6[[#This Row],[PART/ASSY DESCRIPTION]]</f>
        <v>MINKPSRL</v>
      </c>
      <c r="D76" s="106"/>
      <c r="E76" s="106" t="s">
        <v>1262</v>
      </c>
      <c r="F76" s="45" t="s">
        <v>2002</v>
      </c>
      <c r="G76" s="45">
        <v>1</v>
      </c>
      <c r="H76" s="186" t="s">
        <v>2177</v>
      </c>
      <c r="I76" s="43" t="s">
        <v>2208</v>
      </c>
      <c r="J76" s="106"/>
      <c r="K76" s="106" t="s">
        <v>1262</v>
      </c>
      <c r="L76" s="106"/>
      <c r="M76" s="106">
        <v>1</v>
      </c>
      <c r="N76" s="108"/>
      <c r="O76" s="110">
        <f>IF(OR(ISBLANK(BOM_table6[[#This Row],[SKU QTY]]),BOM_table6[[#This Row],[SKU Cost]]=0),0,BOM_table6[[#This Row],[SKU Cost]]/BOM_table6[[#This Row],[SKU QTY]])</f>
        <v>0</v>
      </c>
      <c r="P76" s="110">
        <f>IF(OR(ISBLANK(BOM_table6[[#This Row],[ASM QTY]]),ISBLANK(BOM_table6[[#This Row],[Unit Cost]])),0,BOM_table6[[#This Row],[ASM QTY]]*BOM_table6[[#This Row],[Unit Cost]])</f>
        <v>0</v>
      </c>
      <c r="Q76" s="106"/>
      <c r="R76" s="109">
        <v>9</v>
      </c>
      <c r="S76" s="111">
        <f>BOM_table6[[#This Row],[ASM QTY]]*$Q$2+BOM_table6[[#This Row],[Spare QTY Needed]]-BOM_table6[[#This Row],[QTY in Inventory]]</f>
        <v>-8</v>
      </c>
      <c r="T76" s="111">
        <f>ROUNDUP((BOM_table6[[#This Row],[QTY to Order]]/BOM_table6[[#This Row],[SKU QTY]]),0)</f>
        <v>-8</v>
      </c>
      <c r="U76" s="110">
        <f>BOM_table6[[#This Row],[SKU QTY to Order]]*BOM_table6[[#This Row],[SKU Cost]]</f>
        <v>0</v>
      </c>
      <c r="V76" s="108"/>
      <c r="W76" s="106"/>
      <c r="X76" s="106"/>
      <c r="Y76" s="113"/>
      <c r="Z76" s="112"/>
      <c r="AA76" s="113"/>
      <c r="AB76" s="106"/>
      <c r="AC76" s="106"/>
    </row>
    <row r="77" spans="1:29" s="228" customFormat="1" ht="15" customHeight="1" x14ac:dyDescent="0.2">
      <c r="A77" s="219" t="s">
        <v>1318</v>
      </c>
      <c r="B77" s="219" t="s">
        <v>1530</v>
      </c>
      <c r="C77" s="220" t="str">
        <f>BOM_table6[[#This Row],[PART/ASSY DESCRIPTION]]</f>
        <v>MINKDSPL</v>
      </c>
      <c r="D77" s="220"/>
      <c r="E77" s="220" t="s">
        <v>1262</v>
      </c>
      <c r="F77" s="221" t="s">
        <v>2002</v>
      </c>
      <c r="G77" s="221">
        <v>1</v>
      </c>
      <c r="H77" s="222" t="s">
        <v>2177</v>
      </c>
      <c r="I77" s="223" t="s">
        <v>2335</v>
      </c>
      <c r="J77" s="220"/>
      <c r="K77" s="220" t="s">
        <v>1262</v>
      </c>
      <c r="L77" s="220"/>
      <c r="M77" s="220">
        <v>1</v>
      </c>
      <c r="N77" s="224"/>
      <c r="O77" s="224">
        <f>IF(OR(ISBLANK(BOM_table6[[#This Row],[SKU QTY]]),BOM_table6[[#This Row],[SKU Cost]]=0),0,BOM_table6[[#This Row],[SKU Cost]]/BOM_table6[[#This Row],[SKU QTY]])</f>
        <v>0</v>
      </c>
      <c r="P77" s="224">
        <f>IF(OR(ISBLANK(BOM_table6[[#This Row],[ASM QTY]]),ISBLANK(BOM_table6[[#This Row],[Unit Cost]])),0,BOM_table6[[#This Row],[ASM QTY]]*BOM_table6[[#This Row],[Unit Cost]])</f>
        <v>0</v>
      </c>
      <c r="Q77" s="220"/>
      <c r="R77" s="225"/>
      <c r="S77" s="220">
        <f>BOM_table6[[#This Row],[ASM QTY]]*$Q$2+BOM_table6[[#This Row],[Spare QTY Needed]]-BOM_table6[[#This Row],[QTY in Inventory]]</f>
        <v>1</v>
      </c>
      <c r="T77" s="220">
        <f>ROUNDUP((BOM_table6[[#This Row],[QTY to Order]]/BOM_table6[[#This Row],[SKU QTY]]),0)</f>
        <v>1</v>
      </c>
      <c r="U77" s="224">
        <f>BOM_table6[[#This Row],[SKU QTY to Order]]*BOM_table6[[#This Row],[SKU Cost]]</f>
        <v>0</v>
      </c>
      <c r="V77" s="224"/>
      <c r="W77" s="220"/>
      <c r="X77" s="220"/>
      <c r="Y77" s="226"/>
      <c r="Z77" s="227"/>
      <c r="AA77" s="226"/>
      <c r="AB77" s="220"/>
      <c r="AC77" s="220"/>
    </row>
    <row r="78" spans="1:29" ht="15" customHeight="1" x14ac:dyDescent="0.2">
      <c r="A78" s="105" t="s">
        <v>1318</v>
      </c>
      <c r="B78" s="127" t="s">
        <v>1654</v>
      </c>
      <c r="C78" s="126" t="s">
        <v>1657</v>
      </c>
      <c r="D78" s="126"/>
      <c r="E78" s="45" t="s">
        <v>1153</v>
      </c>
      <c r="F78" s="126" t="s">
        <v>1658</v>
      </c>
      <c r="G78" s="126">
        <v>1</v>
      </c>
      <c r="H78" s="45" t="s">
        <v>2175</v>
      </c>
      <c r="I78" s="131"/>
      <c r="J78" s="126" t="s">
        <v>166</v>
      </c>
      <c r="K78" s="45" t="s">
        <v>1524</v>
      </c>
      <c r="L78" s="45"/>
      <c r="M78" s="106">
        <v>1</v>
      </c>
      <c r="N78" s="128"/>
      <c r="O78" s="110">
        <f>IF(OR(ISBLANK(BOM_table6[[#This Row],[SKU QTY]]),BOM_table6[[#This Row],[SKU Cost]]=0),0,BOM_table6[[#This Row],[SKU Cost]]/BOM_table6[[#This Row],[SKU QTY]])</f>
        <v>0</v>
      </c>
      <c r="P78" s="110">
        <f>IF(OR(ISBLANK(BOM_table6[[#This Row],[ASM QTY]]),ISBLANK(BOM_table6[[#This Row],[Unit Cost]])),0,BOM_table6[[#This Row],[ASM QTY]]*BOM_table6[[#This Row],[Unit Cost]])</f>
        <v>0</v>
      </c>
      <c r="Q78" s="126"/>
      <c r="R78" s="132"/>
      <c r="S78" s="111">
        <f>BOM_table6[[#This Row],[ASM QTY]]*$Q$2+BOM_table6[[#This Row],[Spare QTY Needed]]-BOM_table6[[#This Row],[QTY in Inventory]]</f>
        <v>1</v>
      </c>
      <c r="T78" s="111">
        <f>ROUNDUP((BOM_table6[[#This Row],[QTY to Order]]/BOM_table6[[#This Row],[SKU QTY]]),0)</f>
        <v>1</v>
      </c>
      <c r="U78" s="110">
        <f>BOM_table6[[#This Row],[SKU QTY to Order]]*BOM_table6[[#This Row],[SKU Cost]]</f>
        <v>0</v>
      </c>
      <c r="V78" s="128"/>
      <c r="W78" s="126"/>
      <c r="X78" s="126"/>
      <c r="Y78" s="130"/>
      <c r="Z78" s="130"/>
      <c r="AA78" s="126"/>
      <c r="AB78" s="126"/>
      <c r="AC78" s="126"/>
    </row>
    <row r="79" spans="1:29" ht="15" customHeight="1" x14ac:dyDescent="0.2">
      <c r="A79" s="105" t="s">
        <v>1318</v>
      </c>
      <c r="B79" s="127" t="s">
        <v>1653</v>
      </c>
      <c r="C79" s="126" t="s">
        <v>1656</v>
      </c>
      <c r="D79" s="126"/>
      <c r="E79" s="45" t="s">
        <v>1153</v>
      </c>
      <c r="F79" s="126" t="s">
        <v>1658</v>
      </c>
      <c r="G79" s="126">
        <v>1</v>
      </c>
      <c r="H79" s="45" t="s">
        <v>2175</v>
      </c>
      <c r="I79" s="131"/>
      <c r="J79" s="126" t="s">
        <v>166</v>
      </c>
      <c r="K79" s="45" t="s">
        <v>1524</v>
      </c>
      <c r="L79" s="45"/>
      <c r="M79" s="106">
        <v>1</v>
      </c>
      <c r="N79" s="128"/>
      <c r="O79" s="110">
        <f>IF(OR(ISBLANK(BOM_table6[[#This Row],[SKU QTY]]),BOM_table6[[#This Row],[SKU Cost]]=0),0,BOM_table6[[#This Row],[SKU Cost]]/BOM_table6[[#This Row],[SKU QTY]])</f>
        <v>0</v>
      </c>
      <c r="P79" s="110">
        <f>IF(OR(ISBLANK(BOM_table6[[#This Row],[ASM QTY]]),ISBLANK(BOM_table6[[#This Row],[Unit Cost]])),0,BOM_table6[[#This Row],[ASM QTY]]*BOM_table6[[#This Row],[Unit Cost]])</f>
        <v>0</v>
      </c>
      <c r="Q79" s="126"/>
      <c r="R79" s="132"/>
      <c r="S79" s="111">
        <f>BOM_table6[[#This Row],[ASM QTY]]*$Q$2+BOM_table6[[#This Row],[Spare QTY Needed]]-BOM_table6[[#This Row],[QTY in Inventory]]</f>
        <v>1</v>
      </c>
      <c r="T79" s="111">
        <f>ROUNDUP((BOM_table6[[#This Row],[QTY to Order]]/BOM_table6[[#This Row],[SKU QTY]]),0)</f>
        <v>1</v>
      </c>
      <c r="U79" s="110">
        <f>BOM_table6[[#This Row],[SKU QTY to Order]]*BOM_table6[[#This Row],[SKU Cost]]</f>
        <v>0</v>
      </c>
      <c r="V79" s="128"/>
      <c r="W79" s="126"/>
      <c r="X79" s="126"/>
      <c r="Y79" s="130"/>
      <c r="Z79" s="130"/>
      <c r="AA79" s="126"/>
      <c r="AB79" s="126"/>
      <c r="AC79" s="45" t="s">
        <v>2172</v>
      </c>
    </row>
    <row r="80" spans="1:29" ht="15" customHeight="1" x14ac:dyDescent="0.2">
      <c r="A80" s="105" t="s">
        <v>161</v>
      </c>
      <c r="B80" s="127" t="s">
        <v>1655</v>
      </c>
      <c r="C80" s="126" t="s">
        <v>1659</v>
      </c>
      <c r="D80" s="126"/>
      <c r="E80" s="126"/>
      <c r="F80" s="126" t="s">
        <v>1658</v>
      </c>
      <c r="G80" s="126">
        <v>1</v>
      </c>
      <c r="H80" s="186"/>
      <c r="I80" s="43" t="s">
        <v>1660</v>
      </c>
      <c r="J80" s="126" t="s">
        <v>166</v>
      </c>
      <c r="K80" s="45" t="s">
        <v>216</v>
      </c>
      <c r="L80" s="45"/>
      <c r="M80" s="106">
        <v>1</v>
      </c>
      <c r="N80" s="128"/>
      <c r="O80" s="110">
        <f>IF(OR(ISBLANK(BOM_table6[[#This Row],[SKU QTY]]),BOM_table6[[#This Row],[SKU Cost]]=0),0,BOM_table6[[#This Row],[SKU Cost]]/BOM_table6[[#This Row],[SKU QTY]])</f>
        <v>0</v>
      </c>
      <c r="P80" s="110">
        <f>IF(OR(ISBLANK(BOM_table6[[#This Row],[ASM QTY]]),ISBLANK(BOM_table6[[#This Row],[Unit Cost]])),0,BOM_table6[[#This Row],[ASM QTY]]*BOM_table6[[#This Row],[Unit Cost]])</f>
        <v>0</v>
      </c>
      <c r="Q80" s="126"/>
      <c r="R80" s="132">
        <v>2</v>
      </c>
      <c r="S80" s="111">
        <f>BOM_table6[[#This Row],[ASM QTY]]*$Q$2+BOM_table6[[#This Row],[Spare QTY Needed]]-BOM_table6[[#This Row],[QTY in Inventory]]</f>
        <v>-1</v>
      </c>
      <c r="T80" s="111">
        <f>ROUNDUP((BOM_table6[[#This Row],[QTY to Order]]/BOM_table6[[#This Row],[SKU QTY]]),0)</f>
        <v>-1</v>
      </c>
      <c r="U80" s="110">
        <f>BOM_table6[[#This Row],[SKU QTY to Order]]*BOM_table6[[#This Row],[SKU Cost]]</f>
        <v>0</v>
      </c>
      <c r="V80" s="128"/>
      <c r="W80" s="126"/>
      <c r="X80" s="126"/>
      <c r="Y80" s="130"/>
      <c r="Z80" s="130"/>
      <c r="AA80" s="126"/>
      <c r="AB80" s="126"/>
      <c r="AC80" s="126"/>
    </row>
    <row r="81" spans="1:29" ht="15" customHeight="1" x14ac:dyDescent="0.2">
      <c r="A81" s="105" t="s">
        <v>160</v>
      </c>
      <c r="B81" s="44" t="s">
        <v>694</v>
      </c>
      <c r="C81" s="45">
        <v>2131</v>
      </c>
      <c r="D81" s="45"/>
      <c r="E81" s="45" t="s">
        <v>695</v>
      </c>
      <c r="F81" s="45" t="s">
        <v>831</v>
      </c>
      <c r="G81" s="45">
        <v>1</v>
      </c>
      <c r="H81" s="45" t="s">
        <v>2178</v>
      </c>
      <c r="J81" s="45" t="s">
        <v>166</v>
      </c>
      <c r="K81" s="45" t="s">
        <v>1396</v>
      </c>
      <c r="L81" s="45"/>
      <c r="M81" s="106">
        <v>1</v>
      </c>
      <c r="N81" s="50"/>
      <c r="O81" s="110">
        <f>IF(OR(ISBLANK(BOM_table6[[#This Row],[SKU QTY]]),BOM_table6[[#This Row],[SKU Cost]]=0),0,BOM_table6[[#This Row],[SKU Cost]]/BOM_table6[[#This Row],[SKU QTY]])</f>
        <v>0</v>
      </c>
      <c r="P81" s="110">
        <f>IF(OR(ISBLANK(BOM_table6[[#This Row],[ASM QTY]]),ISBLANK(BOM_table6[[#This Row],[Unit Cost]])),0,BOM_table6[[#This Row],[ASM QTY]]*BOM_table6[[#This Row],[Unit Cost]])</f>
        <v>0</v>
      </c>
      <c r="Q81" s="45"/>
      <c r="R81" s="81"/>
      <c r="S81" s="111">
        <f>BOM_table6[[#This Row],[ASM QTY]]*$Q$2+BOM_table6[[#This Row],[Spare QTY Needed]]-BOM_table6[[#This Row],[QTY in Inventory]]</f>
        <v>1</v>
      </c>
      <c r="T81" s="111">
        <f>ROUNDUP((BOM_table6[[#This Row],[QTY to Order]]/BOM_table6[[#This Row],[SKU QTY]]),0)</f>
        <v>1</v>
      </c>
      <c r="U81" s="110">
        <f>BOM_table6[[#This Row],[SKU QTY to Order]]*BOM_table6[[#This Row],[SKU Cost]]</f>
        <v>0</v>
      </c>
      <c r="V81" s="62"/>
      <c r="W81" s="45"/>
      <c r="X81" s="45"/>
      <c r="Y81" s="54"/>
      <c r="Z81" s="54"/>
      <c r="AA81" s="54"/>
      <c r="AB81" s="45"/>
      <c r="AC81" s="45"/>
    </row>
    <row r="82" spans="1:29" ht="15" customHeight="1" x14ac:dyDescent="0.2">
      <c r="A82" s="105" t="s">
        <v>160</v>
      </c>
      <c r="B82" s="44" t="s">
        <v>669</v>
      </c>
      <c r="C82" s="45" t="s">
        <v>1699</v>
      </c>
      <c r="D82" s="45"/>
      <c r="E82" s="45"/>
      <c r="F82" s="45" t="s">
        <v>831</v>
      </c>
      <c r="G82" s="45">
        <v>1</v>
      </c>
      <c r="H82" s="45" t="s">
        <v>2178</v>
      </c>
      <c r="I82" s="43" t="s">
        <v>1697</v>
      </c>
      <c r="J82" s="45" t="s">
        <v>166</v>
      </c>
      <c r="K82" s="45" t="s">
        <v>216</v>
      </c>
      <c r="L82" s="45"/>
      <c r="M82" s="106">
        <v>1</v>
      </c>
      <c r="N82" s="50"/>
      <c r="O82" s="110">
        <f>IF(OR(ISBLANK(BOM_table6[[#This Row],[SKU QTY]]),BOM_table6[[#This Row],[SKU Cost]]=0),0,BOM_table6[[#This Row],[SKU Cost]]/BOM_table6[[#This Row],[SKU QTY]])</f>
        <v>0</v>
      </c>
      <c r="P82" s="110">
        <f>IF(OR(ISBLANK(BOM_table6[[#This Row],[ASM QTY]]),ISBLANK(BOM_table6[[#This Row],[Unit Cost]])),0,BOM_table6[[#This Row],[ASM QTY]]*BOM_table6[[#This Row],[Unit Cost]])</f>
        <v>0</v>
      </c>
      <c r="Q82" s="45"/>
      <c r="R82" s="81"/>
      <c r="S82" s="111">
        <f>BOM_table6[[#This Row],[ASM QTY]]*$Q$2+BOM_table6[[#This Row],[Spare QTY Needed]]-BOM_table6[[#This Row],[QTY in Inventory]]</f>
        <v>1</v>
      </c>
      <c r="T82" s="111">
        <f>ROUNDUP((BOM_table6[[#This Row],[QTY to Order]]/BOM_table6[[#This Row],[SKU QTY]]),0)</f>
        <v>1</v>
      </c>
      <c r="U82" s="110">
        <f>BOM_table6[[#This Row],[SKU QTY to Order]]*BOM_table6[[#This Row],[SKU Cost]]</f>
        <v>0</v>
      </c>
      <c r="V82" s="62"/>
      <c r="W82" s="45"/>
      <c r="X82" s="45"/>
      <c r="Y82" s="54"/>
      <c r="Z82" s="54"/>
      <c r="AA82" s="54"/>
      <c r="AB82" s="45"/>
      <c r="AC82" s="45"/>
    </row>
    <row r="83" spans="1:29" ht="15" customHeight="1" x14ac:dyDescent="0.2">
      <c r="A83" s="105" t="s">
        <v>161</v>
      </c>
      <c r="B83" s="44" t="s">
        <v>653</v>
      </c>
      <c r="C83" s="45" t="s">
        <v>654</v>
      </c>
      <c r="D83" s="45"/>
      <c r="E83" s="45"/>
      <c r="F83" s="45" t="s">
        <v>831</v>
      </c>
      <c r="G83" s="45">
        <v>1</v>
      </c>
      <c r="H83" s="45" t="s">
        <v>2178</v>
      </c>
      <c r="J83" s="45" t="s">
        <v>166</v>
      </c>
      <c r="K83" s="45" t="s">
        <v>216</v>
      </c>
      <c r="L83" s="45"/>
      <c r="M83" s="106">
        <v>1</v>
      </c>
      <c r="N83" s="50">
        <v>3.69</v>
      </c>
      <c r="O83" s="110">
        <f>IF(OR(ISBLANK(BOM_table6[[#This Row],[SKU QTY]]),BOM_table6[[#This Row],[SKU Cost]]=0),0,BOM_table6[[#This Row],[SKU Cost]]/BOM_table6[[#This Row],[SKU QTY]])</f>
        <v>3.69</v>
      </c>
      <c r="P83" s="110">
        <f>IF(OR(ISBLANK(BOM_table6[[#This Row],[ASM QTY]]),ISBLANK(BOM_table6[[#This Row],[Unit Cost]])),0,BOM_table6[[#This Row],[ASM QTY]]*BOM_table6[[#This Row],[Unit Cost]])</f>
        <v>3.69</v>
      </c>
      <c r="Q83" s="45"/>
      <c r="R83" s="81"/>
      <c r="S83" s="111">
        <f>BOM_table6[[#This Row],[ASM QTY]]*$Q$2+BOM_table6[[#This Row],[Spare QTY Needed]]-BOM_table6[[#This Row],[QTY in Inventory]]</f>
        <v>1</v>
      </c>
      <c r="T83" s="111">
        <f>ROUNDUP((BOM_table6[[#This Row],[QTY to Order]]/BOM_table6[[#This Row],[SKU QTY]]),0)</f>
        <v>1</v>
      </c>
      <c r="U83" s="110">
        <f>BOM_table6[[#This Row],[SKU QTY to Order]]*BOM_table6[[#This Row],[SKU Cost]]</f>
        <v>3.69</v>
      </c>
      <c r="V83" s="62"/>
      <c r="W83" s="45" t="s">
        <v>2191</v>
      </c>
      <c r="X83" s="45" t="s">
        <v>2192</v>
      </c>
      <c r="Y83" s="54">
        <v>44923</v>
      </c>
      <c r="Z83" s="54"/>
      <c r="AA83" s="54">
        <v>44924</v>
      </c>
      <c r="AB83" s="45"/>
      <c r="AC83" s="45"/>
    </row>
    <row r="84" spans="1:29" ht="15" customHeight="1" x14ac:dyDescent="0.2">
      <c r="A84" s="105" t="s">
        <v>161</v>
      </c>
      <c r="B84" s="44" t="s">
        <v>639</v>
      </c>
      <c r="C84" s="45" t="s">
        <v>640</v>
      </c>
      <c r="D84" s="45"/>
      <c r="E84" s="45"/>
      <c r="F84" s="45" t="s">
        <v>831</v>
      </c>
      <c r="G84" s="45">
        <v>2</v>
      </c>
      <c r="H84" s="45" t="s">
        <v>2175</v>
      </c>
      <c r="I84" s="43" t="s">
        <v>2231</v>
      </c>
      <c r="J84" s="45" t="s">
        <v>166</v>
      </c>
      <c r="K84" s="45" t="s">
        <v>216</v>
      </c>
      <c r="L84" s="45"/>
      <c r="M84" s="106">
        <v>1</v>
      </c>
      <c r="N84" s="50"/>
      <c r="O84" s="110">
        <f>IF(OR(ISBLANK(BOM_table6[[#This Row],[SKU QTY]]),BOM_table6[[#This Row],[SKU Cost]]=0),0,BOM_table6[[#This Row],[SKU Cost]]/BOM_table6[[#This Row],[SKU QTY]])</f>
        <v>0</v>
      </c>
      <c r="P84" s="110">
        <f>IF(OR(ISBLANK(BOM_table6[[#This Row],[ASM QTY]]),ISBLANK(BOM_table6[[#This Row],[Unit Cost]])),0,BOM_table6[[#This Row],[ASM QTY]]*BOM_table6[[#This Row],[Unit Cost]])</f>
        <v>0</v>
      </c>
      <c r="Q84" s="45"/>
      <c r="R84" s="81">
        <v>10</v>
      </c>
      <c r="S84" s="111">
        <f>BOM_table6[[#This Row],[ASM QTY]]*$Q$2+BOM_table6[[#This Row],[Spare QTY Needed]]-BOM_table6[[#This Row],[QTY in Inventory]]</f>
        <v>-8</v>
      </c>
      <c r="T84" s="111">
        <f>ROUNDUP((BOM_table6[[#This Row],[QTY to Order]]/BOM_table6[[#This Row],[SKU QTY]]),0)</f>
        <v>-8</v>
      </c>
      <c r="U84" s="110">
        <f>BOM_table6[[#This Row],[SKU QTY to Order]]*BOM_table6[[#This Row],[SKU Cost]]</f>
        <v>0</v>
      </c>
      <c r="V84" s="62"/>
      <c r="W84" s="45"/>
      <c r="X84" s="45"/>
      <c r="Y84" s="54"/>
      <c r="Z84" s="54"/>
      <c r="AA84" s="45"/>
      <c r="AB84" s="45"/>
      <c r="AC84" s="45"/>
    </row>
    <row r="85" spans="1:29" ht="15" customHeight="1" x14ac:dyDescent="0.2">
      <c r="A85" s="105" t="s">
        <v>160</v>
      </c>
      <c r="B85" s="44" t="s">
        <v>668</v>
      </c>
      <c r="C85" s="45" t="s">
        <v>1461</v>
      </c>
      <c r="D85" s="45"/>
      <c r="E85" s="45"/>
      <c r="F85" s="45" t="s">
        <v>831</v>
      </c>
      <c r="G85" s="45">
        <v>1</v>
      </c>
      <c r="H85" s="45" t="s">
        <v>2178</v>
      </c>
      <c r="J85" s="45" t="s">
        <v>166</v>
      </c>
      <c r="K85" s="45" t="s">
        <v>216</v>
      </c>
      <c r="L85" s="45"/>
      <c r="M85" s="106">
        <v>1</v>
      </c>
      <c r="N85" s="50"/>
      <c r="O85" s="110">
        <f>IF(OR(ISBLANK(BOM_table6[[#This Row],[SKU QTY]]),BOM_table6[[#This Row],[SKU Cost]]=0),0,BOM_table6[[#This Row],[SKU Cost]]/BOM_table6[[#This Row],[SKU QTY]])</f>
        <v>0</v>
      </c>
      <c r="P85" s="110">
        <f>IF(OR(ISBLANK(BOM_table6[[#This Row],[ASM QTY]]),ISBLANK(BOM_table6[[#This Row],[Unit Cost]])),0,BOM_table6[[#This Row],[ASM QTY]]*BOM_table6[[#This Row],[Unit Cost]])</f>
        <v>0</v>
      </c>
      <c r="Q85" s="45"/>
      <c r="R85" s="81"/>
      <c r="S85" s="111">
        <f>BOM_table6[[#This Row],[ASM QTY]]*$Q$2+BOM_table6[[#This Row],[Spare QTY Needed]]-BOM_table6[[#This Row],[QTY in Inventory]]</f>
        <v>1</v>
      </c>
      <c r="T85" s="111">
        <f>ROUNDUP((BOM_table6[[#This Row],[QTY to Order]]/BOM_table6[[#This Row],[SKU QTY]]),0)</f>
        <v>1</v>
      </c>
      <c r="U85" s="110">
        <f>BOM_table6[[#This Row],[SKU QTY to Order]]*BOM_table6[[#This Row],[SKU Cost]]</f>
        <v>0</v>
      </c>
      <c r="V85" s="62"/>
      <c r="W85" s="45"/>
      <c r="X85" s="45"/>
      <c r="Y85" s="97"/>
      <c r="Z85" s="54"/>
      <c r="AA85" s="45"/>
      <c r="AB85" s="45"/>
      <c r="AC85" s="45"/>
    </row>
    <row r="86" spans="1:29" ht="15" customHeight="1" x14ac:dyDescent="0.2">
      <c r="A86" s="105" t="s">
        <v>161</v>
      </c>
      <c r="B86" s="44" t="s">
        <v>651</v>
      </c>
      <c r="C86" s="45" t="s">
        <v>652</v>
      </c>
      <c r="D86" s="45"/>
      <c r="E86" s="45"/>
      <c r="F86" s="45" t="s">
        <v>831</v>
      </c>
      <c r="G86" s="45">
        <v>1</v>
      </c>
      <c r="H86" s="45" t="s">
        <v>2178</v>
      </c>
      <c r="J86" s="45" t="s">
        <v>166</v>
      </c>
      <c r="K86" s="45" t="s">
        <v>216</v>
      </c>
      <c r="L86" s="45"/>
      <c r="M86" s="106">
        <v>1</v>
      </c>
      <c r="N86" s="50">
        <v>4.0199999999999996</v>
      </c>
      <c r="O86" s="110">
        <f>IF(OR(ISBLANK(BOM_table6[[#This Row],[SKU QTY]]),BOM_table6[[#This Row],[SKU Cost]]=0),0,BOM_table6[[#This Row],[SKU Cost]]/BOM_table6[[#This Row],[SKU QTY]])</f>
        <v>4.0199999999999996</v>
      </c>
      <c r="P86" s="110">
        <f>IF(OR(ISBLANK(BOM_table6[[#This Row],[ASM QTY]]),ISBLANK(BOM_table6[[#This Row],[Unit Cost]])),0,BOM_table6[[#This Row],[ASM QTY]]*BOM_table6[[#This Row],[Unit Cost]])</f>
        <v>4.0199999999999996</v>
      </c>
      <c r="Q86" s="45"/>
      <c r="R86" s="81"/>
      <c r="S86" s="111">
        <f>BOM_table6[[#This Row],[ASM QTY]]*$Q$2+BOM_table6[[#This Row],[Spare QTY Needed]]-BOM_table6[[#This Row],[QTY in Inventory]]</f>
        <v>1</v>
      </c>
      <c r="T86" s="111">
        <f>ROUNDUP((BOM_table6[[#This Row],[QTY to Order]]/BOM_table6[[#This Row],[SKU QTY]]),0)</f>
        <v>1</v>
      </c>
      <c r="U86" s="110">
        <f>BOM_table6[[#This Row],[SKU QTY to Order]]*BOM_table6[[#This Row],[SKU Cost]]</f>
        <v>4.0199999999999996</v>
      </c>
      <c r="V86" s="62"/>
      <c r="W86" s="45" t="s">
        <v>2191</v>
      </c>
      <c r="X86" s="45" t="s">
        <v>2192</v>
      </c>
      <c r="Y86" s="97">
        <v>44923</v>
      </c>
      <c r="Z86" s="54"/>
      <c r="AA86" s="97">
        <v>44924</v>
      </c>
      <c r="AB86" s="45"/>
      <c r="AC86" s="45"/>
    </row>
    <row r="87" spans="1:29" ht="15" customHeight="1" x14ac:dyDescent="0.2">
      <c r="A87" s="105" t="s">
        <v>160</v>
      </c>
      <c r="B87" s="44" t="s">
        <v>689</v>
      </c>
      <c r="C87" s="45" t="s">
        <v>1698</v>
      </c>
      <c r="D87" s="45"/>
      <c r="E87" s="45"/>
      <c r="F87" s="45" t="s">
        <v>831</v>
      </c>
      <c r="G87" s="45">
        <v>1</v>
      </c>
      <c r="H87" s="45" t="s">
        <v>2178</v>
      </c>
      <c r="I87" s="43" t="s">
        <v>1697</v>
      </c>
      <c r="J87" s="45" t="s">
        <v>166</v>
      </c>
      <c r="K87" s="45" t="s">
        <v>216</v>
      </c>
      <c r="L87" s="45"/>
      <c r="M87" s="106">
        <v>1</v>
      </c>
      <c r="N87" s="50"/>
      <c r="O87" s="110">
        <f>IF(OR(ISBLANK(BOM_table6[[#This Row],[SKU QTY]]),BOM_table6[[#This Row],[SKU Cost]]=0),0,BOM_table6[[#This Row],[SKU Cost]]/BOM_table6[[#This Row],[SKU QTY]])</f>
        <v>0</v>
      </c>
      <c r="P87" s="110">
        <f>IF(OR(ISBLANK(BOM_table6[[#This Row],[ASM QTY]]),ISBLANK(BOM_table6[[#This Row],[Unit Cost]])),0,BOM_table6[[#This Row],[ASM QTY]]*BOM_table6[[#This Row],[Unit Cost]])</f>
        <v>0</v>
      </c>
      <c r="Q87" s="45"/>
      <c r="R87" s="81"/>
      <c r="S87" s="111">
        <f>BOM_table6[[#This Row],[ASM QTY]]*$Q$2+BOM_table6[[#This Row],[Spare QTY Needed]]-BOM_table6[[#This Row],[QTY in Inventory]]</f>
        <v>1</v>
      </c>
      <c r="T87" s="111">
        <f>ROUNDUP((BOM_table6[[#This Row],[QTY to Order]]/BOM_table6[[#This Row],[SKU QTY]]),0)</f>
        <v>1</v>
      </c>
      <c r="U87" s="110">
        <f>BOM_table6[[#This Row],[SKU QTY to Order]]*BOM_table6[[#This Row],[SKU Cost]]</f>
        <v>0</v>
      </c>
      <c r="V87" s="62"/>
      <c r="W87" s="45"/>
      <c r="X87" s="45"/>
      <c r="Y87" s="54"/>
      <c r="Z87" s="54"/>
      <c r="AA87" s="54"/>
      <c r="AB87" s="45"/>
      <c r="AC87" s="45"/>
    </row>
    <row r="88" spans="1:29" ht="15" customHeight="1" x14ac:dyDescent="0.2">
      <c r="A88" s="105" t="s">
        <v>160</v>
      </c>
      <c r="B88" s="44" t="s">
        <v>688</v>
      </c>
      <c r="C88" s="45" t="s">
        <v>1696</v>
      </c>
      <c r="D88" s="45"/>
      <c r="E88" s="45"/>
      <c r="F88" s="45" t="s">
        <v>831</v>
      </c>
      <c r="G88" s="45">
        <v>1</v>
      </c>
      <c r="H88" s="45" t="s">
        <v>2178</v>
      </c>
      <c r="I88" s="43" t="s">
        <v>1697</v>
      </c>
      <c r="J88" s="45" t="s">
        <v>166</v>
      </c>
      <c r="K88" s="45" t="s">
        <v>216</v>
      </c>
      <c r="L88" s="45"/>
      <c r="M88" s="106">
        <v>1</v>
      </c>
      <c r="N88" s="50"/>
      <c r="O88" s="110">
        <f>IF(OR(ISBLANK(BOM_table6[[#This Row],[SKU QTY]]),BOM_table6[[#This Row],[SKU Cost]]=0),0,BOM_table6[[#This Row],[SKU Cost]]/BOM_table6[[#This Row],[SKU QTY]])</f>
        <v>0</v>
      </c>
      <c r="P88" s="110">
        <f>IF(OR(ISBLANK(BOM_table6[[#This Row],[ASM QTY]]),ISBLANK(BOM_table6[[#This Row],[Unit Cost]])),0,BOM_table6[[#This Row],[ASM QTY]]*BOM_table6[[#This Row],[Unit Cost]])</f>
        <v>0</v>
      </c>
      <c r="Q88" s="45"/>
      <c r="R88" s="81"/>
      <c r="S88" s="111">
        <f>BOM_table6[[#This Row],[ASM QTY]]*$Q$2+BOM_table6[[#This Row],[Spare QTY Needed]]-BOM_table6[[#This Row],[QTY in Inventory]]</f>
        <v>1</v>
      </c>
      <c r="T88" s="111">
        <f>ROUNDUP((BOM_table6[[#This Row],[QTY to Order]]/BOM_table6[[#This Row],[SKU QTY]]),0)</f>
        <v>1</v>
      </c>
      <c r="U88" s="110">
        <f>BOM_table6[[#This Row],[SKU QTY to Order]]*BOM_table6[[#This Row],[SKU Cost]]</f>
        <v>0</v>
      </c>
      <c r="V88" s="62"/>
      <c r="W88" s="45"/>
      <c r="X88" s="45"/>
      <c r="Y88" s="54"/>
      <c r="Z88" s="54"/>
      <c r="AA88" s="54"/>
      <c r="AB88" s="45"/>
      <c r="AC88" s="45"/>
    </row>
    <row r="89" spans="1:29" ht="15" customHeight="1" x14ac:dyDescent="0.2">
      <c r="A89" s="105" t="s">
        <v>160</v>
      </c>
      <c r="B89" s="44" t="s">
        <v>691</v>
      </c>
      <c r="C89" s="45" t="s">
        <v>1647</v>
      </c>
      <c r="D89" s="45"/>
      <c r="E89" s="45"/>
      <c r="F89" s="45" t="s">
        <v>831</v>
      </c>
      <c r="G89" s="45">
        <v>1</v>
      </c>
      <c r="H89" s="45" t="s">
        <v>2178</v>
      </c>
      <c r="J89" s="45" t="s">
        <v>166</v>
      </c>
      <c r="K89" s="45" t="s">
        <v>216</v>
      </c>
      <c r="L89" s="45"/>
      <c r="M89" s="106">
        <v>1</v>
      </c>
      <c r="N89" s="50"/>
      <c r="O89" s="110">
        <f>IF(OR(ISBLANK(BOM_table6[[#This Row],[SKU QTY]]),BOM_table6[[#This Row],[SKU Cost]]=0),0,BOM_table6[[#This Row],[SKU Cost]]/BOM_table6[[#This Row],[SKU QTY]])</f>
        <v>0</v>
      </c>
      <c r="P89" s="110">
        <f>IF(OR(ISBLANK(BOM_table6[[#This Row],[ASM QTY]]),ISBLANK(BOM_table6[[#This Row],[Unit Cost]])),0,BOM_table6[[#This Row],[ASM QTY]]*BOM_table6[[#This Row],[Unit Cost]])</f>
        <v>0</v>
      </c>
      <c r="Q89" s="45"/>
      <c r="R89" s="81"/>
      <c r="S89" s="111">
        <f>BOM_table6[[#This Row],[ASM QTY]]*$Q$2+BOM_table6[[#This Row],[Spare QTY Needed]]-BOM_table6[[#This Row],[QTY in Inventory]]</f>
        <v>1</v>
      </c>
      <c r="T89" s="111">
        <f>ROUNDUP((BOM_table6[[#This Row],[QTY to Order]]/BOM_table6[[#This Row],[SKU QTY]]),0)</f>
        <v>1</v>
      </c>
      <c r="U89" s="110">
        <f>BOM_table6[[#This Row],[SKU QTY to Order]]*BOM_table6[[#This Row],[SKU Cost]]</f>
        <v>0</v>
      </c>
      <c r="V89" s="62"/>
      <c r="W89" s="45"/>
      <c r="X89" s="45"/>
      <c r="Y89" s="54"/>
      <c r="Z89" s="54"/>
      <c r="AA89" s="45"/>
      <c r="AB89" s="45"/>
      <c r="AC89" s="126"/>
    </row>
    <row r="90" spans="1:29" ht="15" customHeight="1" x14ac:dyDescent="0.2">
      <c r="A90" s="105" t="s">
        <v>161</v>
      </c>
      <c r="B90" s="44" t="s">
        <v>672</v>
      </c>
      <c r="C90" s="45" t="s">
        <v>674</v>
      </c>
      <c r="D90" s="45"/>
      <c r="E90" s="45"/>
      <c r="F90" s="45" t="s">
        <v>831</v>
      </c>
      <c r="G90" s="45">
        <v>7</v>
      </c>
      <c r="H90" s="45" t="s">
        <v>2178</v>
      </c>
      <c r="I90" s="43" t="s">
        <v>2313</v>
      </c>
      <c r="J90" s="45" t="s">
        <v>1321</v>
      </c>
      <c r="K90" s="45" t="s">
        <v>216</v>
      </c>
      <c r="L90" s="45"/>
      <c r="M90" s="106">
        <v>1</v>
      </c>
      <c r="N90" s="50">
        <f>2.99/10</f>
        <v>0.29900000000000004</v>
      </c>
      <c r="O90" s="110">
        <f>IF(OR(ISBLANK(BOM_table6[[#This Row],[SKU QTY]]),BOM_table6[[#This Row],[SKU Cost]]=0),0,BOM_table6[[#This Row],[SKU Cost]]/BOM_table6[[#This Row],[SKU QTY]])</f>
        <v>0.29900000000000004</v>
      </c>
      <c r="P90" s="110">
        <f>IF(OR(ISBLANK(BOM_table6[[#This Row],[ASM QTY]]),ISBLANK(BOM_table6[[#This Row],[Unit Cost]])),0,BOM_table6[[#This Row],[ASM QTY]]*BOM_table6[[#This Row],[Unit Cost]])</f>
        <v>2.0930000000000004</v>
      </c>
      <c r="Q90" s="45">
        <v>3</v>
      </c>
      <c r="R90" s="81"/>
      <c r="S90" s="111">
        <f>BOM_table6[[#This Row],[ASM QTY]]*$Q$2+BOM_table6[[#This Row],[Spare QTY Needed]]-BOM_table6[[#This Row],[QTY in Inventory]]</f>
        <v>10</v>
      </c>
      <c r="T90" s="111">
        <f>ROUNDUP((BOM_table6[[#This Row],[QTY to Order]]/BOM_table6[[#This Row],[SKU QTY]]),0)</f>
        <v>10</v>
      </c>
      <c r="U90" s="110">
        <f>BOM_table6[[#This Row],[SKU QTY to Order]]*BOM_table6[[#This Row],[SKU Cost]]</f>
        <v>2.99</v>
      </c>
      <c r="V90" s="62"/>
      <c r="W90" s="45" t="s">
        <v>2191</v>
      </c>
      <c r="X90" s="45" t="s">
        <v>2192</v>
      </c>
      <c r="Y90" s="54">
        <v>44923</v>
      </c>
      <c r="Z90" s="54"/>
      <c r="AA90" s="54">
        <v>44924</v>
      </c>
      <c r="AB90" s="45"/>
      <c r="AC90" s="126"/>
    </row>
    <row r="91" spans="1:29" ht="15" customHeight="1" x14ac:dyDescent="0.2">
      <c r="A91" s="105" t="s">
        <v>160</v>
      </c>
      <c r="B91" s="44" t="s">
        <v>1507</v>
      </c>
      <c r="C91" s="45" t="s">
        <v>1506</v>
      </c>
      <c r="D91" s="45"/>
      <c r="E91" s="45"/>
      <c r="F91" s="45" t="s">
        <v>898</v>
      </c>
      <c r="G91" s="45">
        <v>1</v>
      </c>
      <c r="H91" s="45" t="s">
        <v>2175</v>
      </c>
      <c r="J91" s="45" t="s">
        <v>166</v>
      </c>
      <c r="K91" s="45" t="s">
        <v>216</v>
      </c>
      <c r="L91" s="45"/>
      <c r="M91" s="106">
        <v>1</v>
      </c>
      <c r="N91" s="50"/>
      <c r="O91" s="110">
        <f>IF(OR(ISBLANK(BOM_table6[[#This Row],[SKU QTY]]),BOM_table6[[#This Row],[SKU Cost]]=0),0,BOM_table6[[#This Row],[SKU Cost]]/BOM_table6[[#This Row],[SKU QTY]])</f>
        <v>0</v>
      </c>
      <c r="P91" s="110">
        <f>IF(OR(ISBLANK(BOM_table6[[#This Row],[ASM QTY]]),ISBLANK(BOM_table6[[#This Row],[Unit Cost]])),0,BOM_table6[[#This Row],[ASM QTY]]*BOM_table6[[#This Row],[Unit Cost]])</f>
        <v>0</v>
      </c>
      <c r="Q91" s="45"/>
      <c r="R91" s="81"/>
      <c r="S91" s="111">
        <f>BOM_table6[[#This Row],[ASM QTY]]*$Q$2+BOM_table6[[#This Row],[Spare QTY Needed]]-BOM_table6[[#This Row],[QTY in Inventory]]</f>
        <v>1</v>
      </c>
      <c r="T91" s="111">
        <f>ROUNDUP((BOM_table6[[#This Row],[QTY to Order]]/BOM_table6[[#This Row],[SKU QTY]]),0)</f>
        <v>1</v>
      </c>
      <c r="U91" s="110">
        <f>BOM_table6[[#This Row],[SKU QTY to Order]]*BOM_table6[[#This Row],[SKU Cost]]</f>
        <v>0</v>
      </c>
      <c r="V91" s="50"/>
      <c r="W91" s="45"/>
      <c r="X91" s="45"/>
      <c r="Y91" s="54"/>
      <c r="Z91" s="54"/>
      <c r="AA91" s="45"/>
      <c r="AB91" s="45"/>
      <c r="AC91" s="45"/>
    </row>
    <row r="92" spans="1:29" ht="15" customHeight="1" x14ac:dyDescent="0.2">
      <c r="A92" s="105" t="s">
        <v>160</v>
      </c>
      <c r="B92" s="44" t="s">
        <v>909</v>
      </c>
      <c r="C92" s="45" t="s">
        <v>910</v>
      </c>
      <c r="D92" s="45"/>
      <c r="E92" s="45"/>
      <c r="F92" s="45" t="s">
        <v>898</v>
      </c>
      <c r="G92" s="45">
        <v>4</v>
      </c>
      <c r="H92" s="45" t="s">
        <v>2175</v>
      </c>
      <c r="J92" s="45" t="s">
        <v>166</v>
      </c>
      <c r="K92" s="45" t="s">
        <v>216</v>
      </c>
      <c r="L92" s="45"/>
      <c r="M92" s="106">
        <v>1</v>
      </c>
      <c r="N92" s="50"/>
      <c r="O92" s="110">
        <f>IF(OR(ISBLANK(BOM_table6[[#This Row],[SKU QTY]]),BOM_table6[[#This Row],[SKU Cost]]=0),0,BOM_table6[[#This Row],[SKU Cost]]/BOM_table6[[#This Row],[SKU QTY]])</f>
        <v>0</v>
      </c>
      <c r="P92" s="110">
        <f>IF(OR(ISBLANK(BOM_table6[[#This Row],[ASM QTY]]),ISBLANK(BOM_table6[[#This Row],[Unit Cost]])),0,BOM_table6[[#This Row],[ASM QTY]]*BOM_table6[[#This Row],[Unit Cost]])</f>
        <v>0</v>
      </c>
      <c r="Q92" s="45"/>
      <c r="R92" s="81"/>
      <c r="S92" s="111">
        <f>BOM_table6[[#This Row],[ASM QTY]]*$Q$2+BOM_table6[[#This Row],[Spare QTY Needed]]-BOM_table6[[#This Row],[QTY in Inventory]]</f>
        <v>4</v>
      </c>
      <c r="T92" s="111">
        <f>ROUNDUP((BOM_table6[[#This Row],[QTY to Order]]/BOM_table6[[#This Row],[SKU QTY]]),0)</f>
        <v>4</v>
      </c>
      <c r="U92" s="110">
        <f>BOM_table6[[#This Row],[SKU QTY to Order]]*BOM_table6[[#This Row],[SKU Cost]]</f>
        <v>0</v>
      </c>
      <c r="V92" s="50"/>
      <c r="W92" s="45"/>
      <c r="X92" s="45"/>
      <c r="Y92" s="54"/>
      <c r="Z92" s="54"/>
      <c r="AA92" s="54"/>
      <c r="AB92" s="45"/>
      <c r="AC92" s="45"/>
    </row>
    <row r="93" spans="1:29" ht="15" customHeight="1" x14ac:dyDescent="0.2">
      <c r="A93" s="105" t="s">
        <v>161</v>
      </c>
      <c r="B93" s="44" t="s">
        <v>914</v>
      </c>
      <c r="C93" s="45" t="s">
        <v>915</v>
      </c>
      <c r="D93" s="45"/>
      <c r="E93" s="45"/>
      <c r="F93" s="45" t="s">
        <v>898</v>
      </c>
      <c r="G93" s="45">
        <v>4</v>
      </c>
      <c r="H93" s="45" t="s">
        <v>2175</v>
      </c>
      <c r="I93" s="43" t="s">
        <v>2313</v>
      </c>
      <c r="J93" s="45" t="s">
        <v>166</v>
      </c>
      <c r="K93" s="45" t="s">
        <v>216</v>
      </c>
      <c r="L93" s="45"/>
      <c r="M93" s="106">
        <v>1</v>
      </c>
      <c r="N93" s="50">
        <f>9.11/10</f>
        <v>0.91099999999999992</v>
      </c>
      <c r="O93" s="110">
        <f>IF(OR(ISBLANK(BOM_table6[[#This Row],[SKU QTY]]),BOM_table6[[#This Row],[SKU Cost]]=0),0,BOM_table6[[#This Row],[SKU Cost]]/BOM_table6[[#This Row],[SKU QTY]])</f>
        <v>0.91099999999999992</v>
      </c>
      <c r="P93" s="110">
        <f>IF(OR(ISBLANK(BOM_table6[[#This Row],[ASM QTY]]),ISBLANK(BOM_table6[[#This Row],[Unit Cost]])),0,BOM_table6[[#This Row],[ASM QTY]]*BOM_table6[[#This Row],[Unit Cost]])</f>
        <v>3.6439999999999997</v>
      </c>
      <c r="Q93" s="45">
        <v>6</v>
      </c>
      <c r="R93" s="81"/>
      <c r="S93" s="111">
        <f>BOM_table6[[#This Row],[ASM QTY]]*$Q$2+BOM_table6[[#This Row],[Spare QTY Needed]]-BOM_table6[[#This Row],[QTY in Inventory]]</f>
        <v>10</v>
      </c>
      <c r="T93" s="111">
        <f>ROUNDUP((BOM_table6[[#This Row],[QTY to Order]]/BOM_table6[[#This Row],[SKU QTY]]),0)</f>
        <v>10</v>
      </c>
      <c r="U93" s="110">
        <f>BOM_table6[[#This Row],[SKU QTY to Order]]*BOM_table6[[#This Row],[SKU Cost]]</f>
        <v>9.11</v>
      </c>
      <c r="V93" s="50"/>
      <c r="W93" s="45" t="s">
        <v>2191</v>
      </c>
      <c r="X93" s="45" t="s">
        <v>2192</v>
      </c>
      <c r="Y93" s="54">
        <v>44923</v>
      </c>
      <c r="Z93" s="54"/>
      <c r="AA93" s="54">
        <v>44924</v>
      </c>
      <c r="AB93" s="45"/>
      <c r="AC93" s="45"/>
    </row>
    <row r="94" spans="1:29" ht="15" customHeight="1" x14ac:dyDescent="0.2">
      <c r="A94" s="105" t="s">
        <v>161</v>
      </c>
      <c r="B94" s="44" t="s">
        <v>911</v>
      </c>
      <c r="C94" s="45" t="s">
        <v>912</v>
      </c>
      <c r="D94" s="45"/>
      <c r="E94" s="45" t="s">
        <v>1049</v>
      </c>
      <c r="F94" s="45" t="s">
        <v>898</v>
      </c>
      <c r="G94" s="45">
        <v>1</v>
      </c>
      <c r="H94" s="45" t="s">
        <v>2175</v>
      </c>
      <c r="I94" s="43" t="s">
        <v>2189</v>
      </c>
      <c r="J94" s="45" t="s">
        <v>169</v>
      </c>
      <c r="K94" s="45" t="s">
        <v>2182</v>
      </c>
      <c r="L94" s="45"/>
      <c r="M94" s="106">
        <v>1</v>
      </c>
      <c r="N94" s="50">
        <v>1380</v>
      </c>
      <c r="O94" s="110">
        <f>IF(OR(ISBLANK(BOM_table6[[#This Row],[SKU QTY]]),BOM_table6[[#This Row],[SKU Cost]]=0),0,BOM_table6[[#This Row],[SKU Cost]]/BOM_table6[[#This Row],[SKU QTY]])</f>
        <v>1380</v>
      </c>
      <c r="P94" s="110">
        <f>IF(OR(ISBLANK(BOM_table6[[#This Row],[ASM QTY]]),ISBLANK(BOM_table6[[#This Row],[Unit Cost]])),0,BOM_table6[[#This Row],[ASM QTY]]*BOM_table6[[#This Row],[Unit Cost]])</f>
        <v>1380</v>
      </c>
      <c r="Q94" s="45">
        <v>0</v>
      </c>
      <c r="R94" s="81">
        <v>0</v>
      </c>
      <c r="S94" s="111">
        <f>BOM_table6[[#This Row],[ASM QTY]]*$Q$2+BOM_table6[[#This Row],[Spare QTY Needed]]-BOM_table6[[#This Row],[QTY in Inventory]]</f>
        <v>1</v>
      </c>
      <c r="T94" s="111">
        <f>ROUNDUP((BOM_table6[[#This Row],[QTY to Order]]/BOM_table6[[#This Row],[SKU QTY]]),0)</f>
        <v>1</v>
      </c>
      <c r="U94" s="110">
        <f>BOM_table6[[#This Row],[SKU QTY to Order]]*BOM_table6[[#This Row],[SKU Cost]]</f>
        <v>1380</v>
      </c>
      <c r="V94" s="50" t="s">
        <v>2183</v>
      </c>
      <c r="W94" s="45" t="s">
        <v>2191</v>
      </c>
      <c r="X94" s="45" t="s">
        <v>2196</v>
      </c>
      <c r="Y94" s="54">
        <v>44845</v>
      </c>
      <c r="Z94" s="54">
        <v>44872</v>
      </c>
      <c r="AA94" s="45"/>
      <c r="AB94" s="45"/>
      <c r="AC94" s="45"/>
    </row>
    <row r="95" spans="1:29" ht="15" customHeight="1" x14ac:dyDescent="0.2">
      <c r="A95" s="105" t="s">
        <v>161</v>
      </c>
      <c r="B95" s="44" t="s">
        <v>1454</v>
      </c>
      <c r="C95" s="45" t="s">
        <v>899</v>
      </c>
      <c r="D95" s="45"/>
      <c r="E95" s="45" t="s">
        <v>1049</v>
      </c>
      <c r="F95" s="45" t="s">
        <v>898</v>
      </c>
      <c r="G95" s="45">
        <v>1</v>
      </c>
      <c r="H95" s="45" t="s">
        <v>2175</v>
      </c>
      <c r="I95" s="43" t="s">
        <v>2279</v>
      </c>
      <c r="J95" s="45" t="s">
        <v>169</v>
      </c>
      <c r="K95" s="45" t="s">
        <v>1439</v>
      </c>
      <c r="L95" s="45"/>
      <c r="M95" s="106">
        <v>1</v>
      </c>
      <c r="N95" s="50">
        <v>210</v>
      </c>
      <c r="O95" s="110">
        <f>IF(OR(ISBLANK(BOM_table6[[#This Row],[SKU QTY]]),BOM_table6[[#This Row],[SKU Cost]]=0),0,BOM_table6[[#This Row],[SKU Cost]]/BOM_table6[[#This Row],[SKU QTY]])</f>
        <v>210</v>
      </c>
      <c r="P95" s="110">
        <f>IF(OR(ISBLANK(BOM_table6[[#This Row],[ASM QTY]]),ISBLANK(BOM_table6[[#This Row],[Unit Cost]])),0,BOM_table6[[#This Row],[ASM QTY]]*BOM_table6[[#This Row],[Unit Cost]])</f>
        <v>210</v>
      </c>
      <c r="Q95" s="45"/>
      <c r="R95" s="81"/>
      <c r="S95" s="111">
        <f>BOM_table6[[#This Row],[ASM QTY]]*$Q$2+BOM_table6[[#This Row],[Spare QTY Needed]]-BOM_table6[[#This Row],[QTY in Inventory]]</f>
        <v>1</v>
      </c>
      <c r="T95" s="111">
        <f>ROUNDUP((BOM_table6[[#This Row],[QTY to Order]]/BOM_table6[[#This Row],[SKU QTY]]),0)</f>
        <v>1</v>
      </c>
      <c r="U95" s="110">
        <f>BOM_table6[[#This Row],[SKU QTY to Order]]*BOM_table6[[#This Row],[SKU Cost]]</f>
        <v>210</v>
      </c>
      <c r="V95" s="50"/>
      <c r="W95" s="45" t="s">
        <v>2191</v>
      </c>
      <c r="X95" s="45" t="s">
        <v>2216</v>
      </c>
      <c r="Y95" s="54">
        <v>44858</v>
      </c>
      <c r="Z95" s="54">
        <v>44893</v>
      </c>
      <c r="AA95" s="54"/>
      <c r="AB95" s="45"/>
      <c r="AC95" s="45"/>
    </row>
    <row r="96" spans="1:29" ht="15" customHeight="1" x14ac:dyDescent="0.2">
      <c r="A96" s="105" t="s">
        <v>161</v>
      </c>
      <c r="B96" s="44" t="s">
        <v>900</v>
      </c>
      <c r="C96" s="45" t="s">
        <v>901</v>
      </c>
      <c r="D96" s="45"/>
      <c r="E96" s="45" t="s">
        <v>902</v>
      </c>
      <c r="F96" s="45" t="s">
        <v>898</v>
      </c>
      <c r="G96" s="45">
        <v>2</v>
      </c>
      <c r="H96" s="45" t="s">
        <v>2175</v>
      </c>
      <c r="J96" s="45" t="s">
        <v>166</v>
      </c>
      <c r="K96" s="45"/>
      <c r="L96" s="45"/>
      <c r="M96" s="106">
        <v>1</v>
      </c>
      <c r="N96" s="50"/>
      <c r="O96" s="110">
        <f>IF(OR(ISBLANK(BOM_table6[[#This Row],[SKU QTY]]),BOM_table6[[#This Row],[SKU Cost]]=0),0,BOM_table6[[#This Row],[SKU Cost]]/BOM_table6[[#This Row],[SKU QTY]])</f>
        <v>0</v>
      </c>
      <c r="P96" s="110">
        <f>IF(OR(ISBLANK(BOM_table6[[#This Row],[ASM QTY]]),ISBLANK(BOM_table6[[#This Row],[Unit Cost]])),0,BOM_table6[[#This Row],[ASM QTY]]*BOM_table6[[#This Row],[Unit Cost]])</f>
        <v>0</v>
      </c>
      <c r="Q96" s="45"/>
      <c r="R96" s="81"/>
      <c r="S96" s="111">
        <f>BOM_table6[[#This Row],[ASM QTY]]*$Q$2+BOM_table6[[#This Row],[Spare QTY Needed]]-BOM_table6[[#This Row],[QTY in Inventory]]</f>
        <v>2</v>
      </c>
      <c r="T96" s="111">
        <f>ROUNDUP((BOM_table6[[#This Row],[QTY to Order]]/BOM_table6[[#This Row],[SKU QTY]]),0)</f>
        <v>2</v>
      </c>
      <c r="U96" s="110">
        <f>BOM_table6[[#This Row],[SKU QTY to Order]]*BOM_table6[[#This Row],[SKU Cost]]</f>
        <v>0</v>
      </c>
      <c r="V96" s="50"/>
      <c r="W96" s="45"/>
      <c r="X96" s="45"/>
      <c r="Y96" s="63"/>
      <c r="Z96" s="54"/>
      <c r="AA96" s="45"/>
      <c r="AB96" s="45"/>
      <c r="AC96" s="45"/>
    </row>
    <row r="97" spans="1:29" ht="15" customHeight="1" x14ac:dyDescent="0.2">
      <c r="A97" s="105" t="s">
        <v>161</v>
      </c>
      <c r="B97" s="44" t="s">
        <v>903</v>
      </c>
      <c r="C97" s="45" t="s">
        <v>904</v>
      </c>
      <c r="D97" s="45"/>
      <c r="E97" s="45" t="s">
        <v>902</v>
      </c>
      <c r="F97" s="45" t="s">
        <v>898</v>
      </c>
      <c r="G97" s="45">
        <v>2</v>
      </c>
      <c r="H97" s="45" t="s">
        <v>2175</v>
      </c>
      <c r="J97" s="45" t="s">
        <v>166</v>
      </c>
      <c r="K97" s="45"/>
      <c r="L97" s="45"/>
      <c r="M97" s="106">
        <v>1</v>
      </c>
      <c r="N97" s="50"/>
      <c r="O97" s="110">
        <f>IF(OR(ISBLANK(BOM_table6[[#This Row],[SKU QTY]]),BOM_table6[[#This Row],[SKU Cost]]=0),0,BOM_table6[[#This Row],[SKU Cost]]/BOM_table6[[#This Row],[SKU QTY]])</f>
        <v>0</v>
      </c>
      <c r="P97" s="110">
        <f>IF(OR(ISBLANK(BOM_table6[[#This Row],[ASM QTY]]),ISBLANK(BOM_table6[[#This Row],[Unit Cost]])),0,BOM_table6[[#This Row],[ASM QTY]]*BOM_table6[[#This Row],[Unit Cost]])</f>
        <v>0</v>
      </c>
      <c r="Q97" s="45"/>
      <c r="R97" s="81"/>
      <c r="S97" s="111">
        <f>BOM_table6[[#This Row],[ASM QTY]]*$Q$2+BOM_table6[[#This Row],[Spare QTY Needed]]-BOM_table6[[#This Row],[QTY in Inventory]]</f>
        <v>2</v>
      </c>
      <c r="T97" s="111">
        <f>ROUNDUP((BOM_table6[[#This Row],[QTY to Order]]/BOM_table6[[#This Row],[SKU QTY]]),0)</f>
        <v>2</v>
      </c>
      <c r="U97" s="110">
        <f>BOM_table6[[#This Row],[SKU QTY to Order]]*BOM_table6[[#This Row],[SKU Cost]]</f>
        <v>0</v>
      </c>
      <c r="V97" s="50"/>
      <c r="W97" s="45"/>
      <c r="X97" s="45"/>
      <c r="Y97" s="63"/>
      <c r="Z97" s="54"/>
      <c r="AA97" s="45"/>
      <c r="AB97" s="45"/>
      <c r="AC97" s="45"/>
    </row>
    <row r="98" spans="1:29" ht="15" customHeight="1" x14ac:dyDescent="0.2">
      <c r="A98" s="105" t="s">
        <v>161</v>
      </c>
      <c r="B98" s="44" t="s">
        <v>917</v>
      </c>
      <c r="C98" s="45" t="s">
        <v>918</v>
      </c>
      <c r="D98" s="45"/>
      <c r="E98" s="45" t="s">
        <v>316</v>
      </c>
      <c r="F98" s="45" t="s">
        <v>898</v>
      </c>
      <c r="G98" s="45">
        <v>1</v>
      </c>
      <c r="H98" s="45" t="s">
        <v>2175</v>
      </c>
      <c r="J98" s="45" t="s">
        <v>166</v>
      </c>
      <c r="K98" s="45" t="s">
        <v>316</v>
      </c>
      <c r="L98" s="45"/>
      <c r="M98" s="106">
        <v>1</v>
      </c>
      <c r="N98" s="50">
        <v>60.03</v>
      </c>
      <c r="O98" s="110">
        <f>IF(OR(ISBLANK(BOM_table6[[#This Row],[SKU QTY]]),BOM_table6[[#This Row],[SKU Cost]]=0),0,BOM_table6[[#This Row],[SKU Cost]]/BOM_table6[[#This Row],[SKU QTY]])</f>
        <v>60.03</v>
      </c>
      <c r="P98" s="110">
        <f>IF(OR(ISBLANK(BOM_table6[[#This Row],[ASM QTY]]),ISBLANK(BOM_table6[[#This Row],[Unit Cost]])),0,BOM_table6[[#This Row],[ASM QTY]]*BOM_table6[[#This Row],[Unit Cost]])</f>
        <v>60.03</v>
      </c>
      <c r="Q98" s="45"/>
      <c r="R98" s="81"/>
      <c r="S98" s="111">
        <f>BOM_table6[[#This Row],[ASM QTY]]*$Q$2+BOM_table6[[#This Row],[Spare QTY Needed]]-BOM_table6[[#This Row],[QTY in Inventory]]</f>
        <v>1</v>
      </c>
      <c r="T98" s="111">
        <f>ROUNDUP((BOM_table6[[#This Row],[QTY to Order]]/BOM_table6[[#This Row],[SKU QTY]]),0)</f>
        <v>1</v>
      </c>
      <c r="U98" s="110">
        <f>BOM_table6[[#This Row],[SKU QTY to Order]]*BOM_table6[[#This Row],[SKU Cost]]</f>
        <v>60.03</v>
      </c>
      <c r="V98" s="50" t="s">
        <v>2190</v>
      </c>
      <c r="W98" s="45" t="s">
        <v>2191</v>
      </c>
      <c r="X98" s="45" t="s">
        <v>2192</v>
      </c>
      <c r="Y98" s="54">
        <v>44845</v>
      </c>
      <c r="Z98" s="54"/>
      <c r="AA98" s="45"/>
      <c r="AB98" s="45"/>
      <c r="AC98" s="45"/>
    </row>
    <row r="99" spans="1:29" ht="15" customHeight="1" x14ac:dyDescent="0.2">
      <c r="A99" s="105" t="s">
        <v>161</v>
      </c>
      <c r="B99" s="44" t="s">
        <v>913</v>
      </c>
      <c r="C99" s="45" t="s">
        <v>315</v>
      </c>
      <c r="D99" s="45"/>
      <c r="E99" s="45" t="s">
        <v>316</v>
      </c>
      <c r="F99" s="45" t="s">
        <v>898</v>
      </c>
      <c r="G99" s="45">
        <v>4</v>
      </c>
      <c r="H99" s="45" t="s">
        <v>2175</v>
      </c>
      <c r="J99" s="45" t="s">
        <v>166</v>
      </c>
      <c r="K99" s="45" t="s">
        <v>316</v>
      </c>
      <c r="L99" s="45"/>
      <c r="M99" s="106">
        <v>1</v>
      </c>
      <c r="N99" s="50">
        <v>26.65</v>
      </c>
      <c r="O99" s="110">
        <f>IF(OR(ISBLANK(BOM_table6[[#This Row],[SKU QTY]]),BOM_table6[[#This Row],[SKU Cost]]=0),0,BOM_table6[[#This Row],[SKU Cost]]/BOM_table6[[#This Row],[SKU QTY]])</f>
        <v>26.65</v>
      </c>
      <c r="P99" s="110">
        <f>IF(OR(ISBLANK(BOM_table6[[#This Row],[ASM QTY]]),ISBLANK(BOM_table6[[#This Row],[Unit Cost]])),0,BOM_table6[[#This Row],[ASM QTY]]*BOM_table6[[#This Row],[Unit Cost]])</f>
        <v>106.6</v>
      </c>
      <c r="Q99" s="45"/>
      <c r="R99" s="81"/>
      <c r="S99" s="111">
        <f>BOM_table6[[#This Row],[ASM QTY]]*$Q$2+BOM_table6[[#This Row],[Spare QTY Needed]]-BOM_table6[[#This Row],[QTY in Inventory]]</f>
        <v>4</v>
      </c>
      <c r="T99" s="111">
        <f>ROUNDUP((BOM_table6[[#This Row],[QTY to Order]]/BOM_table6[[#This Row],[SKU QTY]]),0)</f>
        <v>4</v>
      </c>
      <c r="U99" s="110">
        <f>BOM_table6[[#This Row],[SKU QTY to Order]]*BOM_table6[[#This Row],[SKU Cost]]</f>
        <v>106.6</v>
      </c>
      <c r="V99" s="50" t="s">
        <v>2195</v>
      </c>
      <c r="W99" s="45" t="s">
        <v>2191</v>
      </c>
      <c r="X99" s="45" t="s">
        <v>2192</v>
      </c>
      <c r="Y99" s="54">
        <v>44845</v>
      </c>
      <c r="Z99" s="54">
        <v>44887</v>
      </c>
      <c r="AA99" s="45"/>
      <c r="AB99" s="45"/>
      <c r="AC99" s="45"/>
    </row>
    <row r="100" spans="1:29" ht="15" customHeight="1" x14ac:dyDescent="0.2">
      <c r="A100" s="105" t="s">
        <v>161</v>
      </c>
      <c r="B100" s="44" t="s">
        <v>907</v>
      </c>
      <c r="C100" s="45" t="s">
        <v>908</v>
      </c>
      <c r="D100" s="45"/>
      <c r="E100" s="45" t="s">
        <v>316</v>
      </c>
      <c r="F100" s="45" t="s">
        <v>898</v>
      </c>
      <c r="G100" s="45">
        <v>2</v>
      </c>
      <c r="H100" s="45" t="s">
        <v>2175</v>
      </c>
      <c r="J100" s="45" t="s">
        <v>166</v>
      </c>
      <c r="K100" s="45" t="s">
        <v>316</v>
      </c>
      <c r="L100" s="45"/>
      <c r="M100" s="106">
        <v>1</v>
      </c>
      <c r="N100" s="50">
        <v>72.48</v>
      </c>
      <c r="O100" s="110">
        <f>IF(OR(ISBLANK(BOM_table6[[#This Row],[SKU QTY]]),BOM_table6[[#This Row],[SKU Cost]]=0),0,BOM_table6[[#This Row],[SKU Cost]]/BOM_table6[[#This Row],[SKU QTY]])</f>
        <v>72.48</v>
      </c>
      <c r="P100" s="110">
        <f>IF(OR(ISBLANK(BOM_table6[[#This Row],[ASM QTY]]),ISBLANK(BOM_table6[[#This Row],[Unit Cost]])),0,BOM_table6[[#This Row],[ASM QTY]]*BOM_table6[[#This Row],[Unit Cost]])</f>
        <v>144.96</v>
      </c>
      <c r="Q100" s="45"/>
      <c r="R100" s="81"/>
      <c r="S100" s="111">
        <f>BOM_table6[[#This Row],[ASM QTY]]*$Q$2+BOM_table6[[#This Row],[Spare QTY Needed]]-BOM_table6[[#This Row],[QTY in Inventory]]</f>
        <v>2</v>
      </c>
      <c r="T100" s="111">
        <f>ROUNDUP((BOM_table6[[#This Row],[QTY to Order]]/BOM_table6[[#This Row],[SKU QTY]]),0)</f>
        <v>2</v>
      </c>
      <c r="U100" s="110">
        <f>BOM_table6[[#This Row],[SKU QTY to Order]]*BOM_table6[[#This Row],[SKU Cost]]</f>
        <v>144.96</v>
      </c>
      <c r="V100" s="50" t="s">
        <v>2190</v>
      </c>
      <c r="W100" s="45" t="s">
        <v>2191</v>
      </c>
      <c r="X100" s="45" t="s">
        <v>2192</v>
      </c>
      <c r="Y100" s="54">
        <v>44845</v>
      </c>
      <c r="Z100" s="54"/>
      <c r="AA100" s="45"/>
      <c r="AB100" s="45"/>
      <c r="AC100" s="45"/>
    </row>
    <row r="101" spans="1:29" ht="15" customHeight="1" x14ac:dyDescent="0.2">
      <c r="A101" s="105" t="s">
        <v>161</v>
      </c>
      <c r="B101" s="44" t="s">
        <v>905</v>
      </c>
      <c r="C101" s="45" t="s">
        <v>906</v>
      </c>
      <c r="D101" s="45"/>
      <c r="E101" s="45" t="s">
        <v>902</v>
      </c>
      <c r="F101" s="45" t="s">
        <v>898</v>
      </c>
      <c r="G101" s="45">
        <v>2</v>
      </c>
      <c r="H101" s="45" t="s">
        <v>2175</v>
      </c>
      <c r="I101" s="43" t="s">
        <v>2230</v>
      </c>
      <c r="J101" s="45" t="s">
        <v>166</v>
      </c>
      <c r="K101" s="45"/>
      <c r="L101" s="45"/>
      <c r="M101" s="106">
        <v>1</v>
      </c>
      <c r="N101" s="50"/>
      <c r="O101" s="110">
        <f>IF(OR(ISBLANK(BOM_table6[[#This Row],[SKU QTY]]),BOM_table6[[#This Row],[SKU Cost]]=0),0,BOM_table6[[#This Row],[SKU Cost]]/BOM_table6[[#This Row],[SKU QTY]])</f>
        <v>0</v>
      </c>
      <c r="P101" s="110">
        <f>IF(OR(ISBLANK(BOM_table6[[#This Row],[ASM QTY]]),ISBLANK(BOM_table6[[#This Row],[Unit Cost]])),0,BOM_table6[[#This Row],[ASM QTY]]*BOM_table6[[#This Row],[Unit Cost]])</f>
        <v>0</v>
      </c>
      <c r="Q101" s="45"/>
      <c r="R101" s="81"/>
      <c r="S101" s="111">
        <f>BOM_table6[[#This Row],[ASM QTY]]*$Q$2+BOM_table6[[#This Row],[Spare QTY Needed]]-BOM_table6[[#This Row],[QTY in Inventory]]</f>
        <v>2</v>
      </c>
      <c r="T101" s="111">
        <f>ROUNDUP((BOM_table6[[#This Row],[QTY to Order]]/BOM_table6[[#This Row],[SKU QTY]]),0)</f>
        <v>2</v>
      </c>
      <c r="U101" s="110">
        <f>BOM_table6[[#This Row],[SKU QTY to Order]]*BOM_table6[[#This Row],[SKU Cost]]</f>
        <v>0</v>
      </c>
      <c r="V101" s="50"/>
      <c r="W101" s="45"/>
      <c r="X101" s="45"/>
      <c r="Y101" s="63"/>
      <c r="Z101" s="54"/>
      <c r="AA101" s="45"/>
      <c r="AB101" s="45"/>
      <c r="AC101" s="45"/>
    </row>
    <row r="102" spans="1:29" ht="15" customHeight="1" x14ac:dyDescent="0.2">
      <c r="A102" s="105" t="s">
        <v>161</v>
      </c>
      <c r="B102" s="44" t="s">
        <v>916</v>
      </c>
      <c r="C102" s="45" t="s">
        <v>1455</v>
      </c>
      <c r="D102" s="45"/>
      <c r="E102" s="45" t="s">
        <v>861</v>
      </c>
      <c r="F102" s="45" t="s">
        <v>898</v>
      </c>
      <c r="G102" s="45">
        <v>1</v>
      </c>
      <c r="H102" s="45" t="s">
        <v>2175</v>
      </c>
      <c r="I102" s="43" t="s">
        <v>1692</v>
      </c>
      <c r="J102" s="45" t="s">
        <v>166</v>
      </c>
      <c r="K102" s="45" t="s">
        <v>216</v>
      </c>
      <c r="L102" s="45"/>
      <c r="M102" s="106">
        <v>1</v>
      </c>
      <c r="N102" s="50"/>
      <c r="O102" s="110">
        <f>IF(OR(ISBLANK(BOM_table6[[#This Row],[SKU QTY]]),BOM_table6[[#This Row],[SKU Cost]]=0),0,BOM_table6[[#This Row],[SKU Cost]]/BOM_table6[[#This Row],[SKU QTY]])</f>
        <v>0</v>
      </c>
      <c r="P102" s="110">
        <f>IF(OR(ISBLANK(BOM_table6[[#This Row],[ASM QTY]]),ISBLANK(BOM_table6[[#This Row],[Unit Cost]])),0,BOM_table6[[#This Row],[ASM QTY]]*BOM_table6[[#This Row],[Unit Cost]])</f>
        <v>0</v>
      </c>
      <c r="Q102" s="45"/>
      <c r="R102" s="81"/>
      <c r="S102" s="111">
        <f>BOM_table6[[#This Row],[ASM QTY]]*$Q$2+BOM_table6[[#This Row],[Spare QTY Needed]]-BOM_table6[[#This Row],[QTY in Inventory]]</f>
        <v>1</v>
      </c>
      <c r="T102" s="111">
        <f>ROUNDUP((BOM_table6[[#This Row],[QTY to Order]]/BOM_table6[[#This Row],[SKU QTY]]),0)</f>
        <v>1</v>
      </c>
      <c r="U102" s="110">
        <f>BOM_table6[[#This Row],[SKU QTY to Order]]*BOM_table6[[#This Row],[SKU Cost]]</f>
        <v>0</v>
      </c>
      <c r="V102" s="50"/>
      <c r="W102" s="45"/>
      <c r="X102" s="45"/>
      <c r="Y102" s="54"/>
      <c r="Z102" s="54"/>
      <c r="AA102" s="45"/>
      <c r="AB102" s="45"/>
      <c r="AC102" s="45"/>
    </row>
    <row r="103" spans="1:29" ht="15" customHeight="1" x14ac:dyDescent="0.2">
      <c r="A103" s="105" t="s">
        <v>161</v>
      </c>
      <c r="B103" s="44" t="s">
        <v>896</v>
      </c>
      <c r="C103" s="126" t="s">
        <v>897</v>
      </c>
      <c r="D103" s="126"/>
      <c r="E103" s="126"/>
      <c r="F103" s="45" t="s">
        <v>898</v>
      </c>
      <c r="G103" s="126">
        <v>1</v>
      </c>
      <c r="H103" s="45" t="s">
        <v>2175</v>
      </c>
      <c r="I103" s="131"/>
      <c r="J103" s="126" t="s">
        <v>166</v>
      </c>
      <c r="K103" s="126" t="s">
        <v>1693</v>
      </c>
      <c r="L103" s="126"/>
      <c r="M103" s="106">
        <v>1</v>
      </c>
      <c r="N103" s="128">
        <v>1675.49</v>
      </c>
      <c r="O103" s="110">
        <f>IF(OR(ISBLANK(BOM_table6[[#This Row],[SKU QTY]]),BOM_table6[[#This Row],[SKU Cost]]=0),0,BOM_table6[[#This Row],[SKU Cost]]/BOM_table6[[#This Row],[SKU QTY]])</f>
        <v>1675.49</v>
      </c>
      <c r="P103" s="110">
        <f>IF(OR(ISBLANK(BOM_table6[[#This Row],[ASM QTY]]),ISBLANK(BOM_table6[[#This Row],[Unit Cost]])),0,BOM_table6[[#This Row],[ASM QTY]]*BOM_table6[[#This Row],[Unit Cost]])</f>
        <v>1675.49</v>
      </c>
      <c r="Q103" s="126"/>
      <c r="R103" s="132"/>
      <c r="S103" s="111">
        <f>BOM_table6[[#This Row],[ASM QTY]]*$Q$2+BOM_table6[[#This Row],[Spare QTY Needed]]-BOM_table6[[#This Row],[QTY in Inventory]]</f>
        <v>1</v>
      </c>
      <c r="T103" s="111">
        <f>ROUNDUP((BOM_table6[[#This Row],[QTY to Order]]/BOM_table6[[#This Row],[SKU QTY]]),0)</f>
        <v>1</v>
      </c>
      <c r="U103" s="110">
        <f>BOM_table6[[#This Row],[SKU QTY to Order]]*BOM_table6[[#This Row],[SKU Cost]]</f>
        <v>1675.49</v>
      </c>
      <c r="V103" s="50" t="s">
        <v>2197</v>
      </c>
      <c r="W103" s="45" t="s">
        <v>2191</v>
      </c>
      <c r="X103" s="45" t="s">
        <v>2198</v>
      </c>
      <c r="Y103" s="130">
        <v>44845</v>
      </c>
      <c r="Z103" s="133">
        <v>44984</v>
      </c>
      <c r="AA103" s="130"/>
      <c r="AB103" s="45"/>
      <c r="AC103" s="45"/>
    </row>
    <row r="104" spans="1:29" ht="15" customHeight="1" x14ac:dyDescent="0.2">
      <c r="A104" s="105" t="s">
        <v>161</v>
      </c>
      <c r="B104" s="44" t="s">
        <v>580</v>
      </c>
      <c r="C104" s="45" t="s">
        <v>581</v>
      </c>
      <c r="D104" s="45" t="s">
        <v>233</v>
      </c>
      <c r="E104" s="45" t="s">
        <v>1049</v>
      </c>
      <c r="F104" s="45" t="s">
        <v>827</v>
      </c>
      <c r="G104" s="45">
        <v>1</v>
      </c>
      <c r="H104" s="45" t="s">
        <v>2175</v>
      </c>
      <c r="I104" s="43" t="s">
        <v>2278</v>
      </c>
      <c r="J104" s="45" t="s">
        <v>169</v>
      </c>
      <c r="K104" s="45" t="s">
        <v>1439</v>
      </c>
      <c r="L104" s="45"/>
      <c r="M104" s="106">
        <v>1</v>
      </c>
      <c r="N104" s="50">
        <v>168</v>
      </c>
      <c r="O104" s="110">
        <f>IF(OR(ISBLANK(BOM_table6[[#This Row],[SKU QTY]]),BOM_table6[[#This Row],[SKU Cost]]=0),0,BOM_table6[[#This Row],[SKU Cost]]/BOM_table6[[#This Row],[SKU QTY]])</f>
        <v>168</v>
      </c>
      <c r="P104" s="110">
        <f>IF(OR(ISBLANK(BOM_table6[[#This Row],[ASM QTY]]),ISBLANK(BOM_table6[[#This Row],[Unit Cost]])),0,BOM_table6[[#This Row],[ASM QTY]]*BOM_table6[[#This Row],[Unit Cost]])</f>
        <v>168</v>
      </c>
      <c r="Q104" s="45"/>
      <c r="R104" s="81"/>
      <c r="S104" s="111">
        <f>BOM_table6[[#This Row],[ASM QTY]]*$Q$2+BOM_table6[[#This Row],[Spare QTY Needed]]-BOM_table6[[#This Row],[QTY in Inventory]]</f>
        <v>1</v>
      </c>
      <c r="T104" s="111">
        <f>ROUNDUP((BOM_table6[[#This Row],[QTY to Order]]/BOM_table6[[#This Row],[SKU QTY]]),0)</f>
        <v>1</v>
      </c>
      <c r="U104" s="110">
        <f>BOM_table6[[#This Row],[SKU QTY to Order]]*BOM_table6[[#This Row],[SKU Cost]]</f>
        <v>168</v>
      </c>
      <c r="V104" s="62"/>
      <c r="W104" s="45" t="s">
        <v>2191</v>
      </c>
      <c r="X104" s="45" t="s">
        <v>2216</v>
      </c>
      <c r="Y104" s="97">
        <v>44858</v>
      </c>
      <c r="Z104" s="54">
        <v>44893</v>
      </c>
      <c r="AA104" s="54"/>
      <c r="AB104" s="45"/>
      <c r="AC104" s="45"/>
    </row>
    <row r="105" spans="1:29" ht="15" customHeight="1" x14ac:dyDescent="0.25">
      <c r="A105" s="105" t="s">
        <v>161</v>
      </c>
      <c r="B105" s="44" t="s">
        <v>1417</v>
      </c>
      <c r="C105" s="45" t="s">
        <v>1438</v>
      </c>
      <c r="D105" s="45"/>
      <c r="E105" s="45" t="s">
        <v>466</v>
      </c>
      <c r="F105" s="45" t="s">
        <v>827</v>
      </c>
      <c r="G105" s="45">
        <v>1</v>
      </c>
      <c r="H105" s="45" t="s">
        <v>2175</v>
      </c>
      <c r="I105" s="43" t="s">
        <v>2241</v>
      </c>
      <c r="J105" s="45" t="s">
        <v>166</v>
      </c>
      <c r="K105" s="45" t="s">
        <v>466</v>
      </c>
      <c r="L105" s="45"/>
      <c r="M105" s="106">
        <v>1</v>
      </c>
      <c r="N105" s="50">
        <v>263.76</v>
      </c>
      <c r="O105" s="110">
        <f>IF(OR(ISBLANK(BOM_table6[[#This Row],[SKU QTY]]),BOM_table6[[#This Row],[SKU Cost]]=0),0,BOM_table6[[#This Row],[SKU Cost]]/BOM_table6[[#This Row],[SKU QTY]])</f>
        <v>263.76</v>
      </c>
      <c r="P105" s="110">
        <f>IF(OR(ISBLANK(BOM_table6[[#This Row],[ASM QTY]]),ISBLANK(BOM_table6[[#This Row],[Unit Cost]])),0,BOM_table6[[#This Row],[ASM QTY]]*BOM_table6[[#This Row],[Unit Cost]])</f>
        <v>263.76</v>
      </c>
      <c r="Q105" s="45">
        <v>1</v>
      </c>
      <c r="R105" s="81">
        <v>0</v>
      </c>
      <c r="S105" s="111">
        <f>BOM_table6[[#This Row],[ASM QTY]]*$Q$2+BOM_table6[[#This Row],[Spare QTY Needed]]-BOM_table6[[#This Row],[QTY in Inventory]]</f>
        <v>2</v>
      </c>
      <c r="T105" s="111">
        <f>ROUNDUP((BOM_table6[[#This Row],[QTY to Order]]/BOM_table6[[#This Row],[SKU QTY]]),0)</f>
        <v>2</v>
      </c>
      <c r="U105" s="110">
        <f>BOM_table6[[#This Row],[SKU QTY to Order]]*BOM_table6[[#This Row],[SKU Cost]]</f>
        <v>527.52</v>
      </c>
      <c r="V105" s="50" t="s">
        <v>1991</v>
      </c>
      <c r="W105" s="45" t="s">
        <v>2180</v>
      </c>
      <c r="X105" s="45" t="s">
        <v>2192</v>
      </c>
      <c r="Y105" s="54">
        <v>44831</v>
      </c>
      <c r="Z105" s="54">
        <v>44854</v>
      </c>
      <c r="AA105" s="54"/>
      <c r="AB105" s="187" t="s">
        <v>2181</v>
      </c>
      <c r="AC105" s="45"/>
    </row>
    <row r="106" spans="1:29" ht="15" customHeight="1" x14ac:dyDescent="0.2">
      <c r="A106" s="105" t="s">
        <v>161</v>
      </c>
      <c r="B106" s="44" t="s">
        <v>578</v>
      </c>
      <c r="C106" s="45" t="s">
        <v>579</v>
      </c>
      <c r="D106" s="45"/>
      <c r="E106" s="45"/>
      <c r="F106" s="45" t="s">
        <v>827</v>
      </c>
      <c r="G106" s="45">
        <v>2</v>
      </c>
      <c r="H106" s="45" t="s">
        <v>2175</v>
      </c>
      <c r="I106" s="43" t="s">
        <v>2324</v>
      </c>
      <c r="J106" s="45" t="s">
        <v>1321</v>
      </c>
      <c r="K106" s="45" t="s">
        <v>216</v>
      </c>
      <c r="L106" s="45"/>
      <c r="M106" s="106">
        <v>1</v>
      </c>
      <c r="N106" s="50">
        <f>5.45/100</f>
        <v>5.45E-2</v>
      </c>
      <c r="O106" s="110">
        <f>IF(OR(ISBLANK(BOM_table6[[#This Row],[SKU QTY]]),BOM_table6[[#This Row],[SKU Cost]]=0),0,BOM_table6[[#This Row],[SKU Cost]]/BOM_table6[[#This Row],[SKU QTY]])</f>
        <v>5.45E-2</v>
      </c>
      <c r="P106" s="110">
        <f>IF(OR(ISBLANK(BOM_table6[[#This Row],[ASM QTY]]),ISBLANK(BOM_table6[[#This Row],[Unit Cost]])),0,BOM_table6[[#This Row],[ASM QTY]]*BOM_table6[[#This Row],[Unit Cost]])</f>
        <v>0.109</v>
      </c>
      <c r="Q106" s="45">
        <v>98</v>
      </c>
      <c r="R106" s="81"/>
      <c r="S106" s="111">
        <f>BOM_table6[[#This Row],[ASM QTY]]*$Q$2+BOM_table6[[#This Row],[Spare QTY Needed]]-BOM_table6[[#This Row],[QTY in Inventory]]</f>
        <v>100</v>
      </c>
      <c r="T106" s="111">
        <f>ROUNDUP((BOM_table6[[#This Row],[QTY to Order]]/BOM_table6[[#This Row],[SKU QTY]]),0)</f>
        <v>100</v>
      </c>
      <c r="U106" s="110">
        <f>BOM_table6[[#This Row],[SKU QTY to Order]]*BOM_table6[[#This Row],[SKU Cost]]</f>
        <v>5.45</v>
      </c>
      <c r="V106" s="62"/>
      <c r="W106" s="45" t="s">
        <v>2191</v>
      </c>
      <c r="X106" s="45" t="s">
        <v>2192</v>
      </c>
      <c r="Y106" s="54">
        <v>44923</v>
      </c>
      <c r="Z106" s="54"/>
      <c r="AA106" s="54">
        <v>44924</v>
      </c>
      <c r="AB106" s="45"/>
      <c r="AC106" s="45"/>
    </row>
    <row r="107" spans="1:29" ht="15" customHeight="1" x14ac:dyDescent="0.2">
      <c r="A107" s="105" t="s">
        <v>161</v>
      </c>
      <c r="B107" s="44" t="s">
        <v>588</v>
      </c>
      <c r="C107" s="45" t="s">
        <v>589</v>
      </c>
      <c r="D107" s="45"/>
      <c r="E107" s="45"/>
      <c r="F107" s="45" t="s">
        <v>827</v>
      </c>
      <c r="G107" s="45">
        <v>4</v>
      </c>
      <c r="H107" s="45" t="s">
        <v>2175</v>
      </c>
      <c r="I107" s="43" t="s">
        <v>2325</v>
      </c>
      <c r="J107" s="45" t="s">
        <v>1321</v>
      </c>
      <c r="K107" s="45" t="s">
        <v>216</v>
      </c>
      <c r="L107" s="45"/>
      <c r="M107" s="106">
        <v>1</v>
      </c>
      <c r="N107" s="50">
        <f>5.75/10</f>
        <v>0.57499999999999996</v>
      </c>
      <c r="O107" s="110">
        <f>IF(OR(ISBLANK(BOM_table6[[#This Row],[SKU QTY]]),BOM_table6[[#This Row],[SKU Cost]]=0),0,BOM_table6[[#This Row],[SKU Cost]]/BOM_table6[[#This Row],[SKU QTY]])</f>
        <v>0.57499999999999996</v>
      </c>
      <c r="P107" s="110">
        <f>IF(OR(ISBLANK(BOM_table6[[#This Row],[ASM QTY]]),ISBLANK(BOM_table6[[#This Row],[Unit Cost]])),0,BOM_table6[[#This Row],[ASM QTY]]*BOM_table6[[#This Row],[Unit Cost]])</f>
        <v>2.2999999999999998</v>
      </c>
      <c r="Q107" s="45">
        <v>6</v>
      </c>
      <c r="R107" s="81"/>
      <c r="S107" s="111">
        <f>BOM_table6[[#This Row],[ASM QTY]]*$Q$2+BOM_table6[[#This Row],[Spare QTY Needed]]-BOM_table6[[#This Row],[QTY in Inventory]]</f>
        <v>10</v>
      </c>
      <c r="T107" s="111">
        <f>ROUNDUP((BOM_table6[[#This Row],[QTY to Order]]/BOM_table6[[#This Row],[SKU QTY]]),0)</f>
        <v>10</v>
      </c>
      <c r="U107" s="110">
        <f>BOM_table6[[#This Row],[SKU QTY to Order]]*BOM_table6[[#This Row],[SKU Cost]]</f>
        <v>5.75</v>
      </c>
      <c r="V107" s="62"/>
      <c r="W107" s="45" t="s">
        <v>2191</v>
      </c>
      <c r="X107" s="45" t="s">
        <v>2192</v>
      </c>
      <c r="Y107" s="54">
        <v>44923</v>
      </c>
      <c r="Z107" s="54"/>
      <c r="AA107" s="54">
        <v>44924</v>
      </c>
      <c r="AB107" s="45"/>
      <c r="AC107" s="45"/>
    </row>
    <row r="108" spans="1:29" ht="15" customHeight="1" x14ac:dyDescent="0.2">
      <c r="A108" s="105" t="s">
        <v>161</v>
      </c>
      <c r="B108" s="44" t="s">
        <v>582</v>
      </c>
      <c r="C108" s="45" t="s">
        <v>583</v>
      </c>
      <c r="D108" s="45"/>
      <c r="E108" s="45"/>
      <c r="F108" s="45" t="s">
        <v>827</v>
      </c>
      <c r="G108" s="45">
        <v>2</v>
      </c>
      <c r="H108" s="45" t="s">
        <v>2175</v>
      </c>
      <c r="I108" s="43" t="s">
        <v>2323</v>
      </c>
      <c r="J108" s="45" t="s">
        <v>1321</v>
      </c>
      <c r="K108" s="45" t="s">
        <v>216</v>
      </c>
      <c r="L108" s="45"/>
      <c r="M108" s="106">
        <v>1</v>
      </c>
      <c r="N108" s="50">
        <f>15.2/50</f>
        <v>0.30399999999999999</v>
      </c>
      <c r="O108" s="110">
        <f>IF(OR(ISBLANK(BOM_table6[[#This Row],[SKU QTY]]),BOM_table6[[#This Row],[SKU Cost]]=0),0,BOM_table6[[#This Row],[SKU Cost]]/BOM_table6[[#This Row],[SKU QTY]])</f>
        <v>0.30399999999999999</v>
      </c>
      <c r="P108" s="110">
        <f>IF(OR(ISBLANK(BOM_table6[[#This Row],[ASM QTY]]),ISBLANK(BOM_table6[[#This Row],[Unit Cost]])),0,BOM_table6[[#This Row],[ASM QTY]]*BOM_table6[[#This Row],[Unit Cost]])</f>
        <v>0.60799999999999998</v>
      </c>
      <c r="Q108" s="45">
        <v>48</v>
      </c>
      <c r="R108" s="81"/>
      <c r="S108" s="111">
        <f>BOM_table6[[#This Row],[ASM QTY]]*$Q$2+BOM_table6[[#This Row],[Spare QTY Needed]]-BOM_table6[[#This Row],[QTY in Inventory]]</f>
        <v>50</v>
      </c>
      <c r="T108" s="111">
        <f>ROUNDUP((BOM_table6[[#This Row],[QTY to Order]]/BOM_table6[[#This Row],[SKU QTY]]),0)</f>
        <v>50</v>
      </c>
      <c r="U108" s="110">
        <f>BOM_table6[[#This Row],[SKU QTY to Order]]*BOM_table6[[#This Row],[SKU Cost]]</f>
        <v>15.2</v>
      </c>
      <c r="V108" s="62"/>
      <c r="W108" s="45" t="s">
        <v>2191</v>
      </c>
      <c r="X108" s="45" t="s">
        <v>2192</v>
      </c>
      <c r="Y108" s="54">
        <v>44923</v>
      </c>
      <c r="Z108" s="54"/>
      <c r="AA108" s="54">
        <v>44924</v>
      </c>
      <c r="AB108" s="45"/>
      <c r="AC108" s="45"/>
    </row>
    <row r="109" spans="1:29" ht="15" customHeight="1" x14ac:dyDescent="0.2">
      <c r="A109" s="105" t="s">
        <v>161</v>
      </c>
      <c r="B109" s="44" t="s">
        <v>590</v>
      </c>
      <c r="C109" s="45" t="s">
        <v>591</v>
      </c>
      <c r="D109" s="45"/>
      <c r="E109" s="45"/>
      <c r="F109" s="45" t="s">
        <v>827</v>
      </c>
      <c r="G109" s="45">
        <v>2</v>
      </c>
      <c r="H109" s="45" t="s">
        <v>2175</v>
      </c>
      <c r="J109" s="45" t="s">
        <v>1321</v>
      </c>
      <c r="K109" s="45" t="s">
        <v>216</v>
      </c>
      <c r="L109" s="45"/>
      <c r="M109" s="106">
        <v>1</v>
      </c>
      <c r="N109" s="50">
        <v>4.12</v>
      </c>
      <c r="O109" s="110">
        <f>IF(OR(ISBLANK(BOM_table6[[#This Row],[SKU QTY]]),BOM_table6[[#This Row],[SKU Cost]]=0),0,BOM_table6[[#This Row],[SKU Cost]]/BOM_table6[[#This Row],[SKU QTY]])</f>
        <v>4.12</v>
      </c>
      <c r="P109" s="110">
        <f>IF(OR(ISBLANK(BOM_table6[[#This Row],[ASM QTY]]),ISBLANK(BOM_table6[[#This Row],[Unit Cost]])),0,BOM_table6[[#This Row],[ASM QTY]]*BOM_table6[[#This Row],[Unit Cost]])</f>
        <v>8.24</v>
      </c>
      <c r="Q109" s="45"/>
      <c r="R109" s="81"/>
      <c r="S109" s="111">
        <f>BOM_table6[[#This Row],[ASM QTY]]*$Q$2+BOM_table6[[#This Row],[Spare QTY Needed]]-BOM_table6[[#This Row],[QTY in Inventory]]</f>
        <v>2</v>
      </c>
      <c r="T109" s="111">
        <f>ROUNDUP((BOM_table6[[#This Row],[QTY to Order]]/BOM_table6[[#This Row],[SKU QTY]]),0)</f>
        <v>2</v>
      </c>
      <c r="U109" s="110">
        <f>BOM_table6[[#This Row],[SKU QTY to Order]]*BOM_table6[[#This Row],[SKU Cost]]</f>
        <v>8.24</v>
      </c>
      <c r="V109" s="62"/>
      <c r="W109" s="45" t="s">
        <v>2191</v>
      </c>
      <c r="X109" s="45" t="s">
        <v>2192</v>
      </c>
      <c r="Y109" s="54">
        <v>44923</v>
      </c>
      <c r="Z109" s="54"/>
      <c r="AA109" s="54">
        <v>44924</v>
      </c>
      <c r="AB109" s="45"/>
      <c r="AC109" s="45"/>
    </row>
    <row r="110" spans="1:29" ht="15" customHeight="1" x14ac:dyDescent="0.2">
      <c r="A110" s="105" t="s">
        <v>161</v>
      </c>
      <c r="B110" s="44" t="s">
        <v>575</v>
      </c>
      <c r="C110" s="45" t="s">
        <v>573</v>
      </c>
      <c r="D110" s="45"/>
      <c r="E110" s="45" t="s">
        <v>574</v>
      </c>
      <c r="F110" s="45" t="s">
        <v>827</v>
      </c>
      <c r="G110" s="45">
        <v>1</v>
      </c>
      <c r="H110" s="45" t="s">
        <v>2175</v>
      </c>
      <c r="J110" s="45" t="s">
        <v>166</v>
      </c>
      <c r="K110" s="45" t="s">
        <v>574</v>
      </c>
      <c r="L110" s="45"/>
      <c r="M110" s="106">
        <v>1</v>
      </c>
      <c r="N110" s="50"/>
      <c r="O110" s="110">
        <f>IF(OR(ISBLANK(BOM_table6[[#This Row],[SKU QTY]]),BOM_table6[[#This Row],[SKU Cost]]=0),0,BOM_table6[[#This Row],[SKU Cost]]/BOM_table6[[#This Row],[SKU QTY]])</f>
        <v>0</v>
      </c>
      <c r="P110" s="110">
        <f>IF(OR(ISBLANK(BOM_table6[[#This Row],[ASM QTY]]),ISBLANK(BOM_table6[[#This Row],[Unit Cost]])),0,BOM_table6[[#This Row],[ASM QTY]]*BOM_table6[[#This Row],[Unit Cost]])</f>
        <v>0</v>
      </c>
      <c r="Q110" s="45"/>
      <c r="R110" s="81">
        <v>8</v>
      </c>
      <c r="S110" s="111">
        <f>BOM_table6[[#This Row],[ASM QTY]]*$Q$2+BOM_table6[[#This Row],[Spare QTY Needed]]-BOM_table6[[#This Row],[QTY in Inventory]]</f>
        <v>-7</v>
      </c>
      <c r="T110" s="111">
        <f>ROUNDUP((BOM_table6[[#This Row],[QTY to Order]]/BOM_table6[[#This Row],[SKU QTY]]),0)</f>
        <v>-7</v>
      </c>
      <c r="U110" s="110">
        <f>BOM_table6[[#This Row],[SKU QTY to Order]]*BOM_table6[[#This Row],[SKU Cost]]</f>
        <v>0</v>
      </c>
      <c r="V110" s="50"/>
      <c r="W110" s="45"/>
      <c r="X110" s="45"/>
      <c r="Y110" s="54"/>
      <c r="Z110" s="54"/>
      <c r="AA110" s="45"/>
      <c r="AB110" s="45"/>
      <c r="AC110" s="45" t="s">
        <v>2184</v>
      </c>
    </row>
    <row r="111" spans="1:29" ht="15" customHeight="1" x14ac:dyDescent="0.2">
      <c r="A111" s="105" t="s">
        <v>161</v>
      </c>
      <c r="B111" s="44" t="s">
        <v>576</v>
      </c>
      <c r="C111" s="45" t="s">
        <v>1400</v>
      </c>
      <c r="D111" s="45"/>
      <c r="E111" s="45" t="s">
        <v>577</v>
      </c>
      <c r="F111" s="45" t="s">
        <v>827</v>
      </c>
      <c r="G111" s="45">
        <v>1</v>
      </c>
      <c r="H111" s="45" t="s">
        <v>2175</v>
      </c>
      <c r="I111" s="43" t="s">
        <v>2188</v>
      </c>
      <c r="J111" s="45" t="s">
        <v>166</v>
      </c>
      <c r="K111" s="45" t="s">
        <v>1397</v>
      </c>
      <c r="L111" s="45"/>
      <c r="M111" s="106">
        <v>1</v>
      </c>
      <c r="N111" s="50"/>
      <c r="O111" s="110">
        <f>IF(OR(ISBLANK(BOM_table6[[#This Row],[SKU QTY]]),BOM_table6[[#This Row],[SKU Cost]]=0),0,BOM_table6[[#This Row],[SKU Cost]]/BOM_table6[[#This Row],[SKU QTY]])</f>
        <v>0</v>
      </c>
      <c r="P111" s="110">
        <f>IF(OR(ISBLANK(BOM_table6[[#This Row],[ASM QTY]]),ISBLANK(BOM_table6[[#This Row],[Unit Cost]])),0,BOM_table6[[#This Row],[ASM QTY]]*BOM_table6[[#This Row],[Unit Cost]])</f>
        <v>0</v>
      </c>
      <c r="Q111" s="45"/>
      <c r="R111" s="81"/>
      <c r="S111" s="111">
        <f>BOM_table6[[#This Row],[ASM QTY]]*$Q$2+BOM_table6[[#This Row],[Spare QTY Needed]]-BOM_table6[[#This Row],[QTY in Inventory]]</f>
        <v>1</v>
      </c>
      <c r="T111" s="111">
        <f>ROUNDUP((BOM_table6[[#This Row],[QTY to Order]]/BOM_table6[[#This Row],[SKU QTY]]),0)</f>
        <v>1</v>
      </c>
      <c r="U111" s="110">
        <f>BOM_table6[[#This Row],[SKU QTY to Order]]*BOM_table6[[#This Row],[SKU Cost]]</f>
        <v>0</v>
      </c>
      <c r="V111" s="62"/>
      <c r="W111" s="45"/>
      <c r="X111" s="45"/>
      <c r="Y111" s="54"/>
      <c r="Z111" s="54"/>
      <c r="AA111" s="54"/>
      <c r="AB111" s="45"/>
      <c r="AC111" s="45"/>
    </row>
    <row r="112" spans="1:29" ht="15" customHeight="1" x14ac:dyDescent="0.2">
      <c r="A112" s="105" t="s">
        <v>161</v>
      </c>
      <c r="B112" s="44" t="s">
        <v>586</v>
      </c>
      <c r="C112" s="45" t="s">
        <v>587</v>
      </c>
      <c r="D112" s="45" t="s">
        <v>152</v>
      </c>
      <c r="E112" s="45" t="s">
        <v>1049</v>
      </c>
      <c r="F112" s="45" t="s">
        <v>827</v>
      </c>
      <c r="G112" s="45">
        <v>1</v>
      </c>
      <c r="H112" s="45" t="s">
        <v>2175</v>
      </c>
      <c r="I112" s="43" t="s">
        <v>2280</v>
      </c>
      <c r="J112" s="45" t="s">
        <v>169</v>
      </c>
      <c r="K112" s="45" t="s">
        <v>1439</v>
      </c>
      <c r="L112" s="45"/>
      <c r="M112" s="106">
        <v>1</v>
      </c>
      <c r="N112" s="50">
        <v>189</v>
      </c>
      <c r="O112" s="110">
        <f>IF(OR(ISBLANK(BOM_table6[[#This Row],[SKU QTY]]),BOM_table6[[#This Row],[SKU Cost]]=0),0,BOM_table6[[#This Row],[SKU Cost]]/BOM_table6[[#This Row],[SKU QTY]])</f>
        <v>189</v>
      </c>
      <c r="P112" s="110">
        <f>IF(OR(ISBLANK(BOM_table6[[#This Row],[ASM QTY]]),ISBLANK(BOM_table6[[#This Row],[Unit Cost]])),0,BOM_table6[[#This Row],[ASM QTY]]*BOM_table6[[#This Row],[Unit Cost]])</f>
        <v>189</v>
      </c>
      <c r="Q112" s="45"/>
      <c r="R112" s="81"/>
      <c r="S112" s="111">
        <f>BOM_table6[[#This Row],[ASM QTY]]*$Q$2+BOM_table6[[#This Row],[Spare QTY Needed]]-BOM_table6[[#This Row],[QTY in Inventory]]</f>
        <v>1</v>
      </c>
      <c r="T112" s="111">
        <f>ROUNDUP((BOM_table6[[#This Row],[QTY to Order]]/BOM_table6[[#This Row],[SKU QTY]]),0)</f>
        <v>1</v>
      </c>
      <c r="U112" s="110">
        <f>BOM_table6[[#This Row],[SKU QTY to Order]]*BOM_table6[[#This Row],[SKU Cost]]</f>
        <v>189</v>
      </c>
      <c r="V112" s="62"/>
      <c r="W112" s="45" t="s">
        <v>2191</v>
      </c>
      <c r="X112" s="45" t="s">
        <v>2216</v>
      </c>
      <c r="Y112" s="97">
        <v>44858</v>
      </c>
      <c r="Z112" s="54">
        <v>44893</v>
      </c>
      <c r="AA112" s="54"/>
      <c r="AB112" s="45"/>
      <c r="AC112" s="45"/>
    </row>
    <row r="113" spans="1:29" ht="15" customHeight="1" x14ac:dyDescent="0.2">
      <c r="A113" s="105" t="s">
        <v>161</v>
      </c>
      <c r="B113" s="44" t="s">
        <v>584</v>
      </c>
      <c r="C113" s="45" t="s">
        <v>585</v>
      </c>
      <c r="D113" s="45"/>
      <c r="E113" s="45" t="s">
        <v>1049</v>
      </c>
      <c r="F113" s="45" t="s">
        <v>827</v>
      </c>
      <c r="G113" s="45">
        <v>1</v>
      </c>
      <c r="H113" s="45" t="s">
        <v>2175</v>
      </c>
      <c r="I113" s="43" t="s">
        <v>2280</v>
      </c>
      <c r="J113" s="45" t="s">
        <v>169</v>
      </c>
      <c r="K113" s="45" t="s">
        <v>1439</v>
      </c>
      <c r="L113" s="45"/>
      <c r="M113" s="106">
        <v>1</v>
      </c>
      <c r="N113" s="50">
        <v>273</v>
      </c>
      <c r="O113" s="110">
        <f>IF(OR(ISBLANK(BOM_table6[[#This Row],[SKU QTY]]),BOM_table6[[#This Row],[SKU Cost]]=0),0,BOM_table6[[#This Row],[SKU Cost]]/BOM_table6[[#This Row],[SKU QTY]])</f>
        <v>273</v>
      </c>
      <c r="P113" s="110">
        <f>IF(OR(ISBLANK(BOM_table6[[#This Row],[ASM QTY]]),ISBLANK(BOM_table6[[#This Row],[Unit Cost]])),0,BOM_table6[[#This Row],[ASM QTY]]*BOM_table6[[#This Row],[Unit Cost]])</f>
        <v>273</v>
      </c>
      <c r="Q113" s="45"/>
      <c r="R113" s="81"/>
      <c r="S113" s="111">
        <f>BOM_table6[[#This Row],[ASM QTY]]*$Q$2+BOM_table6[[#This Row],[Spare QTY Needed]]-BOM_table6[[#This Row],[QTY in Inventory]]</f>
        <v>1</v>
      </c>
      <c r="T113" s="111">
        <f>ROUNDUP((BOM_table6[[#This Row],[QTY to Order]]/BOM_table6[[#This Row],[SKU QTY]]),0)</f>
        <v>1</v>
      </c>
      <c r="U113" s="110">
        <f>BOM_table6[[#This Row],[SKU QTY to Order]]*BOM_table6[[#This Row],[SKU Cost]]</f>
        <v>273</v>
      </c>
      <c r="V113" s="62"/>
      <c r="W113" s="45" t="s">
        <v>2191</v>
      </c>
      <c r="X113" s="45" t="s">
        <v>2216</v>
      </c>
      <c r="Y113" s="97">
        <v>44858</v>
      </c>
      <c r="Z113" s="54">
        <v>44893</v>
      </c>
      <c r="AA113" s="54"/>
      <c r="AB113" s="45"/>
      <c r="AC113" s="45"/>
    </row>
    <row r="114" spans="1:29" ht="15" customHeight="1" x14ac:dyDescent="0.2">
      <c r="A114" s="105" t="s">
        <v>161</v>
      </c>
      <c r="B114" s="44" t="s">
        <v>386</v>
      </c>
      <c r="C114" s="45" t="s">
        <v>387</v>
      </c>
      <c r="D114" s="45" t="s">
        <v>364</v>
      </c>
      <c r="E114" s="45" t="s">
        <v>1049</v>
      </c>
      <c r="F114" s="45" t="s">
        <v>815</v>
      </c>
      <c r="G114" s="45">
        <v>2</v>
      </c>
      <c r="H114" s="45" t="s">
        <v>2175</v>
      </c>
      <c r="I114" s="43" t="s">
        <v>2280</v>
      </c>
      <c r="J114" s="45" t="s">
        <v>169</v>
      </c>
      <c r="K114" s="45" t="s">
        <v>1439</v>
      </c>
      <c r="L114" s="45"/>
      <c r="M114" s="106">
        <v>1</v>
      </c>
      <c r="N114" s="50">
        <v>273</v>
      </c>
      <c r="O114" s="110">
        <f>IF(OR(ISBLANK(BOM_table6[[#This Row],[SKU QTY]]),BOM_table6[[#This Row],[SKU Cost]]=0),0,BOM_table6[[#This Row],[SKU Cost]]/BOM_table6[[#This Row],[SKU QTY]])</f>
        <v>273</v>
      </c>
      <c r="P114" s="110">
        <f>IF(OR(ISBLANK(BOM_table6[[#This Row],[ASM QTY]]),ISBLANK(BOM_table6[[#This Row],[Unit Cost]])),0,BOM_table6[[#This Row],[ASM QTY]]*BOM_table6[[#This Row],[Unit Cost]])</f>
        <v>546</v>
      </c>
      <c r="Q114" s="45"/>
      <c r="R114" s="81"/>
      <c r="S114" s="111">
        <f>BOM_table6[[#This Row],[ASM QTY]]*$Q$2+BOM_table6[[#This Row],[Spare QTY Needed]]-BOM_table6[[#This Row],[QTY in Inventory]]</f>
        <v>2</v>
      </c>
      <c r="T114" s="111">
        <f>ROUNDUP((BOM_table6[[#This Row],[QTY to Order]]/BOM_table6[[#This Row],[SKU QTY]]),0)</f>
        <v>2</v>
      </c>
      <c r="U114" s="110">
        <f>BOM_table6[[#This Row],[SKU QTY to Order]]*BOM_table6[[#This Row],[SKU Cost]]</f>
        <v>546</v>
      </c>
      <c r="V114" s="62"/>
      <c r="W114" s="45" t="s">
        <v>2191</v>
      </c>
      <c r="X114" s="45" t="s">
        <v>2216</v>
      </c>
      <c r="Y114" s="97">
        <v>44858</v>
      </c>
      <c r="Z114" s="54">
        <v>44893</v>
      </c>
      <c r="AA114" s="54"/>
      <c r="AB114" s="45"/>
      <c r="AC114" s="45"/>
    </row>
    <row r="115" spans="1:29" ht="15" customHeight="1" x14ac:dyDescent="0.2">
      <c r="A115" s="105" t="s">
        <v>161</v>
      </c>
      <c r="B115" s="44" t="s">
        <v>369</v>
      </c>
      <c r="C115" s="45" t="s">
        <v>372</v>
      </c>
      <c r="D115" s="45" t="s">
        <v>373</v>
      </c>
      <c r="E115" s="45" t="s">
        <v>1049</v>
      </c>
      <c r="F115" s="45" t="s">
        <v>815</v>
      </c>
      <c r="G115" s="45">
        <v>2</v>
      </c>
      <c r="H115" s="45" t="s">
        <v>2175</v>
      </c>
      <c r="I115" s="43" t="s">
        <v>2280</v>
      </c>
      <c r="J115" s="45" t="s">
        <v>169</v>
      </c>
      <c r="K115" s="45" t="s">
        <v>1439</v>
      </c>
      <c r="L115" s="45"/>
      <c r="M115" s="106">
        <v>1</v>
      </c>
      <c r="N115" s="50">
        <v>199.5</v>
      </c>
      <c r="O115" s="110">
        <f>IF(OR(ISBLANK(BOM_table6[[#This Row],[SKU QTY]]),BOM_table6[[#This Row],[SKU Cost]]=0),0,BOM_table6[[#This Row],[SKU Cost]]/BOM_table6[[#This Row],[SKU QTY]])</f>
        <v>199.5</v>
      </c>
      <c r="P115" s="110">
        <f>IF(OR(ISBLANK(BOM_table6[[#This Row],[ASM QTY]]),ISBLANK(BOM_table6[[#This Row],[Unit Cost]])),0,BOM_table6[[#This Row],[ASM QTY]]*BOM_table6[[#This Row],[Unit Cost]])</f>
        <v>399</v>
      </c>
      <c r="Q115" s="45"/>
      <c r="R115" s="81"/>
      <c r="S115" s="111">
        <f>BOM_table6[[#This Row],[ASM QTY]]*$Q$2+BOM_table6[[#This Row],[Spare QTY Needed]]-BOM_table6[[#This Row],[QTY in Inventory]]</f>
        <v>2</v>
      </c>
      <c r="T115" s="111">
        <f>ROUNDUP((BOM_table6[[#This Row],[QTY to Order]]/BOM_table6[[#This Row],[SKU QTY]]),0)</f>
        <v>2</v>
      </c>
      <c r="U115" s="110">
        <f>BOM_table6[[#This Row],[SKU QTY to Order]]*BOM_table6[[#This Row],[SKU Cost]]</f>
        <v>399</v>
      </c>
      <c r="V115" s="62"/>
      <c r="W115" s="45" t="s">
        <v>2191</v>
      </c>
      <c r="X115" s="45" t="s">
        <v>2216</v>
      </c>
      <c r="Y115" s="97">
        <v>44858</v>
      </c>
      <c r="Z115" s="54">
        <v>44893</v>
      </c>
      <c r="AA115" s="54"/>
      <c r="AB115" s="45"/>
      <c r="AC115" s="45"/>
    </row>
    <row r="116" spans="1:29" ht="15" customHeight="1" x14ac:dyDescent="0.2">
      <c r="A116" s="105" t="s">
        <v>161</v>
      </c>
      <c r="B116" s="44" t="s">
        <v>354</v>
      </c>
      <c r="C116" s="45" t="s">
        <v>355</v>
      </c>
      <c r="D116" s="45"/>
      <c r="E116" s="45" t="s">
        <v>1049</v>
      </c>
      <c r="F116" s="45" t="s">
        <v>815</v>
      </c>
      <c r="G116" s="45">
        <v>2</v>
      </c>
      <c r="H116" s="45" t="s">
        <v>2175</v>
      </c>
      <c r="I116" s="43" t="s">
        <v>2280</v>
      </c>
      <c r="J116" s="45" t="s">
        <v>169</v>
      </c>
      <c r="K116" s="45" t="s">
        <v>1439</v>
      </c>
      <c r="L116" s="45"/>
      <c r="M116" s="106">
        <v>1</v>
      </c>
      <c r="N116" s="50">
        <v>168</v>
      </c>
      <c r="O116" s="110">
        <f>IF(OR(ISBLANK(BOM_table6[[#This Row],[SKU QTY]]),BOM_table6[[#This Row],[SKU Cost]]=0),0,BOM_table6[[#This Row],[SKU Cost]]/BOM_table6[[#This Row],[SKU QTY]])</f>
        <v>168</v>
      </c>
      <c r="P116" s="110">
        <f>IF(OR(ISBLANK(BOM_table6[[#This Row],[ASM QTY]]),ISBLANK(BOM_table6[[#This Row],[Unit Cost]])),0,BOM_table6[[#This Row],[ASM QTY]]*BOM_table6[[#This Row],[Unit Cost]])</f>
        <v>336</v>
      </c>
      <c r="Q116" s="45"/>
      <c r="R116" s="81"/>
      <c r="S116" s="111">
        <f>BOM_table6[[#This Row],[ASM QTY]]*$Q$2+BOM_table6[[#This Row],[Spare QTY Needed]]-BOM_table6[[#This Row],[QTY in Inventory]]</f>
        <v>2</v>
      </c>
      <c r="T116" s="111">
        <f>ROUNDUP((BOM_table6[[#This Row],[QTY to Order]]/BOM_table6[[#This Row],[SKU QTY]]),0)</f>
        <v>2</v>
      </c>
      <c r="U116" s="110">
        <f>BOM_table6[[#This Row],[SKU QTY to Order]]*BOM_table6[[#This Row],[SKU Cost]]</f>
        <v>336</v>
      </c>
      <c r="V116" s="62"/>
      <c r="W116" s="45" t="s">
        <v>2191</v>
      </c>
      <c r="X116" s="45" t="s">
        <v>2216</v>
      </c>
      <c r="Y116" s="97">
        <v>44858</v>
      </c>
      <c r="Z116" s="54">
        <v>44893</v>
      </c>
      <c r="AA116" s="54"/>
      <c r="AB116" s="45"/>
      <c r="AC116" s="45"/>
    </row>
    <row r="117" spans="1:29" ht="15" customHeight="1" x14ac:dyDescent="0.25">
      <c r="A117" s="105" t="s">
        <v>161</v>
      </c>
      <c r="B117" s="44" t="s">
        <v>1416</v>
      </c>
      <c r="C117" s="45" t="s">
        <v>1418</v>
      </c>
      <c r="D117" s="45"/>
      <c r="E117" s="45" t="s">
        <v>466</v>
      </c>
      <c r="F117" s="45" t="s">
        <v>815</v>
      </c>
      <c r="G117" s="45">
        <v>2</v>
      </c>
      <c r="H117" s="45" t="s">
        <v>2175</v>
      </c>
      <c r="I117" s="43" t="s">
        <v>2242</v>
      </c>
      <c r="J117" s="45" t="s">
        <v>166</v>
      </c>
      <c r="K117" s="45" t="s">
        <v>466</v>
      </c>
      <c r="L117" s="45"/>
      <c r="M117" s="106">
        <v>1</v>
      </c>
      <c r="N117" s="50">
        <v>264.76</v>
      </c>
      <c r="O117" s="110">
        <f>IF(OR(ISBLANK(BOM_table6[[#This Row],[SKU QTY]]),BOM_table6[[#This Row],[SKU Cost]]=0),0,BOM_table6[[#This Row],[SKU Cost]]/BOM_table6[[#This Row],[SKU QTY]])</f>
        <v>264.76</v>
      </c>
      <c r="P117" s="110">
        <f>IF(OR(ISBLANK(BOM_table6[[#This Row],[ASM QTY]]),ISBLANK(BOM_table6[[#This Row],[Unit Cost]])),0,BOM_table6[[#This Row],[ASM QTY]]*BOM_table6[[#This Row],[Unit Cost]])</f>
        <v>529.52</v>
      </c>
      <c r="Q117" s="45">
        <v>3</v>
      </c>
      <c r="R117" s="81">
        <v>0</v>
      </c>
      <c r="S117" s="111">
        <f>BOM_table6[[#This Row],[ASM QTY]]*$Q$2+BOM_table6[[#This Row],[Spare QTY Needed]]-BOM_table6[[#This Row],[QTY in Inventory]]</f>
        <v>5</v>
      </c>
      <c r="T117" s="111">
        <f>ROUNDUP((BOM_table6[[#This Row],[QTY to Order]]/BOM_table6[[#This Row],[SKU QTY]]),0)</f>
        <v>5</v>
      </c>
      <c r="U117" s="110">
        <f>BOM_table6[[#This Row],[SKU QTY to Order]]*BOM_table6[[#This Row],[SKU Cost]]</f>
        <v>1323.8</v>
      </c>
      <c r="V117" s="50" t="s">
        <v>1991</v>
      </c>
      <c r="W117" s="45" t="s">
        <v>2180</v>
      </c>
      <c r="X117" s="45" t="s">
        <v>2192</v>
      </c>
      <c r="Y117" s="54">
        <v>44831</v>
      </c>
      <c r="Z117" s="54">
        <v>44854</v>
      </c>
      <c r="AA117" s="54"/>
      <c r="AB117" s="187" t="s">
        <v>2181</v>
      </c>
      <c r="AC117" s="45"/>
    </row>
    <row r="118" spans="1:29" ht="15" customHeight="1" x14ac:dyDescent="0.2">
      <c r="A118" s="105" t="s">
        <v>160</v>
      </c>
      <c r="B118" s="44" t="s">
        <v>1508</v>
      </c>
      <c r="C118" s="55" t="s">
        <v>1509</v>
      </c>
      <c r="D118" s="45"/>
      <c r="E118" s="45"/>
      <c r="F118" s="45" t="s">
        <v>815</v>
      </c>
      <c r="G118" s="45">
        <v>4</v>
      </c>
      <c r="H118" s="45" t="s">
        <v>2175</v>
      </c>
      <c r="J118" s="45" t="s">
        <v>166</v>
      </c>
      <c r="K118" s="45" t="s">
        <v>216</v>
      </c>
      <c r="L118" s="45"/>
      <c r="M118" s="106">
        <v>1</v>
      </c>
      <c r="N118" s="50"/>
      <c r="O118" s="110">
        <f>IF(OR(ISBLANK(BOM_table6[[#This Row],[SKU QTY]]),BOM_table6[[#This Row],[SKU Cost]]=0),0,BOM_table6[[#This Row],[SKU Cost]]/BOM_table6[[#This Row],[SKU QTY]])</f>
        <v>0</v>
      </c>
      <c r="P118" s="110">
        <f>IF(OR(ISBLANK(BOM_table6[[#This Row],[ASM QTY]]),ISBLANK(BOM_table6[[#This Row],[Unit Cost]])),0,BOM_table6[[#This Row],[ASM QTY]]*BOM_table6[[#This Row],[Unit Cost]])</f>
        <v>0</v>
      </c>
      <c r="Q118" s="45"/>
      <c r="R118" s="81"/>
      <c r="S118" s="111">
        <f>BOM_table6[[#This Row],[ASM QTY]]*$Q$2+BOM_table6[[#This Row],[Spare QTY Needed]]-BOM_table6[[#This Row],[QTY in Inventory]]</f>
        <v>4</v>
      </c>
      <c r="T118" s="111">
        <f>ROUNDUP((BOM_table6[[#This Row],[QTY to Order]]/BOM_table6[[#This Row],[SKU QTY]]),0)</f>
        <v>4</v>
      </c>
      <c r="U118" s="110">
        <f>BOM_table6[[#This Row],[SKU QTY to Order]]*BOM_table6[[#This Row],[SKU Cost]]</f>
        <v>0</v>
      </c>
      <c r="V118" s="62"/>
      <c r="W118" s="45"/>
      <c r="X118" s="45"/>
      <c r="Y118" s="54"/>
      <c r="Z118" s="54"/>
      <c r="AA118" s="45"/>
      <c r="AB118" s="45"/>
      <c r="AC118" s="45"/>
    </row>
    <row r="119" spans="1:29" ht="15" customHeight="1" x14ac:dyDescent="0.2">
      <c r="A119" s="105" t="s">
        <v>160</v>
      </c>
      <c r="B119" s="44" t="s">
        <v>1510</v>
      </c>
      <c r="C119" s="45" t="s">
        <v>1513</v>
      </c>
      <c r="D119" s="45"/>
      <c r="E119" s="45"/>
      <c r="F119" s="45" t="s">
        <v>815</v>
      </c>
      <c r="G119" s="45">
        <v>4</v>
      </c>
      <c r="H119" s="45" t="s">
        <v>2175</v>
      </c>
      <c r="J119" s="45" t="s">
        <v>166</v>
      </c>
      <c r="K119" s="45" t="s">
        <v>216</v>
      </c>
      <c r="L119" s="45"/>
      <c r="M119" s="106">
        <v>1</v>
      </c>
      <c r="N119" s="50"/>
      <c r="O119" s="110">
        <f>IF(OR(ISBLANK(BOM_table6[[#This Row],[SKU QTY]]),BOM_table6[[#This Row],[SKU Cost]]=0),0,BOM_table6[[#This Row],[SKU Cost]]/BOM_table6[[#This Row],[SKU QTY]])</f>
        <v>0</v>
      </c>
      <c r="P119" s="110">
        <f>IF(OR(ISBLANK(BOM_table6[[#This Row],[ASM QTY]]),ISBLANK(BOM_table6[[#This Row],[Unit Cost]])),0,BOM_table6[[#This Row],[ASM QTY]]*BOM_table6[[#This Row],[Unit Cost]])</f>
        <v>0</v>
      </c>
      <c r="Q119" s="45"/>
      <c r="R119" s="81"/>
      <c r="S119" s="111">
        <f>BOM_table6[[#This Row],[ASM QTY]]*$Q$2+BOM_table6[[#This Row],[Spare QTY Needed]]-BOM_table6[[#This Row],[QTY in Inventory]]</f>
        <v>4</v>
      </c>
      <c r="T119" s="111">
        <f>ROUNDUP((BOM_table6[[#This Row],[QTY to Order]]/BOM_table6[[#This Row],[SKU QTY]]),0)</f>
        <v>4</v>
      </c>
      <c r="U119" s="110">
        <f>BOM_table6[[#This Row],[SKU QTY to Order]]*BOM_table6[[#This Row],[SKU Cost]]</f>
        <v>0</v>
      </c>
      <c r="V119" s="62"/>
      <c r="W119" s="45"/>
      <c r="X119" s="45"/>
      <c r="Y119" s="54"/>
      <c r="Z119" s="54"/>
      <c r="AA119" s="45"/>
      <c r="AB119" s="45"/>
      <c r="AC119" s="45"/>
    </row>
    <row r="120" spans="1:29" ht="15" customHeight="1" x14ac:dyDescent="0.2">
      <c r="A120" s="105" t="s">
        <v>160</v>
      </c>
      <c r="B120" s="44" t="s">
        <v>1511</v>
      </c>
      <c r="C120" s="45" t="s">
        <v>1514</v>
      </c>
      <c r="D120" s="45"/>
      <c r="E120" s="45"/>
      <c r="F120" s="45" t="s">
        <v>815</v>
      </c>
      <c r="G120" s="45">
        <v>4</v>
      </c>
      <c r="H120" s="45" t="s">
        <v>2175</v>
      </c>
      <c r="J120" s="45" t="s">
        <v>166</v>
      </c>
      <c r="K120" s="45" t="s">
        <v>216</v>
      </c>
      <c r="L120" s="45"/>
      <c r="M120" s="106">
        <v>1</v>
      </c>
      <c r="N120" s="50"/>
      <c r="O120" s="110">
        <f>IF(OR(ISBLANK(BOM_table6[[#This Row],[SKU QTY]]),BOM_table6[[#This Row],[SKU Cost]]=0),0,BOM_table6[[#This Row],[SKU Cost]]/BOM_table6[[#This Row],[SKU QTY]])</f>
        <v>0</v>
      </c>
      <c r="P120" s="110">
        <f>IF(OR(ISBLANK(BOM_table6[[#This Row],[ASM QTY]]),ISBLANK(BOM_table6[[#This Row],[Unit Cost]])),0,BOM_table6[[#This Row],[ASM QTY]]*BOM_table6[[#This Row],[Unit Cost]])</f>
        <v>0</v>
      </c>
      <c r="Q120" s="45"/>
      <c r="R120" s="81"/>
      <c r="S120" s="111">
        <f>BOM_table6[[#This Row],[ASM QTY]]*$Q$2+BOM_table6[[#This Row],[Spare QTY Needed]]-BOM_table6[[#This Row],[QTY in Inventory]]</f>
        <v>4</v>
      </c>
      <c r="T120" s="111">
        <f>ROUNDUP((BOM_table6[[#This Row],[QTY to Order]]/BOM_table6[[#This Row],[SKU QTY]]),0)</f>
        <v>4</v>
      </c>
      <c r="U120" s="110">
        <f>BOM_table6[[#This Row],[SKU QTY to Order]]*BOM_table6[[#This Row],[SKU Cost]]</f>
        <v>0</v>
      </c>
      <c r="V120" s="62"/>
      <c r="W120" s="45"/>
      <c r="X120" s="45"/>
      <c r="Y120" s="54"/>
      <c r="Z120" s="54"/>
      <c r="AA120" s="45"/>
      <c r="AB120" s="45"/>
      <c r="AC120" s="45"/>
    </row>
    <row r="121" spans="1:29" ht="15" customHeight="1" x14ac:dyDescent="0.2">
      <c r="A121" s="105" t="s">
        <v>160</v>
      </c>
      <c r="B121" s="44" t="s">
        <v>1512</v>
      </c>
      <c r="C121" s="45" t="s">
        <v>1515</v>
      </c>
      <c r="D121" s="45"/>
      <c r="E121" s="45"/>
      <c r="F121" s="45" t="s">
        <v>815</v>
      </c>
      <c r="G121" s="45">
        <v>4</v>
      </c>
      <c r="H121" s="45" t="s">
        <v>2175</v>
      </c>
      <c r="J121" s="45" t="s">
        <v>166</v>
      </c>
      <c r="K121" s="45" t="s">
        <v>216</v>
      </c>
      <c r="L121" s="45"/>
      <c r="M121" s="106">
        <v>1</v>
      </c>
      <c r="N121" s="50"/>
      <c r="O121" s="110">
        <f>IF(OR(ISBLANK(BOM_table6[[#This Row],[SKU QTY]]),BOM_table6[[#This Row],[SKU Cost]]=0),0,BOM_table6[[#This Row],[SKU Cost]]/BOM_table6[[#This Row],[SKU QTY]])</f>
        <v>0</v>
      </c>
      <c r="P121" s="110">
        <f>IF(OR(ISBLANK(BOM_table6[[#This Row],[ASM QTY]]),ISBLANK(BOM_table6[[#This Row],[Unit Cost]])),0,BOM_table6[[#This Row],[ASM QTY]]*BOM_table6[[#This Row],[Unit Cost]])</f>
        <v>0</v>
      </c>
      <c r="Q121" s="45"/>
      <c r="R121" s="81"/>
      <c r="S121" s="111">
        <f>BOM_table6[[#This Row],[ASM QTY]]*$Q$2+BOM_table6[[#This Row],[Spare QTY Needed]]-BOM_table6[[#This Row],[QTY in Inventory]]</f>
        <v>4</v>
      </c>
      <c r="T121" s="111">
        <f>ROUNDUP((BOM_table6[[#This Row],[QTY to Order]]/BOM_table6[[#This Row],[SKU QTY]]),0)</f>
        <v>4</v>
      </c>
      <c r="U121" s="110">
        <f>BOM_table6[[#This Row],[SKU QTY to Order]]*BOM_table6[[#This Row],[SKU Cost]]</f>
        <v>0</v>
      </c>
      <c r="V121" s="62"/>
      <c r="W121" s="45"/>
      <c r="X121" s="45"/>
      <c r="Y121" s="54"/>
      <c r="Z121" s="54"/>
      <c r="AA121" s="45"/>
      <c r="AB121" s="45"/>
      <c r="AC121" s="45"/>
    </row>
    <row r="122" spans="1:29" ht="15" customHeight="1" x14ac:dyDescent="0.2">
      <c r="A122" s="105" t="s">
        <v>161</v>
      </c>
      <c r="B122" s="44" t="s">
        <v>388</v>
      </c>
      <c r="C122" s="45" t="s">
        <v>389</v>
      </c>
      <c r="D122" s="45"/>
      <c r="E122" s="45"/>
      <c r="F122" s="45" t="s">
        <v>815</v>
      </c>
      <c r="G122" s="45">
        <v>4</v>
      </c>
      <c r="H122" s="45" t="s">
        <v>2175</v>
      </c>
      <c r="J122" s="45" t="s">
        <v>166</v>
      </c>
      <c r="K122" s="45" t="s">
        <v>216</v>
      </c>
      <c r="L122" s="45"/>
      <c r="M122" s="106">
        <v>1</v>
      </c>
      <c r="N122" s="50">
        <v>9.52</v>
      </c>
      <c r="O122" s="110">
        <f>IF(OR(ISBLANK(BOM_table6[[#This Row],[SKU QTY]]),BOM_table6[[#This Row],[SKU Cost]]=0),0,BOM_table6[[#This Row],[SKU Cost]]/BOM_table6[[#This Row],[SKU QTY]])</f>
        <v>9.52</v>
      </c>
      <c r="P122" s="110">
        <f>IF(OR(ISBLANK(BOM_table6[[#This Row],[ASM QTY]]),ISBLANK(BOM_table6[[#This Row],[Unit Cost]])),0,BOM_table6[[#This Row],[ASM QTY]]*BOM_table6[[#This Row],[Unit Cost]])</f>
        <v>38.08</v>
      </c>
      <c r="Q122" s="45"/>
      <c r="R122" s="81">
        <v>2</v>
      </c>
      <c r="S122" s="111">
        <f>BOM_table6[[#This Row],[ASM QTY]]*$Q$2+BOM_table6[[#This Row],[Spare QTY Needed]]-BOM_table6[[#This Row],[QTY in Inventory]]</f>
        <v>2</v>
      </c>
      <c r="T122" s="111">
        <f>ROUNDUP((BOM_table6[[#This Row],[QTY to Order]]/BOM_table6[[#This Row],[SKU QTY]]),0)</f>
        <v>2</v>
      </c>
      <c r="U122" s="110">
        <f>BOM_table6[[#This Row],[SKU QTY to Order]]*BOM_table6[[#This Row],[SKU Cost]]</f>
        <v>19.04</v>
      </c>
      <c r="V122" s="62"/>
      <c r="W122" s="45" t="s">
        <v>2191</v>
      </c>
      <c r="X122" s="45" t="s">
        <v>2192</v>
      </c>
      <c r="Y122" s="54">
        <v>44923</v>
      </c>
      <c r="Z122" s="54"/>
      <c r="AA122" s="54">
        <v>44924</v>
      </c>
      <c r="AB122" s="45"/>
      <c r="AC122" s="45"/>
    </row>
    <row r="123" spans="1:29" ht="15" customHeight="1" x14ac:dyDescent="0.2">
      <c r="A123" s="105" t="s">
        <v>161</v>
      </c>
      <c r="B123" s="44" t="s">
        <v>352</v>
      </c>
      <c r="C123" s="45" t="s">
        <v>353</v>
      </c>
      <c r="D123" s="45"/>
      <c r="E123" s="45"/>
      <c r="F123" s="45" t="s">
        <v>815</v>
      </c>
      <c r="G123" s="45">
        <v>2</v>
      </c>
      <c r="H123" s="45" t="s">
        <v>2175</v>
      </c>
      <c r="J123" s="45" t="s">
        <v>166</v>
      </c>
      <c r="K123" s="45" t="s">
        <v>216</v>
      </c>
      <c r="L123" s="45"/>
      <c r="M123" s="106">
        <v>1</v>
      </c>
      <c r="N123" s="50">
        <v>29.49</v>
      </c>
      <c r="O123" s="110">
        <f>IF(OR(ISBLANK(BOM_table6[[#This Row],[SKU QTY]]),BOM_table6[[#This Row],[SKU Cost]]=0),0,BOM_table6[[#This Row],[SKU Cost]]/BOM_table6[[#This Row],[SKU QTY]])</f>
        <v>29.49</v>
      </c>
      <c r="P123" s="110">
        <f>IF(OR(ISBLANK(BOM_table6[[#This Row],[ASM QTY]]),ISBLANK(BOM_table6[[#This Row],[Unit Cost]])),0,BOM_table6[[#This Row],[ASM QTY]]*BOM_table6[[#This Row],[Unit Cost]])</f>
        <v>58.98</v>
      </c>
      <c r="Q123" s="45"/>
      <c r="R123" s="81">
        <v>1</v>
      </c>
      <c r="S123" s="111">
        <f>BOM_table6[[#This Row],[ASM QTY]]*$Q$2+BOM_table6[[#This Row],[Spare QTY Needed]]-BOM_table6[[#This Row],[QTY in Inventory]]</f>
        <v>1</v>
      </c>
      <c r="T123" s="111">
        <f>ROUNDUP((BOM_table6[[#This Row],[QTY to Order]]/BOM_table6[[#This Row],[SKU QTY]]),0)</f>
        <v>1</v>
      </c>
      <c r="U123" s="110">
        <f>BOM_table6[[#This Row],[SKU QTY to Order]]*BOM_table6[[#This Row],[SKU Cost]]</f>
        <v>29.49</v>
      </c>
      <c r="V123" s="62"/>
      <c r="W123" s="45" t="s">
        <v>2191</v>
      </c>
      <c r="X123" s="45" t="s">
        <v>2192</v>
      </c>
      <c r="Y123" s="54">
        <v>44923</v>
      </c>
      <c r="Z123" s="54"/>
      <c r="AA123" s="54">
        <v>44924</v>
      </c>
      <c r="AB123" s="45"/>
      <c r="AC123" s="45"/>
    </row>
    <row r="124" spans="1:29" ht="15" customHeight="1" x14ac:dyDescent="0.2">
      <c r="A124" s="105" t="s">
        <v>161</v>
      </c>
      <c r="B124" s="44" t="s">
        <v>328</v>
      </c>
      <c r="C124" s="45" t="s">
        <v>329</v>
      </c>
      <c r="D124" s="45"/>
      <c r="E124" s="45"/>
      <c r="F124" s="45" t="s">
        <v>815</v>
      </c>
      <c r="G124" s="45">
        <v>4</v>
      </c>
      <c r="H124" s="45" t="s">
        <v>2175</v>
      </c>
      <c r="I124" s="43" t="s">
        <v>2306</v>
      </c>
      <c r="J124" s="45" t="s">
        <v>166</v>
      </c>
      <c r="K124" s="45" t="s">
        <v>216</v>
      </c>
      <c r="L124" s="45"/>
      <c r="M124" s="106">
        <v>1</v>
      </c>
      <c r="N124" s="50">
        <f>9.08/25</f>
        <v>0.36320000000000002</v>
      </c>
      <c r="O124" s="110">
        <f>IF(OR(ISBLANK(BOM_table6[[#This Row],[SKU QTY]]),BOM_table6[[#This Row],[SKU Cost]]=0),0,BOM_table6[[#This Row],[SKU Cost]]/BOM_table6[[#This Row],[SKU QTY]])</f>
        <v>0.36320000000000002</v>
      </c>
      <c r="P124" s="110">
        <f>IF(OR(ISBLANK(BOM_table6[[#This Row],[ASM QTY]]),ISBLANK(BOM_table6[[#This Row],[Unit Cost]])),0,BOM_table6[[#This Row],[ASM QTY]]*BOM_table6[[#This Row],[Unit Cost]])</f>
        <v>1.4528000000000001</v>
      </c>
      <c r="Q124" s="45">
        <f>25-4</f>
        <v>21</v>
      </c>
      <c r="R124" s="81"/>
      <c r="S124" s="111">
        <f>BOM_table6[[#This Row],[ASM QTY]]*$Q$2+BOM_table6[[#This Row],[Spare QTY Needed]]-BOM_table6[[#This Row],[QTY in Inventory]]</f>
        <v>25</v>
      </c>
      <c r="T124" s="111">
        <f>ROUNDUP((BOM_table6[[#This Row],[QTY to Order]]/BOM_table6[[#This Row],[SKU QTY]]),0)</f>
        <v>25</v>
      </c>
      <c r="U124" s="110">
        <f>BOM_table6[[#This Row],[SKU QTY to Order]]*BOM_table6[[#This Row],[SKU Cost]]</f>
        <v>9.08</v>
      </c>
      <c r="V124" s="62"/>
      <c r="W124" s="45" t="s">
        <v>2191</v>
      </c>
      <c r="X124" s="45" t="s">
        <v>2192</v>
      </c>
      <c r="Y124" s="54">
        <v>44923</v>
      </c>
      <c r="Z124" s="54"/>
      <c r="AA124" s="54">
        <v>44924</v>
      </c>
      <c r="AB124" s="45"/>
      <c r="AC124" s="45"/>
    </row>
    <row r="125" spans="1:29" ht="15" customHeight="1" x14ac:dyDescent="0.2">
      <c r="A125" s="105" t="s">
        <v>161</v>
      </c>
      <c r="B125" s="44" t="s">
        <v>330</v>
      </c>
      <c r="C125" s="45" t="s">
        <v>331</v>
      </c>
      <c r="D125" s="45"/>
      <c r="E125" s="45"/>
      <c r="F125" s="45" t="s">
        <v>815</v>
      </c>
      <c r="G125" s="45">
        <v>4</v>
      </c>
      <c r="H125" s="45" t="s">
        <v>2175</v>
      </c>
      <c r="I125" s="43" t="s">
        <v>2308</v>
      </c>
      <c r="J125" s="45" t="s">
        <v>166</v>
      </c>
      <c r="K125" s="45" t="s">
        <v>216</v>
      </c>
      <c r="L125" s="45"/>
      <c r="M125" s="106">
        <v>1</v>
      </c>
      <c r="N125" s="50">
        <f>8.17/100</f>
        <v>8.1699999999999995E-2</v>
      </c>
      <c r="O125" s="110">
        <f>IF(OR(ISBLANK(BOM_table6[[#This Row],[SKU QTY]]),BOM_table6[[#This Row],[SKU Cost]]=0),0,BOM_table6[[#This Row],[SKU Cost]]/BOM_table6[[#This Row],[SKU QTY]])</f>
        <v>8.1699999999999995E-2</v>
      </c>
      <c r="P125" s="110">
        <f>IF(OR(ISBLANK(BOM_table6[[#This Row],[ASM QTY]]),ISBLANK(BOM_table6[[#This Row],[Unit Cost]])),0,BOM_table6[[#This Row],[ASM QTY]]*BOM_table6[[#This Row],[Unit Cost]])</f>
        <v>0.32679999999999998</v>
      </c>
      <c r="Q125" s="45">
        <f>100-4</f>
        <v>96</v>
      </c>
      <c r="R125" s="81"/>
      <c r="S125" s="111">
        <f>BOM_table6[[#This Row],[ASM QTY]]*$Q$2+BOM_table6[[#This Row],[Spare QTY Needed]]-BOM_table6[[#This Row],[QTY in Inventory]]</f>
        <v>100</v>
      </c>
      <c r="T125" s="111">
        <f>ROUNDUP((BOM_table6[[#This Row],[QTY to Order]]/BOM_table6[[#This Row],[SKU QTY]]),0)</f>
        <v>100</v>
      </c>
      <c r="U125" s="110">
        <f>BOM_table6[[#This Row],[SKU QTY to Order]]*BOM_table6[[#This Row],[SKU Cost]]</f>
        <v>8.17</v>
      </c>
      <c r="V125" s="62"/>
      <c r="W125" s="45" t="s">
        <v>2191</v>
      </c>
      <c r="X125" s="45" t="s">
        <v>2192</v>
      </c>
      <c r="Y125" s="54">
        <v>44923</v>
      </c>
      <c r="Z125" s="54"/>
      <c r="AA125" s="54">
        <v>44924</v>
      </c>
      <c r="AB125" s="45"/>
      <c r="AC125" s="45"/>
    </row>
    <row r="126" spans="1:29" ht="15" customHeight="1" x14ac:dyDescent="0.2">
      <c r="A126" s="105" t="s">
        <v>161</v>
      </c>
      <c r="B126" s="44" t="s">
        <v>356</v>
      </c>
      <c r="C126" s="45" t="s">
        <v>357</v>
      </c>
      <c r="D126" s="45"/>
      <c r="E126" s="45"/>
      <c r="F126" s="45" t="s">
        <v>815</v>
      </c>
      <c r="G126" s="45">
        <v>4</v>
      </c>
      <c r="H126" s="45" t="s">
        <v>2175</v>
      </c>
      <c r="I126" s="43" t="s">
        <v>2309</v>
      </c>
      <c r="J126" s="45" t="s">
        <v>1321</v>
      </c>
      <c r="K126" s="45" t="s">
        <v>216</v>
      </c>
      <c r="L126" s="45"/>
      <c r="M126" s="106">
        <v>1</v>
      </c>
      <c r="N126" s="50">
        <f>10.56/10</f>
        <v>1.056</v>
      </c>
      <c r="O126" s="110">
        <f>IF(OR(ISBLANK(BOM_table6[[#This Row],[SKU QTY]]),BOM_table6[[#This Row],[SKU Cost]]=0),0,BOM_table6[[#This Row],[SKU Cost]]/BOM_table6[[#This Row],[SKU QTY]])</f>
        <v>1.056</v>
      </c>
      <c r="P126" s="110">
        <f>IF(OR(ISBLANK(BOM_table6[[#This Row],[ASM QTY]]),ISBLANK(BOM_table6[[#This Row],[Unit Cost]])),0,BOM_table6[[#This Row],[ASM QTY]]*BOM_table6[[#This Row],[Unit Cost]])</f>
        <v>4.2240000000000002</v>
      </c>
      <c r="Q126" s="45">
        <v>6</v>
      </c>
      <c r="R126" s="81"/>
      <c r="S126" s="111">
        <f>BOM_table6[[#This Row],[ASM QTY]]*$Q$2+BOM_table6[[#This Row],[Spare QTY Needed]]-BOM_table6[[#This Row],[QTY in Inventory]]</f>
        <v>10</v>
      </c>
      <c r="T126" s="111">
        <f>ROUNDUP((BOM_table6[[#This Row],[QTY to Order]]/BOM_table6[[#This Row],[SKU QTY]]),0)</f>
        <v>10</v>
      </c>
      <c r="U126" s="110">
        <f>BOM_table6[[#This Row],[SKU QTY to Order]]*BOM_table6[[#This Row],[SKU Cost]]</f>
        <v>10.56</v>
      </c>
      <c r="V126" s="62"/>
      <c r="W126" s="45" t="s">
        <v>2191</v>
      </c>
      <c r="X126" s="45" t="s">
        <v>2192</v>
      </c>
      <c r="Y126" s="54">
        <v>44923</v>
      </c>
      <c r="Z126" s="54"/>
      <c r="AA126" s="54">
        <v>44924</v>
      </c>
      <c r="AB126" s="45"/>
      <c r="AC126" s="45"/>
    </row>
    <row r="127" spans="1:29" ht="15" customHeight="1" x14ac:dyDescent="0.2">
      <c r="A127" s="105" t="s">
        <v>161</v>
      </c>
      <c r="B127" s="44" t="s">
        <v>361</v>
      </c>
      <c r="C127" s="45" t="s">
        <v>362</v>
      </c>
      <c r="D127" s="45"/>
      <c r="E127" s="45"/>
      <c r="F127" s="45" t="s">
        <v>815</v>
      </c>
      <c r="G127" s="45">
        <v>4</v>
      </c>
      <c r="H127" s="45" t="s">
        <v>2175</v>
      </c>
      <c r="I127" s="43" t="s">
        <v>2310</v>
      </c>
      <c r="J127" s="45" t="s">
        <v>1321</v>
      </c>
      <c r="K127" s="45" t="s">
        <v>216</v>
      </c>
      <c r="L127" s="45"/>
      <c r="M127" s="106">
        <v>1</v>
      </c>
      <c r="N127" s="50">
        <f>9.2/50</f>
        <v>0.184</v>
      </c>
      <c r="O127" s="110">
        <f>IF(OR(ISBLANK(BOM_table6[[#This Row],[SKU QTY]]),BOM_table6[[#This Row],[SKU Cost]]=0),0,BOM_table6[[#This Row],[SKU Cost]]/BOM_table6[[#This Row],[SKU QTY]])</f>
        <v>0.184</v>
      </c>
      <c r="P127" s="110">
        <f>IF(OR(ISBLANK(BOM_table6[[#This Row],[ASM QTY]]),ISBLANK(BOM_table6[[#This Row],[Unit Cost]])),0,BOM_table6[[#This Row],[ASM QTY]]*BOM_table6[[#This Row],[Unit Cost]])</f>
        <v>0.73599999999999999</v>
      </c>
      <c r="Q127" s="45">
        <f>50-4</f>
        <v>46</v>
      </c>
      <c r="R127" s="81"/>
      <c r="S127" s="111">
        <f>BOM_table6[[#This Row],[ASM QTY]]*$Q$2+BOM_table6[[#This Row],[Spare QTY Needed]]-BOM_table6[[#This Row],[QTY in Inventory]]</f>
        <v>50</v>
      </c>
      <c r="T127" s="111">
        <f>ROUNDUP((BOM_table6[[#This Row],[QTY to Order]]/BOM_table6[[#This Row],[SKU QTY]]),0)</f>
        <v>50</v>
      </c>
      <c r="U127" s="110">
        <f>BOM_table6[[#This Row],[SKU QTY to Order]]*BOM_table6[[#This Row],[SKU Cost]]</f>
        <v>9.1999999999999993</v>
      </c>
      <c r="V127" s="62"/>
      <c r="W127" s="45" t="s">
        <v>2191</v>
      </c>
      <c r="X127" s="45" t="s">
        <v>2192</v>
      </c>
      <c r="Y127" s="54">
        <v>44923</v>
      </c>
      <c r="Z127" s="54"/>
      <c r="AA127" s="54">
        <v>44924</v>
      </c>
      <c r="AB127" s="45"/>
      <c r="AC127" s="45"/>
    </row>
    <row r="128" spans="1:29" ht="15" customHeight="1" x14ac:dyDescent="0.2">
      <c r="A128" s="105" t="s">
        <v>161</v>
      </c>
      <c r="B128" s="44" t="s">
        <v>338</v>
      </c>
      <c r="C128" s="45" t="s">
        <v>342</v>
      </c>
      <c r="D128" s="45"/>
      <c r="E128" s="45"/>
      <c r="F128" s="45" t="s">
        <v>815</v>
      </c>
      <c r="G128" s="45">
        <v>8</v>
      </c>
      <c r="H128" s="45" t="s">
        <v>2175</v>
      </c>
      <c r="J128" s="45" t="s">
        <v>1321</v>
      </c>
      <c r="K128" s="45" t="s">
        <v>216</v>
      </c>
      <c r="L128" s="45"/>
      <c r="M128" s="106">
        <v>1</v>
      </c>
      <c r="N128" s="50">
        <f>4.62/50</f>
        <v>9.2399999999999996E-2</v>
      </c>
      <c r="O128" s="110">
        <f>IF(OR(ISBLANK(BOM_table6[[#This Row],[SKU QTY]]),BOM_table6[[#This Row],[SKU Cost]]=0),0,BOM_table6[[#This Row],[SKU Cost]]/BOM_table6[[#This Row],[SKU QTY]])</f>
        <v>9.2399999999999996E-2</v>
      </c>
      <c r="P128" s="110">
        <f>IF(OR(ISBLANK(BOM_table6[[#This Row],[ASM QTY]]),ISBLANK(BOM_table6[[#This Row],[Unit Cost]])),0,BOM_table6[[#This Row],[ASM QTY]]*BOM_table6[[#This Row],[Unit Cost]])</f>
        <v>0.73919999999999997</v>
      </c>
      <c r="Q128" s="45"/>
      <c r="R128" s="81"/>
      <c r="S128" s="111">
        <f>BOM_table6[[#This Row],[ASM QTY]]*$Q$2+BOM_table6[[#This Row],[Spare QTY Needed]]-BOM_table6[[#This Row],[QTY in Inventory]]</f>
        <v>8</v>
      </c>
      <c r="T128" s="111">
        <f>ROUNDUP((BOM_table6[[#This Row],[QTY to Order]]/BOM_table6[[#This Row],[SKU QTY]]),0)</f>
        <v>8</v>
      </c>
      <c r="U128" s="110">
        <f>BOM_table6[[#This Row],[SKU QTY to Order]]*BOM_table6[[#This Row],[SKU Cost]]</f>
        <v>0.73919999999999997</v>
      </c>
      <c r="V128" s="62"/>
      <c r="W128" s="45" t="s">
        <v>2191</v>
      </c>
      <c r="X128" s="45" t="s">
        <v>2192</v>
      </c>
      <c r="Y128" s="54">
        <v>44923</v>
      </c>
      <c r="Z128" s="54"/>
      <c r="AA128" s="54">
        <v>44924</v>
      </c>
      <c r="AB128" s="45"/>
      <c r="AC128" s="45"/>
    </row>
    <row r="129" spans="1:29" ht="15" customHeight="1" x14ac:dyDescent="0.2">
      <c r="A129" s="105" t="s">
        <v>161</v>
      </c>
      <c r="B129" s="44" t="s">
        <v>222</v>
      </c>
      <c r="C129" s="45" t="s">
        <v>223</v>
      </c>
      <c r="D129" s="45"/>
      <c r="E129" s="45"/>
      <c r="F129" s="45" t="s">
        <v>815</v>
      </c>
      <c r="G129" s="45">
        <v>4</v>
      </c>
      <c r="H129" s="45" t="s">
        <v>2175</v>
      </c>
      <c r="I129" s="43" t="s">
        <v>2302</v>
      </c>
      <c r="J129" s="45" t="s">
        <v>166</v>
      </c>
      <c r="K129" s="45" t="s">
        <v>216</v>
      </c>
      <c r="L129" s="45"/>
      <c r="M129" s="106">
        <v>1</v>
      </c>
      <c r="N129" s="50">
        <f>5.45/50</f>
        <v>0.109</v>
      </c>
      <c r="O129" s="110">
        <f>IF(OR(ISBLANK(BOM_table6[[#This Row],[SKU QTY]]),BOM_table6[[#This Row],[SKU Cost]]=0),0,BOM_table6[[#This Row],[SKU Cost]]/BOM_table6[[#This Row],[SKU QTY]])</f>
        <v>0.109</v>
      </c>
      <c r="P129" s="110">
        <f>IF(OR(ISBLANK(BOM_table6[[#This Row],[ASM QTY]]),ISBLANK(BOM_table6[[#This Row],[Unit Cost]])),0,BOM_table6[[#This Row],[ASM QTY]]*BOM_table6[[#This Row],[Unit Cost]])</f>
        <v>0.436</v>
      </c>
      <c r="Q129" s="45">
        <f>50-14</f>
        <v>36</v>
      </c>
      <c r="R129" s="81"/>
      <c r="S129" s="111">
        <f>BOM_table6[[#This Row],[ASM QTY]]*$Q$2+BOM_table6[[#This Row],[Spare QTY Needed]]-BOM_table6[[#This Row],[QTY in Inventory]]</f>
        <v>40</v>
      </c>
      <c r="T129" s="111">
        <f>ROUNDUP((BOM_table6[[#This Row],[QTY to Order]]/BOM_table6[[#This Row],[SKU QTY]]),0)</f>
        <v>40</v>
      </c>
      <c r="U129" s="110">
        <f>BOM_table6[[#This Row],[SKU QTY to Order]]*BOM_table6[[#This Row],[SKU Cost]]</f>
        <v>4.3600000000000003</v>
      </c>
      <c r="V129" s="62"/>
      <c r="W129" s="45" t="s">
        <v>2191</v>
      </c>
      <c r="X129" s="45" t="s">
        <v>2192</v>
      </c>
      <c r="Y129" s="97">
        <v>44923</v>
      </c>
      <c r="Z129" s="54"/>
      <c r="AA129" s="97">
        <v>44924</v>
      </c>
      <c r="AB129" s="45"/>
      <c r="AC129" s="45"/>
    </row>
    <row r="130" spans="1:29" ht="15" customHeight="1" x14ac:dyDescent="0.2">
      <c r="A130" s="105" t="s">
        <v>161</v>
      </c>
      <c r="B130" s="44" t="s">
        <v>345</v>
      </c>
      <c r="C130" s="45" t="s">
        <v>346</v>
      </c>
      <c r="D130" s="45"/>
      <c r="E130" s="45"/>
      <c r="F130" s="45" t="s">
        <v>815</v>
      </c>
      <c r="G130" s="45">
        <v>12</v>
      </c>
      <c r="H130" s="45" t="s">
        <v>2175</v>
      </c>
      <c r="I130" s="43" t="s">
        <v>347</v>
      </c>
      <c r="J130" s="45" t="s">
        <v>1321</v>
      </c>
      <c r="K130" s="45" t="s">
        <v>216</v>
      </c>
      <c r="L130" s="45"/>
      <c r="M130" s="106">
        <v>1</v>
      </c>
      <c r="N130" s="50">
        <f>16.95/100</f>
        <v>0.16949999999999998</v>
      </c>
      <c r="O130" s="110">
        <f>IF(OR(ISBLANK(BOM_table6[[#This Row],[SKU QTY]]),BOM_table6[[#This Row],[SKU Cost]]=0),0,BOM_table6[[#This Row],[SKU Cost]]/BOM_table6[[#This Row],[SKU QTY]])</f>
        <v>0.16949999999999998</v>
      </c>
      <c r="P130" s="110">
        <f>IF(OR(ISBLANK(BOM_table6[[#This Row],[ASM QTY]]),ISBLANK(BOM_table6[[#This Row],[Unit Cost]])),0,BOM_table6[[#This Row],[ASM QTY]]*BOM_table6[[#This Row],[Unit Cost]])</f>
        <v>2.0339999999999998</v>
      </c>
      <c r="Q130" s="45">
        <f>100-12</f>
        <v>88</v>
      </c>
      <c r="R130" s="81"/>
      <c r="S130" s="111">
        <f>BOM_table6[[#This Row],[ASM QTY]]*$Q$2+BOM_table6[[#This Row],[Spare QTY Needed]]-BOM_table6[[#This Row],[QTY in Inventory]]</f>
        <v>100</v>
      </c>
      <c r="T130" s="111">
        <f>ROUNDUP((BOM_table6[[#This Row],[QTY to Order]]/BOM_table6[[#This Row],[SKU QTY]]),0)</f>
        <v>100</v>
      </c>
      <c r="U130" s="110">
        <f>BOM_table6[[#This Row],[SKU QTY to Order]]*BOM_table6[[#This Row],[SKU Cost]]</f>
        <v>16.95</v>
      </c>
      <c r="V130" s="62"/>
      <c r="W130" s="45" t="s">
        <v>2191</v>
      </c>
      <c r="X130" s="45" t="s">
        <v>2192</v>
      </c>
      <c r="Y130" s="54">
        <v>44923</v>
      </c>
      <c r="Z130" s="54"/>
      <c r="AA130" s="54">
        <v>44924</v>
      </c>
      <c r="AB130" s="45"/>
      <c r="AC130" s="45"/>
    </row>
    <row r="131" spans="1:29" ht="15" customHeight="1" x14ac:dyDescent="0.2">
      <c r="A131" s="105" t="s">
        <v>161</v>
      </c>
      <c r="B131" s="44" t="s">
        <v>350</v>
      </c>
      <c r="C131" s="45" t="s">
        <v>351</v>
      </c>
      <c r="D131" s="45"/>
      <c r="E131" s="45"/>
      <c r="F131" s="45" t="s">
        <v>815</v>
      </c>
      <c r="G131" s="45">
        <v>6</v>
      </c>
      <c r="H131" s="45" t="s">
        <v>2175</v>
      </c>
      <c r="I131" s="43" t="s">
        <v>2308</v>
      </c>
      <c r="J131" s="45" t="s">
        <v>1321</v>
      </c>
      <c r="K131" s="45" t="s">
        <v>216</v>
      </c>
      <c r="L131" s="45"/>
      <c r="M131" s="106">
        <v>1</v>
      </c>
      <c r="N131" s="50">
        <f>21.59/100</f>
        <v>0.21590000000000001</v>
      </c>
      <c r="O131" s="110">
        <f>IF(OR(ISBLANK(BOM_table6[[#This Row],[SKU QTY]]),BOM_table6[[#This Row],[SKU Cost]]=0),0,BOM_table6[[#This Row],[SKU Cost]]/BOM_table6[[#This Row],[SKU QTY]])</f>
        <v>0.21590000000000001</v>
      </c>
      <c r="P131" s="110">
        <f>IF(OR(ISBLANK(BOM_table6[[#This Row],[ASM QTY]]),ISBLANK(BOM_table6[[#This Row],[Unit Cost]])),0,BOM_table6[[#This Row],[ASM QTY]]*BOM_table6[[#This Row],[Unit Cost]])</f>
        <v>1.2954000000000001</v>
      </c>
      <c r="Q131" s="45">
        <f>100-6</f>
        <v>94</v>
      </c>
      <c r="R131" s="81"/>
      <c r="S131" s="111">
        <f>BOM_table6[[#This Row],[ASM QTY]]*$Q$2+BOM_table6[[#This Row],[Spare QTY Needed]]-BOM_table6[[#This Row],[QTY in Inventory]]</f>
        <v>100</v>
      </c>
      <c r="T131" s="111">
        <f>ROUNDUP((BOM_table6[[#This Row],[QTY to Order]]/BOM_table6[[#This Row],[SKU QTY]]),0)</f>
        <v>100</v>
      </c>
      <c r="U131" s="110">
        <f>BOM_table6[[#This Row],[SKU QTY to Order]]*BOM_table6[[#This Row],[SKU Cost]]</f>
        <v>21.59</v>
      </c>
      <c r="V131" s="62"/>
      <c r="W131" s="45" t="s">
        <v>2191</v>
      </c>
      <c r="X131" s="45" t="s">
        <v>2192</v>
      </c>
      <c r="Y131" s="54">
        <v>44923</v>
      </c>
      <c r="Z131" s="54"/>
      <c r="AA131" s="54">
        <v>44924</v>
      </c>
      <c r="AB131" s="45"/>
      <c r="AC131" s="45"/>
    </row>
    <row r="132" spans="1:29" ht="15" customHeight="1" x14ac:dyDescent="0.2">
      <c r="A132" s="105" t="s">
        <v>161</v>
      </c>
      <c r="B132" s="44" t="s">
        <v>384</v>
      </c>
      <c r="C132" s="45" t="s">
        <v>385</v>
      </c>
      <c r="D132" s="45"/>
      <c r="E132" s="45"/>
      <c r="F132" s="45" t="s">
        <v>815</v>
      </c>
      <c r="G132" s="45">
        <v>2</v>
      </c>
      <c r="H132" s="45" t="s">
        <v>2175</v>
      </c>
      <c r="J132" s="45" t="s">
        <v>166</v>
      </c>
      <c r="K132" s="45" t="s">
        <v>216</v>
      </c>
      <c r="L132" s="45"/>
      <c r="M132" s="106">
        <v>1</v>
      </c>
      <c r="N132" s="50">
        <f>11.84/2</f>
        <v>5.92</v>
      </c>
      <c r="O132" s="110">
        <f>IF(OR(ISBLANK(BOM_table6[[#This Row],[SKU QTY]]),BOM_table6[[#This Row],[SKU Cost]]=0),0,BOM_table6[[#This Row],[SKU Cost]]/BOM_table6[[#This Row],[SKU QTY]])</f>
        <v>5.92</v>
      </c>
      <c r="P132" s="110">
        <f>IF(OR(ISBLANK(BOM_table6[[#This Row],[ASM QTY]]),ISBLANK(BOM_table6[[#This Row],[Unit Cost]])),0,BOM_table6[[#This Row],[ASM QTY]]*BOM_table6[[#This Row],[Unit Cost]])</f>
        <v>11.84</v>
      </c>
      <c r="Q132" s="45"/>
      <c r="R132" s="81"/>
      <c r="S132" s="111">
        <f>BOM_table6[[#This Row],[ASM QTY]]*$Q$2+BOM_table6[[#This Row],[Spare QTY Needed]]-BOM_table6[[#This Row],[QTY in Inventory]]</f>
        <v>2</v>
      </c>
      <c r="T132" s="111">
        <f>ROUNDUP((BOM_table6[[#This Row],[QTY to Order]]/BOM_table6[[#This Row],[SKU QTY]]),0)</f>
        <v>2</v>
      </c>
      <c r="U132" s="110">
        <f>BOM_table6[[#This Row],[SKU QTY to Order]]*BOM_table6[[#This Row],[SKU Cost]]</f>
        <v>11.84</v>
      </c>
      <c r="V132" s="62"/>
      <c r="W132" s="45" t="s">
        <v>2191</v>
      </c>
      <c r="X132" s="45" t="s">
        <v>2192</v>
      </c>
      <c r="Y132" s="54">
        <v>44923</v>
      </c>
      <c r="Z132" s="54"/>
      <c r="AA132" s="54">
        <v>44924</v>
      </c>
      <c r="AB132" s="45"/>
      <c r="AC132" s="45"/>
    </row>
    <row r="133" spans="1:29" ht="15" customHeight="1" x14ac:dyDescent="0.2">
      <c r="A133" s="105" t="s">
        <v>161</v>
      </c>
      <c r="B133" s="44" t="s">
        <v>382</v>
      </c>
      <c r="C133" s="45" t="s">
        <v>383</v>
      </c>
      <c r="D133" s="45"/>
      <c r="E133" s="45"/>
      <c r="F133" s="45" t="s">
        <v>815</v>
      </c>
      <c r="G133" s="45">
        <v>2</v>
      </c>
      <c r="H133" s="45" t="s">
        <v>2175</v>
      </c>
      <c r="I133" s="43" t="s">
        <v>2311</v>
      </c>
      <c r="J133" s="45" t="s">
        <v>166</v>
      </c>
      <c r="K133" s="45" t="s">
        <v>216</v>
      </c>
      <c r="L133" s="45"/>
      <c r="M133" s="106">
        <v>1</v>
      </c>
      <c r="N133" s="50">
        <f>7.37/5</f>
        <v>1.474</v>
      </c>
      <c r="O133" s="110">
        <f>IF(OR(ISBLANK(BOM_table6[[#This Row],[SKU QTY]]),BOM_table6[[#This Row],[SKU Cost]]=0),0,BOM_table6[[#This Row],[SKU Cost]]/BOM_table6[[#This Row],[SKU QTY]])</f>
        <v>1.474</v>
      </c>
      <c r="P133" s="110">
        <f>IF(OR(ISBLANK(BOM_table6[[#This Row],[ASM QTY]]),ISBLANK(BOM_table6[[#This Row],[Unit Cost]])),0,BOM_table6[[#This Row],[ASM QTY]]*BOM_table6[[#This Row],[Unit Cost]])</f>
        <v>2.948</v>
      </c>
      <c r="Q133" s="45">
        <v>3</v>
      </c>
      <c r="R133" s="81"/>
      <c r="S133" s="111">
        <f>BOM_table6[[#This Row],[ASM QTY]]*$Q$2+BOM_table6[[#This Row],[Spare QTY Needed]]-BOM_table6[[#This Row],[QTY in Inventory]]</f>
        <v>5</v>
      </c>
      <c r="T133" s="111">
        <f>ROUNDUP((BOM_table6[[#This Row],[QTY to Order]]/BOM_table6[[#This Row],[SKU QTY]]),0)</f>
        <v>5</v>
      </c>
      <c r="U133" s="110">
        <f>BOM_table6[[#This Row],[SKU QTY to Order]]*BOM_table6[[#This Row],[SKU Cost]]</f>
        <v>7.37</v>
      </c>
      <c r="V133" s="62"/>
      <c r="W133" s="45" t="s">
        <v>2191</v>
      </c>
      <c r="X133" s="45" t="s">
        <v>2192</v>
      </c>
      <c r="Y133" s="54">
        <v>44923</v>
      </c>
      <c r="Z133" s="54"/>
      <c r="AA133" s="54">
        <v>44924</v>
      </c>
      <c r="AB133" s="45"/>
      <c r="AC133" s="45"/>
    </row>
    <row r="134" spans="1:29" ht="15" customHeight="1" x14ac:dyDescent="0.2">
      <c r="A134" s="105" t="s">
        <v>161</v>
      </c>
      <c r="B134" s="44" t="s">
        <v>379</v>
      </c>
      <c r="C134" s="45" t="s">
        <v>380</v>
      </c>
      <c r="D134" s="45" t="s">
        <v>152</v>
      </c>
      <c r="E134" s="45" t="s">
        <v>1049</v>
      </c>
      <c r="F134" s="45" t="s">
        <v>815</v>
      </c>
      <c r="G134" s="45">
        <v>4</v>
      </c>
      <c r="H134" s="45" t="s">
        <v>2175</v>
      </c>
      <c r="I134" s="43" t="s">
        <v>2238</v>
      </c>
      <c r="J134" s="45" t="s">
        <v>169</v>
      </c>
      <c r="K134" s="45" t="s">
        <v>1439</v>
      </c>
      <c r="L134" s="45"/>
      <c r="M134" s="106">
        <v>1</v>
      </c>
      <c r="N134" s="50">
        <v>45.54</v>
      </c>
      <c r="O134" s="110">
        <f>IF(OR(ISBLANK(BOM_table6[[#This Row],[SKU QTY]]),BOM_table6[[#This Row],[SKU Cost]]=0),0,BOM_table6[[#This Row],[SKU Cost]]/BOM_table6[[#This Row],[SKU QTY]])</f>
        <v>45.54</v>
      </c>
      <c r="P134" s="110">
        <f>IF(OR(ISBLANK(BOM_table6[[#This Row],[ASM QTY]]),ISBLANK(BOM_table6[[#This Row],[Unit Cost]])),0,BOM_table6[[#This Row],[ASM QTY]]*BOM_table6[[#This Row],[Unit Cost]])</f>
        <v>182.16</v>
      </c>
      <c r="Q134" s="45"/>
      <c r="R134" s="81"/>
      <c r="S134" s="111">
        <f>BOM_table6[[#This Row],[ASM QTY]]*$Q$2+BOM_table6[[#This Row],[Spare QTY Needed]]-BOM_table6[[#This Row],[QTY in Inventory]]</f>
        <v>4</v>
      </c>
      <c r="T134" s="111">
        <f>ROUNDUP((BOM_table6[[#This Row],[QTY to Order]]/BOM_table6[[#This Row],[SKU QTY]]),0)</f>
        <v>4</v>
      </c>
      <c r="U134" s="110">
        <f>BOM_table6[[#This Row],[SKU QTY to Order]]*BOM_table6[[#This Row],[SKU Cost]]</f>
        <v>182.16</v>
      </c>
      <c r="V134" s="50" t="s">
        <v>2201</v>
      </c>
      <c r="W134" s="45" t="s">
        <v>2191</v>
      </c>
      <c r="X134" s="45" t="s">
        <v>2200</v>
      </c>
      <c r="Y134" s="97">
        <v>44845</v>
      </c>
      <c r="Z134" s="54">
        <v>44879</v>
      </c>
      <c r="AA134" s="54"/>
      <c r="AB134" s="45"/>
      <c r="AC134" s="45"/>
    </row>
    <row r="135" spans="1:29" ht="15" customHeight="1" x14ac:dyDescent="0.2">
      <c r="A135" s="105" t="s">
        <v>161</v>
      </c>
      <c r="B135" s="44" t="s">
        <v>1635</v>
      </c>
      <c r="C135" s="45" t="s">
        <v>363</v>
      </c>
      <c r="D135" s="45" t="s">
        <v>364</v>
      </c>
      <c r="E135" s="45" t="s">
        <v>1049</v>
      </c>
      <c r="F135" s="45" t="s">
        <v>815</v>
      </c>
      <c r="G135" s="45">
        <v>2</v>
      </c>
      <c r="H135" s="45" t="s">
        <v>2175</v>
      </c>
      <c r="I135" s="43" t="s">
        <v>2238</v>
      </c>
      <c r="J135" s="45" t="s">
        <v>169</v>
      </c>
      <c r="K135" s="45" t="s">
        <v>1439</v>
      </c>
      <c r="L135" s="45"/>
      <c r="M135" s="106">
        <v>1</v>
      </c>
      <c r="N135" s="50">
        <v>316.8</v>
      </c>
      <c r="O135" s="110">
        <f>IF(OR(ISBLANK(BOM_table6[[#This Row],[SKU QTY]]),BOM_table6[[#This Row],[SKU Cost]]=0),0,BOM_table6[[#This Row],[SKU Cost]]/BOM_table6[[#This Row],[SKU QTY]])</f>
        <v>316.8</v>
      </c>
      <c r="P135" s="110">
        <f>IF(OR(ISBLANK(BOM_table6[[#This Row],[ASM QTY]]),ISBLANK(BOM_table6[[#This Row],[Unit Cost]])),0,BOM_table6[[#This Row],[ASM QTY]]*BOM_table6[[#This Row],[Unit Cost]])</f>
        <v>633.6</v>
      </c>
      <c r="Q135" s="45"/>
      <c r="R135" s="81"/>
      <c r="S135" s="111">
        <f>BOM_table6[[#This Row],[ASM QTY]]*$Q$2+BOM_table6[[#This Row],[Spare QTY Needed]]-BOM_table6[[#This Row],[QTY in Inventory]]</f>
        <v>2</v>
      </c>
      <c r="T135" s="111">
        <f>ROUNDUP((BOM_table6[[#This Row],[QTY to Order]]/BOM_table6[[#This Row],[SKU QTY]]),0)</f>
        <v>2</v>
      </c>
      <c r="U135" s="110">
        <f>BOM_table6[[#This Row],[SKU QTY to Order]]*BOM_table6[[#This Row],[SKU Cost]]</f>
        <v>633.6</v>
      </c>
      <c r="V135" s="50" t="s">
        <v>2201</v>
      </c>
      <c r="W135" s="45" t="s">
        <v>2191</v>
      </c>
      <c r="X135" s="45" t="s">
        <v>2200</v>
      </c>
      <c r="Y135" s="97">
        <v>44845</v>
      </c>
      <c r="Z135" s="54">
        <v>44879</v>
      </c>
      <c r="AA135" s="54">
        <v>44887</v>
      </c>
      <c r="AB135" s="45"/>
      <c r="AC135" s="45" t="s">
        <v>2179</v>
      </c>
    </row>
    <row r="136" spans="1:29" ht="15" customHeight="1" x14ac:dyDescent="0.2">
      <c r="A136" s="105" t="s">
        <v>161</v>
      </c>
      <c r="B136" s="44" t="s">
        <v>348</v>
      </c>
      <c r="C136" s="45" t="s">
        <v>349</v>
      </c>
      <c r="D136" s="45" t="s">
        <v>152</v>
      </c>
      <c r="E136" s="45" t="s">
        <v>1049</v>
      </c>
      <c r="F136" s="45" t="s">
        <v>815</v>
      </c>
      <c r="G136" s="45">
        <v>4</v>
      </c>
      <c r="H136" s="45" t="s">
        <v>2175</v>
      </c>
      <c r="I136" s="43" t="s">
        <v>2238</v>
      </c>
      <c r="J136" s="45" t="s">
        <v>169</v>
      </c>
      <c r="K136" s="45" t="s">
        <v>1439</v>
      </c>
      <c r="L136" s="45"/>
      <c r="M136" s="106">
        <v>1</v>
      </c>
      <c r="N136" s="50">
        <v>45.54</v>
      </c>
      <c r="O136" s="110">
        <f>IF(OR(ISBLANK(BOM_table6[[#This Row],[SKU QTY]]),BOM_table6[[#This Row],[SKU Cost]]=0),0,BOM_table6[[#This Row],[SKU Cost]]/BOM_table6[[#This Row],[SKU QTY]])</f>
        <v>45.54</v>
      </c>
      <c r="P136" s="110">
        <f>IF(OR(ISBLANK(BOM_table6[[#This Row],[ASM QTY]]),ISBLANK(BOM_table6[[#This Row],[Unit Cost]])),0,BOM_table6[[#This Row],[ASM QTY]]*BOM_table6[[#This Row],[Unit Cost]])</f>
        <v>182.16</v>
      </c>
      <c r="Q136" s="45"/>
      <c r="R136" s="81"/>
      <c r="S136" s="111">
        <f>BOM_table6[[#This Row],[ASM QTY]]*$Q$2+BOM_table6[[#This Row],[Spare QTY Needed]]-BOM_table6[[#This Row],[QTY in Inventory]]</f>
        <v>4</v>
      </c>
      <c r="T136" s="111">
        <f>ROUNDUP((BOM_table6[[#This Row],[QTY to Order]]/BOM_table6[[#This Row],[SKU QTY]]),0)</f>
        <v>4</v>
      </c>
      <c r="U136" s="110">
        <f>BOM_table6[[#This Row],[SKU QTY to Order]]*BOM_table6[[#This Row],[SKU Cost]]</f>
        <v>182.16</v>
      </c>
      <c r="V136" s="50" t="s">
        <v>2201</v>
      </c>
      <c r="W136" s="45" t="s">
        <v>2191</v>
      </c>
      <c r="X136" s="45" t="s">
        <v>2200</v>
      </c>
      <c r="Y136" s="97">
        <v>44845</v>
      </c>
      <c r="Z136" s="54">
        <v>44879</v>
      </c>
      <c r="AA136" s="54">
        <v>44887</v>
      </c>
      <c r="AB136" s="45"/>
      <c r="AC136" s="45" t="s">
        <v>2179</v>
      </c>
    </row>
    <row r="137" spans="1:29" ht="15" customHeight="1" x14ac:dyDescent="0.2">
      <c r="A137" s="105" t="s">
        <v>161</v>
      </c>
      <c r="B137" s="44" t="s">
        <v>375</v>
      </c>
      <c r="C137" s="45" t="s">
        <v>376</v>
      </c>
      <c r="D137" s="45"/>
      <c r="E137" s="45" t="s">
        <v>1049</v>
      </c>
      <c r="F137" s="45" t="s">
        <v>815</v>
      </c>
      <c r="G137" s="45">
        <v>2</v>
      </c>
      <c r="H137" s="45" t="s">
        <v>2175</v>
      </c>
      <c r="I137" s="43" t="s">
        <v>2238</v>
      </c>
      <c r="J137" s="45" t="s">
        <v>169</v>
      </c>
      <c r="K137" s="45" t="s">
        <v>1439</v>
      </c>
      <c r="L137" s="45"/>
      <c r="M137" s="106">
        <v>1</v>
      </c>
      <c r="N137" s="50">
        <v>45.54</v>
      </c>
      <c r="O137" s="110">
        <f>IF(OR(ISBLANK(BOM_table6[[#This Row],[SKU QTY]]),BOM_table6[[#This Row],[SKU Cost]]=0),0,BOM_table6[[#This Row],[SKU Cost]]/BOM_table6[[#This Row],[SKU QTY]])</f>
        <v>45.54</v>
      </c>
      <c r="P137" s="110">
        <f>IF(OR(ISBLANK(BOM_table6[[#This Row],[ASM QTY]]),ISBLANK(BOM_table6[[#This Row],[Unit Cost]])),0,BOM_table6[[#This Row],[ASM QTY]]*BOM_table6[[#This Row],[Unit Cost]])</f>
        <v>91.08</v>
      </c>
      <c r="Q137" s="45"/>
      <c r="R137" s="81"/>
      <c r="S137" s="111">
        <f>BOM_table6[[#This Row],[ASM QTY]]*$Q$2+BOM_table6[[#This Row],[Spare QTY Needed]]-BOM_table6[[#This Row],[QTY in Inventory]]</f>
        <v>2</v>
      </c>
      <c r="T137" s="111">
        <f>ROUNDUP((BOM_table6[[#This Row],[QTY to Order]]/BOM_table6[[#This Row],[SKU QTY]]),0)</f>
        <v>2</v>
      </c>
      <c r="U137" s="110">
        <f>BOM_table6[[#This Row],[SKU QTY to Order]]*BOM_table6[[#This Row],[SKU Cost]]</f>
        <v>91.08</v>
      </c>
      <c r="V137" s="50" t="s">
        <v>2201</v>
      </c>
      <c r="W137" s="45" t="s">
        <v>2191</v>
      </c>
      <c r="X137" s="45" t="s">
        <v>2200</v>
      </c>
      <c r="Y137" s="97">
        <v>44845</v>
      </c>
      <c r="Z137" s="54">
        <v>44879</v>
      </c>
      <c r="AA137" s="54">
        <v>44887</v>
      </c>
      <c r="AB137" s="45"/>
      <c r="AC137" s="45" t="s">
        <v>2179</v>
      </c>
    </row>
    <row r="138" spans="1:29" ht="15" customHeight="1" x14ac:dyDescent="0.2">
      <c r="A138" s="105" t="s">
        <v>161</v>
      </c>
      <c r="B138" s="44" t="s">
        <v>358</v>
      </c>
      <c r="C138" s="45" t="s">
        <v>359</v>
      </c>
      <c r="D138" s="45" t="s">
        <v>233</v>
      </c>
      <c r="E138" s="45" t="s">
        <v>1049</v>
      </c>
      <c r="F138" s="45" t="s">
        <v>815</v>
      </c>
      <c r="G138" s="45">
        <v>2</v>
      </c>
      <c r="H138" s="45" t="s">
        <v>2175</v>
      </c>
      <c r="I138" s="43" t="s">
        <v>2238</v>
      </c>
      <c r="J138" s="45" t="s">
        <v>169</v>
      </c>
      <c r="K138" s="45" t="s">
        <v>1439</v>
      </c>
      <c r="L138" s="45"/>
      <c r="M138" s="106">
        <v>1</v>
      </c>
      <c r="N138" s="50">
        <v>59.4</v>
      </c>
      <c r="O138" s="110">
        <f>IF(OR(ISBLANK(BOM_table6[[#This Row],[SKU QTY]]),BOM_table6[[#This Row],[SKU Cost]]=0),0,BOM_table6[[#This Row],[SKU Cost]]/BOM_table6[[#This Row],[SKU QTY]])</f>
        <v>59.4</v>
      </c>
      <c r="P138" s="110">
        <f>IF(OR(ISBLANK(BOM_table6[[#This Row],[ASM QTY]]),ISBLANK(BOM_table6[[#This Row],[Unit Cost]])),0,BOM_table6[[#This Row],[ASM QTY]]*BOM_table6[[#This Row],[Unit Cost]])</f>
        <v>118.8</v>
      </c>
      <c r="Q138" s="45"/>
      <c r="R138" s="81"/>
      <c r="S138" s="111">
        <f>BOM_table6[[#This Row],[ASM QTY]]*$Q$2+BOM_table6[[#This Row],[Spare QTY Needed]]-BOM_table6[[#This Row],[QTY in Inventory]]</f>
        <v>2</v>
      </c>
      <c r="T138" s="111">
        <f>ROUNDUP((BOM_table6[[#This Row],[QTY to Order]]/BOM_table6[[#This Row],[SKU QTY]]),0)</f>
        <v>2</v>
      </c>
      <c r="U138" s="110">
        <f>BOM_table6[[#This Row],[SKU QTY to Order]]*BOM_table6[[#This Row],[SKU Cost]]</f>
        <v>118.8</v>
      </c>
      <c r="V138" s="50" t="s">
        <v>2201</v>
      </c>
      <c r="W138" s="45" t="s">
        <v>2191</v>
      </c>
      <c r="X138" s="45" t="s">
        <v>2200</v>
      </c>
      <c r="Y138" s="97">
        <v>44845</v>
      </c>
      <c r="Z138" s="54">
        <v>44879</v>
      </c>
      <c r="AA138" s="54"/>
      <c r="AB138" s="45"/>
      <c r="AC138" s="45" t="s">
        <v>2179</v>
      </c>
    </row>
    <row r="139" spans="1:29" ht="15" customHeight="1" x14ac:dyDescent="0.2">
      <c r="A139" s="105" t="s">
        <v>161</v>
      </c>
      <c r="B139" s="44" t="s">
        <v>343</v>
      </c>
      <c r="C139" s="45" t="s">
        <v>344</v>
      </c>
      <c r="D139" s="45"/>
      <c r="E139" s="45" t="s">
        <v>1049</v>
      </c>
      <c r="F139" s="45" t="s">
        <v>815</v>
      </c>
      <c r="G139" s="45">
        <v>2</v>
      </c>
      <c r="H139" s="45" t="s">
        <v>2175</v>
      </c>
      <c r="I139" s="43" t="s">
        <v>2238</v>
      </c>
      <c r="J139" s="45" t="s">
        <v>169</v>
      </c>
      <c r="K139" s="45" t="s">
        <v>1439</v>
      </c>
      <c r="L139" s="45"/>
      <c r="M139" s="106">
        <v>1</v>
      </c>
      <c r="N139" s="50">
        <v>118.8</v>
      </c>
      <c r="O139" s="110">
        <f>IF(OR(ISBLANK(BOM_table6[[#This Row],[SKU QTY]]),BOM_table6[[#This Row],[SKU Cost]]=0),0,BOM_table6[[#This Row],[SKU Cost]]/BOM_table6[[#This Row],[SKU QTY]])</f>
        <v>118.8</v>
      </c>
      <c r="P139" s="110">
        <f>IF(OR(ISBLANK(BOM_table6[[#This Row],[ASM QTY]]),ISBLANK(BOM_table6[[#This Row],[Unit Cost]])),0,BOM_table6[[#This Row],[ASM QTY]]*BOM_table6[[#This Row],[Unit Cost]])</f>
        <v>237.6</v>
      </c>
      <c r="Q139" s="45"/>
      <c r="R139" s="81"/>
      <c r="S139" s="111">
        <f>BOM_table6[[#This Row],[ASM QTY]]*$Q$2+BOM_table6[[#This Row],[Spare QTY Needed]]-BOM_table6[[#This Row],[QTY in Inventory]]</f>
        <v>2</v>
      </c>
      <c r="T139" s="111">
        <f>ROUNDUP((BOM_table6[[#This Row],[QTY to Order]]/BOM_table6[[#This Row],[SKU QTY]]),0)</f>
        <v>2</v>
      </c>
      <c r="U139" s="110">
        <f>BOM_table6[[#This Row],[SKU QTY to Order]]*BOM_table6[[#This Row],[SKU Cost]]</f>
        <v>237.6</v>
      </c>
      <c r="V139" s="50" t="s">
        <v>2201</v>
      </c>
      <c r="W139" s="45" t="s">
        <v>2191</v>
      </c>
      <c r="X139" s="45" t="s">
        <v>2200</v>
      </c>
      <c r="Y139" s="97">
        <v>44845</v>
      </c>
      <c r="Z139" s="54">
        <v>44879</v>
      </c>
      <c r="AA139" s="54">
        <v>44887</v>
      </c>
      <c r="AB139" s="45"/>
      <c r="AC139" s="45" t="s">
        <v>2179</v>
      </c>
    </row>
    <row r="140" spans="1:29" ht="15" customHeight="1" x14ac:dyDescent="0.2">
      <c r="A140" s="105" t="s">
        <v>161</v>
      </c>
      <c r="B140" s="44" t="s">
        <v>365</v>
      </c>
      <c r="C140" s="45" t="s">
        <v>366</v>
      </c>
      <c r="D140" s="45" t="s">
        <v>152</v>
      </c>
      <c r="E140" s="45" t="s">
        <v>1049</v>
      </c>
      <c r="F140" s="45" t="s">
        <v>815</v>
      </c>
      <c r="G140" s="45">
        <v>2</v>
      </c>
      <c r="H140" s="45" t="s">
        <v>2175</v>
      </c>
      <c r="I140" s="43" t="s">
        <v>2238</v>
      </c>
      <c r="J140" s="45" t="s">
        <v>169</v>
      </c>
      <c r="K140" s="45" t="s">
        <v>1439</v>
      </c>
      <c r="L140" s="45"/>
      <c r="M140" s="106">
        <v>1</v>
      </c>
      <c r="N140" s="50">
        <v>138.6</v>
      </c>
      <c r="O140" s="110">
        <f>IF(OR(ISBLANK(BOM_table6[[#This Row],[SKU QTY]]),BOM_table6[[#This Row],[SKU Cost]]=0),0,BOM_table6[[#This Row],[SKU Cost]]/BOM_table6[[#This Row],[SKU QTY]])</f>
        <v>138.6</v>
      </c>
      <c r="P140" s="110">
        <f>IF(OR(ISBLANK(BOM_table6[[#This Row],[ASM QTY]]),ISBLANK(BOM_table6[[#This Row],[Unit Cost]])),0,BOM_table6[[#This Row],[ASM QTY]]*BOM_table6[[#This Row],[Unit Cost]])</f>
        <v>277.2</v>
      </c>
      <c r="Q140" s="45"/>
      <c r="R140" s="81"/>
      <c r="S140" s="111">
        <f>BOM_table6[[#This Row],[ASM QTY]]*$Q$2+BOM_table6[[#This Row],[Spare QTY Needed]]-BOM_table6[[#This Row],[QTY in Inventory]]</f>
        <v>2</v>
      </c>
      <c r="T140" s="111">
        <f>ROUNDUP((BOM_table6[[#This Row],[QTY to Order]]/BOM_table6[[#This Row],[SKU QTY]]),0)</f>
        <v>2</v>
      </c>
      <c r="U140" s="110">
        <f>BOM_table6[[#This Row],[SKU QTY to Order]]*BOM_table6[[#This Row],[SKU Cost]]</f>
        <v>277.2</v>
      </c>
      <c r="V140" s="50" t="s">
        <v>2201</v>
      </c>
      <c r="W140" s="45" t="s">
        <v>2191</v>
      </c>
      <c r="X140" s="45" t="s">
        <v>2200</v>
      </c>
      <c r="Y140" s="97">
        <v>44845</v>
      </c>
      <c r="Z140" s="54">
        <v>44879</v>
      </c>
      <c r="AA140" s="54">
        <v>44887</v>
      </c>
      <c r="AB140" s="45"/>
      <c r="AC140" s="45" t="s">
        <v>2179</v>
      </c>
    </row>
    <row r="141" spans="1:29" ht="15" customHeight="1" x14ac:dyDescent="0.2">
      <c r="A141" s="105" t="s">
        <v>161</v>
      </c>
      <c r="B141" s="44" t="s">
        <v>1456</v>
      </c>
      <c r="C141" s="45" t="s">
        <v>1457</v>
      </c>
      <c r="D141" s="45"/>
      <c r="E141" s="45" t="s">
        <v>1458</v>
      </c>
      <c r="F141" s="45" t="s">
        <v>815</v>
      </c>
      <c r="G141" s="45">
        <v>2</v>
      </c>
      <c r="H141" s="45" t="s">
        <v>2175</v>
      </c>
      <c r="I141" s="43" t="s">
        <v>2285</v>
      </c>
      <c r="J141" s="45" t="s">
        <v>166</v>
      </c>
      <c r="K141" s="45" t="s">
        <v>390</v>
      </c>
      <c r="L141" s="45"/>
      <c r="M141" s="106">
        <v>1</v>
      </c>
      <c r="N141" s="50">
        <v>60</v>
      </c>
      <c r="O141" s="110">
        <f>IF(OR(ISBLANK(BOM_table6[[#This Row],[SKU QTY]]),BOM_table6[[#This Row],[SKU Cost]]=0),0,BOM_table6[[#This Row],[SKU Cost]]/BOM_table6[[#This Row],[SKU QTY]])</f>
        <v>60</v>
      </c>
      <c r="P141" s="110">
        <f>IF(OR(ISBLANK(BOM_table6[[#This Row],[ASM QTY]]),ISBLANK(BOM_table6[[#This Row],[Unit Cost]])),0,BOM_table6[[#This Row],[ASM QTY]]*BOM_table6[[#This Row],[Unit Cost]])</f>
        <v>120</v>
      </c>
      <c r="Q141" s="45">
        <v>1</v>
      </c>
      <c r="R141" s="81"/>
      <c r="S141" s="111">
        <f>BOM_table6[[#This Row],[ASM QTY]]*$Q$2+BOM_table6[[#This Row],[Spare QTY Needed]]-BOM_table6[[#This Row],[QTY in Inventory]]</f>
        <v>3</v>
      </c>
      <c r="T141" s="111">
        <f>ROUNDUP((BOM_table6[[#This Row],[QTY to Order]]/BOM_table6[[#This Row],[SKU QTY]]),0)</f>
        <v>3</v>
      </c>
      <c r="U141" s="110">
        <f>BOM_table6[[#This Row],[SKU QTY to Order]]*BOM_table6[[#This Row],[SKU Cost]]</f>
        <v>180</v>
      </c>
      <c r="V141" s="50" t="s">
        <v>2286</v>
      </c>
      <c r="W141" s="45" t="s">
        <v>2191</v>
      </c>
      <c r="X141" s="45" t="s">
        <v>2192</v>
      </c>
      <c r="Y141" s="54">
        <v>44902</v>
      </c>
      <c r="Z141" s="54">
        <v>45014</v>
      </c>
      <c r="AA141" s="54"/>
      <c r="AB141" s="45"/>
      <c r="AC141" s="45" t="s">
        <v>2287</v>
      </c>
    </row>
    <row r="142" spans="1:29" ht="15" customHeight="1" x14ac:dyDescent="0.2">
      <c r="A142" s="44" t="s">
        <v>161</v>
      </c>
      <c r="B142" s="44" t="s">
        <v>326</v>
      </c>
      <c r="C142" s="45" t="s">
        <v>327</v>
      </c>
      <c r="D142" s="45"/>
      <c r="E142" s="45" t="s">
        <v>316</v>
      </c>
      <c r="F142" s="45" t="s">
        <v>815</v>
      </c>
      <c r="G142" s="45">
        <v>2</v>
      </c>
      <c r="H142" s="45" t="s">
        <v>2175</v>
      </c>
      <c r="J142" s="45" t="s">
        <v>166</v>
      </c>
      <c r="K142" s="45" t="s">
        <v>316</v>
      </c>
      <c r="L142" s="45"/>
      <c r="M142" s="106">
        <v>1</v>
      </c>
      <c r="N142" s="50">
        <v>16.64</v>
      </c>
      <c r="O142" s="110">
        <f>IF(OR(ISBLANK(BOM_table6[[#This Row],[SKU QTY]]),BOM_table6[[#This Row],[SKU Cost]]=0),0,BOM_table6[[#This Row],[SKU Cost]]/BOM_table6[[#This Row],[SKU QTY]])</f>
        <v>16.64</v>
      </c>
      <c r="P142" s="110">
        <f>IF(OR(ISBLANK(BOM_table6[[#This Row],[ASM QTY]]),ISBLANK(BOM_table6[[#This Row],[Unit Cost]])),0,BOM_table6[[#This Row],[ASM QTY]]*BOM_table6[[#This Row],[Unit Cost]])</f>
        <v>33.28</v>
      </c>
      <c r="Q142" s="45"/>
      <c r="R142" s="81"/>
      <c r="S142" s="111">
        <f>BOM_table6[[#This Row],[ASM QTY]]*$Q$2+BOM_table6[[#This Row],[Spare QTY Needed]]-BOM_table6[[#This Row],[QTY in Inventory]]</f>
        <v>2</v>
      </c>
      <c r="T142" s="111">
        <f>ROUNDUP((BOM_table6[[#This Row],[QTY to Order]]/BOM_table6[[#This Row],[SKU QTY]]),0)</f>
        <v>2</v>
      </c>
      <c r="U142" s="110">
        <f>BOM_table6[[#This Row],[SKU QTY to Order]]*BOM_table6[[#This Row],[SKU Cost]]</f>
        <v>33.28</v>
      </c>
      <c r="V142" s="50" t="s">
        <v>2193</v>
      </c>
      <c r="W142" s="45" t="s">
        <v>2191</v>
      </c>
      <c r="X142" s="45" t="s">
        <v>2192</v>
      </c>
      <c r="Y142" s="54">
        <v>44845</v>
      </c>
      <c r="Z142" s="54">
        <v>44852</v>
      </c>
      <c r="AA142" s="45"/>
      <c r="AB142" s="45"/>
      <c r="AC142" s="45"/>
    </row>
    <row r="143" spans="1:29" ht="15" customHeight="1" x14ac:dyDescent="0.2">
      <c r="A143" s="105" t="s">
        <v>161</v>
      </c>
      <c r="B143" s="44" t="s">
        <v>340</v>
      </c>
      <c r="C143" s="45" t="s">
        <v>341</v>
      </c>
      <c r="D143" s="45"/>
      <c r="E143" s="45" t="s">
        <v>316</v>
      </c>
      <c r="F143" s="45" t="s">
        <v>815</v>
      </c>
      <c r="G143" s="45">
        <v>4</v>
      </c>
      <c r="H143" s="45" t="s">
        <v>2175</v>
      </c>
      <c r="J143" s="45" t="s">
        <v>166</v>
      </c>
      <c r="K143" s="45" t="s">
        <v>316</v>
      </c>
      <c r="L143" s="45"/>
      <c r="M143" s="106">
        <v>1</v>
      </c>
      <c r="N143" s="50">
        <v>10.32</v>
      </c>
      <c r="O143" s="110">
        <f>IF(OR(ISBLANK(BOM_table6[[#This Row],[SKU QTY]]),BOM_table6[[#This Row],[SKU Cost]]=0),0,BOM_table6[[#This Row],[SKU Cost]]/BOM_table6[[#This Row],[SKU QTY]])</f>
        <v>10.32</v>
      </c>
      <c r="P143" s="110">
        <f>IF(OR(ISBLANK(BOM_table6[[#This Row],[ASM QTY]]),ISBLANK(BOM_table6[[#This Row],[Unit Cost]])),0,BOM_table6[[#This Row],[ASM QTY]]*BOM_table6[[#This Row],[Unit Cost]])</f>
        <v>41.28</v>
      </c>
      <c r="Q143" s="45"/>
      <c r="R143" s="81"/>
      <c r="S143" s="111">
        <f>BOM_table6[[#This Row],[ASM QTY]]*$Q$2+BOM_table6[[#This Row],[Spare QTY Needed]]-BOM_table6[[#This Row],[QTY in Inventory]]</f>
        <v>4</v>
      </c>
      <c r="T143" s="111">
        <f>ROUNDUP((BOM_table6[[#This Row],[QTY to Order]]/BOM_table6[[#This Row],[SKU QTY]]),0)</f>
        <v>4</v>
      </c>
      <c r="U143" s="110">
        <f>BOM_table6[[#This Row],[SKU QTY to Order]]*BOM_table6[[#This Row],[SKU Cost]]</f>
        <v>41.28</v>
      </c>
      <c r="V143" s="50" t="s">
        <v>2190</v>
      </c>
      <c r="W143" s="45" t="s">
        <v>2191</v>
      </c>
      <c r="X143" s="45" t="s">
        <v>2192</v>
      </c>
      <c r="Y143" s="54">
        <v>44845</v>
      </c>
      <c r="Z143" s="54"/>
      <c r="AA143" s="45"/>
      <c r="AB143" s="45"/>
      <c r="AC143" s="45"/>
    </row>
    <row r="144" spans="1:29" ht="15" customHeight="1" x14ac:dyDescent="0.2">
      <c r="A144" s="105" t="s">
        <v>161</v>
      </c>
      <c r="B144" s="44" t="s">
        <v>332</v>
      </c>
      <c r="C144" s="45" t="s">
        <v>333</v>
      </c>
      <c r="D144" s="45"/>
      <c r="E144" s="45" t="s">
        <v>316</v>
      </c>
      <c r="F144" s="45" t="s">
        <v>815</v>
      </c>
      <c r="G144" s="45">
        <v>2</v>
      </c>
      <c r="H144" s="45" t="s">
        <v>2175</v>
      </c>
      <c r="J144" s="45" t="s">
        <v>166</v>
      </c>
      <c r="K144" s="45" t="s">
        <v>316</v>
      </c>
      <c r="L144" s="45"/>
      <c r="M144" s="106">
        <v>1</v>
      </c>
      <c r="N144" s="50">
        <v>56.44</v>
      </c>
      <c r="O144" s="110">
        <f>IF(OR(ISBLANK(BOM_table6[[#This Row],[SKU QTY]]),BOM_table6[[#This Row],[SKU Cost]]=0),0,BOM_table6[[#This Row],[SKU Cost]]/BOM_table6[[#This Row],[SKU QTY]])</f>
        <v>56.44</v>
      </c>
      <c r="P144" s="110">
        <f>IF(OR(ISBLANK(BOM_table6[[#This Row],[ASM QTY]]),ISBLANK(BOM_table6[[#This Row],[Unit Cost]])),0,BOM_table6[[#This Row],[ASM QTY]]*BOM_table6[[#This Row],[Unit Cost]])</f>
        <v>112.88</v>
      </c>
      <c r="Q144" s="45"/>
      <c r="R144" s="81"/>
      <c r="S144" s="111">
        <f>BOM_table6[[#This Row],[ASM QTY]]*$Q$2+BOM_table6[[#This Row],[Spare QTY Needed]]-BOM_table6[[#This Row],[QTY in Inventory]]</f>
        <v>2</v>
      </c>
      <c r="T144" s="111">
        <f>ROUNDUP((BOM_table6[[#This Row],[QTY to Order]]/BOM_table6[[#This Row],[SKU QTY]]),0)</f>
        <v>2</v>
      </c>
      <c r="U144" s="110">
        <f>BOM_table6[[#This Row],[SKU QTY to Order]]*BOM_table6[[#This Row],[SKU Cost]]</f>
        <v>112.88</v>
      </c>
      <c r="V144" s="50" t="s">
        <v>2190</v>
      </c>
      <c r="W144" s="45" t="s">
        <v>2191</v>
      </c>
      <c r="X144" s="45" t="s">
        <v>2192</v>
      </c>
      <c r="Y144" s="54">
        <v>44845</v>
      </c>
      <c r="Z144" s="54"/>
      <c r="AA144" s="45"/>
      <c r="AB144" s="45"/>
      <c r="AC144" s="45"/>
    </row>
    <row r="145" spans="1:29" ht="15" customHeight="1" x14ac:dyDescent="0.2">
      <c r="A145" s="105" t="s">
        <v>161</v>
      </c>
      <c r="B145" s="44" t="s">
        <v>334</v>
      </c>
      <c r="C145" s="45" t="s">
        <v>335</v>
      </c>
      <c r="D145" s="45"/>
      <c r="E145" s="45" t="s">
        <v>316</v>
      </c>
      <c r="F145" s="45" t="s">
        <v>815</v>
      </c>
      <c r="G145" s="45">
        <v>5</v>
      </c>
      <c r="H145" s="45" t="s">
        <v>2175</v>
      </c>
      <c r="I145" s="43" t="s">
        <v>2185</v>
      </c>
      <c r="J145" s="45" t="s">
        <v>166</v>
      </c>
      <c r="K145" s="45" t="s">
        <v>316</v>
      </c>
      <c r="L145" s="45"/>
      <c r="M145" s="106">
        <v>1</v>
      </c>
      <c r="N145" s="50">
        <v>12.57</v>
      </c>
      <c r="O145" s="110">
        <f>IF(OR(ISBLANK(BOM_table6[[#This Row],[SKU QTY]]),BOM_table6[[#This Row],[SKU Cost]]=0),0,BOM_table6[[#This Row],[SKU Cost]]/BOM_table6[[#This Row],[SKU QTY]])</f>
        <v>12.57</v>
      </c>
      <c r="P145" s="110">
        <f>IF(OR(ISBLANK(BOM_table6[[#This Row],[ASM QTY]]),ISBLANK(BOM_table6[[#This Row],[Unit Cost]])),0,BOM_table6[[#This Row],[ASM QTY]]*BOM_table6[[#This Row],[Unit Cost]])</f>
        <v>62.85</v>
      </c>
      <c r="Q145" s="45"/>
      <c r="R145" s="81"/>
      <c r="S145" s="111">
        <f>BOM_table6[[#This Row],[ASM QTY]]*$Q$2+BOM_table6[[#This Row],[Spare QTY Needed]]-BOM_table6[[#This Row],[QTY in Inventory]]</f>
        <v>5</v>
      </c>
      <c r="T145" s="111">
        <f>ROUNDUP((BOM_table6[[#This Row],[QTY to Order]]/BOM_table6[[#This Row],[SKU QTY]]),0)</f>
        <v>5</v>
      </c>
      <c r="U145" s="110">
        <f>BOM_table6[[#This Row],[SKU QTY to Order]]*BOM_table6[[#This Row],[SKU Cost]]</f>
        <v>62.85</v>
      </c>
      <c r="V145" s="50" t="s">
        <v>2190</v>
      </c>
      <c r="W145" s="45" t="s">
        <v>2191</v>
      </c>
      <c r="X145" s="45" t="s">
        <v>2192</v>
      </c>
      <c r="Y145" s="54">
        <v>44845</v>
      </c>
      <c r="Z145" s="54"/>
      <c r="AA145" s="54"/>
      <c r="AB145" s="45"/>
      <c r="AC145" s="45"/>
    </row>
    <row r="146" spans="1:29" ht="15" customHeight="1" x14ac:dyDescent="0.2">
      <c r="A146" s="105" t="s">
        <v>161</v>
      </c>
      <c r="B146" s="44" t="s">
        <v>377</v>
      </c>
      <c r="C146" s="45" t="s">
        <v>1399</v>
      </c>
      <c r="D146" s="45"/>
      <c r="E146" s="45" t="s">
        <v>378</v>
      </c>
      <c r="F146" s="45" t="s">
        <v>815</v>
      </c>
      <c r="G146" s="45">
        <v>2</v>
      </c>
      <c r="H146" s="45" t="s">
        <v>2175</v>
      </c>
      <c r="I146" s="190" t="s">
        <v>2232</v>
      </c>
      <c r="J146" s="45" t="s">
        <v>166</v>
      </c>
      <c r="K146" s="45" t="s">
        <v>1397</v>
      </c>
      <c r="L146" s="45"/>
      <c r="M146" s="106">
        <v>1</v>
      </c>
      <c r="N146" s="50">
        <v>164.44</v>
      </c>
      <c r="O146" s="110">
        <f>IF(OR(ISBLANK(BOM_table6[[#This Row],[SKU QTY]]),BOM_table6[[#This Row],[SKU Cost]]=0),0,BOM_table6[[#This Row],[SKU Cost]]/BOM_table6[[#This Row],[SKU QTY]])</f>
        <v>164.44</v>
      </c>
      <c r="P146" s="110">
        <f>IF(OR(ISBLANK(BOM_table6[[#This Row],[ASM QTY]]),ISBLANK(BOM_table6[[#This Row],[Unit Cost]])),0,BOM_table6[[#This Row],[ASM QTY]]*BOM_table6[[#This Row],[Unit Cost]])</f>
        <v>328.88</v>
      </c>
      <c r="Q146" s="45"/>
      <c r="R146" s="81"/>
      <c r="S146" s="111">
        <f>BOM_table6[[#This Row],[ASM QTY]]*$Q$2+BOM_table6[[#This Row],[Spare QTY Needed]]-BOM_table6[[#This Row],[QTY in Inventory]]</f>
        <v>2</v>
      </c>
      <c r="T146" s="111">
        <f>ROUNDUP((BOM_table6[[#This Row],[QTY to Order]]/BOM_table6[[#This Row],[SKU QTY]]),0)</f>
        <v>2</v>
      </c>
      <c r="U146" s="110">
        <f>BOM_table6[[#This Row],[SKU QTY to Order]]*BOM_table6[[#This Row],[SKU Cost]]</f>
        <v>328.88</v>
      </c>
      <c r="V146" s="62"/>
      <c r="W146" s="45" t="s">
        <v>2191</v>
      </c>
      <c r="X146" s="45" t="s">
        <v>2192</v>
      </c>
      <c r="Y146" s="54">
        <v>44845</v>
      </c>
      <c r="Z146" s="54"/>
      <c r="AA146" s="54"/>
      <c r="AB146" s="45"/>
      <c r="AC146" s="45"/>
    </row>
    <row r="147" spans="1:29" ht="15" customHeight="1" x14ac:dyDescent="0.2">
      <c r="A147" s="105" t="s">
        <v>161</v>
      </c>
      <c r="B147" s="44" t="s">
        <v>381</v>
      </c>
      <c r="C147" s="45" t="s">
        <v>1398</v>
      </c>
      <c r="D147" s="45"/>
      <c r="E147" s="45" t="s">
        <v>378</v>
      </c>
      <c r="F147" s="45" t="s">
        <v>815</v>
      </c>
      <c r="G147" s="45">
        <v>2</v>
      </c>
      <c r="H147" s="45" t="s">
        <v>2175</v>
      </c>
      <c r="I147" s="190" t="s">
        <v>2232</v>
      </c>
      <c r="J147" s="45" t="s">
        <v>166</v>
      </c>
      <c r="K147" s="45" t="s">
        <v>1397</v>
      </c>
      <c r="L147" s="45"/>
      <c r="M147" s="106">
        <v>1</v>
      </c>
      <c r="N147" s="50">
        <v>164.44</v>
      </c>
      <c r="O147" s="110">
        <f>IF(OR(ISBLANK(BOM_table6[[#This Row],[SKU QTY]]),BOM_table6[[#This Row],[SKU Cost]]=0),0,BOM_table6[[#This Row],[SKU Cost]]/BOM_table6[[#This Row],[SKU QTY]])</f>
        <v>164.44</v>
      </c>
      <c r="P147" s="110">
        <f>IF(OR(ISBLANK(BOM_table6[[#This Row],[ASM QTY]]),ISBLANK(BOM_table6[[#This Row],[Unit Cost]])),0,BOM_table6[[#This Row],[ASM QTY]]*BOM_table6[[#This Row],[Unit Cost]])</f>
        <v>328.88</v>
      </c>
      <c r="Q147" s="45"/>
      <c r="R147" s="81"/>
      <c r="S147" s="111">
        <f>BOM_table6[[#This Row],[ASM QTY]]*$Q$2+BOM_table6[[#This Row],[Spare QTY Needed]]-BOM_table6[[#This Row],[QTY in Inventory]]</f>
        <v>2</v>
      </c>
      <c r="T147" s="111">
        <f>ROUNDUP((BOM_table6[[#This Row],[QTY to Order]]/BOM_table6[[#This Row],[SKU QTY]]),0)</f>
        <v>2</v>
      </c>
      <c r="U147" s="110">
        <f>BOM_table6[[#This Row],[SKU QTY to Order]]*BOM_table6[[#This Row],[SKU Cost]]</f>
        <v>328.88</v>
      </c>
      <c r="V147" s="62"/>
      <c r="W147" s="45" t="s">
        <v>2191</v>
      </c>
      <c r="X147" s="45" t="s">
        <v>2192</v>
      </c>
      <c r="Y147" s="54">
        <v>44845</v>
      </c>
      <c r="Z147" s="54"/>
      <c r="AA147" s="45"/>
      <c r="AB147" s="45"/>
      <c r="AC147" s="45"/>
    </row>
    <row r="148" spans="1:29" ht="15" customHeight="1" x14ac:dyDescent="0.2">
      <c r="A148" s="105" t="s">
        <v>161</v>
      </c>
      <c r="B148" s="44" t="s">
        <v>374</v>
      </c>
      <c r="C148" s="45" t="s">
        <v>370</v>
      </c>
      <c r="D148" s="45" t="s">
        <v>371</v>
      </c>
      <c r="E148" s="45" t="s">
        <v>1049</v>
      </c>
      <c r="F148" s="45" t="s">
        <v>815</v>
      </c>
      <c r="G148" s="45">
        <v>2</v>
      </c>
      <c r="H148" s="45" t="s">
        <v>2175</v>
      </c>
      <c r="I148" s="43" t="s">
        <v>2239</v>
      </c>
      <c r="J148" s="45" t="s">
        <v>169</v>
      </c>
      <c r="K148" s="45" t="s">
        <v>1439</v>
      </c>
      <c r="L148" s="45"/>
      <c r="M148" s="106">
        <v>1</v>
      </c>
      <c r="N148" s="50">
        <v>138.6</v>
      </c>
      <c r="O148" s="110">
        <f>IF(OR(ISBLANK(BOM_table6[[#This Row],[SKU QTY]]),BOM_table6[[#This Row],[SKU Cost]]=0),0,BOM_table6[[#This Row],[SKU Cost]]/BOM_table6[[#This Row],[SKU QTY]])</f>
        <v>138.6</v>
      </c>
      <c r="P148" s="110">
        <f>IF(OR(ISBLANK(BOM_table6[[#This Row],[ASM QTY]]),ISBLANK(BOM_table6[[#This Row],[Unit Cost]])),0,BOM_table6[[#This Row],[ASM QTY]]*BOM_table6[[#This Row],[Unit Cost]])</f>
        <v>277.2</v>
      </c>
      <c r="Q148" s="45"/>
      <c r="R148" s="81"/>
      <c r="S148" s="111">
        <f>BOM_table6[[#This Row],[ASM QTY]]*$Q$2+BOM_table6[[#This Row],[Spare QTY Needed]]-BOM_table6[[#This Row],[QTY in Inventory]]</f>
        <v>2</v>
      </c>
      <c r="T148" s="111">
        <f>ROUNDUP((BOM_table6[[#This Row],[QTY to Order]]/BOM_table6[[#This Row],[SKU QTY]]),0)</f>
        <v>2</v>
      </c>
      <c r="U148" s="110">
        <f>BOM_table6[[#This Row],[SKU QTY to Order]]*BOM_table6[[#This Row],[SKU Cost]]</f>
        <v>277.2</v>
      </c>
      <c r="V148" s="50" t="s">
        <v>2201</v>
      </c>
      <c r="W148" s="45" t="s">
        <v>2191</v>
      </c>
      <c r="X148" s="45" t="s">
        <v>2200</v>
      </c>
      <c r="Y148" s="97">
        <v>44845</v>
      </c>
      <c r="Z148" s="54">
        <v>44879</v>
      </c>
      <c r="AA148" s="54"/>
      <c r="AB148" s="45"/>
      <c r="AC148" s="45" t="s">
        <v>2179</v>
      </c>
    </row>
    <row r="149" spans="1:29" ht="15" customHeight="1" x14ac:dyDescent="0.2">
      <c r="A149" s="105" t="s">
        <v>161</v>
      </c>
      <c r="B149" s="44" t="s">
        <v>367</v>
      </c>
      <c r="C149" s="45" t="s">
        <v>368</v>
      </c>
      <c r="D149" s="45" t="s">
        <v>152</v>
      </c>
      <c r="E149" s="45" t="s">
        <v>1049</v>
      </c>
      <c r="F149" s="45" t="s">
        <v>815</v>
      </c>
      <c r="G149" s="45">
        <v>3</v>
      </c>
      <c r="H149" s="45" t="s">
        <v>2175</v>
      </c>
      <c r="I149" s="43" t="s">
        <v>2240</v>
      </c>
      <c r="J149" s="45" t="s">
        <v>169</v>
      </c>
      <c r="K149" s="45" t="s">
        <v>1439</v>
      </c>
      <c r="L149" s="45"/>
      <c r="M149" s="106">
        <v>1</v>
      </c>
      <c r="N149" s="50">
        <v>116.25</v>
      </c>
      <c r="O149" s="110">
        <f>IF(OR(ISBLANK(BOM_table6[[#This Row],[SKU QTY]]),BOM_table6[[#This Row],[SKU Cost]]=0),0,BOM_table6[[#This Row],[SKU Cost]]/BOM_table6[[#This Row],[SKU QTY]])</f>
        <v>116.25</v>
      </c>
      <c r="P149" s="110">
        <f>IF(OR(ISBLANK(BOM_table6[[#This Row],[ASM QTY]]),ISBLANK(BOM_table6[[#This Row],[Unit Cost]])),0,BOM_table6[[#This Row],[ASM QTY]]*BOM_table6[[#This Row],[Unit Cost]])</f>
        <v>348.75</v>
      </c>
      <c r="Q149" s="45"/>
      <c r="R149" s="81"/>
      <c r="S149" s="111">
        <f>BOM_table6[[#This Row],[ASM QTY]]*$Q$2+BOM_table6[[#This Row],[Spare QTY Needed]]-BOM_table6[[#This Row],[QTY in Inventory]]</f>
        <v>3</v>
      </c>
      <c r="T149" s="111">
        <f>ROUNDUP((BOM_table6[[#This Row],[QTY to Order]]/BOM_table6[[#This Row],[SKU QTY]]),0)</f>
        <v>3</v>
      </c>
      <c r="U149" s="110">
        <f>BOM_table6[[#This Row],[SKU QTY to Order]]*BOM_table6[[#This Row],[SKU Cost]]</f>
        <v>348.75</v>
      </c>
      <c r="V149" s="50" t="s">
        <v>2201</v>
      </c>
      <c r="W149" s="45" t="s">
        <v>2191</v>
      </c>
      <c r="X149" s="45" t="s">
        <v>2200</v>
      </c>
      <c r="Y149" s="97">
        <v>44845</v>
      </c>
      <c r="Z149" s="54">
        <v>44879</v>
      </c>
      <c r="AA149" s="54">
        <v>44887</v>
      </c>
      <c r="AB149" s="45"/>
      <c r="AC149" s="45" t="s">
        <v>2179</v>
      </c>
    </row>
    <row r="150" spans="1:29" ht="15" customHeight="1" x14ac:dyDescent="0.2">
      <c r="A150" s="105" t="s">
        <v>161</v>
      </c>
      <c r="B150" s="44" t="s">
        <v>655</v>
      </c>
      <c r="C150" s="45" t="s">
        <v>1460</v>
      </c>
      <c r="D150" s="45"/>
      <c r="E150" s="45"/>
      <c r="F150" s="45" t="s">
        <v>831</v>
      </c>
      <c r="G150" s="45">
        <v>1</v>
      </c>
      <c r="H150" s="45" t="s">
        <v>2178</v>
      </c>
      <c r="I150" s="43" t="s">
        <v>2329</v>
      </c>
      <c r="J150" s="45" t="s">
        <v>1321</v>
      </c>
      <c r="K150" s="45" t="s">
        <v>216</v>
      </c>
      <c r="L150" s="45"/>
      <c r="M150" s="106">
        <v>1</v>
      </c>
      <c r="N150" s="50">
        <f>3.71/10</f>
        <v>0.371</v>
      </c>
      <c r="O150" s="110">
        <f>IF(OR(ISBLANK(BOM_table6[[#This Row],[SKU QTY]]),BOM_table6[[#This Row],[SKU Cost]]=0),0,BOM_table6[[#This Row],[SKU Cost]]/BOM_table6[[#This Row],[SKU QTY]])</f>
        <v>0.371</v>
      </c>
      <c r="P150" s="110">
        <f>IF(OR(ISBLANK(BOM_table6[[#This Row],[ASM QTY]]),ISBLANK(BOM_table6[[#This Row],[Unit Cost]])),0,BOM_table6[[#This Row],[ASM QTY]]*BOM_table6[[#This Row],[Unit Cost]])</f>
        <v>0.371</v>
      </c>
      <c r="Q150" s="45">
        <v>9</v>
      </c>
      <c r="R150" s="81"/>
      <c r="S150" s="111">
        <f>BOM_table6[[#This Row],[ASM QTY]]*$Q$2+BOM_table6[[#This Row],[Spare QTY Needed]]-BOM_table6[[#This Row],[QTY in Inventory]]</f>
        <v>10</v>
      </c>
      <c r="T150" s="111">
        <f>ROUNDUP((BOM_table6[[#This Row],[QTY to Order]]/BOM_table6[[#This Row],[SKU QTY]]),0)</f>
        <v>10</v>
      </c>
      <c r="U150" s="110">
        <f>BOM_table6[[#This Row],[SKU QTY to Order]]*BOM_table6[[#This Row],[SKU Cost]]</f>
        <v>3.71</v>
      </c>
      <c r="V150" s="62"/>
      <c r="W150" s="45" t="s">
        <v>2191</v>
      </c>
      <c r="X150" s="45" t="s">
        <v>2192</v>
      </c>
      <c r="Y150" s="97">
        <v>44923</v>
      </c>
      <c r="Z150" s="54"/>
      <c r="AA150" s="97">
        <v>44924</v>
      </c>
      <c r="AB150" s="45"/>
      <c r="AC150" s="45"/>
    </row>
    <row r="151" spans="1:29" ht="15" customHeight="1" x14ac:dyDescent="0.2">
      <c r="A151" s="105" t="s">
        <v>161</v>
      </c>
      <c r="B151" s="44" t="s">
        <v>696</v>
      </c>
      <c r="C151" s="45" t="s">
        <v>697</v>
      </c>
      <c r="D151" s="45"/>
      <c r="E151" s="45"/>
      <c r="F151" s="45" t="s">
        <v>831</v>
      </c>
      <c r="G151" s="45">
        <v>2</v>
      </c>
      <c r="H151" s="45" t="s">
        <v>2178</v>
      </c>
      <c r="I151" s="43" t="s">
        <v>2316</v>
      </c>
      <c r="J151" s="45" t="s">
        <v>1321</v>
      </c>
      <c r="K151" s="45" t="s">
        <v>216</v>
      </c>
      <c r="L151" s="45"/>
      <c r="M151" s="106">
        <v>1</v>
      </c>
      <c r="N151" s="50">
        <f>3.66/10</f>
        <v>0.36599999999999999</v>
      </c>
      <c r="O151" s="110">
        <f>IF(OR(ISBLANK(BOM_table6[[#This Row],[SKU QTY]]),BOM_table6[[#This Row],[SKU Cost]]=0),0,BOM_table6[[#This Row],[SKU Cost]]/BOM_table6[[#This Row],[SKU QTY]])</f>
        <v>0.36599999999999999</v>
      </c>
      <c r="P151" s="110">
        <f>IF(OR(ISBLANK(BOM_table6[[#This Row],[ASM QTY]]),ISBLANK(BOM_table6[[#This Row],[Unit Cost]])),0,BOM_table6[[#This Row],[ASM QTY]]*BOM_table6[[#This Row],[Unit Cost]])</f>
        <v>0.73199999999999998</v>
      </c>
      <c r="Q151" s="45">
        <v>8</v>
      </c>
      <c r="R151" s="81"/>
      <c r="S151" s="111">
        <f>BOM_table6[[#This Row],[ASM QTY]]*$Q$2+BOM_table6[[#This Row],[Spare QTY Needed]]-BOM_table6[[#This Row],[QTY in Inventory]]</f>
        <v>10</v>
      </c>
      <c r="T151" s="111">
        <f>ROUNDUP((BOM_table6[[#This Row],[QTY to Order]]/BOM_table6[[#This Row],[SKU QTY]]),0)</f>
        <v>10</v>
      </c>
      <c r="U151" s="110">
        <f>BOM_table6[[#This Row],[SKU QTY to Order]]*BOM_table6[[#This Row],[SKU Cost]]</f>
        <v>3.66</v>
      </c>
      <c r="V151" s="62"/>
      <c r="W151" s="45" t="s">
        <v>2191</v>
      </c>
      <c r="X151" s="45" t="s">
        <v>2192</v>
      </c>
      <c r="Y151" s="54">
        <v>44923</v>
      </c>
      <c r="Z151" s="54"/>
      <c r="AA151" s="54">
        <v>44924</v>
      </c>
      <c r="AB151" s="45"/>
      <c r="AC151" s="45"/>
    </row>
    <row r="152" spans="1:29" ht="15" customHeight="1" x14ac:dyDescent="0.2">
      <c r="A152" s="105" t="s">
        <v>161</v>
      </c>
      <c r="B152" s="44" t="s">
        <v>676</v>
      </c>
      <c r="C152" s="45" t="s">
        <v>675</v>
      </c>
      <c r="D152" s="45"/>
      <c r="E152" s="45"/>
      <c r="F152" s="45" t="s">
        <v>831</v>
      </c>
      <c r="G152" s="45">
        <v>8</v>
      </c>
      <c r="H152" s="45" t="s">
        <v>2178</v>
      </c>
      <c r="J152" s="45" t="s">
        <v>1321</v>
      </c>
      <c r="K152" s="45" t="s">
        <v>216</v>
      </c>
      <c r="L152" s="45"/>
      <c r="M152" s="106">
        <v>1</v>
      </c>
      <c r="N152" s="50">
        <f>5.52/10</f>
        <v>0.55199999999999994</v>
      </c>
      <c r="O152" s="110">
        <f>IF(OR(ISBLANK(BOM_table6[[#This Row],[SKU QTY]]),BOM_table6[[#This Row],[SKU Cost]]=0),0,BOM_table6[[#This Row],[SKU Cost]]/BOM_table6[[#This Row],[SKU QTY]])</f>
        <v>0.55199999999999994</v>
      </c>
      <c r="P152" s="110">
        <f>IF(OR(ISBLANK(BOM_table6[[#This Row],[ASM QTY]]),ISBLANK(BOM_table6[[#This Row],[Unit Cost]])),0,BOM_table6[[#This Row],[ASM QTY]]*BOM_table6[[#This Row],[Unit Cost]])</f>
        <v>4.4159999999999995</v>
      </c>
      <c r="Q152" s="45">
        <v>2</v>
      </c>
      <c r="R152" s="81"/>
      <c r="S152" s="111">
        <f>BOM_table6[[#This Row],[ASM QTY]]*$Q$2+BOM_table6[[#This Row],[Spare QTY Needed]]-BOM_table6[[#This Row],[QTY in Inventory]]</f>
        <v>10</v>
      </c>
      <c r="T152" s="111">
        <f>ROUNDUP((BOM_table6[[#This Row],[QTY to Order]]/BOM_table6[[#This Row],[SKU QTY]]),0)</f>
        <v>10</v>
      </c>
      <c r="U152" s="110">
        <f>BOM_table6[[#This Row],[SKU QTY to Order]]*BOM_table6[[#This Row],[SKU Cost]]</f>
        <v>5.52</v>
      </c>
      <c r="V152" s="62"/>
      <c r="W152" s="45" t="s">
        <v>2191</v>
      </c>
      <c r="X152" s="45" t="s">
        <v>2192</v>
      </c>
      <c r="Y152" s="54">
        <v>44923</v>
      </c>
      <c r="Z152" s="54"/>
      <c r="AA152" s="54">
        <v>44924</v>
      </c>
      <c r="AB152" s="45"/>
      <c r="AC152" s="45"/>
    </row>
    <row r="153" spans="1:29" ht="15" customHeight="1" x14ac:dyDescent="0.2">
      <c r="A153" s="105" t="s">
        <v>161</v>
      </c>
      <c r="B153" s="44" t="s">
        <v>656</v>
      </c>
      <c r="C153" s="45" t="s">
        <v>657</v>
      </c>
      <c r="D153" s="45"/>
      <c r="E153" s="45"/>
      <c r="F153" s="45" t="s">
        <v>831</v>
      </c>
      <c r="G153" s="45">
        <v>1</v>
      </c>
      <c r="H153" s="45" t="s">
        <v>2178</v>
      </c>
      <c r="J153" s="45" t="s">
        <v>1321</v>
      </c>
      <c r="K153" s="45" t="s">
        <v>216</v>
      </c>
      <c r="L153" s="45"/>
      <c r="M153" s="106">
        <v>1</v>
      </c>
      <c r="N153" s="50">
        <f>7.12/50</f>
        <v>0.1424</v>
      </c>
      <c r="O153" s="110">
        <f>IF(OR(ISBLANK(BOM_table6[[#This Row],[SKU QTY]]),BOM_table6[[#This Row],[SKU Cost]]=0),0,BOM_table6[[#This Row],[SKU Cost]]/BOM_table6[[#This Row],[SKU QTY]])</f>
        <v>0.1424</v>
      </c>
      <c r="P153" s="110">
        <f>IF(OR(ISBLANK(BOM_table6[[#This Row],[ASM QTY]]),ISBLANK(BOM_table6[[#This Row],[Unit Cost]])),0,BOM_table6[[#This Row],[ASM QTY]]*BOM_table6[[#This Row],[Unit Cost]])</f>
        <v>0.1424</v>
      </c>
      <c r="Q153" s="45"/>
      <c r="R153" s="81"/>
      <c r="S153" s="111">
        <f>BOM_table6[[#This Row],[ASM QTY]]*$Q$2+BOM_table6[[#This Row],[Spare QTY Needed]]-BOM_table6[[#This Row],[QTY in Inventory]]</f>
        <v>1</v>
      </c>
      <c r="T153" s="111">
        <f>ROUNDUP((BOM_table6[[#This Row],[QTY to Order]]/BOM_table6[[#This Row],[SKU QTY]]),0)</f>
        <v>1</v>
      </c>
      <c r="U153" s="110">
        <f>BOM_table6[[#This Row],[SKU QTY to Order]]*BOM_table6[[#This Row],[SKU Cost]]</f>
        <v>0.1424</v>
      </c>
      <c r="V153" s="62"/>
      <c r="W153" s="45" t="s">
        <v>2191</v>
      </c>
      <c r="X153" s="45" t="s">
        <v>2192</v>
      </c>
      <c r="Y153" s="97">
        <v>44923</v>
      </c>
      <c r="Z153" s="54"/>
      <c r="AA153" s="97">
        <v>44924</v>
      </c>
      <c r="AB153" s="45"/>
      <c r="AC153" s="45"/>
    </row>
    <row r="154" spans="1:29" ht="15" customHeight="1" x14ac:dyDescent="0.2">
      <c r="A154" s="105" t="s">
        <v>161</v>
      </c>
      <c r="B154" s="44" t="s">
        <v>336</v>
      </c>
      <c r="C154" s="45" t="s">
        <v>337</v>
      </c>
      <c r="D154" s="45"/>
      <c r="E154" s="45"/>
      <c r="F154" s="45" t="s">
        <v>847</v>
      </c>
      <c r="G154" s="45">
        <v>24</v>
      </c>
      <c r="H154" s="45" t="s">
        <v>2178</v>
      </c>
      <c r="I154" s="43" t="s">
        <v>848</v>
      </c>
      <c r="J154" s="45" t="s">
        <v>1321</v>
      </c>
      <c r="K154" s="45" t="s">
        <v>216</v>
      </c>
      <c r="L154" s="45"/>
      <c r="M154" s="106">
        <v>1</v>
      </c>
      <c r="N154" s="50">
        <f>5.95/25</f>
        <v>0.23800000000000002</v>
      </c>
      <c r="O154" s="110">
        <f>IF(OR(ISBLANK(BOM_table6[[#This Row],[SKU QTY]]),BOM_table6[[#This Row],[SKU Cost]]=0),0,BOM_table6[[#This Row],[SKU Cost]]/BOM_table6[[#This Row],[SKU QTY]])</f>
        <v>0.23800000000000002</v>
      </c>
      <c r="P154" s="110">
        <f>IF(OR(ISBLANK(BOM_table6[[#This Row],[ASM QTY]]),ISBLANK(BOM_table6[[#This Row],[Unit Cost]])),0,BOM_table6[[#This Row],[ASM QTY]]*BOM_table6[[#This Row],[Unit Cost]])</f>
        <v>5.7120000000000006</v>
      </c>
      <c r="Q154" s="45">
        <v>1</v>
      </c>
      <c r="R154" s="81"/>
      <c r="S154" s="111">
        <f>BOM_table6[[#This Row],[ASM QTY]]*$Q$2+BOM_table6[[#This Row],[Spare QTY Needed]]-BOM_table6[[#This Row],[QTY in Inventory]]</f>
        <v>25</v>
      </c>
      <c r="T154" s="111">
        <f>ROUNDUP((BOM_table6[[#This Row],[QTY to Order]]/BOM_table6[[#This Row],[SKU QTY]]),0)</f>
        <v>25</v>
      </c>
      <c r="U154" s="110">
        <f>BOM_table6[[#This Row],[SKU QTY to Order]]*BOM_table6[[#This Row],[SKU Cost]]</f>
        <v>5.95</v>
      </c>
      <c r="V154" s="62"/>
      <c r="W154" s="45" t="s">
        <v>2191</v>
      </c>
      <c r="X154" s="45" t="s">
        <v>2192</v>
      </c>
      <c r="Y154" s="54">
        <v>44923</v>
      </c>
      <c r="Z154" s="54"/>
      <c r="AA154" s="54">
        <v>44924</v>
      </c>
      <c r="AB154" s="45"/>
      <c r="AC154" s="45"/>
    </row>
    <row r="155" spans="1:29" ht="15" customHeight="1" x14ac:dyDescent="0.2">
      <c r="A155" s="44" t="s">
        <v>160</v>
      </c>
      <c r="B155" s="44" t="s">
        <v>454</v>
      </c>
      <c r="C155" s="45" t="s">
        <v>337</v>
      </c>
      <c r="D155" s="45"/>
      <c r="E155" s="45"/>
      <c r="F155" s="45" t="s">
        <v>818</v>
      </c>
      <c r="G155" s="45">
        <v>16</v>
      </c>
      <c r="H155" s="45" t="s">
        <v>2178</v>
      </c>
      <c r="I155" s="75"/>
      <c r="J155" s="45" t="s">
        <v>166</v>
      </c>
      <c r="K155" s="45" t="s">
        <v>216</v>
      </c>
      <c r="L155" s="45"/>
      <c r="M155" s="106">
        <v>1</v>
      </c>
      <c r="N155" s="50"/>
      <c r="O155" s="110">
        <f>IF(OR(ISBLANK(BOM_table6[[#This Row],[SKU QTY]]),BOM_table6[[#This Row],[SKU Cost]]=0),0,BOM_table6[[#This Row],[SKU Cost]]/BOM_table6[[#This Row],[SKU QTY]])</f>
        <v>0</v>
      </c>
      <c r="P155" s="110">
        <f>IF(OR(ISBLANK(BOM_table6[[#This Row],[ASM QTY]]),ISBLANK(BOM_table6[[#This Row],[Unit Cost]])),0,BOM_table6[[#This Row],[ASM QTY]]*BOM_table6[[#This Row],[Unit Cost]])</f>
        <v>0</v>
      </c>
      <c r="Q155" s="45"/>
      <c r="R155" s="81"/>
      <c r="S155" s="111">
        <f>BOM_table6[[#This Row],[ASM QTY]]*$Q$2+BOM_table6[[#This Row],[Spare QTY Needed]]-BOM_table6[[#This Row],[QTY in Inventory]]</f>
        <v>16</v>
      </c>
      <c r="T155" s="111">
        <f>ROUNDUP((BOM_table6[[#This Row],[QTY to Order]]/BOM_table6[[#This Row],[SKU QTY]]),0)</f>
        <v>16</v>
      </c>
      <c r="U155" s="110">
        <f>BOM_table6[[#This Row],[SKU QTY to Order]]*BOM_table6[[#This Row],[SKU Cost]]</f>
        <v>0</v>
      </c>
      <c r="V155" s="62"/>
      <c r="W155" s="45"/>
      <c r="X155" s="45"/>
      <c r="Y155" s="45"/>
      <c r="Z155" s="54"/>
      <c r="AA155" s="45"/>
      <c r="AB155" s="45"/>
      <c r="AC155" s="45"/>
    </row>
    <row r="156" spans="1:29" ht="15" customHeight="1" x14ac:dyDescent="0.2">
      <c r="A156" s="105" t="s">
        <v>161</v>
      </c>
      <c r="B156" s="44" t="s">
        <v>679</v>
      </c>
      <c r="C156" s="45" t="s">
        <v>558</v>
      </c>
      <c r="D156" s="45"/>
      <c r="E156" s="45"/>
      <c r="F156" s="45" t="s">
        <v>831</v>
      </c>
      <c r="G156" s="45">
        <v>1</v>
      </c>
      <c r="H156" s="45" t="s">
        <v>2178</v>
      </c>
      <c r="I156" s="43" t="s">
        <v>2319</v>
      </c>
      <c r="J156" s="45" t="s">
        <v>166</v>
      </c>
      <c r="K156" s="45" t="s">
        <v>216</v>
      </c>
      <c r="L156" s="45"/>
      <c r="M156" s="106">
        <v>1</v>
      </c>
      <c r="N156" s="50">
        <f>7.03/25</f>
        <v>0.28120000000000001</v>
      </c>
      <c r="O156" s="110">
        <f>IF(OR(ISBLANK(BOM_table6[[#This Row],[SKU QTY]]),BOM_table6[[#This Row],[SKU Cost]]=0),0,BOM_table6[[#This Row],[SKU Cost]]/BOM_table6[[#This Row],[SKU QTY]])</f>
        <v>0.28120000000000001</v>
      </c>
      <c r="P156" s="110">
        <f>IF(OR(ISBLANK(BOM_table6[[#This Row],[ASM QTY]]),ISBLANK(BOM_table6[[#This Row],[Unit Cost]])),0,BOM_table6[[#This Row],[ASM QTY]]*BOM_table6[[#This Row],[Unit Cost]])</f>
        <v>0.28120000000000001</v>
      </c>
      <c r="Q156" s="45">
        <f>25-6</f>
        <v>19</v>
      </c>
      <c r="R156" s="81"/>
      <c r="S156" s="111">
        <f>BOM_table6[[#This Row],[ASM QTY]]*$Q$2+BOM_table6[[#This Row],[Spare QTY Needed]]-BOM_table6[[#This Row],[QTY in Inventory]]</f>
        <v>20</v>
      </c>
      <c r="T156" s="111">
        <f>ROUNDUP((BOM_table6[[#This Row],[QTY to Order]]/BOM_table6[[#This Row],[SKU QTY]]),0)</f>
        <v>20</v>
      </c>
      <c r="U156" s="110">
        <f>BOM_table6[[#This Row],[SKU QTY to Order]]*BOM_table6[[#This Row],[SKU Cost]]</f>
        <v>5.6240000000000006</v>
      </c>
      <c r="V156" s="62"/>
      <c r="W156" s="45" t="s">
        <v>2191</v>
      </c>
      <c r="X156" s="45" t="s">
        <v>2192</v>
      </c>
      <c r="Y156" s="97">
        <v>44923</v>
      </c>
      <c r="Z156" s="54"/>
      <c r="AA156" s="97">
        <v>44924</v>
      </c>
      <c r="AB156" s="45"/>
      <c r="AC156" s="45"/>
    </row>
    <row r="157" spans="1:29" ht="15" customHeight="1" x14ac:dyDescent="0.2">
      <c r="A157" s="105" t="s">
        <v>161</v>
      </c>
      <c r="B157" s="44" t="s">
        <v>220</v>
      </c>
      <c r="C157" s="45" t="s">
        <v>221</v>
      </c>
      <c r="D157" s="45"/>
      <c r="E157" s="45"/>
      <c r="F157" s="45" t="s">
        <v>831</v>
      </c>
      <c r="G157" s="45">
        <v>3</v>
      </c>
      <c r="H157" s="45" t="s">
        <v>2178</v>
      </c>
      <c r="I157" s="43" t="s">
        <v>2303</v>
      </c>
      <c r="J157" s="45" t="s">
        <v>166</v>
      </c>
      <c r="K157" s="45" t="s">
        <v>216</v>
      </c>
      <c r="L157" s="45"/>
      <c r="M157" s="106">
        <v>1</v>
      </c>
      <c r="N157" s="50">
        <f>3.41/25</f>
        <v>0.13639999999999999</v>
      </c>
      <c r="O157" s="110">
        <f>IF(OR(ISBLANK(BOM_table6[[#This Row],[SKU QTY]]),BOM_table6[[#This Row],[SKU Cost]]=0),0,BOM_table6[[#This Row],[SKU Cost]]/BOM_table6[[#This Row],[SKU QTY]])</f>
        <v>0.13639999999999999</v>
      </c>
      <c r="P157" s="110">
        <f>IF(OR(ISBLANK(BOM_table6[[#This Row],[ASM QTY]]),ISBLANK(BOM_table6[[#This Row],[Unit Cost]])),0,BOM_table6[[#This Row],[ASM QTY]]*BOM_table6[[#This Row],[Unit Cost]])</f>
        <v>0.40920000000000001</v>
      </c>
      <c r="Q157" s="45">
        <f>25-12</f>
        <v>13</v>
      </c>
      <c r="R157" s="81"/>
      <c r="S157" s="111">
        <f>BOM_table6[[#This Row],[ASM QTY]]*$Q$2+BOM_table6[[#This Row],[Spare QTY Needed]]-BOM_table6[[#This Row],[QTY in Inventory]]</f>
        <v>16</v>
      </c>
      <c r="T157" s="111">
        <f>ROUNDUP((BOM_table6[[#This Row],[QTY to Order]]/BOM_table6[[#This Row],[SKU QTY]]),0)</f>
        <v>16</v>
      </c>
      <c r="U157" s="110">
        <f>BOM_table6[[#This Row],[SKU QTY to Order]]*BOM_table6[[#This Row],[SKU Cost]]</f>
        <v>2.1823999999999999</v>
      </c>
      <c r="V157" s="62"/>
      <c r="W157" s="45" t="s">
        <v>2191</v>
      </c>
      <c r="X157" s="45" t="s">
        <v>2192</v>
      </c>
      <c r="Y157" s="97">
        <v>44923</v>
      </c>
      <c r="Z157" s="54"/>
      <c r="AA157" s="97">
        <v>44924</v>
      </c>
      <c r="AB157" s="45"/>
      <c r="AC157" s="45"/>
    </row>
    <row r="158" spans="1:29" ht="15" customHeight="1" x14ac:dyDescent="0.2">
      <c r="A158" s="105" t="s">
        <v>161</v>
      </c>
      <c r="B158" s="44" t="s">
        <v>673</v>
      </c>
      <c r="C158" s="45" t="s">
        <v>530</v>
      </c>
      <c r="D158" s="45"/>
      <c r="E158" s="45"/>
      <c r="F158" s="45" t="s">
        <v>831</v>
      </c>
      <c r="G158" s="45">
        <v>1</v>
      </c>
      <c r="H158" s="45" t="s">
        <v>2178</v>
      </c>
      <c r="I158" s="43" t="s">
        <v>2307</v>
      </c>
      <c r="J158" s="45" t="s">
        <v>166</v>
      </c>
      <c r="K158" s="45" t="s">
        <v>216</v>
      </c>
      <c r="L158" s="45"/>
      <c r="M158" s="106">
        <v>1</v>
      </c>
      <c r="N158" s="50">
        <f>3.67/25</f>
        <v>0.14679999999999999</v>
      </c>
      <c r="O158" s="110">
        <f>IF(OR(ISBLANK(BOM_table6[[#This Row],[SKU QTY]]),BOM_table6[[#This Row],[SKU Cost]]=0),0,BOM_table6[[#This Row],[SKU Cost]]/BOM_table6[[#This Row],[SKU QTY]])</f>
        <v>0.14679999999999999</v>
      </c>
      <c r="P158" s="110">
        <f>IF(OR(ISBLANK(BOM_table6[[#This Row],[ASM QTY]]),ISBLANK(BOM_table6[[#This Row],[Unit Cost]])),0,BOM_table6[[#This Row],[ASM QTY]]*BOM_table6[[#This Row],[Unit Cost]])</f>
        <v>0.14679999999999999</v>
      </c>
      <c r="Q158" s="45">
        <f>25-8</f>
        <v>17</v>
      </c>
      <c r="R158" s="81"/>
      <c r="S158" s="111">
        <f>BOM_table6[[#This Row],[ASM QTY]]*$Q$2+BOM_table6[[#This Row],[Spare QTY Needed]]-BOM_table6[[#This Row],[QTY in Inventory]]</f>
        <v>18</v>
      </c>
      <c r="T158" s="111">
        <f>ROUNDUP((BOM_table6[[#This Row],[QTY to Order]]/BOM_table6[[#This Row],[SKU QTY]]),0)</f>
        <v>18</v>
      </c>
      <c r="U158" s="110">
        <f>BOM_table6[[#This Row],[SKU QTY to Order]]*BOM_table6[[#This Row],[SKU Cost]]</f>
        <v>2.6423999999999999</v>
      </c>
      <c r="V158" s="62"/>
      <c r="W158" s="45" t="s">
        <v>2191</v>
      </c>
      <c r="X158" s="45" t="s">
        <v>2192</v>
      </c>
      <c r="Y158" s="97">
        <v>44923</v>
      </c>
      <c r="Z158" s="54"/>
      <c r="AA158" s="97">
        <v>44924</v>
      </c>
      <c r="AB158" s="45"/>
      <c r="AC158" s="45"/>
    </row>
    <row r="159" spans="1:29" ht="15" customHeight="1" x14ac:dyDescent="0.2">
      <c r="A159" s="105" t="s">
        <v>161</v>
      </c>
      <c r="B159" s="44" t="s">
        <v>727</v>
      </c>
      <c r="C159" s="45" t="s">
        <v>360</v>
      </c>
      <c r="D159" s="45"/>
      <c r="E159" s="45"/>
      <c r="F159" s="45" t="s">
        <v>835</v>
      </c>
      <c r="G159" s="45">
        <v>6</v>
      </c>
      <c r="H159" s="45" t="s">
        <v>2178</v>
      </c>
      <c r="J159" s="45" t="s">
        <v>166</v>
      </c>
      <c r="K159" s="45" t="s">
        <v>216</v>
      </c>
      <c r="L159" s="45"/>
      <c r="M159" s="106">
        <v>1</v>
      </c>
      <c r="N159" s="50">
        <f>4.57/25</f>
        <v>0.18280000000000002</v>
      </c>
      <c r="O159" s="110">
        <f>IF(OR(ISBLANK(BOM_table6[[#This Row],[SKU QTY]]),BOM_table6[[#This Row],[SKU Cost]]=0),0,BOM_table6[[#This Row],[SKU Cost]]/BOM_table6[[#This Row],[SKU QTY]])</f>
        <v>0.18280000000000002</v>
      </c>
      <c r="P159" s="110">
        <f>IF(OR(ISBLANK(BOM_table6[[#This Row],[ASM QTY]]),ISBLANK(BOM_table6[[#This Row],[Unit Cost]])),0,BOM_table6[[#This Row],[ASM QTY]]*BOM_table6[[#This Row],[Unit Cost]])</f>
        <v>1.0968</v>
      </c>
      <c r="Q159" s="45"/>
      <c r="R159" s="81"/>
      <c r="S159" s="111">
        <f>BOM_table6[[#This Row],[ASM QTY]]*$Q$2+BOM_table6[[#This Row],[Spare QTY Needed]]-BOM_table6[[#This Row],[QTY in Inventory]]</f>
        <v>6</v>
      </c>
      <c r="T159" s="111">
        <f>ROUNDUP((BOM_table6[[#This Row],[QTY to Order]]/BOM_table6[[#This Row],[SKU QTY]]),0)</f>
        <v>6</v>
      </c>
      <c r="U159" s="110">
        <f>BOM_table6[[#This Row],[SKU QTY to Order]]*BOM_table6[[#This Row],[SKU Cost]]</f>
        <v>1.0968</v>
      </c>
      <c r="V159" s="62"/>
      <c r="W159" s="45" t="s">
        <v>2191</v>
      </c>
      <c r="X159" s="45" t="s">
        <v>2192</v>
      </c>
      <c r="Y159" s="97">
        <v>44923</v>
      </c>
      <c r="Z159" s="54"/>
      <c r="AA159" s="97">
        <v>44924</v>
      </c>
      <c r="AB159" s="45"/>
      <c r="AC159" s="45"/>
    </row>
    <row r="160" spans="1:29" ht="15" customHeight="1" x14ac:dyDescent="0.2">
      <c r="A160" s="105" t="s">
        <v>161</v>
      </c>
      <c r="B160" s="44" t="s">
        <v>858</v>
      </c>
      <c r="C160" s="45" t="s">
        <v>360</v>
      </c>
      <c r="D160" s="45"/>
      <c r="E160" s="45"/>
      <c r="F160" s="45" t="s">
        <v>859</v>
      </c>
      <c r="G160" s="45">
        <v>28</v>
      </c>
      <c r="H160" s="45" t="s">
        <v>2178</v>
      </c>
      <c r="I160" s="43" t="s">
        <v>860</v>
      </c>
      <c r="J160" s="45" t="s">
        <v>1321</v>
      </c>
      <c r="K160" s="45" t="s">
        <v>216</v>
      </c>
      <c r="L160" s="45"/>
      <c r="M160" s="106">
        <v>1</v>
      </c>
      <c r="N160" s="50">
        <v>0.18</v>
      </c>
      <c r="O160" s="110">
        <f>IF(OR(ISBLANK(BOM_table6[[#This Row],[SKU QTY]]),BOM_table6[[#This Row],[SKU Cost]]=0),0,BOM_table6[[#This Row],[SKU Cost]]/BOM_table6[[#This Row],[SKU QTY]])</f>
        <v>0.18</v>
      </c>
      <c r="P160" s="110">
        <f>IF(OR(ISBLANK(BOM_table6[[#This Row],[ASM QTY]]),ISBLANK(BOM_table6[[#This Row],[Unit Cost]])),0,BOM_table6[[#This Row],[ASM QTY]]*BOM_table6[[#This Row],[Unit Cost]])</f>
        <v>5.04</v>
      </c>
      <c r="Q160" s="45"/>
      <c r="R160" s="81"/>
      <c r="S160" s="111">
        <f>BOM_table6[[#This Row],[ASM QTY]]*$Q$2+BOM_table6[[#This Row],[Spare QTY Needed]]-BOM_table6[[#This Row],[QTY in Inventory]]</f>
        <v>28</v>
      </c>
      <c r="T160" s="111">
        <f>ROUNDUP((BOM_table6[[#This Row],[QTY to Order]]/BOM_table6[[#This Row],[SKU QTY]]),0)</f>
        <v>28</v>
      </c>
      <c r="U160" s="110">
        <f>BOM_table6[[#This Row],[SKU QTY to Order]]*BOM_table6[[#This Row],[SKU Cost]]</f>
        <v>5.04</v>
      </c>
      <c r="V160" s="62"/>
      <c r="W160" s="45" t="s">
        <v>2191</v>
      </c>
      <c r="X160" s="45" t="s">
        <v>2192</v>
      </c>
      <c r="Y160" s="54">
        <v>44923</v>
      </c>
      <c r="Z160" s="54"/>
      <c r="AA160" s="54">
        <v>44924</v>
      </c>
      <c r="AB160" s="45"/>
      <c r="AC160" s="45"/>
    </row>
    <row r="161" spans="1:29" ht="15" customHeight="1" x14ac:dyDescent="0.2">
      <c r="A161" s="105" t="s">
        <v>161</v>
      </c>
      <c r="B161" s="44" t="s">
        <v>680</v>
      </c>
      <c r="C161" s="45" t="s">
        <v>681</v>
      </c>
      <c r="D161" s="45"/>
      <c r="E161" s="45"/>
      <c r="F161" s="45" t="s">
        <v>831</v>
      </c>
      <c r="G161" s="45">
        <v>1</v>
      </c>
      <c r="H161" s="45" t="s">
        <v>2178</v>
      </c>
      <c r="J161" s="45" t="s">
        <v>1321</v>
      </c>
      <c r="K161" s="45" t="s">
        <v>216</v>
      </c>
      <c r="L161" s="45"/>
      <c r="M161" s="106">
        <v>1</v>
      </c>
      <c r="N161" s="50">
        <v>7.24</v>
      </c>
      <c r="O161" s="110">
        <f>IF(OR(ISBLANK(BOM_table6[[#This Row],[SKU QTY]]),BOM_table6[[#This Row],[SKU Cost]]=0),0,BOM_table6[[#This Row],[SKU Cost]]/BOM_table6[[#This Row],[SKU QTY]])</f>
        <v>7.24</v>
      </c>
      <c r="P161" s="110">
        <f>IF(OR(ISBLANK(BOM_table6[[#This Row],[ASM QTY]]),ISBLANK(BOM_table6[[#This Row],[Unit Cost]])),0,BOM_table6[[#This Row],[ASM QTY]]*BOM_table6[[#This Row],[Unit Cost]])</f>
        <v>7.24</v>
      </c>
      <c r="Q161" s="45"/>
      <c r="R161" s="81"/>
      <c r="S161" s="111">
        <f>BOM_table6[[#This Row],[ASM QTY]]*$Q$2+BOM_table6[[#This Row],[Spare QTY Needed]]-BOM_table6[[#This Row],[QTY in Inventory]]</f>
        <v>1</v>
      </c>
      <c r="T161" s="111">
        <f>ROUNDUP((BOM_table6[[#This Row],[QTY to Order]]/BOM_table6[[#This Row],[SKU QTY]]),0)</f>
        <v>1</v>
      </c>
      <c r="U161" s="110">
        <f>BOM_table6[[#This Row],[SKU QTY to Order]]*BOM_table6[[#This Row],[SKU Cost]]</f>
        <v>7.24</v>
      </c>
      <c r="V161" s="62"/>
      <c r="W161" s="45" t="s">
        <v>2191</v>
      </c>
      <c r="X161" s="45" t="s">
        <v>2192</v>
      </c>
      <c r="Y161" s="97">
        <v>44923</v>
      </c>
      <c r="Z161" s="54"/>
      <c r="AA161" s="97">
        <v>44924</v>
      </c>
      <c r="AB161" s="45"/>
      <c r="AC161" s="45"/>
    </row>
    <row r="162" spans="1:29" ht="15" customHeight="1" x14ac:dyDescent="0.2">
      <c r="A162" s="105" t="s">
        <v>161</v>
      </c>
      <c r="B162" s="44" t="s">
        <v>682</v>
      </c>
      <c r="C162" s="45" t="s">
        <v>683</v>
      </c>
      <c r="D162" s="45"/>
      <c r="E162" s="45"/>
      <c r="F162" s="45" t="s">
        <v>831</v>
      </c>
      <c r="G162" s="45">
        <v>2</v>
      </c>
      <c r="H162" s="45" t="s">
        <v>2178</v>
      </c>
      <c r="I162" s="43" t="s">
        <v>2320</v>
      </c>
      <c r="J162" s="45" t="s">
        <v>1321</v>
      </c>
      <c r="K162" s="45" t="s">
        <v>216</v>
      </c>
      <c r="L162" s="45"/>
      <c r="M162" s="106">
        <v>1</v>
      </c>
      <c r="N162" s="50">
        <f>7.3/5</f>
        <v>1.46</v>
      </c>
      <c r="O162" s="110">
        <f>IF(OR(ISBLANK(BOM_table6[[#This Row],[SKU QTY]]),BOM_table6[[#This Row],[SKU Cost]]=0),0,BOM_table6[[#This Row],[SKU Cost]]/BOM_table6[[#This Row],[SKU QTY]])</f>
        <v>1.46</v>
      </c>
      <c r="P162" s="110">
        <f>IF(OR(ISBLANK(BOM_table6[[#This Row],[ASM QTY]]),ISBLANK(BOM_table6[[#This Row],[Unit Cost]])),0,BOM_table6[[#This Row],[ASM QTY]]*BOM_table6[[#This Row],[Unit Cost]])</f>
        <v>2.92</v>
      </c>
      <c r="Q162" s="45">
        <v>3</v>
      </c>
      <c r="R162" s="81"/>
      <c r="S162" s="111">
        <f>BOM_table6[[#This Row],[ASM QTY]]*$Q$2+BOM_table6[[#This Row],[Spare QTY Needed]]-BOM_table6[[#This Row],[QTY in Inventory]]</f>
        <v>5</v>
      </c>
      <c r="T162" s="111">
        <f>ROUNDUP((BOM_table6[[#This Row],[QTY to Order]]/BOM_table6[[#This Row],[SKU QTY]]),0)</f>
        <v>5</v>
      </c>
      <c r="U162" s="110">
        <f>BOM_table6[[#This Row],[SKU QTY to Order]]*BOM_table6[[#This Row],[SKU Cost]]</f>
        <v>7.3</v>
      </c>
      <c r="V162" s="62"/>
      <c r="W162" s="45" t="s">
        <v>2191</v>
      </c>
      <c r="X162" s="45" t="s">
        <v>2192</v>
      </c>
      <c r="Y162" s="54">
        <v>44923</v>
      </c>
      <c r="Z162" s="54"/>
      <c r="AA162" s="54">
        <v>44924</v>
      </c>
      <c r="AB162" s="45"/>
      <c r="AC162" s="45"/>
    </row>
    <row r="163" spans="1:29" ht="15" customHeight="1" x14ac:dyDescent="0.2">
      <c r="A163" s="105" t="s">
        <v>160</v>
      </c>
      <c r="B163" s="44" t="s">
        <v>1505</v>
      </c>
      <c r="C163" s="45" t="s">
        <v>1504</v>
      </c>
      <c r="D163" s="45"/>
      <c r="E163" s="45"/>
      <c r="F163" s="45" t="s">
        <v>835</v>
      </c>
      <c r="G163" s="45">
        <v>8</v>
      </c>
      <c r="H163" s="45" t="s">
        <v>2178</v>
      </c>
      <c r="J163" s="45" t="s">
        <v>166</v>
      </c>
      <c r="K163" s="45" t="s">
        <v>216</v>
      </c>
      <c r="L163" s="45"/>
      <c r="M163" s="106">
        <v>1</v>
      </c>
      <c r="N163" s="50"/>
      <c r="O163" s="110">
        <f>IF(OR(ISBLANK(BOM_table6[[#This Row],[SKU QTY]]),BOM_table6[[#This Row],[SKU Cost]]=0),0,BOM_table6[[#This Row],[SKU Cost]]/BOM_table6[[#This Row],[SKU QTY]])</f>
        <v>0</v>
      </c>
      <c r="P163" s="110">
        <f>IF(OR(ISBLANK(BOM_table6[[#This Row],[ASM QTY]]),ISBLANK(BOM_table6[[#This Row],[Unit Cost]])),0,BOM_table6[[#This Row],[ASM QTY]]*BOM_table6[[#This Row],[Unit Cost]])</f>
        <v>0</v>
      </c>
      <c r="Q163" s="45"/>
      <c r="R163" s="81"/>
      <c r="S163" s="111">
        <f>BOM_table6[[#This Row],[ASM QTY]]*$Q$2+BOM_table6[[#This Row],[Spare QTY Needed]]-BOM_table6[[#This Row],[QTY in Inventory]]</f>
        <v>8</v>
      </c>
      <c r="T163" s="111">
        <f>ROUNDUP((BOM_table6[[#This Row],[QTY to Order]]/BOM_table6[[#This Row],[SKU QTY]]),0)</f>
        <v>8</v>
      </c>
      <c r="U163" s="110">
        <f>BOM_table6[[#This Row],[SKU QTY to Order]]*BOM_table6[[#This Row],[SKU Cost]]</f>
        <v>0</v>
      </c>
      <c r="V163" s="62"/>
      <c r="W163" s="45"/>
      <c r="X163" s="45"/>
      <c r="Y163" s="54"/>
      <c r="Z163" s="54"/>
      <c r="AA163" s="45"/>
      <c r="AB163" s="45"/>
      <c r="AC163" s="45"/>
    </row>
    <row r="164" spans="1:29" ht="15" customHeight="1" x14ac:dyDescent="0.2">
      <c r="A164" s="105" t="s">
        <v>161</v>
      </c>
      <c r="B164" s="44" t="s">
        <v>664</v>
      </c>
      <c r="C164" s="45" t="s">
        <v>665</v>
      </c>
      <c r="D164" s="45"/>
      <c r="E164" s="45"/>
      <c r="F164" s="45" t="s">
        <v>831</v>
      </c>
      <c r="G164" s="45">
        <v>1</v>
      </c>
      <c r="H164" s="45" t="s">
        <v>2178</v>
      </c>
      <c r="J164" s="45" t="s">
        <v>1321</v>
      </c>
      <c r="K164" s="45" t="s">
        <v>216</v>
      </c>
      <c r="L164" s="45"/>
      <c r="M164" s="106">
        <v>1</v>
      </c>
      <c r="N164" s="50">
        <v>9.77</v>
      </c>
      <c r="O164" s="110">
        <f>IF(OR(ISBLANK(BOM_table6[[#This Row],[SKU QTY]]),BOM_table6[[#This Row],[SKU Cost]]=0),0,BOM_table6[[#This Row],[SKU Cost]]/BOM_table6[[#This Row],[SKU QTY]])</f>
        <v>9.77</v>
      </c>
      <c r="P164" s="110">
        <f>IF(OR(ISBLANK(BOM_table6[[#This Row],[ASM QTY]]),ISBLANK(BOM_table6[[#This Row],[Unit Cost]])),0,BOM_table6[[#This Row],[ASM QTY]]*BOM_table6[[#This Row],[Unit Cost]])</f>
        <v>9.77</v>
      </c>
      <c r="Q164" s="45"/>
      <c r="R164" s="81"/>
      <c r="S164" s="111">
        <f>BOM_table6[[#This Row],[ASM QTY]]*$Q$2+BOM_table6[[#This Row],[Spare QTY Needed]]-BOM_table6[[#This Row],[QTY in Inventory]]</f>
        <v>1</v>
      </c>
      <c r="T164" s="111">
        <f>ROUNDUP((BOM_table6[[#This Row],[QTY to Order]]/BOM_table6[[#This Row],[SKU QTY]]),0)</f>
        <v>1</v>
      </c>
      <c r="U164" s="110">
        <f>BOM_table6[[#This Row],[SKU QTY to Order]]*BOM_table6[[#This Row],[SKU Cost]]</f>
        <v>9.77</v>
      </c>
      <c r="V164" s="62"/>
      <c r="W164" s="45" t="s">
        <v>2191</v>
      </c>
      <c r="X164" s="45" t="s">
        <v>2192</v>
      </c>
      <c r="Y164" s="54">
        <v>44923</v>
      </c>
      <c r="Z164" s="54"/>
      <c r="AA164" s="54">
        <v>44924</v>
      </c>
      <c r="AB164" s="45"/>
      <c r="AC164" s="45"/>
    </row>
    <row r="165" spans="1:29" ht="15" customHeight="1" x14ac:dyDescent="0.2">
      <c r="A165" s="105" t="s">
        <v>161</v>
      </c>
      <c r="B165" s="44" t="s">
        <v>677</v>
      </c>
      <c r="C165" s="45" t="s">
        <v>678</v>
      </c>
      <c r="D165" s="45"/>
      <c r="E165" s="45"/>
      <c r="F165" s="45" t="s">
        <v>831</v>
      </c>
      <c r="G165" s="45">
        <v>1</v>
      </c>
      <c r="H165" s="45" t="s">
        <v>2178</v>
      </c>
      <c r="J165" s="45" t="s">
        <v>1321</v>
      </c>
      <c r="K165" s="45" t="s">
        <v>216</v>
      </c>
      <c r="L165" s="45"/>
      <c r="M165" s="106">
        <v>1</v>
      </c>
      <c r="N165" s="50">
        <v>7.18</v>
      </c>
      <c r="O165" s="110">
        <f>IF(OR(ISBLANK(BOM_table6[[#This Row],[SKU QTY]]),BOM_table6[[#This Row],[SKU Cost]]=0),0,BOM_table6[[#This Row],[SKU Cost]]/BOM_table6[[#This Row],[SKU QTY]])</f>
        <v>7.18</v>
      </c>
      <c r="P165" s="110">
        <f>IF(OR(ISBLANK(BOM_table6[[#This Row],[ASM QTY]]),ISBLANK(BOM_table6[[#This Row],[Unit Cost]])),0,BOM_table6[[#This Row],[ASM QTY]]*BOM_table6[[#This Row],[Unit Cost]])</f>
        <v>7.18</v>
      </c>
      <c r="Q165" s="45"/>
      <c r="R165" s="81"/>
      <c r="S165" s="111">
        <f>BOM_table6[[#This Row],[ASM QTY]]*$Q$2+BOM_table6[[#This Row],[Spare QTY Needed]]-BOM_table6[[#This Row],[QTY in Inventory]]</f>
        <v>1</v>
      </c>
      <c r="T165" s="111">
        <f>ROUNDUP((BOM_table6[[#This Row],[QTY to Order]]/BOM_table6[[#This Row],[SKU QTY]]),0)</f>
        <v>1</v>
      </c>
      <c r="U165" s="110">
        <f>BOM_table6[[#This Row],[SKU QTY to Order]]*BOM_table6[[#This Row],[SKU Cost]]</f>
        <v>7.18</v>
      </c>
      <c r="V165" s="62"/>
      <c r="W165" s="45" t="s">
        <v>2191</v>
      </c>
      <c r="X165" s="45" t="s">
        <v>2192</v>
      </c>
      <c r="Y165" s="54">
        <v>44923</v>
      </c>
      <c r="Z165" s="54"/>
      <c r="AA165" s="54">
        <v>44924</v>
      </c>
      <c r="AB165" s="45"/>
      <c r="AC165" s="45"/>
    </row>
    <row r="166" spans="1:29" ht="15" customHeight="1" x14ac:dyDescent="0.2">
      <c r="A166" s="105" t="s">
        <v>161</v>
      </c>
      <c r="B166" s="44" t="s">
        <v>684</v>
      </c>
      <c r="C166" s="45" t="s">
        <v>1459</v>
      </c>
      <c r="D166" s="45"/>
      <c r="E166" s="45"/>
      <c r="F166" s="45" t="s">
        <v>831</v>
      </c>
      <c r="G166" s="45">
        <v>1</v>
      </c>
      <c r="H166" s="45" t="s">
        <v>2178</v>
      </c>
      <c r="J166" s="45" t="s">
        <v>1321</v>
      </c>
      <c r="K166" s="45" t="s">
        <v>216</v>
      </c>
      <c r="L166" s="45"/>
      <c r="M166" s="106">
        <v>1</v>
      </c>
      <c r="N166" s="50"/>
      <c r="O166" s="110">
        <f>IF(OR(ISBLANK(BOM_table6[[#This Row],[SKU QTY]]),BOM_table6[[#This Row],[SKU Cost]]=0),0,BOM_table6[[#This Row],[SKU Cost]]/BOM_table6[[#This Row],[SKU QTY]])</f>
        <v>0</v>
      </c>
      <c r="P166" s="110">
        <f>IF(OR(ISBLANK(BOM_table6[[#This Row],[ASM QTY]]),ISBLANK(BOM_table6[[#This Row],[Unit Cost]])),0,BOM_table6[[#This Row],[ASM QTY]]*BOM_table6[[#This Row],[Unit Cost]])</f>
        <v>0</v>
      </c>
      <c r="Q166" s="45"/>
      <c r="R166" s="81"/>
      <c r="S166" s="111">
        <f>BOM_table6[[#This Row],[ASM QTY]]*$Q$2+BOM_table6[[#This Row],[Spare QTY Needed]]-BOM_table6[[#This Row],[QTY in Inventory]]</f>
        <v>1</v>
      </c>
      <c r="T166" s="111">
        <f>ROUNDUP((BOM_table6[[#This Row],[QTY to Order]]/BOM_table6[[#This Row],[SKU QTY]]),0)</f>
        <v>1</v>
      </c>
      <c r="U166" s="110">
        <f>BOM_table6[[#This Row],[SKU QTY to Order]]*BOM_table6[[#This Row],[SKU Cost]]</f>
        <v>0</v>
      </c>
      <c r="V166" s="62"/>
      <c r="W166" s="45"/>
      <c r="X166" s="45"/>
      <c r="Y166" s="97"/>
      <c r="Z166" s="54"/>
      <c r="AA166" s="45"/>
      <c r="AB166" s="45"/>
      <c r="AC166" s="45"/>
    </row>
    <row r="167" spans="1:29" ht="15" customHeight="1" x14ac:dyDescent="0.2">
      <c r="A167" s="105" t="s">
        <v>172</v>
      </c>
      <c r="B167" s="127" t="s">
        <v>1665</v>
      </c>
      <c r="C167" s="126" t="s">
        <v>1666</v>
      </c>
      <c r="D167" s="126"/>
      <c r="E167" s="126"/>
      <c r="F167" s="126" t="s">
        <v>1664</v>
      </c>
      <c r="G167" s="126">
        <v>4</v>
      </c>
      <c r="H167" s="45" t="s">
        <v>2178</v>
      </c>
      <c r="I167" s="131"/>
      <c r="J167" s="126" t="s">
        <v>166</v>
      </c>
      <c r="K167" s="126" t="s">
        <v>216</v>
      </c>
      <c r="L167" s="126"/>
      <c r="M167" s="106">
        <v>1</v>
      </c>
      <c r="N167" s="128"/>
      <c r="O167" s="110">
        <f>IF(OR(ISBLANK(BOM_table6[[#This Row],[SKU QTY]]),BOM_table6[[#This Row],[SKU Cost]]=0),0,BOM_table6[[#This Row],[SKU Cost]]/BOM_table6[[#This Row],[SKU QTY]])</f>
        <v>0</v>
      </c>
      <c r="P167" s="110">
        <f>IF(OR(ISBLANK(BOM_table6[[#This Row],[ASM QTY]]),ISBLANK(BOM_table6[[#This Row],[Unit Cost]])),0,BOM_table6[[#This Row],[ASM QTY]]*BOM_table6[[#This Row],[Unit Cost]])</f>
        <v>0</v>
      </c>
      <c r="Q167" s="126"/>
      <c r="R167" s="132"/>
      <c r="S167" s="111">
        <f>BOM_table6[[#This Row],[ASM QTY]]*$Q$2+BOM_table6[[#This Row],[Spare QTY Needed]]-BOM_table6[[#This Row],[QTY in Inventory]]</f>
        <v>4</v>
      </c>
      <c r="T167" s="111">
        <f>ROUNDUP((BOM_table6[[#This Row],[QTY to Order]]/BOM_table6[[#This Row],[SKU QTY]]),0)</f>
        <v>4</v>
      </c>
      <c r="U167" s="110">
        <f>BOM_table6[[#This Row],[SKU QTY to Order]]*BOM_table6[[#This Row],[SKU Cost]]</f>
        <v>0</v>
      </c>
      <c r="V167" s="128"/>
      <c r="W167" s="126"/>
      <c r="X167" s="126"/>
      <c r="Y167" s="130"/>
      <c r="Z167" s="130"/>
      <c r="AA167" s="130"/>
      <c r="AB167" s="126"/>
      <c r="AC167" s="45"/>
    </row>
    <row r="168" spans="1:29" ht="15" customHeight="1" x14ac:dyDescent="0.2">
      <c r="A168" s="105" t="s">
        <v>161</v>
      </c>
      <c r="B168" s="44" t="s">
        <v>732</v>
      </c>
      <c r="C168" s="45" t="s">
        <v>733</v>
      </c>
      <c r="D168" s="45"/>
      <c r="E168" s="45"/>
      <c r="F168" s="45" t="s">
        <v>835</v>
      </c>
      <c r="G168" s="45">
        <v>4</v>
      </c>
      <c r="H168" s="45" t="s">
        <v>2178</v>
      </c>
      <c r="I168" s="43" t="s">
        <v>2225</v>
      </c>
      <c r="J168" s="45" t="s">
        <v>166</v>
      </c>
      <c r="K168" s="45" t="s">
        <v>216</v>
      </c>
      <c r="L168" s="45"/>
      <c r="M168" s="106">
        <v>1</v>
      </c>
      <c r="N168" s="50"/>
      <c r="O168" s="110">
        <f>IF(OR(ISBLANK(BOM_table6[[#This Row],[SKU QTY]]),BOM_table6[[#This Row],[SKU Cost]]=0),0,BOM_table6[[#This Row],[SKU Cost]]/BOM_table6[[#This Row],[SKU QTY]])</f>
        <v>0</v>
      </c>
      <c r="P168" s="110">
        <f>IF(OR(ISBLANK(BOM_table6[[#This Row],[ASM QTY]]),ISBLANK(BOM_table6[[#This Row],[Unit Cost]])),0,BOM_table6[[#This Row],[ASM QTY]]*BOM_table6[[#This Row],[Unit Cost]])</f>
        <v>0</v>
      </c>
      <c r="Q168" s="45"/>
      <c r="R168" s="81"/>
      <c r="S168" s="111">
        <f>BOM_table6[[#This Row],[ASM QTY]]*$Q$2+BOM_table6[[#This Row],[Spare QTY Needed]]-BOM_table6[[#This Row],[QTY in Inventory]]</f>
        <v>4</v>
      </c>
      <c r="T168" s="111">
        <f>ROUNDUP((BOM_table6[[#This Row],[QTY to Order]]/BOM_table6[[#This Row],[SKU QTY]]),0)</f>
        <v>4</v>
      </c>
      <c r="U168" s="110">
        <f>BOM_table6[[#This Row],[SKU QTY to Order]]*BOM_table6[[#This Row],[SKU Cost]]</f>
        <v>0</v>
      </c>
      <c r="V168" s="62"/>
      <c r="W168" s="45"/>
      <c r="X168" s="45"/>
      <c r="Y168" s="54"/>
      <c r="Z168" s="54"/>
      <c r="AA168" s="54"/>
      <c r="AB168" s="45"/>
      <c r="AC168" s="45"/>
    </row>
    <row r="169" spans="1:29" ht="15" customHeight="1" x14ac:dyDescent="0.2">
      <c r="A169" s="105" t="s">
        <v>161</v>
      </c>
      <c r="B169" s="44" t="s">
        <v>795</v>
      </c>
      <c r="C169" s="45" t="s">
        <v>803</v>
      </c>
      <c r="D169" s="45"/>
      <c r="E169" s="45" t="s">
        <v>1049</v>
      </c>
      <c r="F169" s="45" t="s">
        <v>831</v>
      </c>
      <c r="G169" s="45">
        <v>1</v>
      </c>
      <c r="H169" s="45" t="s">
        <v>2178</v>
      </c>
      <c r="J169" s="45" t="s">
        <v>1320</v>
      </c>
      <c r="K169" s="45"/>
      <c r="L169" s="45"/>
      <c r="M169" s="106">
        <v>1</v>
      </c>
      <c r="N169" s="50"/>
      <c r="O169" s="110">
        <f>IF(OR(ISBLANK(BOM_table6[[#This Row],[SKU QTY]]),BOM_table6[[#This Row],[SKU Cost]]=0),0,BOM_table6[[#This Row],[SKU Cost]]/BOM_table6[[#This Row],[SKU QTY]])</f>
        <v>0</v>
      </c>
      <c r="P169" s="110">
        <f>IF(OR(ISBLANK(BOM_table6[[#This Row],[ASM QTY]]),ISBLANK(BOM_table6[[#This Row],[Unit Cost]])),0,BOM_table6[[#This Row],[ASM QTY]]*BOM_table6[[#This Row],[Unit Cost]])</f>
        <v>0</v>
      </c>
      <c r="Q169" s="45"/>
      <c r="R169" s="81"/>
      <c r="S169" s="111">
        <f>BOM_table6[[#This Row],[ASM QTY]]*$Q$2+BOM_table6[[#This Row],[Spare QTY Needed]]-BOM_table6[[#This Row],[QTY in Inventory]]</f>
        <v>1</v>
      </c>
      <c r="T169" s="111">
        <f>ROUNDUP((BOM_table6[[#This Row],[QTY to Order]]/BOM_table6[[#This Row],[SKU QTY]]),0)</f>
        <v>1</v>
      </c>
      <c r="U169" s="110">
        <f>BOM_table6[[#This Row],[SKU QTY to Order]]*BOM_table6[[#This Row],[SKU Cost]]</f>
        <v>0</v>
      </c>
      <c r="V169" s="62"/>
      <c r="W169" s="45"/>
      <c r="X169" s="45"/>
      <c r="Y169" s="45"/>
      <c r="Z169" s="54"/>
      <c r="AA169" s="45"/>
      <c r="AB169" s="45"/>
      <c r="AC169" s="45"/>
    </row>
    <row r="170" spans="1:29" ht="15" customHeight="1" x14ac:dyDescent="0.2">
      <c r="A170" s="105" t="s">
        <v>161</v>
      </c>
      <c r="B170" s="127" t="s">
        <v>1662</v>
      </c>
      <c r="C170" s="126" t="s">
        <v>1663</v>
      </c>
      <c r="D170" s="126"/>
      <c r="E170" s="126" t="s">
        <v>1049</v>
      </c>
      <c r="F170" s="45" t="s">
        <v>835</v>
      </c>
      <c r="G170" s="126">
        <v>1</v>
      </c>
      <c r="H170" s="45" t="s">
        <v>2178</v>
      </c>
      <c r="I170" s="131"/>
      <c r="J170" s="126" t="s">
        <v>865</v>
      </c>
      <c r="K170" s="45" t="s">
        <v>1430</v>
      </c>
      <c r="L170" s="45"/>
      <c r="M170" s="106">
        <v>1</v>
      </c>
      <c r="N170" s="128"/>
      <c r="O170" s="110">
        <f>IF(OR(ISBLANK(BOM_table6[[#This Row],[SKU QTY]]),BOM_table6[[#This Row],[SKU Cost]]=0),0,BOM_table6[[#This Row],[SKU Cost]]/BOM_table6[[#This Row],[SKU QTY]])</f>
        <v>0</v>
      </c>
      <c r="P170" s="110">
        <f>IF(OR(ISBLANK(BOM_table6[[#This Row],[ASM QTY]]),ISBLANK(BOM_table6[[#This Row],[Unit Cost]])),0,BOM_table6[[#This Row],[ASM QTY]]*BOM_table6[[#This Row],[Unit Cost]])</f>
        <v>0</v>
      </c>
      <c r="Q170" s="126"/>
      <c r="R170" s="132"/>
      <c r="S170" s="111">
        <f>BOM_table6[[#This Row],[ASM QTY]]*$Q$2+BOM_table6[[#This Row],[Spare QTY Needed]]-BOM_table6[[#This Row],[QTY in Inventory]]</f>
        <v>1</v>
      </c>
      <c r="T170" s="111">
        <f>ROUNDUP((BOM_table6[[#This Row],[QTY to Order]]/BOM_table6[[#This Row],[SKU QTY]]),0)</f>
        <v>1</v>
      </c>
      <c r="U170" s="110">
        <f>BOM_table6[[#This Row],[SKU QTY to Order]]*BOM_table6[[#This Row],[SKU Cost]]</f>
        <v>0</v>
      </c>
      <c r="V170" s="128"/>
      <c r="W170" s="45"/>
      <c r="X170" s="45"/>
      <c r="Y170" s="130"/>
      <c r="Z170" s="130"/>
      <c r="AA170" s="130"/>
      <c r="AB170" s="126"/>
      <c r="AC170" s="45"/>
    </row>
    <row r="171" spans="1:29" ht="15" customHeight="1" x14ac:dyDescent="0.25">
      <c r="A171" s="105" t="s">
        <v>161</v>
      </c>
      <c r="B171" s="44" t="s">
        <v>666</v>
      </c>
      <c r="C171" s="45" t="s">
        <v>1041</v>
      </c>
      <c r="D171" s="45"/>
      <c r="E171" s="45" t="s">
        <v>667</v>
      </c>
      <c r="F171" s="45" t="s">
        <v>831</v>
      </c>
      <c r="G171" s="45">
        <v>1</v>
      </c>
      <c r="H171" s="45" t="s">
        <v>2178</v>
      </c>
      <c r="I171" s="104" t="s">
        <v>1648</v>
      </c>
      <c r="J171" s="45" t="s">
        <v>166</v>
      </c>
      <c r="K171" s="45" t="s">
        <v>1042</v>
      </c>
      <c r="L171" s="45"/>
      <c r="M171" s="106">
        <v>1</v>
      </c>
      <c r="N171" s="50"/>
      <c r="O171" s="110">
        <f>IF(OR(ISBLANK(BOM_table6[[#This Row],[SKU QTY]]),BOM_table6[[#This Row],[SKU Cost]]=0),0,BOM_table6[[#This Row],[SKU Cost]]/BOM_table6[[#This Row],[SKU QTY]])</f>
        <v>0</v>
      </c>
      <c r="P171" s="110">
        <f>IF(OR(ISBLANK(BOM_table6[[#This Row],[ASM QTY]]),ISBLANK(BOM_table6[[#This Row],[Unit Cost]])),0,BOM_table6[[#This Row],[ASM QTY]]*BOM_table6[[#This Row],[Unit Cost]])</f>
        <v>0</v>
      </c>
      <c r="Q171" s="45"/>
      <c r="R171" s="81"/>
      <c r="S171" s="111">
        <f>BOM_table6[[#This Row],[ASM QTY]]*$Q$2+BOM_table6[[#This Row],[Spare QTY Needed]]-BOM_table6[[#This Row],[QTY in Inventory]]</f>
        <v>1</v>
      </c>
      <c r="T171" s="111">
        <f>ROUNDUP((BOM_table6[[#This Row],[QTY to Order]]/BOM_table6[[#This Row],[SKU QTY]]),0)</f>
        <v>1</v>
      </c>
      <c r="U171" s="110">
        <f>BOM_table6[[#This Row],[SKU QTY to Order]]*BOM_table6[[#This Row],[SKU Cost]]</f>
        <v>0</v>
      </c>
      <c r="V171" s="62"/>
      <c r="W171" s="45"/>
      <c r="X171" s="45"/>
      <c r="Y171" s="97"/>
      <c r="Z171" s="54"/>
      <c r="AA171" s="54"/>
      <c r="AB171" s="45"/>
      <c r="AC171" s="45"/>
    </row>
    <row r="172" spans="1:29" ht="15" customHeight="1" x14ac:dyDescent="0.2">
      <c r="A172" s="105" t="s">
        <v>161</v>
      </c>
      <c r="B172" s="44" t="s">
        <v>723</v>
      </c>
      <c r="C172" s="45" t="s">
        <v>724</v>
      </c>
      <c r="D172" s="45"/>
      <c r="E172" s="45" t="s">
        <v>1049</v>
      </c>
      <c r="F172" s="45" t="s">
        <v>835</v>
      </c>
      <c r="G172" s="45">
        <v>4</v>
      </c>
      <c r="H172" s="45" t="s">
        <v>2178</v>
      </c>
      <c r="I172" s="43" t="s">
        <v>2277</v>
      </c>
      <c r="J172" s="45" t="s">
        <v>169</v>
      </c>
      <c r="K172" s="45" t="s">
        <v>1439</v>
      </c>
      <c r="L172" s="45"/>
      <c r="M172" s="106">
        <v>1</v>
      </c>
      <c r="N172" s="50">
        <v>131.19999999999999</v>
      </c>
      <c r="O172" s="110">
        <v>131.19999999999999</v>
      </c>
      <c r="P172" s="110">
        <f>IF(OR(ISBLANK(BOM_table6[[#This Row],[ASM QTY]]),ISBLANK(BOM_table6[[#This Row],[Unit Cost]])),0,BOM_table6[[#This Row],[ASM QTY]]*BOM_table6[[#This Row],[Unit Cost]])</f>
        <v>524.79999999999995</v>
      </c>
      <c r="Q172" s="45"/>
      <c r="R172" s="81"/>
      <c r="S172" s="111">
        <f>BOM_table6[[#This Row],[ASM QTY]]*$Q$2+BOM_table6[[#This Row],[Spare QTY Needed]]-BOM_table6[[#This Row],[QTY in Inventory]]</f>
        <v>4</v>
      </c>
      <c r="T172" s="111">
        <f>ROUNDUP((BOM_table6[[#This Row],[QTY to Order]]/BOM_table6[[#This Row],[SKU QTY]]),0)</f>
        <v>4</v>
      </c>
      <c r="U172" s="110">
        <f>BOM_table6[[#This Row],[SKU QTY to Order]]*BOM_table6[[#This Row],[SKU Cost]]</f>
        <v>524.79999999999995</v>
      </c>
      <c r="V172" s="50" t="s">
        <v>2199</v>
      </c>
      <c r="W172" s="45" t="s">
        <v>2191</v>
      </c>
      <c r="X172" s="45" t="s">
        <v>2200</v>
      </c>
      <c r="Y172" s="97">
        <v>44845</v>
      </c>
      <c r="Z172" s="54">
        <v>44879</v>
      </c>
      <c r="AA172" s="45"/>
      <c r="AB172" s="45"/>
      <c r="AC172" s="45"/>
    </row>
    <row r="173" spans="1:29" ht="15" customHeight="1" x14ac:dyDescent="0.2">
      <c r="A173" s="44" t="s">
        <v>161</v>
      </c>
      <c r="B173" s="44" t="s">
        <v>455</v>
      </c>
      <c r="C173" s="45" t="s">
        <v>456</v>
      </c>
      <c r="D173" s="45" t="s">
        <v>152</v>
      </c>
      <c r="E173" s="45" t="s">
        <v>1049</v>
      </c>
      <c r="F173" s="45" t="s">
        <v>818</v>
      </c>
      <c r="G173" s="45">
        <v>4</v>
      </c>
      <c r="H173" s="45" t="s">
        <v>2178</v>
      </c>
      <c r="I173" s="75"/>
      <c r="J173" s="45" t="s">
        <v>169</v>
      </c>
      <c r="K173" s="45" t="s">
        <v>1528</v>
      </c>
      <c r="L173" s="45"/>
      <c r="M173" s="106">
        <v>1</v>
      </c>
      <c r="N173" s="50">
        <v>164.78</v>
      </c>
      <c r="O173" s="110">
        <f>IF(OR(ISBLANK(BOM_table6[[#This Row],[SKU QTY]]),BOM_table6[[#This Row],[SKU Cost]]=0),0,BOM_table6[[#This Row],[SKU Cost]]/BOM_table6[[#This Row],[SKU QTY]])</f>
        <v>164.78</v>
      </c>
      <c r="P173" s="110">
        <f>IF(OR(ISBLANK(BOM_table6[[#This Row],[ASM QTY]]),ISBLANK(BOM_table6[[#This Row],[Unit Cost]])),0,BOM_table6[[#This Row],[ASM QTY]]*BOM_table6[[#This Row],[Unit Cost]])</f>
        <v>659.12</v>
      </c>
      <c r="Q173" s="45"/>
      <c r="R173" s="81"/>
      <c r="S173" s="111">
        <f>BOM_table6[[#This Row],[ASM QTY]]*$Q$2+BOM_table6[[#This Row],[Spare QTY Needed]]-BOM_table6[[#This Row],[QTY in Inventory]]</f>
        <v>4</v>
      </c>
      <c r="T173" s="111">
        <f>ROUNDUP((BOM_table6[[#This Row],[QTY to Order]]/BOM_table6[[#This Row],[SKU QTY]]),0)</f>
        <v>4</v>
      </c>
      <c r="U173" s="110">
        <f>BOM_table6[[#This Row],[SKU QTY to Order]]*BOM_table6[[#This Row],[SKU Cost]]</f>
        <v>659.12</v>
      </c>
      <c r="V173" s="62"/>
      <c r="W173" s="45" t="s">
        <v>2191</v>
      </c>
      <c r="X173" s="45" t="s">
        <v>2215</v>
      </c>
      <c r="Y173" s="97">
        <v>44858</v>
      </c>
      <c r="Z173" s="54">
        <v>44914</v>
      </c>
      <c r="AA173" s="54"/>
      <c r="AB173" s="45"/>
      <c r="AC173" s="45"/>
    </row>
    <row r="174" spans="1:29" ht="15" customHeight="1" x14ac:dyDescent="0.2">
      <c r="A174" s="105" t="s">
        <v>161</v>
      </c>
      <c r="B174" s="44" t="s">
        <v>728</v>
      </c>
      <c r="C174" s="45" t="s">
        <v>729</v>
      </c>
      <c r="D174" s="45" t="s">
        <v>364</v>
      </c>
      <c r="E174" s="45" t="s">
        <v>1049</v>
      </c>
      <c r="F174" s="45" t="s">
        <v>835</v>
      </c>
      <c r="G174" s="45">
        <v>4</v>
      </c>
      <c r="H174" s="45" t="s">
        <v>2178</v>
      </c>
      <c r="J174" s="45" t="s">
        <v>169</v>
      </c>
      <c r="K174" s="45" t="s">
        <v>1439</v>
      </c>
      <c r="L174" s="45"/>
      <c r="M174" s="106">
        <v>1</v>
      </c>
      <c r="N174" s="50">
        <f>BOM_table6[[#This Row],[Unit Cost]]</f>
        <v>182.45</v>
      </c>
      <c r="O174" s="110">
        <v>182.45</v>
      </c>
      <c r="P174" s="110">
        <f>IF(OR(ISBLANK(BOM_table6[[#This Row],[ASM QTY]]),ISBLANK(BOM_table6[[#This Row],[Unit Cost]])),0,BOM_table6[[#This Row],[ASM QTY]]*BOM_table6[[#This Row],[Unit Cost]])</f>
        <v>729.8</v>
      </c>
      <c r="Q174" s="45"/>
      <c r="R174" s="81"/>
      <c r="S174" s="111">
        <f>BOM_table6[[#This Row],[ASM QTY]]*$Q$2+BOM_table6[[#This Row],[Spare QTY Needed]]-BOM_table6[[#This Row],[QTY in Inventory]]</f>
        <v>4</v>
      </c>
      <c r="T174" s="111">
        <f>ROUNDUP((BOM_table6[[#This Row],[QTY to Order]]/BOM_table6[[#This Row],[SKU QTY]]),0)</f>
        <v>4</v>
      </c>
      <c r="U174" s="110">
        <f>BOM_table6[[#This Row],[SKU QTY to Order]]*BOM_table6[[#This Row],[SKU Cost]]</f>
        <v>729.8</v>
      </c>
      <c r="V174" s="50" t="s">
        <v>2199</v>
      </c>
      <c r="W174" s="45" t="s">
        <v>2191</v>
      </c>
      <c r="X174" s="45" t="s">
        <v>2200</v>
      </c>
      <c r="Y174" s="97">
        <v>44845</v>
      </c>
      <c r="Z174" s="54">
        <v>44879</v>
      </c>
      <c r="AA174" s="54"/>
      <c r="AB174" s="45"/>
      <c r="AC174" s="45"/>
    </row>
    <row r="175" spans="1:29" ht="15" customHeight="1" x14ac:dyDescent="0.2">
      <c r="A175" s="44" t="s">
        <v>161</v>
      </c>
      <c r="B175" s="44" t="s">
        <v>440</v>
      </c>
      <c r="C175" s="45" t="s">
        <v>441</v>
      </c>
      <c r="D175" s="45"/>
      <c r="E175" s="45" t="s">
        <v>1049</v>
      </c>
      <c r="F175" s="45" t="s">
        <v>818</v>
      </c>
      <c r="G175" s="45">
        <v>2</v>
      </c>
      <c r="H175" s="45" t="s">
        <v>2178</v>
      </c>
      <c r="I175" s="75"/>
      <c r="J175" s="45" t="s">
        <v>169</v>
      </c>
      <c r="K175" s="45" t="s">
        <v>1528</v>
      </c>
      <c r="L175" s="45"/>
      <c r="M175" s="106">
        <v>1</v>
      </c>
      <c r="N175" s="50">
        <v>326.33999999999997</v>
      </c>
      <c r="O175" s="110">
        <f>IF(OR(ISBLANK(BOM_table6[[#This Row],[SKU QTY]]),BOM_table6[[#This Row],[SKU Cost]]=0),0,BOM_table6[[#This Row],[SKU Cost]]/BOM_table6[[#This Row],[SKU QTY]])</f>
        <v>326.33999999999997</v>
      </c>
      <c r="P175" s="110">
        <f>IF(OR(ISBLANK(BOM_table6[[#This Row],[ASM QTY]]),ISBLANK(BOM_table6[[#This Row],[Unit Cost]])),0,BOM_table6[[#This Row],[ASM QTY]]*BOM_table6[[#This Row],[Unit Cost]])</f>
        <v>652.67999999999995</v>
      </c>
      <c r="Q175" s="45"/>
      <c r="R175" s="81"/>
      <c r="S175" s="111">
        <f>BOM_table6[[#This Row],[ASM QTY]]*$Q$2+BOM_table6[[#This Row],[Spare QTY Needed]]-BOM_table6[[#This Row],[QTY in Inventory]]</f>
        <v>2</v>
      </c>
      <c r="T175" s="111">
        <f>ROUNDUP((BOM_table6[[#This Row],[QTY to Order]]/BOM_table6[[#This Row],[SKU QTY]]),0)</f>
        <v>2</v>
      </c>
      <c r="U175" s="110">
        <f>BOM_table6[[#This Row],[SKU QTY to Order]]*BOM_table6[[#This Row],[SKU Cost]]</f>
        <v>652.67999999999995</v>
      </c>
      <c r="V175" s="62"/>
      <c r="W175" s="45" t="s">
        <v>2191</v>
      </c>
      <c r="X175" s="45" t="s">
        <v>2215</v>
      </c>
      <c r="Y175" s="97">
        <v>44858</v>
      </c>
      <c r="Z175" s="54">
        <v>44914</v>
      </c>
      <c r="AA175" s="54"/>
      <c r="AB175" s="45"/>
      <c r="AC175" s="45"/>
    </row>
    <row r="176" spans="1:29" ht="15" customHeight="1" x14ac:dyDescent="0.2">
      <c r="A176" s="44" t="s">
        <v>161</v>
      </c>
      <c r="B176" s="44" t="s">
        <v>448</v>
      </c>
      <c r="C176" s="45" t="s">
        <v>449</v>
      </c>
      <c r="D176" s="45"/>
      <c r="E176" s="45" t="s">
        <v>1049</v>
      </c>
      <c r="F176" s="45" t="s">
        <v>819</v>
      </c>
      <c r="G176" s="45">
        <v>1</v>
      </c>
      <c r="H176" s="45" t="s">
        <v>2178</v>
      </c>
      <c r="J176" s="45" t="s">
        <v>169</v>
      </c>
      <c r="K176" s="45" t="s">
        <v>1528</v>
      </c>
      <c r="L176" s="45"/>
      <c r="M176" s="106">
        <v>1</v>
      </c>
      <c r="N176" s="50">
        <v>401.57</v>
      </c>
      <c r="O176" s="110">
        <f>IF(OR(ISBLANK(BOM_table6[[#This Row],[SKU QTY]]),BOM_table6[[#This Row],[SKU Cost]]=0),0,BOM_table6[[#This Row],[SKU Cost]]/BOM_table6[[#This Row],[SKU QTY]])</f>
        <v>401.57</v>
      </c>
      <c r="P176" s="110">
        <f>IF(OR(ISBLANK(BOM_table6[[#This Row],[ASM QTY]]),ISBLANK(BOM_table6[[#This Row],[Unit Cost]])),0,BOM_table6[[#This Row],[ASM QTY]]*BOM_table6[[#This Row],[Unit Cost]])</f>
        <v>401.57</v>
      </c>
      <c r="Q176" s="45"/>
      <c r="R176" s="81"/>
      <c r="S176" s="111">
        <f>BOM_table6[[#This Row],[ASM QTY]]*$Q$2+BOM_table6[[#This Row],[Spare QTY Needed]]-BOM_table6[[#This Row],[QTY in Inventory]]</f>
        <v>1</v>
      </c>
      <c r="T176" s="111">
        <f>ROUNDUP((BOM_table6[[#This Row],[QTY to Order]]/BOM_table6[[#This Row],[SKU QTY]]),0)</f>
        <v>1</v>
      </c>
      <c r="U176" s="110">
        <f>BOM_table6[[#This Row],[SKU QTY to Order]]*BOM_table6[[#This Row],[SKU Cost]]</f>
        <v>401.57</v>
      </c>
      <c r="V176" s="62"/>
      <c r="W176" s="45" t="s">
        <v>2191</v>
      </c>
      <c r="X176" s="45" t="s">
        <v>2215</v>
      </c>
      <c r="Y176" s="97">
        <v>44858</v>
      </c>
      <c r="Z176" s="54">
        <v>44914</v>
      </c>
      <c r="AA176" s="54"/>
      <c r="AB176" s="45"/>
      <c r="AC176" s="45"/>
    </row>
    <row r="177" spans="1:29" ht="15" customHeight="1" x14ac:dyDescent="0.2">
      <c r="A177" s="44" t="s">
        <v>161</v>
      </c>
      <c r="B177" s="44" t="s">
        <v>446</v>
      </c>
      <c r="C177" s="45" t="s">
        <v>447</v>
      </c>
      <c r="D177" s="45"/>
      <c r="E177" s="45" t="s">
        <v>1049</v>
      </c>
      <c r="F177" s="45" t="s">
        <v>820</v>
      </c>
      <c r="G177" s="45">
        <v>1</v>
      </c>
      <c r="H177" s="45" t="s">
        <v>2178</v>
      </c>
      <c r="I177" s="75"/>
      <c r="J177" s="45" t="s">
        <v>169</v>
      </c>
      <c r="K177" s="45" t="s">
        <v>1528</v>
      </c>
      <c r="L177" s="45"/>
      <c r="M177" s="106">
        <v>1</v>
      </c>
      <c r="N177" s="50">
        <v>427.93</v>
      </c>
      <c r="O177" s="110">
        <f>IF(OR(ISBLANK(BOM_table6[[#This Row],[SKU QTY]]),BOM_table6[[#This Row],[SKU Cost]]=0),0,BOM_table6[[#This Row],[SKU Cost]]/BOM_table6[[#This Row],[SKU QTY]])</f>
        <v>427.93</v>
      </c>
      <c r="P177" s="110">
        <f>IF(OR(ISBLANK(BOM_table6[[#This Row],[ASM QTY]]),ISBLANK(BOM_table6[[#This Row],[Unit Cost]])),0,BOM_table6[[#This Row],[ASM QTY]]*BOM_table6[[#This Row],[Unit Cost]])</f>
        <v>427.93</v>
      </c>
      <c r="Q177" s="45"/>
      <c r="R177" s="81"/>
      <c r="S177" s="111">
        <f>BOM_table6[[#This Row],[ASM QTY]]*$Q$2+BOM_table6[[#This Row],[Spare QTY Needed]]-BOM_table6[[#This Row],[QTY in Inventory]]</f>
        <v>1</v>
      </c>
      <c r="T177" s="111">
        <f>ROUNDUP((BOM_table6[[#This Row],[QTY to Order]]/BOM_table6[[#This Row],[SKU QTY]]),0)</f>
        <v>1</v>
      </c>
      <c r="U177" s="110">
        <f>BOM_table6[[#This Row],[SKU QTY to Order]]*BOM_table6[[#This Row],[SKU Cost]]</f>
        <v>427.93</v>
      </c>
      <c r="V177" s="62"/>
      <c r="W177" s="45" t="s">
        <v>2191</v>
      </c>
      <c r="X177" s="45" t="s">
        <v>2215</v>
      </c>
      <c r="Y177" s="97">
        <v>44858</v>
      </c>
      <c r="Z177" s="54">
        <v>44914</v>
      </c>
      <c r="AA177" s="54"/>
      <c r="AB177" s="45"/>
      <c r="AC177" s="45"/>
    </row>
    <row r="178" spans="1:29" ht="15" customHeight="1" x14ac:dyDescent="0.2">
      <c r="A178" s="44" t="s">
        <v>161</v>
      </c>
      <c r="B178" s="44" t="s">
        <v>450</v>
      </c>
      <c r="C178" s="45" t="s">
        <v>451</v>
      </c>
      <c r="D178" s="45"/>
      <c r="E178" s="45" t="s">
        <v>1049</v>
      </c>
      <c r="F178" s="45" t="s">
        <v>818</v>
      </c>
      <c r="G178" s="45">
        <v>2</v>
      </c>
      <c r="H178" s="45" t="s">
        <v>2178</v>
      </c>
      <c r="I178" s="75"/>
      <c r="J178" s="45" t="s">
        <v>169</v>
      </c>
      <c r="K178" s="45" t="s">
        <v>1528</v>
      </c>
      <c r="L178" s="45"/>
      <c r="M178" s="106">
        <v>1</v>
      </c>
      <c r="N178" s="50">
        <v>223.18</v>
      </c>
      <c r="O178" s="110">
        <f>IF(OR(ISBLANK(BOM_table6[[#This Row],[SKU QTY]]),BOM_table6[[#This Row],[SKU Cost]]=0),0,BOM_table6[[#This Row],[SKU Cost]]/BOM_table6[[#This Row],[SKU QTY]])</f>
        <v>223.18</v>
      </c>
      <c r="P178" s="110">
        <f>IF(OR(ISBLANK(BOM_table6[[#This Row],[ASM QTY]]),ISBLANK(BOM_table6[[#This Row],[Unit Cost]])),0,BOM_table6[[#This Row],[ASM QTY]]*BOM_table6[[#This Row],[Unit Cost]])</f>
        <v>446.36</v>
      </c>
      <c r="Q178" s="45"/>
      <c r="R178" s="81"/>
      <c r="S178" s="111">
        <f>BOM_table6[[#This Row],[ASM QTY]]*$Q$2+BOM_table6[[#This Row],[Spare QTY Needed]]-BOM_table6[[#This Row],[QTY in Inventory]]</f>
        <v>2</v>
      </c>
      <c r="T178" s="111">
        <f>ROUNDUP((BOM_table6[[#This Row],[QTY to Order]]/BOM_table6[[#This Row],[SKU QTY]]),0)</f>
        <v>2</v>
      </c>
      <c r="U178" s="110">
        <f>BOM_table6[[#This Row],[SKU QTY to Order]]*BOM_table6[[#This Row],[SKU Cost]]</f>
        <v>446.36</v>
      </c>
      <c r="V178" s="62"/>
      <c r="W178" s="45" t="s">
        <v>2191</v>
      </c>
      <c r="X178" s="45" t="s">
        <v>2215</v>
      </c>
      <c r="Y178" s="97">
        <v>44858</v>
      </c>
      <c r="Z178" s="54">
        <v>44924</v>
      </c>
      <c r="AA178" s="54"/>
      <c r="AB178" s="45"/>
      <c r="AC178" s="45"/>
    </row>
    <row r="179" spans="1:29" ht="15" customHeight="1" x14ac:dyDescent="0.2">
      <c r="A179" s="44" t="s">
        <v>161</v>
      </c>
      <c r="B179" s="44" t="s">
        <v>444</v>
      </c>
      <c r="C179" s="45" t="s">
        <v>445</v>
      </c>
      <c r="D179" s="45"/>
      <c r="E179" s="45" t="s">
        <v>1049</v>
      </c>
      <c r="F179" s="45" t="s">
        <v>818</v>
      </c>
      <c r="G179" s="45">
        <v>2</v>
      </c>
      <c r="H179" s="45" t="s">
        <v>2178</v>
      </c>
      <c r="I179" s="75"/>
      <c r="J179" s="45" t="s">
        <v>169</v>
      </c>
      <c r="K179" s="45" t="s">
        <v>1528</v>
      </c>
      <c r="L179" s="45"/>
      <c r="M179" s="106">
        <v>1</v>
      </c>
      <c r="N179" s="50">
        <v>223.18</v>
      </c>
      <c r="O179" s="110">
        <f>IF(OR(ISBLANK(BOM_table6[[#This Row],[SKU QTY]]),BOM_table6[[#This Row],[SKU Cost]]=0),0,BOM_table6[[#This Row],[SKU Cost]]/BOM_table6[[#This Row],[SKU QTY]])</f>
        <v>223.18</v>
      </c>
      <c r="P179" s="110">
        <f>IF(OR(ISBLANK(BOM_table6[[#This Row],[ASM QTY]]),ISBLANK(BOM_table6[[#This Row],[Unit Cost]])),0,BOM_table6[[#This Row],[ASM QTY]]*BOM_table6[[#This Row],[Unit Cost]])</f>
        <v>446.36</v>
      </c>
      <c r="Q179" s="45"/>
      <c r="R179" s="81"/>
      <c r="S179" s="111">
        <f>BOM_table6[[#This Row],[ASM QTY]]*$Q$2+BOM_table6[[#This Row],[Spare QTY Needed]]-BOM_table6[[#This Row],[QTY in Inventory]]</f>
        <v>2</v>
      </c>
      <c r="T179" s="111">
        <f>ROUNDUP((BOM_table6[[#This Row],[QTY to Order]]/BOM_table6[[#This Row],[SKU QTY]]),0)</f>
        <v>2</v>
      </c>
      <c r="U179" s="110">
        <f>BOM_table6[[#This Row],[SKU QTY to Order]]*BOM_table6[[#This Row],[SKU Cost]]</f>
        <v>446.36</v>
      </c>
      <c r="V179" s="62"/>
      <c r="W179" s="45" t="s">
        <v>2191</v>
      </c>
      <c r="X179" s="45" t="s">
        <v>2215</v>
      </c>
      <c r="Y179" s="97">
        <v>44858</v>
      </c>
      <c r="Z179" s="54">
        <v>44914</v>
      </c>
      <c r="AA179" s="54"/>
      <c r="AB179" s="45"/>
      <c r="AC179" s="45"/>
    </row>
    <row r="180" spans="1:29" ht="15" customHeight="1" x14ac:dyDescent="0.2">
      <c r="A180" s="44" t="s">
        <v>161</v>
      </c>
      <c r="B180" s="44" t="s">
        <v>442</v>
      </c>
      <c r="C180" s="45" t="s">
        <v>443</v>
      </c>
      <c r="D180" s="45"/>
      <c r="E180" s="45" t="s">
        <v>1049</v>
      </c>
      <c r="F180" s="45" t="s">
        <v>818</v>
      </c>
      <c r="G180" s="45">
        <v>2</v>
      </c>
      <c r="H180" s="45" t="s">
        <v>2178</v>
      </c>
      <c r="I180" s="75"/>
      <c r="J180" s="45" t="s">
        <v>169</v>
      </c>
      <c r="K180" s="45" t="s">
        <v>1528</v>
      </c>
      <c r="L180" s="45"/>
      <c r="M180" s="106">
        <v>1</v>
      </c>
      <c r="N180" s="50">
        <v>179.03</v>
      </c>
      <c r="O180" s="110">
        <f>IF(OR(ISBLANK(BOM_table6[[#This Row],[SKU QTY]]),BOM_table6[[#This Row],[SKU Cost]]=0),0,BOM_table6[[#This Row],[SKU Cost]]/BOM_table6[[#This Row],[SKU QTY]])</f>
        <v>179.03</v>
      </c>
      <c r="P180" s="110">
        <f>IF(OR(ISBLANK(BOM_table6[[#This Row],[ASM QTY]]),ISBLANK(BOM_table6[[#This Row],[Unit Cost]])),0,BOM_table6[[#This Row],[ASM QTY]]*BOM_table6[[#This Row],[Unit Cost]])</f>
        <v>358.06</v>
      </c>
      <c r="Q180" s="45"/>
      <c r="R180" s="81"/>
      <c r="S180" s="111">
        <f>BOM_table6[[#This Row],[ASM QTY]]*$Q$2+BOM_table6[[#This Row],[Spare QTY Needed]]-BOM_table6[[#This Row],[QTY in Inventory]]</f>
        <v>2</v>
      </c>
      <c r="T180" s="111">
        <f>ROUNDUP((BOM_table6[[#This Row],[QTY to Order]]/BOM_table6[[#This Row],[SKU QTY]]),0)</f>
        <v>2</v>
      </c>
      <c r="U180" s="110">
        <f>BOM_table6[[#This Row],[SKU QTY to Order]]*BOM_table6[[#This Row],[SKU Cost]]</f>
        <v>358.06</v>
      </c>
      <c r="V180" s="62"/>
      <c r="W180" s="45" t="s">
        <v>2191</v>
      </c>
      <c r="X180" s="45" t="s">
        <v>2215</v>
      </c>
      <c r="Y180" s="97">
        <v>44858</v>
      </c>
      <c r="Z180" s="54">
        <v>44914</v>
      </c>
      <c r="AA180" s="54"/>
      <c r="AB180" s="45"/>
      <c r="AC180" s="45"/>
    </row>
    <row r="181" spans="1:29" ht="15" customHeight="1" x14ac:dyDescent="0.2">
      <c r="A181" s="44" t="s">
        <v>161</v>
      </c>
      <c r="B181" s="44" t="s">
        <v>452</v>
      </c>
      <c r="C181" s="45" t="s">
        <v>453</v>
      </c>
      <c r="D181" s="45"/>
      <c r="E181" s="45" t="s">
        <v>1049</v>
      </c>
      <c r="F181" s="45" t="s">
        <v>818</v>
      </c>
      <c r="G181" s="45">
        <v>2</v>
      </c>
      <c r="H181" s="45" t="s">
        <v>2178</v>
      </c>
      <c r="I181" s="75"/>
      <c r="J181" s="45" t="s">
        <v>169</v>
      </c>
      <c r="K181" s="45" t="s">
        <v>1528</v>
      </c>
      <c r="L181" s="45"/>
      <c r="M181" s="106">
        <v>1</v>
      </c>
      <c r="N181" s="50">
        <v>233.79</v>
      </c>
      <c r="O181" s="110">
        <f>IF(OR(ISBLANK(BOM_table6[[#This Row],[SKU QTY]]),BOM_table6[[#This Row],[SKU Cost]]=0),0,BOM_table6[[#This Row],[SKU Cost]]/BOM_table6[[#This Row],[SKU QTY]])</f>
        <v>233.79</v>
      </c>
      <c r="P181" s="110">
        <f>IF(OR(ISBLANK(BOM_table6[[#This Row],[ASM QTY]]),ISBLANK(BOM_table6[[#This Row],[Unit Cost]])),0,BOM_table6[[#This Row],[ASM QTY]]*BOM_table6[[#This Row],[Unit Cost]])</f>
        <v>467.58</v>
      </c>
      <c r="Q181" s="45"/>
      <c r="R181" s="81"/>
      <c r="S181" s="111">
        <f>BOM_table6[[#This Row],[ASM QTY]]*$Q$2+BOM_table6[[#This Row],[Spare QTY Needed]]-BOM_table6[[#This Row],[QTY in Inventory]]</f>
        <v>2</v>
      </c>
      <c r="T181" s="111">
        <f>ROUNDUP((BOM_table6[[#This Row],[QTY to Order]]/BOM_table6[[#This Row],[SKU QTY]]),0)</f>
        <v>2</v>
      </c>
      <c r="U181" s="110">
        <f>BOM_table6[[#This Row],[SKU QTY to Order]]*BOM_table6[[#This Row],[SKU Cost]]</f>
        <v>467.58</v>
      </c>
      <c r="V181" s="62"/>
      <c r="W181" s="45" t="s">
        <v>2191</v>
      </c>
      <c r="X181" s="45" t="s">
        <v>2215</v>
      </c>
      <c r="Y181" s="97">
        <v>44858</v>
      </c>
      <c r="Z181" s="54">
        <v>44914</v>
      </c>
      <c r="AA181" s="54"/>
      <c r="AB181" s="45"/>
      <c r="AC181" s="45"/>
    </row>
    <row r="182" spans="1:29" ht="15" customHeight="1" x14ac:dyDescent="0.2">
      <c r="A182" s="105" t="s">
        <v>161</v>
      </c>
      <c r="B182" s="44" t="s">
        <v>670</v>
      </c>
      <c r="C182" s="45" t="s">
        <v>788</v>
      </c>
      <c r="D182" s="45"/>
      <c r="E182" s="45" t="s">
        <v>671</v>
      </c>
      <c r="F182" s="45" t="s">
        <v>831</v>
      </c>
      <c r="G182" s="45">
        <v>1</v>
      </c>
      <c r="H182" s="45" t="s">
        <v>2178</v>
      </c>
      <c r="J182" s="45" t="s">
        <v>170</v>
      </c>
      <c r="K182" s="45" t="s">
        <v>671</v>
      </c>
      <c r="L182" s="45"/>
      <c r="M182" s="106">
        <v>1</v>
      </c>
      <c r="N182" s="50"/>
      <c r="O182" s="110">
        <f>IF(OR(ISBLANK(BOM_table6[[#This Row],[SKU QTY]]),BOM_table6[[#This Row],[SKU Cost]]=0),0,BOM_table6[[#This Row],[SKU Cost]]/BOM_table6[[#This Row],[SKU QTY]])</f>
        <v>0</v>
      </c>
      <c r="P182" s="110">
        <f>IF(OR(ISBLANK(BOM_table6[[#This Row],[ASM QTY]]),ISBLANK(BOM_table6[[#This Row],[Unit Cost]])),0,BOM_table6[[#This Row],[ASM QTY]]*BOM_table6[[#This Row],[Unit Cost]])</f>
        <v>0</v>
      </c>
      <c r="Q182" s="45"/>
      <c r="R182" s="81"/>
      <c r="S182" s="111">
        <f>BOM_table6[[#This Row],[ASM QTY]]*$Q$2+BOM_table6[[#This Row],[Spare QTY Needed]]-BOM_table6[[#This Row],[QTY in Inventory]]</f>
        <v>1</v>
      </c>
      <c r="T182" s="111">
        <f>ROUNDUP((BOM_table6[[#This Row],[QTY to Order]]/BOM_table6[[#This Row],[SKU QTY]]),0)</f>
        <v>1</v>
      </c>
      <c r="U182" s="110">
        <f>BOM_table6[[#This Row],[SKU QTY to Order]]*BOM_table6[[#This Row],[SKU Cost]]</f>
        <v>0</v>
      </c>
      <c r="V182" s="62"/>
      <c r="W182" s="45"/>
      <c r="X182" s="45"/>
      <c r="Y182" s="45"/>
      <c r="Z182" s="54"/>
      <c r="AA182" s="45"/>
      <c r="AB182" s="45"/>
      <c r="AC182" s="45"/>
    </row>
    <row r="183" spans="1:29" ht="15" customHeight="1" x14ac:dyDescent="0.2">
      <c r="A183" s="105" t="s">
        <v>161</v>
      </c>
      <c r="B183" s="44" t="s">
        <v>632</v>
      </c>
      <c r="C183" s="45" t="s">
        <v>629</v>
      </c>
      <c r="D183" s="45" t="s">
        <v>233</v>
      </c>
      <c r="E183" s="45" t="s">
        <v>1049</v>
      </c>
      <c r="F183" s="45" t="s">
        <v>831</v>
      </c>
      <c r="G183" s="45">
        <v>1</v>
      </c>
      <c r="H183" s="45" t="s">
        <v>2178</v>
      </c>
      <c r="J183" s="45" t="s">
        <v>169</v>
      </c>
      <c r="K183" s="45" t="s">
        <v>1439</v>
      </c>
      <c r="L183" s="45"/>
      <c r="M183" s="106">
        <v>1</v>
      </c>
      <c r="N183" s="50">
        <f>BOM_table6[[#This Row],[Unit Cost]]</f>
        <v>375.15</v>
      </c>
      <c r="O183" s="110">
        <v>375.15</v>
      </c>
      <c r="P183" s="110">
        <f>IF(OR(ISBLANK(BOM_table6[[#This Row],[ASM QTY]]),ISBLANK(BOM_table6[[#This Row],[Unit Cost]])),0,BOM_table6[[#This Row],[ASM QTY]]*BOM_table6[[#This Row],[Unit Cost]])</f>
        <v>375.15</v>
      </c>
      <c r="Q183" s="45"/>
      <c r="R183" s="81"/>
      <c r="S183" s="111">
        <f>BOM_table6[[#This Row],[ASM QTY]]*$Q$2+BOM_table6[[#This Row],[Spare QTY Needed]]-BOM_table6[[#This Row],[QTY in Inventory]]</f>
        <v>1</v>
      </c>
      <c r="T183" s="111">
        <f>ROUNDUP((BOM_table6[[#This Row],[QTY to Order]]/BOM_table6[[#This Row],[SKU QTY]]),0)</f>
        <v>1</v>
      </c>
      <c r="U183" s="110">
        <f>BOM_table6[[#This Row],[SKU QTY to Order]]*BOM_table6[[#This Row],[SKU Cost]]</f>
        <v>375.15</v>
      </c>
      <c r="V183" s="50" t="s">
        <v>2199</v>
      </c>
      <c r="W183" s="45" t="s">
        <v>2191</v>
      </c>
      <c r="X183" s="45" t="s">
        <v>2200</v>
      </c>
      <c r="Y183" s="97">
        <v>44845</v>
      </c>
      <c r="Z183" s="54">
        <v>44879</v>
      </c>
      <c r="AA183" s="54"/>
      <c r="AB183" s="45"/>
      <c r="AC183" s="45"/>
    </row>
    <row r="184" spans="1:29" ht="15" customHeight="1" x14ac:dyDescent="0.2">
      <c r="A184" s="105" t="s">
        <v>161</v>
      </c>
      <c r="B184" s="44" t="s">
        <v>633</v>
      </c>
      <c r="C184" s="45" t="s">
        <v>630</v>
      </c>
      <c r="D184" s="45" t="s">
        <v>233</v>
      </c>
      <c r="E184" s="45" t="s">
        <v>1049</v>
      </c>
      <c r="F184" s="45" t="s">
        <v>831</v>
      </c>
      <c r="G184" s="45">
        <v>1</v>
      </c>
      <c r="H184" s="45" t="s">
        <v>2178</v>
      </c>
      <c r="I184" s="43" t="s">
        <v>2275</v>
      </c>
      <c r="J184" s="45" t="s">
        <v>169</v>
      </c>
      <c r="K184" s="45" t="s">
        <v>1439</v>
      </c>
      <c r="L184" s="45"/>
      <c r="M184" s="106">
        <v>1</v>
      </c>
      <c r="N184" s="50">
        <f>BOM_table6[[#This Row],[Unit Cost]]</f>
        <v>375.15</v>
      </c>
      <c r="O184" s="110">
        <v>375.15</v>
      </c>
      <c r="P184" s="110">
        <f>IF(OR(ISBLANK(BOM_table6[[#This Row],[ASM QTY]]),ISBLANK(BOM_table6[[#This Row],[Unit Cost]])),0,BOM_table6[[#This Row],[ASM QTY]]*BOM_table6[[#This Row],[Unit Cost]])</f>
        <v>375.15</v>
      </c>
      <c r="Q184" s="45"/>
      <c r="R184" s="81"/>
      <c r="S184" s="111">
        <f>BOM_table6[[#This Row],[ASM QTY]]*$Q$2+BOM_table6[[#This Row],[Spare QTY Needed]]-BOM_table6[[#This Row],[QTY in Inventory]]</f>
        <v>1</v>
      </c>
      <c r="T184" s="111">
        <f>ROUNDUP((BOM_table6[[#This Row],[QTY to Order]]/BOM_table6[[#This Row],[SKU QTY]]),0)</f>
        <v>1</v>
      </c>
      <c r="U184" s="110">
        <f>BOM_table6[[#This Row],[SKU QTY to Order]]*BOM_table6[[#This Row],[SKU Cost]]</f>
        <v>375.15</v>
      </c>
      <c r="V184" s="50" t="s">
        <v>2199</v>
      </c>
      <c r="W184" s="45" t="s">
        <v>2191</v>
      </c>
      <c r="X184" s="45" t="s">
        <v>2200</v>
      </c>
      <c r="Y184" s="97">
        <v>44845</v>
      </c>
      <c r="Z184" s="54">
        <v>44879</v>
      </c>
      <c r="AA184" s="54"/>
      <c r="AB184" s="45"/>
      <c r="AC184" s="45"/>
    </row>
    <row r="185" spans="1:29" ht="15" customHeight="1" x14ac:dyDescent="0.2">
      <c r="A185" s="105" t="s">
        <v>161</v>
      </c>
      <c r="B185" s="44" t="s">
        <v>634</v>
      </c>
      <c r="C185" s="45" t="s">
        <v>631</v>
      </c>
      <c r="D185" s="45" t="s">
        <v>152</v>
      </c>
      <c r="E185" s="45" t="s">
        <v>1049</v>
      </c>
      <c r="F185" s="45" t="s">
        <v>831</v>
      </c>
      <c r="G185" s="45">
        <v>1</v>
      </c>
      <c r="H185" s="45" t="s">
        <v>2178</v>
      </c>
      <c r="I185" s="43" t="s">
        <v>2239</v>
      </c>
      <c r="J185" s="45" t="s">
        <v>169</v>
      </c>
      <c r="K185" s="45" t="s">
        <v>1439</v>
      </c>
      <c r="L185" s="45"/>
      <c r="M185" s="106">
        <v>1</v>
      </c>
      <c r="N185" s="50">
        <f>BOM_table6[[#This Row],[Unit Cost]]</f>
        <v>225.5</v>
      </c>
      <c r="O185" s="110">
        <v>225.5</v>
      </c>
      <c r="P185" s="110">
        <f>IF(OR(ISBLANK(BOM_table6[[#This Row],[ASM QTY]]),ISBLANK(BOM_table6[[#This Row],[Unit Cost]])),0,BOM_table6[[#This Row],[ASM QTY]]*BOM_table6[[#This Row],[Unit Cost]])</f>
        <v>225.5</v>
      </c>
      <c r="Q185" s="45"/>
      <c r="R185" s="81"/>
      <c r="S185" s="111">
        <f>BOM_table6[[#This Row],[ASM QTY]]*$Q$2+BOM_table6[[#This Row],[Spare QTY Needed]]-BOM_table6[[#This Row],[QTY in Inventory]]</f>
        <v>1</v>
      </c>
      <c r="T185" s="111">
        <f>ROUNDUP((BOM_table6[[#This Row],[QTY to Order]]/BOM_table6[[#This Row],[SKU QTY]]),0)</f>
        <v>1</v>
      </c>
      <c r="U185" s="110">
        <f>BOM_table6[[#This Row],[SKU QTY to Order]]*BOM_table6[[#This Row],[SKU Cost]]</f>
        <v>225.5</v>
      </c>
      <c r="V185" s="50" t="s">
        <v>2199</v>
      </c>
      <c r="W185" s="45" t="s">
        <v>2191</v>
      </c>
      <c r="X185" s="45" t="s">
        <v>2200</v>
      </c>
      <c r="Y185" s="97">
        <v>44845</v>
      </c>
      <c r="Z185" s="54">
        <v>44879</v>
      </c>
      <c r="AA185" s="54"/>
      <c r="AB185" s="45"/>
      <c r="AC185" s="45"/>
    </row>
    <row r="186" spans="1:29" ht="15" customHeight="1" x14ac:dyDescent="0.2">
      <c r="A186" s="105" t="s">
        <v>161</v>
      </c>
      <c r="B186" s="44" t="s">
        <v>635</v>
      </c>
      <c r="C186" s="45" t="s">
        <v>636</v>
      </c>
      <c r="D186" s="45" t="s">
        <v>152</v>
      </c>
      <c r="E186" s="45" t="s">
        <v>1049</v>
      </c>
      <c r="F186" s="45" t="s">
        <v>831</v>
      </c>
      <c r="G186" s="45">
        <v>1</v>
      </c>
      <c r="H186" s="45" t="s">
        <v>2178</v>
      </c>
      <c r="I186" s="43" t="s">
        <v>2239</v>
      </c>
      <c r="J186" s="45" t="s">
        <v>169</v>
      </c>
      <c r="K186" s="45" t="s">
        <v>1439</v>
      </c>
      <c r="L186" s="45"/>
      <c r="M186" s="106">
        <v>1</v>
      </c>
      <c r="N186" s="50">
        <f>BOM_table6[[#This Row],[Unit Cost]]</f>
        <v>246</v>
      </c>
      <c r="O186" s="110">
        <v>246</v>
      </c>
      <c r="P186" s="110">
        <f>IF(OR(ISBLANK(BOM_table6[[#This Row],[ASM QTY]]),ISBLANK(BOM_table6[[#This Row],[Unit Cost]])),0,BOM_table6[[#This Row],[ASM QTY]]*BOM_table6[[#This Row],[Unit Cost]])</f>
        <v>246</v>
      </c>
      <c r="Q186" s="45"/>
      <c r="R186" s="81"/>
      <c r="S186" s="111">
        <f>BOM_table6[[#This Row],[ASM QTY]]*$Q$2+BOM_table6[[#This Row],[Spare QTY Needed]]-BOM_table6[[#This Row],[QTY in Inventory]]</f>
        <v>1</v>
      </c>
      <c r="T186" s="111">
        <f>ROUNDUP((BOM_table6[[#This Row],[QTY to Order]]/BOM_table6[[#This Row],[SKU QTY]]),0)</f>
        <v>1</v>
      </c>
      <c r="U186" s="110">
        <f>BOM_table6[[#This Row],[SKU QTY to Order]]*BOM_table6[[#This Row],[SKU Cost]]</f>
        <v>246</v>
      </c>
      <c r="V186" s="50" t="s">
        <v>2199</v>
      </c>
      <c r="W186" s="45" t="s">
        <v>2191</v>
      </c>
      <c r="X186" s="45" t="s">
        <v>2200</v>
      </c>
      <c r="Y186" s="97">
        <v>44845</v>
      </c>
      <c r="Z186" s="54">
        <v>44879</v>
      </c>
      <c r="AA186" s="54"/>
      <c r="AB186" s="45"/>
      <c r="AC186" s="45"/>
    </row>
    <row r="187" spans="1:29" ht="15" customHeight="1" x14ac:dyDescent="0.2">
      <c r="A187" s="105" t="s">
        <v>161</v>
      </c>
      <c r="B187" s="44" t="s">
        <v>643</v>
      </c>
      <c r="C187" s="45" t="s">
        <v>644</v>
      </c>
      <c r="D187" s="45"/>
      <c r="E187" s="45" t="s">
        <v>1049</v>
      </c>
      <c r="F187" s="45" t="s">
        <v>831</v>
      </c>
      <c r="G187" s="45">
        <v>1</v>
      </c>
      <c r="H187" s="45" t="s">
        <v>2178</v>
      </c>
      <c r="I187" s="43" t="s">
        <v>2239</v>
      </c>
      <c r="J187" s="45" t="s">
        <v>169</v>
      </c>
      <c r="K187" s="45" t="s">
        <v>1439</v>
      </c>
      <c r="L187" s="45"/>
      <c r="M187" s="106">
        <v>1</v>
      </c>
      <c r="N187" s="50">
        <f>BOM_table6[[#This Row],[Unit Cost]]</f>
        <v>184.5</v>
      </c>
      <c r="O187" s="110">
        <v>184.5</v>
      </c>
      <c r="P187" s="110">
        <f>IF(OR(ISBLANK(BOM_table6[[#This Row],[ASM QTY]]),ISBLANK(BOM_table6[[#This Row],[Unit Cost]])),0,BOM_table6[[#This Row],[ASM QTY]]*BOM_table6[[#This Row],[Unit Cost]])</f>
        <v>184.5</v>
      </c>
      <c r="Q187" s="45"/>
      <c r="R187" s="81"/>
      <c r="S187" s="111">
        <f>BOM_table6[[#This Row],[ASM QTY]]*$Q$2+BOM_table6[[#This Row],[Spare QTY Needed]]-BOM_table6[[#This Row],[QTY in Inventory]]</f>
        <v>1</v>
      </c>
      <c r="T187" s="111">
        <f>ROUNDUP((BOM_table6[[#This Row],[QTY to Order]]/BOM_table6[[#This Row],[SKU QTY]]),0)</f>
        <v>1</v>
      </c>
      <c r="U187" s="110">
        <f>BOM_table6[[#This Row],[SKU QTY to Order]]*BOM_table6[[#This Row],[SKU Cost]]</f>
        <v>184.5</v>
      </c>
      <c r="V187" s="50" t="s">
        <v>2199</v>
      </c>
      <c r="W187" s="45" t="s">
        <v>2191</v>
      </c>
      <c r="X187" s="45" t="s">
        <v>2200</v>
      </c>
      <c r="Y187" s="97">
        <v>44845</v>
      </c>
      <c r="Z187" s="54">
        <v>44879</v>
      </c>
      <c r="AA187" s="54"/>
      <c r="AB187" s="45"/>
      <c r="AC187" s="45"/>
    </row>
    <row r="188" spans="1:29" ht="15" customHeight="1" x14ac:dyDescent="0.2">
      <c r="A188" s="105" t="s">
        <v>161</v>
      </c>
      <c r="B188" s="44" t="s">
        <v>637</v>
      </c>
      <c r="C188" s="45" t="s">
        <v>638</v>
      </c>
      <c r="D188" s="45"/>
      <c r="E188" s="45" t="s">
        <v>1049</v>
      </c>
      <c r="F188" s="45" t="s">
        <v>831</v>
      </c>
      <c r="G188" s="45">
        <v>1</v>
      </c>
      <c r="H188" s="45" t="s">
        <v>2178</v>
      </c>
      <c r="I188" s="43" t="s">
        <v>2239</v>
      </c>
      <c r="J188" s="45" t="s">
        <v>169</v>
      </c>
      <c r="K188" s="45" t="s">
        <v>1439</v>
      </c>
      <c r="L188" s="45"/>
      <c r="M188" s="106">
        <v>1</v>
      </c>
      <c r="N188" s="50">
        <f>BOM_table6[[#This Row],[Unit Cost]]</f>
        <v>166.05</v>
      </c>
      <c r="O188" s="110">
        <v>166.05</v>
      </c>
      <c r="P188" s="110">
        <f>IF(OR(ISBLANK(BOM_table6[[#This Row],[ASM QTY]]),ISBLANK(BOM_table6[[#This Row],[Unit Cost]])),0,BOM_table6[[#This Row],[ASM QTY]]*BOM_table6[[#This Row],[Unit Cost]])</f>
        <v>166.05</v>
      </c>
      <c r="Q188" s="45"/>
      <c r="R188" s="81"/>
      <c r="S188" s="111">
        <f>BOM_table6[[#This Row],[ASM QTY]]*$Q$2+BOM_table6[[#This Row],[Spare QTY Needed]]-BOM_table6[[#This Row],[QTY in Inventory]]</f>
        <v>1</v>
      </c>
      <c r="T188" s="111">
        <f>ROUNDUP((BOM_table6[[#This Row],[QTY to Order]]/BOM_table6[[#This Row],[SKU QTY]]),0)</f>
        <v>1</v>
      </c>
      <c r="U188" s="110">
        <f>BOM_table6[[#This Row],[SKU QTY to Order]]*BOM_table6[[#This Row],[SKU Cost]]</f>
        <v>166.05</v>
      </c>
      <c r="V188" s="50" t="s">
        <v>2199</v>
      </c>
      <c r="W188" s="45" t="s">
        <v>2191</v>
      </c>
      <c r="X188" s="45" t="s">
        <v>2200</v>
      </c>
      <c r="Y188" s="97">
        <v>44845</v>
      </c>
      <c r="Z188" s="54">
        <v>44879</v>
      </c>
      <c r="AA188" s="54"/>
      <c r="AB188" s="45"/>
      <c r="AC188" s="45"/>
    </row>
    <row r="189" spans="1:29" ht="15" customHeight="1" x14ac:dyDescent="0.2">
      <c r="A189" s="105" t="s">
        <v>161</v>
      </c>
      <c r="B189" s="44" t="s">
        <v>725</v>
      </c>
      <c r="C189" s="45" t="s">
        <v>726</v>
      </c>
      <c r="D189" s="45"/>
      <c r="E189" s="45" t="s">
        <v>1049</v>
      </c>
      <c r="F189" s="45" t="s">
        <v>835</v>
      </c>
      <c r="G189" s="45">
        <v>1</v>
      </c>
      <c r="H189" s="45" t="s">
        <v>2178</v>
      </c>
      <c r="I189" s="43" t="s">
        <v>2239</v>
      </c>
      <c r="J189" s="45" t="s">
        <v>169</v>
      </c>
      <c r="K189" s="45" t="s">
        <v>1439</v>
      </c>
      <c r="L189" s="45"/>
      <c r="M189" s="106">
        <v>1</v>
      </c>
      <c r="N189" s="50">
        <f>BOM_table6[[#This Row],[Unit Cost]]</f>
        <v>805.65</v>
      </c>
      <c r="O189" s="110">
        <v>805.65</v>
      </c>
      <c r="P189" s="110">
        <f>IF(OR(ISBLANK(BOM_table6[[#This Row],[ASM QTY]]),ISBLANK(BOM_table6[[#This Row],[Unit Cost]])),0,BOM_table6[[#This Row],[ASM QTY]]*BOM_table6[[#This Row],[Unit Cost]])</f>
        <v>805.65</v>
      </c>
      <c r="Q189" s="45"/>
      <c r="R189" s="81"/>
      <c r="S189" s="111">
        <f>BOM_table6[[#This Row],[ASM QTY]]*$Q$2+BOM_table6[[#This Row],[Spare QTY Needed]]-BOM_table6[[#This Row],[QTY in Inventory]]</f>
        <v>1</v>
      </c>
      <c r="T189" s="111">
        <f>ROUNDUP((BOM_table6[[#This Row],[QTY to Order]]/BOM_table6[[#This Row],[SKU QTY]]),0)</f>
        <v>1</v>
      </c>
      <c r="U189" s="110">
        <f>BOM_table6[[#This Row],[SKU QTY to Order]]*BOM_table6[[#This Row],[SKU Cost]]</f>
        <v>805.65</v>
      </c>
      <c r="V189" s="50" t="s">
        <v>2199</v>
      </c>
      <c r="W189" s="45" t="s">
        <v>2191</v>
      </c>
      <c r="X189" s="45" t="s">
        <v>2200</v>
      </c>
      <c r="Y189" s="97">
        <v>44845</v>
      </c>
      <c r="Z189" s="54">
        <v>44879</v>
      </c>
      <c r="AA189" s="54"/>
      <c r="AB189" s="45"/>
      <c r="AC189" s="45"/>
    </row>
    <row r="190" spans="1:29" ht="15" customHeight="1" x14ac:dyDescent="0.2">
      <c r="A190" s="105" t="s">
        <v>161</v>
      </c>
      <c r="B190" s="44" t="s">
        <v>692</v>
      </c>
      <c r="C190" s="45" t="s">
        <v>693</v>
      </c>
      <c r="D190" s="45"/>
      <c r="E190" s="45"/>
      <c r="F190" s="45" t="s">
        <v>845</v>
      </c>
      <c r="G190" s="45">
        <v>3</v>
      </c>
      <c r="H190" s="45"/>
      <c r="I190" s="43" t="s">
        <v>846</v>
      </c>
      <c r="J190" s="45" t="s">
        <v>1321</v>
      </c>
      <c r="K190" s="45" t="s">
        <v>216</v>
      </c>
      <c r="L190" s="45"/>
      <c r="M190" s="106">
        <v>1</v>
      </c>
      <c r="N190" s="50">
        <v>0.1</v>
      </c>
      <c r="O190" s="110">
        <f>IF(OR(ISBLANK(BOM_table6[[#This Row],[SKU QTY]]),BOM_table6[[#This Row],[SKU Cost]]=0),0,BOM_table6[[#This Row],[SKU Cost]]/BOM_table6[[#This Row],[SKU QTY]])</f>
        <v>0.1</v>
      </c>
      <c r="P190" s="110">
        <f>IF(OR(ISBLANK(BOM_table6[[#This Row],[ASM QTY]]),ISBLANK(BOM_table6[[#This Row],[Unit Cost]])),0,BOM_table6[[#This Row],[ASM QTY]]*BOM_table6[[#This Row],[Unit Cost]])</f>
        <v>0.30000000000000004</v>
      </c>
      <c r="Q190" s="45"/>
      <c r="R190" s="81"/>
      <c r="S190" s="111">
        <f>BOM_table6[[#This Row],[ASM QTY]]*$Q$2+BOM_table6[[#This Row],[Spare QTY Needed]]-BOM_table6[[#This Row],[QTY in Inventory]]</f>
        <v>3</v>
      </c>
      <c r="T190" s="111">
        <f>ROUNDUP((BOM_table6[[#This Row],[QTY to Order]]/BOM_table6[[#This Row],[SKU QTY]]),0)</f>
        <v>3</v>
      </c>
      <c r="U190" s="110">
        <f>BOM_table6[[#This Row],[SKU QTY to Order]]*BOM_table6[[#This Row],[SKU Cost]]</f>
        <v>0.30000000000000004</v>
      </c>
      <c r="V190" s="62"/>
      <c r="W190" s="45" t="s">
        <v>2191</v>
      </c>
      <c r="X190" s="45" t="s">
        <v>2192</v>
      </c>
      <c r="Y190" s="54">
        <v>44923</v>
      </c>
      <c r="Z190" s="54"/>
      <c r="AA190" s="54">
        <v>44924</v>
      </c>
      <c r="AB190" s="45"/>
      <c r="AC190" s="45"/>
    </row>
    <row r="191" spans="1:29" ht="15" customHeight="1" x14ac:dyDescent="0.2">
      <c r="A191" s="105" t="s">
        <v>161</v>
      </c>
      <c r="B191" s="44" t="s">
        <v>2171</v>
      </c>
      <c r="C191" s="45" t="s">
        <v>798</v>
      </c>
      <c r="D191" s="45" t="s">
        <v>152</v>
      </c>
      <c r="E191" s="45" t="s">
        <v>1049</v>
      </c>
      <c r="F191" s="45" t="s">
        <v>832</v>
      </c>
      <c r="G191" s="45">
        <v>2</v>
      </c>
      <c r="H191" s="45"/>
      <c r="I191" s="43" t="s">
        <v>2149</v>
      </c>
      <c r="J191" s="45" t="s">
        <v>169</v>
      </c>
      <c r="K191" s="45" t="s">
        <v>1439</v>
      </c>
      <c r="L191" s="45"/>
      <c r="M191" s="106">
        <v>1</v>
      </c>
      <c r="N191" s="50"/>
      <c r="O191" s="110">
        <f>IF(OR(ISBLANK(BOM_table6[[#This Row],[SKU QTY]]),BOM_table6[[#This Row],[SKU Cost]]=0),0,BOM_table6[[#This Row],[SKU Cost]]/BOM_table6[[#This Row],[SKU QTY]])</f>
        <v>0</v>
      </c>
      <c r="P191" s="110">
        <f>IF(OR(ISBLANK(BOM_table6[[#This Row],[ASM QTY]]),ISBLANK(BOM_table6[[#This Row],[Unit Cost]])),0,BOM_table6[[#This Row],[ASM QTY]]*BOM_table6[[#This Row],[Unit Cost]])</f>
        <v>0</v>
      </c>
      <c r="Q191" s="45"/>
      <c r="R191" s="81"/>
      <c r="S191" s="111">
        <f>BOM_table6[[#This Row],[ASM QTY]]*$Q$2+BOM_table6[[#This Row],[Spare QTY Needed]]-BOM_table6[[#This Row],[QTY in Inventory]]</f>
        <v>2</v>
      </c>
      <c r="T191" s="111">
        <f>ROUNDUP((BOM_table6[[#This Row],[QTY to Order]]/BOM_table6[[#This Row],[SKU QTY]]),0)</f>
        <v>2</v>
      </c>
      <c r="U191" s="110">
        <f>BOM_table6[[#This Row],[SKU QTY to Order]]*BOM_table6[[#This Row],[SKU Cost]]</f>
        <v>0</v>
      </c>
      <c r="V191" s="62"/>
      <c r="W191" s="45"/>
      <c r="X191" s="45"/>
      <c r="Y191" s="97"/>
      <c r="Z191" s="54"/>
      <c r="AA191" s="54"/>
      <c r="AB191" s="45"/>
      <c r="AC191" s="45"/>
    </row>
    <row r="192" spans="1:29" ht="15" customHeight="1" x14ac:dyDescent="0.2">
      <c r="A192" s="105" t="s">
        <v>161</v>
      </c>
      <c r="B192" s="44" t="s">
        <v>799</v>
      </c>
      <c r="C192" s="45" t="s">
        <v>800</v>
      </c>
      <c r="D192" s="45"/>
      <c r="E192" s="45" t="s">
        <v>1049</v>
      </c>
      <c r="F192" s="45" t="s">
        <v>832</v>
      </c>
      <c r="G192" s="45">
        <v>2</v>
      </c>
      <c r="H192" s="45"/>
      <c r="I192" s="43" t="s">
        <v>2149</v>
      </c>
      <c r="J192" s="45" t="s">
        <v>169</v>
      </c>
      <c r="K192" s="45" t="s">
        <v>1439</v>
      </c>
      <c r="L192" s="45"/>
      <c r="M192" s="106">
        <v>1</v>
      </c>
      <c r="N192" s="50"/>
      <c r="O192" s="110">
        <f>IF(OR(ISBLANK(BOM_table6[[#This Row],[SKU QTY]]),BOM_table6[[#This Row],[SKU Cost]]=0),0,BOM_table6[[#This Row],[SKU Cost]]/BOM_table6[[#This Row],[SKU QTY]])</f>
        <v>0</v>
      </c>
      <c r="P192" s="110">
        <f>IF(OR(ISBLANK(BOM_table6[[#This Row],[ASM QTY]]),ISBLANK(BOM_table6[[#This Row],[Unit Cost]])),0,BOM_table6[[#This Row],[ASM QTY]]*BOM_table6[[#This Row],[Unit Cost]])</f>
        <v>0</v>
      </c>
      <c r="Q192" s="45"/>
      <c r="R192" s="81"/>
      <c r="S192" s="111">
        <f>BOM_table6[[#This Row],[ASM QTY]]*$Q$2+BOM_table6[[#This Row],[Spare QTY Needed]]-BOM_table6[[#This Row],[QTY in Inventory]]</f>
        <v>2</v>
      </c>
      <c r="T192" s="111">
        <f>ROUNDUP((BOM_table6[[#This Row],[QTY to Order]]/BOM_table6[[#This Row],[SKU QTY]]),0)</f>
        <v>2</v>
      </c>
      <c r="U192" s="110">
        <f>BOM_table6[[#This Row],[SKU QTY to Order]]*BOM_table6[[#This Row],[SKU Cost]]</f>
        <v>0</v>
      </c>
      <c r="V192" s="62"/>
      <c r="W192" s="45"/>
      <c r="X192" s="45"/>
      <c r="Y192" s="54"/>
      <c r="Z192" s="54"/>
      <c r="AA192" s="54"/>
      <c r="AB192" s="45"/>
      <c r="AC192" s="45"/>
    </row>
    <row r="193" spans="1:29" ht="15" customHeight="1" x14ac:dyDescent="0.2">
      <c r="A193" s="105" t="s">
        <v>161</v>
      </c>
      <c r="B193" s="44" t="s">
        <v>801</v>
      </c>
      <c r="C193" s="45" t="s">
        <v>802</v>
      </c>
      <c r="D193" s="45" t="s">
        <v>152</v>
      </c>
      <c r="E193" s="45" t="s">
        <v>1049</v>
      </c>
      <c r="F193" s="45" t="s">
        <v>832</v>
      </c>
      <c r="G193" s="45">
        <v>1</v>
      </c>
      <c r="H193" s="45"/>
      <c r="I193" s="43" t="s">
        <v>2149</v>
      </c>
      <c r="J193" s="45" t="s">
        <v>169</v>
      </c>
      <c r="K193" s="45" t="s">
        <v>1439</v>
      </c>
      <c r="L193" s="45"/>
      <c r="M193" s="106">
        <v>1</v>
      </c>
      <c r="N193" s="50"/>
      <c r="O193" s="110">
        <f>IF(OR(ISBLANK(BOM_table6[[#This Row],[SKU QTY]]),BOM_table6[[#This Row],[SKU Cost]]=0),0,BOM_table6[[#This Row],[SKU Cost]]/BOM_table6[[#This Row],[SKU QTY]])</f>
        <v>0</v>
      </c>
      <c r="P193" s="110">
        <f>IF(OR(ISBLANK(BOM_table6[[#This Row],[ASM QTY]]),ISBLANK(BOM_table6[[#This Row],[Unit Cost]])),0,BOM_table6[[#This Row],[ASM QTY]]*BOM_table6[[#This Row],[Unit Cost]])</f>
        <v>0</v>
      </c>
      <c r="Q193" s="45"/>
      <c r="R193" s="81"/>
      <c r="S193" s="111">
        <f>BOM_table6[[#This Row],[ASM QTY]]*$Q$2+BOM_table6[[#This Row],[Spare QTY Needed]]-BOM_table6[[#This Row],[QTY in Inventory]]</f>
        <v>1</v>
      </c>
      <c r="T193" s="111">
        <f>ROUNDUP((BOM_table6[[#This Row],[QTY to Order]]/BOM_table6[[#This Row],[SKU QTY]]),0)</f>
        <v>1</v>
      </c>
      <c r="U193" s="110">
        <f>BOM_table6[[#This Row],[SKU QTY to Order]]*BOM_table6[[#This Row],[SKU Cost]]</f>
        <v>0</v>
      </c>
      <c r="V193" s="62"/>
      <c r="W193" s="45"/>
      <c r="X193" s="45"/>
      <c r="Y193" s="97"/>
      <c r="Z193" s="54"/>
      <c r="AA193" s="54"/>
      <c r="AB193" s="45"/>
      <c r="AC193" s="45"/>
    </row>
    <row r="194" spans="1:29" ht="15" customHeight="1" x14ac:dyDescent="0.2">
      <c r="A194" s="105" t="s">
        <v>161</v>
      </c>
      <c r="B194" s="44" t="s">
        <v>804</v>
      </c>
      <c r="C194" s="45" t="s">
        <v>805</v>
      </c>
      <c r="D194" s="45" t="s">
        <v>233</v>
      </c>
      <c r="E194" s="45" t="s">
        <v>1049</v>
      </c>
      <c r="F194" s="45" t="s">
        <v>832</v>
      </c>
      <c r="G194" s="45">
        <v>1</v>
      </c>
      <c r="H194" s="45"/>
      <c r="I194" s="43" t="s">
        <v>2149</v>
      </c>
      <c r="J194" s="45" t="s">
        <v>169</v>
      </c>
      <c r="K194" s="45" t="s">
        <v>1439</v>
      </c>
      <c r="L194" s="45"/>
      <c r="M194" s="106">
        <v>1</v>
      </c>
      <c r="N194" s="50"/>
      <c r="O194" s="110">
        <f>IF(OR(ISBLANK(BOM_table6[[#This Row],[SKU QTY]]),BOM_table6[[#This Row],[SKU Cost]]=0),0,BOM_table6[[#This Row],[SKU Cost]]/BOM_table6[[#This Row],[SKU QTY]])</f>
        <v>0</v>
      </c>
      <c r="P194" s="110">
        <f>IF(OR(ISBLANK(BOM_table6[[#This Row],[ASM QTY]]),ISBLANK(BOM_table6[[#This Row],[Unit Cost]])),0,BOM_table6[[#This Row],[ASM QTY]]*BOM_table6[[#This Row],[Unit Cost]])</f>
        <v>0</v>
      </c>
      <c r="Q194" s="45"/>
      <c r="R194" s="81"/>
      <c r="S194" s="111">
        <f>BOM_table6[[#This Row],[ASM QTY]]*$Q$2+BOM_table6[[#This Row],[Spare QTY Needed]]-BOM_table6[[#This Row],[QTY in Inventory]]</f>
        <v>1</v>
      </c>
      <c r="T194" s="111">
        <f>ROUNDUP((BOM_table6[[#This Row],[QTY to Order]]/BOM_table6[[#This Row],[SKU QTY]]),0)</f>
        <v>1</v>
      </c>
      <c r="U194" s="110">
        <f>BOM_table6[[#This Row],[SKU QTY to Order]]*BOM_table6[[#This Row],[SKU Cost]]</f>
        <v>0</v>
      </c>
      <c r="V194" s="62"/>
      <c r="W194" s="45"/>
      <c r="X194" s="45"/>
      <c r="Y194" s="97"/>
      <c r="Z194" s="54"/>
      <c r="AA194" s="54"/>
      <c r="AB194" s="45"/>
      <c r="AC194" s="45"/>
    </row>
    <row r="195" spans="1:29" ht="15" customHeight="1" x14ac:dyDescent="0.2">
      <c r="A195" s="105" t="s">
        <v>161</v>
      </c>
      <c r="B195" s="44" t="s">
        <v>806</v>
      </c>
      <c r="C195" s="45" t="s">
        <v>807</v>
      </c>
      <c r="D195" s="45"/>
      <c r="E195" s="45" t="s">
        <v>1049</v>
      </c>
      <c r="F195" s="45" t="s">
        <v>832</v>
      </c>
      <c r="G195" s="45">
        <v>2</v>
      </c>
      <c r="H195" s="45"/>
      <c r="I195" s="43" t="s">
        <v>2149</v>
      </c>
      <c r="J195" s="45" t="s">
        <v>169</v>
      </c>
      <c r="K195" s="45" t="s">
        <v>1439</v>
      </c>
      <c r="L195" s="45"/>
      <c r="M195" s="106">
        <v>1</v>
      </c>
      <c r="N195" s="50"/>
      <c r="O195" s="110">
        <f>IF(OR(ISBLANK(BOM_table6[[#This Row],[SKU QTY]]),BOM_table6[[#This Row],[SKU Cost]]=0),0,BOM_table6[[#This Row],[SKU Cost]]/BOM_table6[[#This Row],[SKU QTY]])</f>
        <v>0</v>
      </c>
      <c r="P195" s="110">
        <f>IF(OR(ISBLANK(BOM_table6[[#This Row],[ASM QTY]]),ISBLANK(BOM_table6[[#This Row],[Unit Cost]])),0,BOM_table6[[#This Row],[ASM QTY]]*BOM_table6[[#This Row],[Unit Cost]])</f>
        <v>0</v>
      </c>
      <c r="Q195" s="45"/>
      <c r="R195" s="81"/>
      <c r="S195" s="111">
        <f>BOM_table6[[#This Row],[ASM QTY]]*$Q$2+BOM_table6[[#This Row],[Spare QTY Needed]]-BOM_table6[[#This Row],[QTY in Inventory]]</f>
        <v>2</v>
      </c>
      <c r="T195" s="111">
        <f>ROUNDUP((BOM_table6[[#This Row],[QTY to Order]]/BOM_table6[[#This Row],[SKU QTY]]),0)</f>
        <v>2</v>
      </c>
      <c r="U195" s="110">
        <f>BOM_table6[[#This Row],[SKU QTY to Order]]*BOM_table6[[#This Row],[SKU Cost]]</f>
        <v>0</v>
      </c>
      <c r="V195" s="62"/>
      <c r="W195" s="45"/>
      <c r="X195" s="45"/>
      <c r="Y195" s="97"/>
      <c r="Z195" s="54"/>
      <c r="AA195" s="54"/>
      <c r="AB195" s="45"/>
      <c r="AC195" s="45"/>
    </row>
    <row r="196" spans="1:29" ht="15" customHeight="1" x14ac:dyDescent="0.2">
      <c r="A196" s="105" t="s">
        <v>161</v>
      </c>
      <c r="B196" s="44" t="s">
        <v>796</v>
      </c>
      <c r="C196" s="45" t="s">
        <v>797</v>
      </c>
      <c r="D196" s="45"/>
      <c r="E196" s="45" t="s">
        <v>1049</v>
      </c>
      <c r="F196" s="45" t="s">
        <v>832</v>
      </c>
      <c r="G196" s="45">
        <v>1</v>
      </c>
      <c r="H196" s="45"/>
      <c r="I196" s="43" t="s">
        <v>2149</v>
      </c>
      <c r="J196" s="45" t="s">
        <v>169</v>
      </c>
      <c r="K196" s="45"/>
      <c r="L196" s="45"/>
      <c r="M196" s="106">
        <v>1</v>
      </c>
      <c r="N196" s="50"/>
      <c r="O196" s="110">
        <f>IF(OR(ISBLANK(BOM_table6[[#This Row],[SKU QTY]]),BOM_table6[[#This Row],[SKU Cost]]=0),0,BOM_table6[[#This Row],[SKU Cost]]/BOM_table6[[#This Row],[SKU QTY]])</f>
        <v>0</v>
      </c>
      <c r="P196" s="110">
        <f>IF(OR(ISBLANK(BOM_table6[[#This Row],[ASM QTY]]),ISBLANK(BOM_table6[[#This Row],[Unit Cost]])),0,BOM_table6[[#This Row],[ASM QTY]]*BOM_table6[[#This Row],[Unit Cost]])</f>
        <v>0</v>
      </c>
      <c r="Q196" s="45"/>
      <c r="R196" s="81"/>
      <c r="S196" s="111">
        <f>BOM_table6[[#This Row],[ASM QTY]]*$Q$2+BOM_table6[[#This Row],[Spare QTY Needed]]-BOM_table6[[#This Row],[QTY in Inventory]]</f>
        <v>1</v>
      </c>
      <c r="T196" s="111">
        <f>ROUNDUP((BOM_table6[[#This Row],[QTY to Order]]/BOM_table6[[#This Row],[SKU QTY]]),0)</f>
        <v>1</v>
      </c>
      <c r="U196" s="110">
        <f>BOM_table6[[#This Row],[SKU QTY to Order]]*BOM_table6[[#This Row],[SKU Cost]]</f>
        <v>0</v>
      </c>
      <c r="V196" s="62"/>
      <c r="W196" s="45"/>
      <c r="X196" s="45"/>
      <c r="Y196" s="45"/>
      <c r="Z196" s="54"/>
      <c r="AA196" s="54"/>
      <c r="AB196" s="45"/>
      <c r="AC196" s="45"/>
    </row>
    <row r="197" spans="1:29" ht="15" customHeight="1" x14ac:dyDescent="0.2">
      <c r="A197" s="44" t="s">
        <v>160</v>
      </c>
      <c r="B197" s="157" t="s">
        <v>1955</v>
      </c>
      <c r="C197" s="158" t="s">
        <v>1136</v>
      </c>
      <c r="D197" s="45"/>
      <c r="E197" s="45" t="s">
        <v>1049</v>
      </c>
      <c r="F197" s="45" t="s">
        <v>1974</v>
      </c>
      <c r="G197" s="45">
        <v>1</v>
      </c>
      <c r="H197" s="45" t="s">
        <v>2177</v>
      </c>
      <c r="I197" s="157" t="s">
        <v>1975</v>
      </c>
      <c r="J197" s="45"/>
      <c r="K197" s="45"/>
      <c r="L197" s="45"/>
      <c r="M197" s="45">
        <v>1</v>
      </c>
      <c r="N197" s="50"/>
      <c r="O197" s="51">
        <f>IF(OR(ISBLANK(BOM_table6[[#This Row],[SKU QTY]]),BOM_table6[[#This Row],[SKU Cost]]=0),0,BOM_table6[[#This Row],[SKU Cost]]/BOM_table6[[#This Row],[SKU QTY]])</f>
        <v>0</v>
      </c>
      <c r="P197" s="51">
        <f>IF(OR(ISBLANK(BOM_table6[[#This Row],[ASM QTY]]),ISBLANK(BOM_table6[[#This Row],[Unit Cost]])),0,BOM_table6[[#This Row],[ASM QTY]]*BOM_table6[[#This Row],[Unit Cost]])</f>
        <v>0</v>
      </c>
      <c r="Q197" s="45"/>
      <c r="R197" s="81"/>
      <c r="S197" s="53">
        <f>BOM_table6[[#This Row],[ASM QTY]]*$Q$2+BOM_table6[[#This Row],[Spare QTY Needed]]-BOM_table6[[#This Row],[QTY in Inventory]]</f>
        <v>1</v>
      </c>
      <c r="T197" s="53">
        <f>ROUNDUP((BOM_table6[[#This Row],[QTY to Order]]/BOM_table6[[#This Row],[SKU QTY]]),0)</f>
        <v>1</v>
      </c>
      <c r="U197" s="51">
        <f>BOM_table6[[#This Row],[SKU QTY to Order]]*BOM_table6[[#This Row],[SKU Cost]]</f>
        <v>0</v>
      </c>
      <c r="V197" s="50"/>
      <c r="W197" s="45"/>
      <c r="X197" s="45"/>
      <c r="Y197" s="63"/>
      <c r="Z197" s="54"/>
      <c r="AA197" s="45"/>
      <c r="AB197" s="45"/>
      <c r="AC197" s="45"/>
    </row>
    <row r="198" spans="1:29" ht="15" customHeight="1" x14ac:dyDescent="0.2">
      <c r="A198" s="44" t="s">
        <v>160</v>
      </c>
      <c r="B198" s="157" t="s">
        <v>1956</v>
      </c>
      <c r="C198" s="55">
        <v>10020568</v>
      </c>
      <c r="D198" s="45"/>
      <c r="E198" s="45" t="s">
        <v>1049</v>
      </c>
      <c r="F198" s="45" t="s">
        <v>1974</v>
      </c>
      <c r="G198" s="45">
        <v>1</v>
      </c>
      <c r="H198" s="45" t="s">
        <v>2177</v>
      </c>
      <c r="I198" s="240" t="s">
        <v>1982</v>
      </c>
      <c r="J198" s="45"/>
      <c r="K198" s="45"/>
      <c r="L198" s="45"/>
      <c r="M198" s="45">
        <v>1</v>
      </c>
      <c r="N198" s="50"/>
      <c r="O198" s="51">
        <f>IF(OR(ISBLANK(BOM_table6[[#This Row],[SKU QTY]]),BOM_table6[[#This Row],[SKU Cost]]=0),0,BOM_table6[[#This Row],[SKU Cost]]/BOM_table6[[#This Row],[SKU QTY]])</f>
        <v>0</v>
      </c>
      <c r="P198" s="51">
        <f>IF(OR(ISBLANK(BOM_table6[[#This Row],[ASM QTY]]),ISBLANK(BOM_table6[[#This Row],[Unit Cost]])),0,BOM_table6[[#This Row],[ASM QTY]]*BOM_table6[[#This Row],[Unit Cost]])</f>
        <v>0</v>
      </c>
      <c r="Q198" s="45"/>
      <c r="R198" s="81"/>
      <c r="S198" s="53">
        <f>BOM_table6[[#This Row],[ASM QTY]]*$Q$2+BOM_table6[[#This Row],[Spare QTY Needed]]-BOM_table6[[#This Row],[QTY in Inventory]]</f>
        <v>1</v>
      </c>
      <c r="T198" s="53">
        <f>ROUNDUP((BOM_table6[[#This Row],[QTY to Order]]/BOM_table6[[#This Row],[SKU QTY]]),0)</f>
        <v>1</v>
      </c>
      <c r="U198" s="51">
        <f>BOM_table6[[#This Row],[SKU QTY to Order]]*BOM_table6[[#This Row],[SKU Cost]]</f>
        <v>0</v>
      </c>
      <c r="V198" s="50"/>
      <c r="W198" s="45"/>
      <c r="X198" s="45"/>
      <c r="Y198" s="63"/>
      <c r="Z198" s="54"/>
      <c r="AA198" s="45"/>
      <c r="AB198" s="45"/>
      <c r="AC198" s="45"/>
    </row>
    <row r="199" spans="1:29" ht="15" customHeight="1" x14ac:dyDescent="0.2">
      <c r="A199" s="44" t="s">
        <v>160</v>
      </c>
      <c r="B199" s="157" t="s">
        <v>1957</v>
      </c>
      <c r="C199" s="158" t="s">
        <v>1980</v>
      </c>
      <c r="D199" s="45"/>
      <c r="E199" s="45" t="s">
        <v>1049</v>
      </c>
      <c r="F199" s="45" t="s">
        <v>1974</v>
      </c>
      <c r="G199" s="45">
        <v>1</v>
      </c>
      <c r="H199" s="45" t="s">
        <v>2177</v>
      </c>
      <c r="I199" s="157" t="s">
        <v>1977</v>
      </c>
      <c r="J199" s="45"/>
      <c r="K199" s="45"/>
      <c r="L199" s="45"/>
      <c r="M199" s="45">
        <v>1</v>
      </c>
      <c r="N199" s="50"/>
      <c r="O199" s="51">
        <f>IF(OR(ISBLANK(BOM_table6[[#This Row],[SKU QTY]]),BOM_table6[[#This Row],[SKU Cost]]=0),0,BOM_table6[[#This Row],[SKU Cost]]/BOM_table6[[#This Row],[SKU QTY]])</f>
        <v>0</v>
      </c>
      <c r="P199" s="51">
        <f>IF(OR(ISBLANK(BOM_table6[[#This Row],[ASM QTY]]),ISBLANK(BOM_table6[[#This Row],[Unit Cost]])),0,BOM_table6[[#This Row],[ASM QTY]]*BOM_table6[[#This Row],[Unit Cost]])</f>
        <v>0</v>
      </c>
      <c r="Q199" s="45"/>
      <c r="R199" s="81"/>
      <c r="S199" s="53">
        <f>BOM_table6[[#This Row],[ASM QTY]]*$Q$2+BOM_table6[[#This Row],[Spare QTY Needed]]-BOM_table6[[#This Row],[QTY in Inventory]]</f>
        <v>1</v>
      </c>
      <c r="T199" s="53">
        <f>ROUNDUP((BOM_table6[[#This Row],[QTY to Order]]/BOM_table6[[#This Row],[SKU QTY]]),0)</f>
        <v>1</v>
      </c>
      <c r="U199" s="51">
        <f>BOM_table6[[#This Row],[SKU QTY to Order]]*BOM_table6[[#This Row],[SKU Cost]]</f>
        <v>0</v>
      </c>
      <c r="V199" s="50"/>
      <c r="W199" s="45"/>
      <c r="X199" s="45"/>
      <c r="Y199" s="63"/>
      <c r="Z199" s="54"/>
      <c r="AA199" s="45"/>
      <c r="AB199" s="45"/>
      <c r="AC199" s="45"/>
    </row>
    <row r="200" spans="1:29" ht="15" customHeight="1" x14ac:dyDescent="0.2">
      <c r="A200" s="44" t="s">
        <v>160</v>
      </c>
      <c r="B200" s="157" t="s">
        <v>1958</v>
      </c>
      <c r="C200" s="158" t="s">
        <v>1980</v>
      </c>
      <c r="D200" s="45"/>
      <c r="E200" s="45" t="s">
        <v>1049</v>
      </c>
      <c r="F200" s="45" t="s">
        <v>1974</v>
      </c>
      <c r="G200" s="45">
        <v>1</v>
      </c>
      <c r="H200" s="45" t="s">
        <v>2177</v>
      </c>
      <c r="I200" s="157" t="s">
        <v>1977</v>
      </c>
      <c r="J200" s="45"/>
      <c r="K200" s="45"/>
      <c r="L200" s="45"/>
      <c r="M200" s="45">
        <v>1</v>
      </c>
      <c r="N200" s="50"/>
      <c r="O200" s="51">
        <f>IF(OR(ISBLANK(BOM_table6[[#This Row],[SKU QTY]]),BOM_table6[[#This Row],[SKU Cost]]=0),0,BOM_table6[[#This Row],[SKU Cost]]/BOM_table6[[#This Row],[SKU QTY]])</f>
        <v>0</v>
      </c>
      <c r="P200" s="51">
        <f>IF(OR(ISBLANK(BOM_table6[[#This Row],[ASM QTY]]),ISBLANK(BOM_table6[[#This Row],[Unit Cost]])),0,BOM_table6[[#This Row],[ASM QTY]]*BOM_table6[[#This Row],[Unit Cost]])</f>
        <v>0</v>
      </c>
      <c r="Q200" s="45"/>
      <c r="R200" s="81"/>
      <c r="S200" s="53">
        <f>BOM_table6[[#This Row],[ASM QTY]]*$Q$2+BOM_table6[[#This Row],[Spare QTY Needed]]-BOM_table6[[#This Row],[QTY in Inventory]]</f>
        <v>1</v>
      </c>
      <c r="T200" s="53">
        <f>ROUNDUP((BOM_table6[[#This Row],[QTY to Order]]/BOM_table6[[#This Row],[SKU QTY]]),0)</f>
        <v>1</v>
      </c>
      <c r="U200" s="51">
        <f>BOM_table6[[#This Row],[SKU QTY to Order]]*BOM_table6[[#This Row],[SKU Cost]]</f>
        <v>0</v>
      </c>
      <c r="V200" s="50"/>
      <c r="W200" s="45"/>
      <c r="X200" s="45"/>
      <c r="Y200" s="63"/>
      <c r="Z200" s="156"/>
      <c r="AA200" s="45"/>
      <c r="AB200" s="45"/>
      <c r="AC200" s="45"/>
    </row>
    <row r="201" spans="1:29" ht="15" customHeight="1" x14ac:dyDescent="0.2">
      <c r="A201" s="44" t="s">
        <v>160</v>
      </c>
      <c r="B201" s="157" t="s">
        <v>1959</v>
      </c>
      <c r="C201" s="158" t="s">
        <v>1980</v>
      </c>
      <c r="D201" s="45"/>
      <c r="E201" s="45" t="s">
        <v>1049</v>
      </c>
      <c r="F201" s="45" t="s">
        <v>1974</v>
      </c>
      <c r="G201" s="45">
        <v>1</v>
      </c>
      <c r="H201" s="45" t="s">
        <v>2177</v>
      </c>
      <c r="I201" s="157" t="s">
        <v>1977</v>
      </c>
      <c r="J201" s="45"/>
      <c r="K201" s="45"/>
      <c r="L201" s="45"/>
      <c r="M201" s="45">
        <v>1</v>
      </c>
      <c r="N201" s="50"/>
      <c r="O201" s="51">
        <f>IF(OR(ISBLANK(BOM_table6[[#This Row],[SKU QTY]]),BOM_table6[[#This Row],[SKU Cost]]=0),0,BOM_table6[[#This Row],[SKU Cost]]/BOM_table6[[#This Row],[SKU QTY]])</f>
        <v>0</v>
      </c>
      <c r="P201" s="51">
        <f>IF(OR(ISBLANK(BOM_table6[[#This Row],[ASM QTY]]),ISBLANK(BOM_table6[[#This Row],[Unit Cost]])),0,BOM_table6[[#This Row],[ASM QTY]]*BOM_table6[[#This Row],[Unit Cost]])</f>
        <v>0</v>
      </c>
      <c r="Q201" s="45"/>
      <c r="R201" s="81"/>
      <c r="S201" s="53">
        <f>BOM_table6[[#This Row],[ASM QTY]]*$Q$2+BOM_table6[[#This Row],[Spare QTY Needed]]-BOM_table6[[#This Row],[QTY in Inventory]]</f>
        <v>1</v>
      </c>
      <c r="T201" s="53">
        <f>ROUNDUP((BOM_table6[[#This Row],[QTY to Order]]/BOM_table6[[#This Row],[SKU QTY]]),0)</f>
        <v>1</v>
      </c>
      <c r="U201" s="51">
        <f>BOM_table6[[#This Row],[SKU QTY to Order]]*BOM_table6[[#This Row],[SKU Cost]]</f>
        <v>0</v>
      </c>
      <c r="V201" s="50"/>
      <c r="W201" s="45"/>
      <c r="X201" s="45"/>
      <c r="Y201" s="63"/>
      <c r="Z201" s="156"/>
      <c r="AA201" s="45"/>
      <c r="AB201" s="45"/>
      <c r="AC201" s="45"/>
    </row>
    <row r="202" spans="1:29" ht="15" customHeight="1" x14ac:dyDescent="0.2">
      <c r="A202" s="44" t="s">
        <v>160</v>
      </c>
      <c r="B202" s="157" t="s">
        <v>1960</v>
      </c>
      <c r="C202" s="158" t="s">
        <v>1980</v>
      </c>
      <c r="D202" s="45"/>
      <c r="E202" s="45" t="s">
        <v>1049</v>
      </c>
      <c r="F202" s="45" t="s">
        <v>1974</v>
      </c>
      <c r="G202" s="45">
        <v>1</v>
      </c>
      <c r="H202" s="45" t="s">
        <v>2177</v>
      </c>
      <c r="I202" s="157" t="s">
        <v>1977</v>
      </c>
      <c r="J202" s="45"/>
      <c r="K202" s="45"/>
      <c r="L202" s="45"/>
      <c r="M202" s="45">
        <v>1</v>
      </c>
      <c r="N202" s="50"/>
      <c r="O202" s="51">
        <f>IF(OR(ISBLANK(BOM_table6[[#This Row],[SKU QTY]]),BOM_table6[[#This Row],[SKU Cost]]=0),0,BOM_table6[[#This Row],[SKU Cost]]/BOM_table6[[#This Row],[SKU QTY]])</f>
        <v>0</v>
      </c>
      <c r="P202" s="51">
        <f>IF(OR(ISBLANK(BOM_table6[[#This Row],[ASM QTY]]),ISBLANK(BOM_table6[[#This Row],[Unit Cost]])),0,BOM_table6[[#This Row],[ASM QTY]]*BOM_table6[[#This Row],[Unit Cost]])</f>
        <v>0</v>
      </c>
      <c r="Q202" s="45"/>
      <c r="R202" s="81"/>
      <c r="S202" s="53">
        <f>BOM_table6[[#This Row],[ASM QTY]]*$Q$2+BOM_table6[[#This Row],[Spare QTY Needed]]-BOM_table6[[#This Row],[QTY in Inventory]]</f>
        <v>1</v>
      </c>
      <c r="T202" s="53">
        <f>ROUNDUP((BOM_table6[[#This Row],[QTY to Order]]/BOM_table6[[#This Row],[SKU QTY]]),0)</f>
        <v>1</v>
      </c>
      <c r="U202" s="51">
        <f>BOM_table6[[#This Row],[SKU QTY to Order]]*BOM_table6[[#This Row],[SKU Cost]]</f>
        <v>0</v>
      </c>
      <c r="V202" s="50"/>
      <c r="W202" s="45"/>
      <c r="X202" s="45"/>
      <c r="Y202" s="63"/>
      <c r="Z202" s="156"/>
      <c r="AA202" s="45"/>
      <c r="AB202" s="45"/>
      <c r="AC202" s="45"/>
    </row>
    <row r="203" spans="1:29" ht="15" customHeight="1" x14ac:dyDescent="0.2">
      <c r="A203" s="44" t="s">
        <v>160</v>
      </c>
      <c r="B203" s="157" t="s">
        <v>1961</v>
      </c>
      <c r="C203" s="158" t="s">
        <v>1980</v>
      </c>
      <c r="D203" s="45"/>
      <c r="E203" s="45" t="s">
        <v>1049</v>
      </c>
      <c r="F203" s="45" t="s">
        <v>1974</v>
      </c>
      <c r="G203" s="45">
        <v>1</v>
      </c>
      <c r="H203" s="45" t="s">
        <v>2177</v>
      </c>
      <c r="I203" s="157" t="s">
        <v>1977</v>
      </c>
      <c r="J203" s="45"/>
      <c r="K203" s="45"/>
      <c r="L203" s="45"/>
      <c r="M203" s="45">
        <v>1</v>
      </c>
      <c r="N203" s="50"/>
      <c r="O203" s="51">
        <f>IF(OR(ISBLANK(BOM_table6[[#This Row],[SKU QTY]]),BOM_table6[[#This Row],[SKU Cost]]=0),0,BOM_table6[[#This Row],[SKU Cost]]/BOM_table6[[#This Row],[SKU QTY]])</f>
        <v>0</v>
      </c>
      <c r="P203" s="51">
        <f>IF(OR(ISBLANK(BOM_table6[[#This Row],[ASM QTY]]),ISBLANK(BOM_table6[[#This Row],[Unit Cost]])),0,BOM_table6[[#This Row],[ASM QTY]]*BOM_table6[[#This Row],[Unit Cost]])</f>
        <v>0</v>
      </c>
      <c r="Q203" s="45"/>
      <c r="R203" s="81"/>
      <c r="S203" s="53">
        <f>BOM_table6[[#This Row],[ASM QTY]]*$Q$2+BOM_table6[[#This Row],[Spare QTY Needed]]-BOM_table6[[#This Row],[QTY in Inventory]]</f>
        <v>1</v>
      </c>
      <c r="T203" s="53">
        <f>ROUNDUP((BOM_table6[[#This Row],[QTY to Order]]/BOM_table6[[#This Row],[SKU QTY]]),0)</f>
        <v>1</v>
      </c>
      <c r="U203" s="51">
        <f>BOM_table6[[#This Row],[SKU QTY to Order]]*BOM_table6[[#This Row],[SKU Cost]]</f>
        <v>0</v>
      </c>
      <c r="V203" s="50"/>
      <c r="W203" s="45"/>
      <c r="X203" s="45"/>
      <c r="Y203" s="63"/>
      <c r="Z203" s="156"/>
      <c r="AA203" s="45"/>
      <c r="AB203" s="45"/>
      <c r="AC203" s="45"/>
    </row>
    <row r="204" spans="1:29" ht="15" customHeight="1" x14ac:dyDescent="0.2">
      <c r="A204" s="44" t="s">
        <v>160</v>
      </c>
      <c r="B204" s="157" t="s">
        <v>1962</v>
      </c>
      <c r="C204" s="158" t="s">
        <v>1980</v>
      </c>
      <c r="D204" s="45"/>
      <c r="E204" s="45" t="s">
        <v>1049</v>
      </c>
      <c r="F204" s="45" t="s">
        <v>1974</v>
      </c>
      <c r="G204" s="45">
        <v>1</v>
      </c>
      <c r="H204" s="45" t="s">
        <v>2177</v>
      </c>
      <c r="I204" s="157" t="s">
        <v>1975</v>
      </c>
      <c r="J204" s="45"/>
      <c r="K204" s="45"/>
      <c r="L204" s="45"/>
      <c r="M204" s="45">
        <v>1</v>
      </c>
      <c r="N204" s="50"/>
      <c r="O204" s="51">
        <f>IF(OR(ISBLANK(BOM_table6[[#This Row],[SKU QTY]]),BOM_table6[[#This Row],[SKU Cost]]=0),0,BOM_table6[[#This Row],[SKU Cost]]/BOM_table6[[#This Row],[SKU QTY]])</f>
        <v>0</v>
      </c>
      <c r="P204" s="51">
        <f>IF(OR(ISBLANK(BOM_table6[[#This Row],[ASM QTY]]),ISBLANK(BOM_table6[[#This Row],[Unit Cost]])),0,BOM_table6[[#This Row],[ASM QTY]]*BOM_table6[[#This Row],[Unit Cost]])</f>
        <v>0</v>
      </c>
      <c r="Q204" s="45"/>
      <c r="R204" s="81"/>
      <c r="S204" s="53">
        <f>BOM_table6[[#This Row],[ASM QTY]]*$Q$2+BOM_table6[[#This Row],[Spare QTY Needed]]-BOM_table6[[#This Row],[QTY in Inventory]]</f>
        <v>1</v>
      </c>
      <c r="T204" s="53">
        <f>ROUNDUP((BOM_table6[[#This Row],[QTY to Order]]/BOM_table6[[#This Row],[SKU QTY]]),0)</f>
        <v>1</v>
      </c>
      <c r="U204" s="51">
        <f>BOM_table6[[#This Row],[SKU QTY to Order]]*BOM_table6[[#This Row],[SKU Cost]]</f>
        <v>0</v>
      </c>
      <c r="V204" s="50"/>
      <c r="W204" s="45"/>
      <c r="X204" s="45"/>
      <c r="Y204" s="63"/>
      <c r="Z204" s="156"/>
      <c r="AA204" s="45"/>
      <c r="AB204" s="45"/>
      <c r="AC204" s="45"/>
    </row>
    <row r="205" spans="1:29" ht="15" customHeight="1" x14ac:dyDescent="0.2">
      <c r="A205" s="44" t="s">
        <v>160</v>
      </c>
      <c r="B205" s="157" t="s">
        <v>1963</v>
      </c>
      <c r="C205" s="158" t="s">
        <v>1980</v>
      </c>
      <c r="D205" s="45"/>
      <c r="E205" s="45" t="s">
        <v>1049</v>
      </c>
      <c r="F205" s="45" t="s">
        <v>1974</v>
      </c>
      <c r="G205" s="45">
        <v>1</v>
      </c>
      <c r="H205" s="45" t="s">
        <v>2177</v>
      </c>
      <c r="I205" s="157" t="s">
        <v>1976</v>
      </c>
      <c r="J205" s="45"/>
      <c r="K205" s="45"/>
      <c r="L205" s="45"/>
      <c r="M205" s="45">
        <v>1</v>
      </c>
      <c r="N205" s="50"/>
      <c r="O205" s="51">
        <f>IF(OR(ISBLANK(BOM_table6[[#This Row],[SKU QTY]]),BOM_table6[[#This Row],[SKU Cost]]=0),0,BOM_table6[[#This Row],[SKU Cost]]/BOM_table6[[#This Row],[SKU QTY]])</f>
        <v>0</v>
      </c>
      <c r="P205" s="51">
        <f>IF(OR(ISBLANK(BOM_table6[[#This Row],[ASM QTY]]),ISBLANK(BOM_table6[[#This Row],[Unit Cost]])),0,BOM_table6[[#This Row],[ASM QTY]]*BOM_table6[[#This Row],[Unit Cost]])</f>
        <v>0</v>
      </c>
      <c r="Q205" s="45"/>
      <c r="R205" s="81"/>
      <c r="S205" s="53">
        <f>BOM_table6[[#This Row],[ASM QTY]]*$Q$2+BOM_table6[[#This Row],[Spare QTY Needed]]-BOM_table6[[#This Row],[QTY in Inventory]]</f>
        <v>1</v>
      </c>
      <c r="T205" s="53">
        <f>ROUNDUP((BOM_table6[[#This Row],[QTY to Order]]/BOM_table6[[#This Row],[SKU QTY]]),0)</f>
        <v>1</v>
      </c>
      <c r="U205" s="51">
        <f>BOM_table6[[#This Row],[SKU QTY to Order]]*BOM_table6[[#This Row],[SKU Cost]]</f>
        <v>0</v>
      </c>
      <c r="V205" s="50"/>
      <c r="W205" s="45"/>
      <c r="X205" s="45"/>
      <c r="Y205" s="63"/>
      <c r="Z205" s="156"/>
      <c r="AA205" s="45"/>
      <c r="AB205" s="45"/>
      <c r="AC205" s="45"/>
    </row>
    <row r="206" spans="1:29" ht="15" customHeight="1" x14ac:dyDescent="0.2">
      <c r="A206" s="44" t="s">
        <v>160</v>
      </c>
      <c r="B206" s="157" t="s">
        <v>1964</v>
      </c>
      <c r="C206" s="158" t="s">
        <v>1980</v>
      </c>
      <c r="D206" s="45"/>
      <c r="E206" s="45" t="s">
        <v>1049</v>
      </c>
      <c r="F206" s="45" t="s">
        <v>1974</v>
      </c>
      <c r="G206" s="45">
        <v>1</v>
      </c>
      <c r="H206" s="45" t="s">
        <v>2177</v>
      </c>
      <c r="I206" s="157" t="s">
        <v>1978</v>
      </c>
      <c r="J206" s="45"/>
      <c r="K206" s="45"/>
      <c r="L206" s="45"/>
      <c r="M206" s="45">
        <v>1</v>
      </c>
      <c r="N206" s="50"/>
      <c r="O206" s="51">
        <f>IF(OR(ISBLANK(BOM_table6[[#This Row],[SKU QTY]]),BOM_table6[[#This Row],[SKU Cost]]=0),0,BOM_table6[[#This Row],[SKU Cost]]/BOM_table6[[#This Row],[SKU QTY]])</f>
        <v>0</v>
      </c>
      <c r="P206" s="51">
        <f>IF(OR(ISBLANK(BOM_table6[[#This Row],[ASM QTY]]),ISBLANK(BOM_table6[[#This Row],[Unit Cost]])),0,BOM_table6[[#This Row],[ASM QTY]]*BOM_table6[[#This Row],[Unit Cost]])</f>
        <v>0</v>
      </c>
      <c r="Q206" s="45"/>
      <c r="R206" s="81"/>
      <c r="S206" s="53">
        <f>BOM_table6[[#This Row],[ASM QTY]]*$Q$2+BOM_table6[[#This Row],[Spare QTY Needed]]-BOM_table6[[#This Row],[QTY in Inventory]]</f>
        <v>1</v>
      </c>
      <c r="T206" s="53">
        <f>ROUNDUP((BOM_table6[[#This Row],[QTY to Order]]/BOM_table6[[#This Row],[SKU QTY]]),0)</f>
        <v>1</v>
      </c>
      <c r="U206" s="51">
        <f>BOM_table6[[#This Row],[SKU QTY to Order]]*BOM_table6[[#This Row],[SKU Cost]]</f>
        <v>0</v>
      </c>
      <c r="V206" s="50"/>
      <c r="W206" s="45"/>
      <c r="X206" s="45"/>
      <c r="Y206" s="63"/>
      <c r="Z206" s="156"/>
      <c r="AA206" s="45"/>
      <c r="AB206" s="45"/>
      <c r="AC206" s="45"/>
    </row>
    <row r="207" spans="1:29" ht="15" customHeight="1" x14ac:dyDescent="0.2">
      <c r="A207" s="44" t="s">
        <v>160</v>
      </c>
      <c r="B207" s="157" t="s">
        <v>1965</v>
      </c>
      <c r="C207" s="158" t="s">
        <v>1980</v>
      </c>
      <c r="D207" s="45"/>
      <c r="E207" s="45" t="s">
        <v>1049</v>
      </c>
      <c r="F207" s="45" t="s">
        <v>1974</v>
      </c>
      <c r="G207" s="45">
        <v>1</v>
      </c>
      <c r="H207" s="45" t="s">
        <v>2177</v>
      </c>
      <c r="I207" s="157" t="s">
        <v>1979</v>
      </c>
      <c r="J207" s="45"/>
      <c r="K207" s="45"/>
      <c r="L207" s="45"/>
      <c r="M207" s="45">
        <v>1</v>
      </c>
      <c r="N207" s="50"/>
      <c r="O207" s="51">
        <f>IF(OR(ISBLANK(BOM_table6[[#This Row],[SKU QTY]]),BOM_table6[[#This Row],[SKU Cost]]=0),0,BOM_table6[[#This Row],[SKU Cost]]/BOM_table6[[#This Row],[SKU QTY]])</f>
        <v>0</v>
      </c>
      <c r="P207" s="51">
        <f>IF(OR(ISBLANK(BOM_table6[[#This Row],[ASM QTY]]),ISBLANK(BOM_table6[[#This Row],[Unit Cost]])),0,BOM_table6[[#This Row],[ASM QTY]]*BOM_table6[[#This Row],[Unit Cost]])</f>
        <v>0</v>
      </c>
      <c r="Q207" s="45"/>
      <c r="R207" s="81"/>
      <c r="S207" s="53">
        <f>BOM_table6[[#This Row],[ASM QTY]]*$Q$2+BOM_table6[[#This Row],[Spare QTY Needed]]-BOM_table6[[#This Row],[QTY in Inventory]]</f>
        <v>1</v>
      </c>
      <c r="T207" s="53">
        <f>ROUNDUP((BOM_table6[[#This Row],[QTY to Order]]/BOM_table6[[#This Row],[SKU QTY]]),0)</f>
        <v>1</v>
      </c>
      <c r="U207" s="51">
        <f>BOM_table6[[#This Row],[SKU QTY to Order]]*BOM_table6[[#This Row],[SKU Cost]]</f>
        <v>0</v>
      </c>
      <c r="V207" s="50"/>
      <c r="W207" s="45"/>
      <c r="X207" s="45"/>
      <c r="Y207" s="63"/>
      <c r="Z207" s="156"/>
      <c r="AA207" s="45"/>
      <c r="AB207" s="45"/>
      <c r="AC207" s="45"/>
    </row>
    <row r="208" spans="1:29" ht="15" customHeight="1" x14ac:dyDescent="0.2">
      <c r="A208" s="44" t="s">
        <v>160</v>
      </c>
      <c r="B208" s="157" t="s">
        <v>1966</v>
      </c>
      <c r="C208" s="158" t="s">
        <v>1980</v>
      </c>
      <c r="D208" s="45"/>
      <c r="E208" s="45" t="s">
        <v>1049</v>
      </c>
      <c r="F208" s="45" t="s">
        <v>1974</v>
      </c>
      <c r="G208" s="45">
        <v>1</v>
      </c>
      <c r="H208" s="45" t="s">
        <v>2177</v>
      </c>
      <c r="I208" s="157" t="s">
        <v>1978</v>
      </c>
      <c r="J208" s="45"/>
      <c r="K208" s="45"/>
      <c r="L208" s="45"/>
      <c r="M208" s="45">
        <v>1</v>
      </c>
      <c r="N208" s="50"/>
      <c r="O208" s="51">
        <f>IF(OR(ISBLANK(BOM_table6[[#This Row],[SKU QTY]]),BOM_table6[[#This Row],[SKU Cost]]=0),0,BOM_table6[[#This Row],[SKU Cost]]/BOM_table6[[#This Row],[SKU QTY]])</f>
        <v>0</v>
      </c>
      <c r="P208" s="51">
        <f>IF(OR(ISBLANK(BOM_table6[[#This Row],[ASM QTY]]),ISBLANK(BOM_table6[[#This Row],[Unit Cost]])),0,BOM_table6[[#This Row],[ASM QTY]]*BOM_table6[[#This Row],[Unit Cost]])</f>
        <v>0</v>
      </c>
      <c r="Q208" s="45"/>
      <c r="R208" s="81"/>
      <c r="S208" s="53">
        <f>BOM_table6[[#This Row],[ASM QTY]]*$Q$2+BOM_table6[[#This Row],[Spare QTY Needed]]-BOM_table6[[#This Row],[QTY in Inventory]]</f>
        <v>1</v>
      </c>
      <c r="T208" s="53">
        <f>ROUNDUP((BOM_table6[[#This Row],[QTY to Order]]/BOM_table6[[#This Row],[SKU QTY]]),0)</f>
        <v>1</v>
      </c>
      <c r="U208" s="51">
        <f>BOM_table6[[#This Row],[SKU QTY to Order]]*BOM_table6[[#This Row],[SKU Cost]]</f>
        <v>0</v>
      </c>
      <c r="V208" s="50"/>
      <c r="W208" s="45"/>
      <c r="X208" s="45"/>
      <c r="Y208" s="63"/>
      <c r="Z208" s="156"/>
      <c r="AA208" s="45"/>
      <c r="AB208" s="45"/>
      <c r="AC208" s="45"/>
    </row>
    <row r="209" spans="1:29" ht="15" customHeight="1" x14ac:dyDescent="0.2">
      <c r="A209" s="44" t="s">
        <v>160</v>
      </c>
      <c r="B209" s="157" t="s">
        <v>1967</v>
      </c>
      <c r="C209" s="158" t="s">
        <v>1980</v>
      </c>
      <c r="D209" s="45"/>
      <c r="E209" s="45" t="s">
        <v>1049</v>
      </c>
      <c r="F209" s="45" t="s">
        <v>1974</v>
      </c>
      <c r="G209" s="45">
        <v>1</v>
      </c>
      <c r="H209" s="45" t="s">
        <v>2177</v>
      </c>
      <c r="I209" s="157" t="s">
        <v>1978</v>
      </c>
      <c r="J209" s="45"/>
      <c r="K209" s="45"/>
      <c r="L209" s="45"/>
      <c r="M209" s="45">
        <v>1</v>
      </c>
      <c r="N209" s="50"/>
      <c r="O209" s="51">
        <f>IF(OR(ISBLANK(BOM_table6[[#This Row],[SKU QTY]]),BOM_table6[[#This Row],[SKU Cost]]=0),0,BOM_table6[[#This Row],[SKU Cost]]/BOM_table6[[#This Row],[SKU QTY]])</f>
        <v>0</v>
      </c>
      <c r="P209" s="51">
        <f>IF(OR(ISBLANK(BOM_table6[[#This Row],[ASM QTY]]),ISBLANK(BOM_table6[[#This Row],[Unit Cost]])),0,BOM_table6[[#This Row],[ASM QTY]]*BOM_table6[[#This Row],[Unit Cost]])</f>
        <v>0</v>
      </c>
      <c r="Q209" s="45"/>
      <c r="R209" s="81"/>
      <c r="S209" s="53">
        <f>BOM_table6[[#This Row],[ASM QTY]]*$Q$2+BOM_table6[[#This Row],[Spare QTY Needed]]-BOM_table6[[#This Row],[QTY in Inventory]]</f>
        <v>1</v>
      </c>
      <c r="T209" s="53">
        <f>ROUNDUP((BOM_table6[[#This Row],[QTY to Order]]/BOM_table6[[#This Row],[SKU QTY]]),0)</f>
        <v>1</v>
      </c>
      <c r="U209" s="51">
        <f>BOM_table6[[#This Row],[SKU QTY to Order]]*BOM_table6[[#This Row],[SKU Cost]]</f>
        <v>0</v>
      </c>
      <c r="V209" s="50"/>
      <c r="W209" s="45"/>
      <c r="X209" s="45"/>
      <c r="Y209" s="63"/>
      <c r="Z209" s="156"/>
      <c r="AA209" s="45"/>
      <c r="AB209" s="45"/>
      <c r="AC209" s="45"/>
    </row>
    <row r="210" spans="1:29" ht="15" customHeight="1" x14ac:dyDescent="0.2">
      <c r="A210" s="44" t="s">
        <v>160</v>
      </c>
      <c r="B210" s="157" t="s">
        <v>1968</v>
      </c>
      <c r="C210" s="158" t="s">
        <v>1980</v>
      </c>
      <c r="D210" s="45"/>
      <c r="E210" s="45" t="s">
        <v>1049</v>
      </c>
      <c r="F210" s="45" t="s">
        <v>1974</v>
      </c>
      <c r="G210" s="45">
        <v>1</v>
      </c>
      <c r="H210" s="45" t="s">
        <v>2177</v>
      </c>
      <c r="I210" s="157" t="s">
        <v>1978</v>
      </c>
      <c r="J210" s="45"/>
      <c r="K210" s="45"/>
      <c r="L210" s="45"/>
      <c r="M210" s="45">
        <v>1</v>
      </c>
      <c r="N210" s="50"/>
      <c r="O210" s="51">
        <f>IF(OR(ISBLANK(BOM_table6[[#This Row],[SKU QTY]]),BOM_table6[[#This Row],[SKU Cost]]=0),0,BOM_table6[[#This Row],[SKU Cost]]/BOM_table6[[#This Row],[SKU QTY]])</f>
        <v>0</v>
      </c>
      <c r="P210" s="51">
        <f>IF(OR(ISBLANK(BOM_table6[[#This Row],[ASM QTY]]),ISBLANK(BOM_table6[[#This Row],[Unit Cost]])),0,BOM_table6[[#This Row],[ASM QTY]]*BOM_table6[[#This Row],[Unit Cost]])</f>
        <v>0</v>
      </c>
      <c r="Q210" s="45"/>
      <c r="R210" s="81"/>
      <c r="S210" s="53">
        <f>BOM_table6[[#This Row],[ASM QTY]]*$Q$2+BOM_table6[[#This Row],[Spare QTY Needed]]-BOM_table6[[#This Row],[QTY in Inventory]]</f>
        <v>1</v>
      </c>
      <c r="T210" s="53">
        <f>ROUNDUP((BOM_table6[[#This Row],[QTY to Order]]/BOM_table6[[#This Row],[SKU QTY]]),0)</f>
        <v>1</v>
      </c>
      <c r="U210" s="51">
        <f>BOM_table6[[#This Row],[SKU QTY to Order]]*BOM_table6[[#This Row],[SKU Cost]]</f>
        <v>0</v>
      </c>
      <c r="V210" s="50"/>
      <c r="W210" s="45"/>
      <c r="X210" s="45"/>
      <c r="Y210" s="63"/>
      <c r="Z210" s="156"/>
      <c r="AA210" s="45"/>
      <c r="AB210" s="45"/>
      <c r="AC210" s="45"/>
    </row>
    <row r="211" spans="1:29" ht="15" customHeight="1" x14ac:dyDescent="0.2">
      <c r="A211" s="44" t="s">
        <v>160</v>
      </c>
      <c r="B211" s="157" t="s">
        <v>1969</v>
      </c>
      <c r="C211" s="158" t="s">
        <v>1980</v>
      </c>
      <c r="D211" s="45"/>
      <c r="E211" s="45" t="s">
        <v>1049</v>
      </c>
      <c r="F211" s="45" t="s">
        <v>1974</v>
      </c>
      <c r="G211" s="45">
        <v>1</v>
      </c>
      <c r="H211" s="45" t="s">
        <v>2177</v>
      </c>
      <c r="I211" s="157" t="s">
        <v>1979</v>
      </c>
      <c r="J211" s="45"/>
      <c r="K211" s="45"/>
      <c r="L211" s="45"/>
      <c r="M211" s="45">
        <v>1</v>
      </c>
      <c r="N211" s="50"/>
      <c r="O211" s="51">
        <f>IF(OR(ISBLANK(BOM_table6[[#This Row],[SKU QTY]]),BOM_table6[[#This Row],[SKU Cost]]=0),0,BOM_table6[[#This Row],[SKU Cost]]/BOM_table6[[#This Row],[SKU QTY]])</f>
        <v>0</v>
      </c>
      <c r="P211" s="51">
        <f>IF(OR(ISBLANK(BOM_table6[[#This Row],[ASM QTY]]),ISBLANK(BOM_table6[[#This Row],[Unit Cost]])),0,BOM_table6[[#This Row],[ASM QTY]]*BOM_table6[[#This Row],[Unit Cost]])</f>
        <v>0</v>
      </c>
      <c r="Q211" s="45"/>
      <c r="R211" s="81"/>
      <c r="S211" s="53">
        <f>BOM_table6[[#This Row],[ASM QTY]]*$Q$2+BOM_table6[[#This Row],[Spare QTY Needed]]-BOM_table6[[#This Row],[QTY in Inventory]]</f>
        <v>1</v>
      </c>
      <c r="T211" s="53">
        <f>ROUNDUP((BOM_table6[[#This Row],[QTY to Order]]/BOM_table6[[#This Row],[SKU QTY]]),0)</f>
        <v>1</v>
      </c>
      <c r="U211" s="51">
        <f>BOM_table6[[#This Row],[SKU QTY to Order]]*BOM_table6[[#This Row],[SKU Cost]]</f>
        <v>0</v>
      </c>
      <c r="V211" s="50"/>
      <c r="W211" s="45"/>
      <c r="X211" s="45"/>
      <c r="Y211" s="63"/>
      <c r="Z211" s="156"/>
      <c r="AA211" s="45"/>
      <c r="AB211" s="45"/>
      <c r="AC211" s="45"/>
    </row>
    <row r="212" spans="1:29" ht="15" customHeight="1" x14ac:dyDescent="0.2">
      <c r="A212" s="44" t="s">
        <v>160</v>
      </c>
      <c r="B212" s="157" t="s">
        <v>1970</v>
      </c>
      <c r="C212" s="158" t="s">
        <v>1980</v>
      </c>
      <c r="D212" s="45"/>
      <c r="E212" s="45" t="s">
        <v>1049</v>
      </c>
      <c r="F212" s="45" t="s">
        <v>1974</v>
      </c>
      <c r="G212" s="45">
        <v>1</v>
      </c>
      <c r="H212" s="45" t="s">
        <v>2177</v>
      </c>
      <c r="I212" s="157" t="s">
        <v>1979</v>
      </c>
      <c r="J212" s="45"/>
      <c r="K212" s="45"/>
      <c r="L212" s="45"/>
      <c r="M212" s="45">
        <v>1</v>
      </c>
      <c r="N212" s="50"/>
      <c r="O212" s="51">
        <f>IF(OR(ISBLANK(BOM_table6[[#This Row],[SKU QTY]]),BOM_table6[[#This Row],[SKU Cost]]=0),0,BOM_table6[[#This Row],[SKU Cost]]/BOM_table6[[#This Row],[SKU QTY]])</f>
        <v>0</v>
      </c>
      <c r="P212" s="51">
        <f>IF(OR(ISBLANK(BOM_table6[[#This Row],[ASM QTY]]),ISBLANK(BOM_table6[[#This Row],[Unit Cost]])),0,BOM_table6[[#This Row],[ASM QTY]]*BOM_table6[[#This Row],[Unit Cost]])</f>
        <v>0</v>
      </c>
      <c r="Q212" s="45"/>
      <c r="R212" s="81"/>
      <c r="S212" s="53">
        <f>BOM_table6[[#This Row],[ASM QTY]]*$Q$2+BOM_table6[[#This Row],[Spare QTY Needed]]-BOM_table6[[#This Row],[QTY in Inventory]]</f>
        <v>1</v>
      </c>
      <c r="T212" s="53">
        <f>ROUNDUP((BOM_table6[[#This Row],[QTY to Order]]/BOM_table6[[#This Row],[SKU QTY]]),0)</f>
        <v>1</v>
      </c>
      <c r="U212" s="51">
        <f>BOM_table6[[#This Row],[SKU QTY to Order]]*BOM_table6[[#This Row],[SKU Cost]]</f>
        <v>0</v>
      </c>
      <c r="V212" s="50"/>
      <c r="W212" s="45"/>
      <c r="X212" s="45"/>
      <c r="Y212" s="63"/>
      <c r="Z212" s="156"/>
      <c r="AA212" s="45"/>
      <c r="AB212" s="45"/>
      <c r="AC212" s="45"/>
    </row>
    <row r="213" spans="1:29" ht="15" customHeight="1" x14ac:dyDescent="0.2">
      <c r="A213" s="44" t="s">
        <v>160</v>
      </c>
      <c r="B213" s="157" t="s">
        <v>1971</v>
      </c>
      <c r="C213" s="158" t="s">
        <v>1980</v>
      </c>
      <c r="D213" s="45"/>
      <c r="E213" s="45" t="s">
        <v>1049</v>
      </c>
      <c r="F213" s="45" t="s">
        <v>1974</v>
      </c>
      <c r="G213" s="45">
        <v>1</v>
      </c>
      <c r="H213" s="45" t="s">
        <v>2177</v>
      </c>
      <c r="I213" s="157" t="s">
        <v>1979</v>
      </c>
      <c r="J213" s="45"/>
      <c r="K213" s="45"/>
      <c r="L213" s="45"/>
      <c r="M213" s="45">
        <v>1</v>
      </c>
      <c r="N213" s="50"/>
      <c r="O213" s="51">
        <f>IF(OR(ISBLANK(BOM_table6[[#This Row],[SKU QTY]]),BOM_table6[[#This Row],[SKU Cost]]=0),0,BOM_table6[[#This Row],[SKU Cost]]/BOM_table6[[#This Row],[SKU QTY]])</f>
        <v>0</v>
      </c>
      <c r="P213" s="51">
        <f>IF(OR(ISBLANK(BOM_table6[[#This Row],[ASM QTY]]),ISBLANK(BOM_table6[[#This Row],[Unit Cost]])),0,BOM_table6[[#This Row],[ASM QTY]]*BOM_table6[[#This Row],[Unit Cost]])</f>
        <v>0</v>
      </c>
      <c r="Q213" s="45"/>
      <c r="R213" s="81"/>
      <c r="S213" s="53">
        <f>BOM_table6[[#This Row],[ASM QTY]]*$Q$2+BOM_table6[[#This Row],[Spare QTY Needed]]-BOM_table6[[#This Row],[QTY in Inventory]]</f>
        <v>1</v>
      </c>
      <c r="T213" s="53">
        <f>ROUNDUP((BOM_table6[[#This Row],[QTY to Order]]/BOM_table6[[#This Row],[SKU QTY]]),0)</f>
        <v>1</v>
      </c>
      <c r="U213" s="51">
        <f>BOM_table6[[#This Row],[SKU QTY to Order]]*BOM_table6[[#This Row],[SKU Cost]]</f>
        <v>0</v>
      </c>
      <c r="V213" s="50"/>
      <c r="W213" s="45"/>
      <c r="X213" s="45"/>
      <c r="Y213" s="63"/>
      <c r="Z213" s="156"/>
      <c r="AA213" s="45"/>
      <c r="AB213" s="45"/>
      <c r="AC213" s="45"/>
    </row>
    <row r="214" spans="1:29" ht="15" customHeight="1" x14ac:dyDescent="0.2">
      <c r="A214" s="44" t="s">
        <v>160</v>
      </c>
      <c r="B214" s="157" t="s">
        <v>1972</v>
      </c>
      <c r="C214" s="158" t="s">
        <v>1137</v>
      </c>
      <c r="D214" s="45"/>
      <c r="E214" s="45" t="s">
        <v>1049</v>
      </c>
      <c r="F214" s="45" t="s">
        <v>1974</v>
      </c>
      <c r="G214" s="45">
        <v>1</v>
      </c>
      <c r="H214" s="45" t="s">
        <v>2177</v>
      </c>
      <c r="I214" s="157" t="s">
        <v>1981</v>
      </c>
      <c r="J214" s="45"/>
      <c r="K214" s="45"/>
      <c r="L214" s="45"/>
      <c r="M214" s="45">
        <v>1</v>
      </c>
      <c r="N214" s="50"/>
      <c r="O214" s="51">
        <f>IF(OR(ISBLANK(BOM_table6[[#This Row],[SKU QTY]]),BOM_table6[[#This Row],[SKU Cost]]=0),0,BOM_table6[[#This Row],[SKU Cost]]/BOM_table6[[#This Row],[SKU QTY]])</f>
        <v>0</v>
      </c>
      <c r="P214" s="51">
        <f>IF(OR(ISBLANK(BOM_table6[[#This Row],[ASM QTY]]),ISBLANK(BOM_table6[[#This Row],[Unit Cost]])),0,BOM_table6[[#This Row],[ASM QTY]]*BOM_table6[[#This Row],[Unit Cost]])</f>
        <v>0</v>
      </c>
      <c r="Q214" s="45"/>
      <c r="R214" s="81"/>
      <c r="S214" s="53">
        <f>BOM_table6[[#This Row],[ASM QTY]]*$Q$2+BOM_table6[[#This Row],[Spare QTY Needed]]-BOM_table6[[#This Row],[QTY in Inventory]]</f>
        <v>1</v>
      </c>
      <c r="T214" s="53">
        <f>ROUNDUP((BOM_table6[[#This Row],[QTY to Order]]/BOM_table6[[#This Row],[SKU QTY]]),0)</f>
        <v>1</v>
      </c>
      <c r="U214" s="51">
        <f>BOM_table6[[#This Row],[SKU QTY to Order]]*BOM_table6[[#This Row],[SKU Cost]]</f>
        <v>0</v>
      </c>
      <c r="V214" s="50"/>
      <c r="W214" s="45"/>
      <c r="X214" s="45"/>
      <c r="Y214" s="63"/>
      <c r="Z214" s="156"/>
      <c r="AA214" s="45"/>
      <c r="AB214" s="45"/>
      <c r="AC214" s="45"/>
    </row>
    <row r="215" spans="1:29" ht="15" customHeight="1" x14ac:dyDescent="0.2">
      <c r="A215" s="44" t="s">
        <v>160</v>
      </c>
      <c r="B215" s="157" t="s">
        <v>1973</v>
      </c>
      <c r="C215" s="158" t="s">
        <v>1980</v>
      </c>
      <c r="D215" s="45"/>
      <c r="E215" s="45" t="s">
        <v>1049</v>
      </c>
      <c r="F215" s="45" t="s">
        <v>1974</v>
      </c>
      <c r="G215" s="45">
        <v>1</v>
      </c>
      <c r="H215" s="45" t="s">
        <v>2177</v>
      </c>
      <c r="I215" s="157" t="s">
        <v>1979</v>
      </c>
      <c r="J215" s="45"/>
      <c r="K215" s="45"/>
      <c r="L215" s="45"/>
      <c r="M215" s="45">
        <v>1</v>
      </c>
      <c r="N215" s="50"/>
      <c r="O215" s="51">
        <f>IF(OR(ISBLANK(BOM_table6[[#This Row],[SKU QTY]]),BOM_table6[[#This Row],[SKU Cost]]=0),0,BOM_table6[[#This Row],[SKU Cost]]/BOM_table6[[#This Row],[SKU QTY]])</f>
        <v>0</v>
      </c>
      <c r="P215" s="51">
        <f>IF(OR(ISBLANK(BOM_table6[[#This Row],[ASM QTY]]),ISBLANK(BOM_table6[[#This Row],[Unit Cost]])),0,BOM_table6[[#This Row],[ASM QTY]]*BOM_table6[[#This Row],[Unit Cost]])</f>
        <v>0</v>
      </c>
      <c r="Q215" s="45"/>
      <c r="R215" s="81"/>
      <c r="S215" s="53">
        <f>BOM_table6[[#This Row],[ASM QTY]]*$Q$2+BOM_table6[[#This Row],[Spare QTY Needed]]-BOM_table6[[#This Row],[QTY in Inventory]]</f>
        <v>1</v>
      </c>
      <c r="T215" s="53">
        <f>ROUNDUP((BOM_table6[[#This Row],[QTY to Order]]/BOM_table6[[#This Row],[SKU QTY]]),0)</f>
        <v>1</v>
      </c>
      <c r="U215" s="51">
        <f>BOM_table6[[#This Row],[SKU QTY to Order]]*BOM_table6[[#This Row],[SKU Cost]]</f>
        <v>0</v>
      </c>
      <c r="V215" s="50"/>
      <c r="W215" s="45"/>
      <c r="X215" s="45"/>
      <c r="Y215" s="63"/>
      <c r="Z215" s="156"/>
      <c r="AA215" s="45"/>
      <c r="AB215" s="45"/>
      <c r="AC215" s="45"/>
    </row>
    <row r="216" spans="1:29" ht="15" customHeight="1" x14ac:dyDescent="0.2">
      <c r="A216" s="44" t="s">
        <v>160</v>
      </c>
      <c r="B216" s="157" t="s">
        <v>1973</v>
      </c>
      <c r="C216" s="158" t="s">
        <v>1980</v>
      </c>
      <c r="D216" s="45"/>
      <c r="E216" s="45" t="s">
        <v>1049</v>
      </c>
      <c r="F216" s="45" t="s">
        <v>1974</v>
      </c>
      <c r="G216" s="45">
        <v>1</v>
      </c>
      <c r="H216" s="45" t="s">
        <v>2177</v>
      </c>
      <c r="I216" s="157" t="s">
        <v>1979</v>
      </c>
      <c r="J216" s="45"/>
      <c r="K216" s="45"/>
      <c r="L216" s="45"/>
      <c r="M216" s="45">
        <v>1</v>
      </c>
      <c r="N216" s="50"/>
      <c r="O216" s="51">
        <f>IF(OR(ISBLANK(BOM_table6[[#This Row],[SKU QTY]]),BOM_table6[[#This Row],[SKU Cost]]=0),0,BOM_table6[[#This Row],[SKU Cost]]/BOM_table6[[#This Row],[SKU QTY]])</f>
        <v>0</v>
      </c>
      <c r="P216" s="51">
        <f>IF(OR(ISBLANK(BOM_table6[[#This Row],[ASM QTY]]),ISBLANK(BOM_table6[[#This Row],[Unit Cost]])),0,BOM_table6[[#This Row],[ASM QTY]]*BOM_table6[[#This Row],[Unit Cost]])</f>
        <v>0</v>
      </c>
      <c r="Q216" s="45"/>
      <c r="R216" s="81"/>
      <c r="S216" s="53">
        <f>BOM_table6[[#This Row],[ASM QTY]]*$Q$2+BOM_table6[[#This Row],[Spare QTY Needed]]-BOM_table6[[#This Row],[QTY in Inventory]]</f>
        <v>1</v>
      </c>
      <c r="T216" s="53">
        <f>ROUNDUP((BOM_table6[[#This Row],[QTY to Order]]/BOM_table6[[#This Row],[SKU QTY]]),0)</f>
        <v>1</v>
      </c>
      <c r="U216" s="51">
        <f>BOM_table6[[#This Row],[SKU QTY to Order]]*BOM_table6[[#This Row],[SKU Cost]]</f>
        <v>0</v>
      </c>
      <c r="V216" s="50"/>
      <c r="W216" s="45"/>
      <c r="X216" s="45"/>
      <c r="Y216" s="63"/>
      <c r="Z216" s="156"/>
      <c r="AA216" s="45"/>
      <c r="AB216" s="45"/>
      <c r="AC216" s="45"/>
    </row>
    <row r="217" spans="1:29" ht="15" customHeight="1" x14ac:dyDescent="0.2">
      <c r="A217" s="44" t="s">
        <v>160</v>
      </c>
      <c r="B217" s="44" t="s">
        <v>1051</v>
      </c>
      <c r="C217" s="45" t="s">
        <v>1052</v>
      </c>
      <c r="D217" s="45"/>
      <c r="E217" s="45" t="s">
        <v>1049</v>
      </c>
      <c r="F217" s="45" t="s">
        <v>1974</v>
      </c>
      <c r="G217" s="45">
        <v>1</v>
      </c>
      <c r="H217" s="45" t="s">
        <v>2177</v>
      </c>
      <c r="I217" s="157"/>
      <c r="J217" s="45"/>
      <c r="K217" s="45" t="s">
        <v>1050</v>
      </c>
      <c r="L217" s="45"/>
      <c r="M217" s="45">
        <v>1</v>
      </c>
      <c r="N217" s="50"/>
      <c r="O217" s="51">
        <f>IF(OR(ISBLANK(BOM_table6[[#This Row],[SKU QTY]]),BOM_table6[[#This Row],[SKU Cost]]=0),0,BOM_table6[[#This Row],[SKU Cost]]/BOM_table6[[#This Row],[SKU QTY]])</f>
        <v>0</v>
      </c>
      <c r="P217" s="51">
        <f>IF(OR(ISBLANK(BOM_table6[[#This Row],[ASM QTY]]),ISBLANK(BOM_table6[[#This Row],[Unit Cost]])),0,BOM_table6[[#This Row],[ASM QTY]]*BOM_table6[[#This Row],[Unit Cost]])</f>
        <v>0</v>
      </c>
      <c r="Q217" s="45"/>
      <c r="R217" s="81"/>
      <c r="S217" s="53">
        <f>BOM_table6[[#This Row],[ASM QTY]]*$Q$2+BOM_table6[[#This Row],[Spare QTY Needed]]-BOM_table6[[#This Row],[QTY in Inventory]]</f>
        <v>1</v>
      </c>
      <c r="T217" s="53">
        <f>ROUNDUP((BOM_table6[[#This Row],[QTY to Order]]/BOM_table6[[#This Row],[SKU QTY]]),0)</f>
        <v>1</v>
      </c>
      <c r="U217" s="51">
        <f>BOM_table6[[#This Row],[SKU QTY to Order]]*BOM_table6[[#This Row],[SKU Cost]]</f>
        <v>0</v>
      </c>
      <c r="V217" s="50"/>
      <c r="W217" s="45"/>
      <c r="X217" s="45"/>
      <c r="Y217" s="63"/>
      <c r="Z217" s="54"/>
      <c r="AA217" s="45"/>
      <c r="AB217" s="45"/>
      <c r="AC217" s="45"/>
    </row>
    <row r="218" spans="1:29" ht="15" customHeight="1" x14ac:dyDescent="0.2">
      <c r="A218" s="44" t="s">
        <v>160</v>
      </c>
      <c r="B218" s="44" t="s">
        <v>1983</v>
      </c>
      <c r="C218" s="45">
        <v>109467</v>
      </c>
      <c r="D218" s="45"/>
      <c r="E218" s="45" t="s">
        <v>1984</v>
      </c>
      <c r="F218" s="45" t="s">
        <v>1974</v>
      </c>
      <c r="G218" s="45">
        <v>2</v>
      </c>
      <c r="H218" s="45" t="s">
        <v>2177</v>
      </c>
      <c r="I218" s="157"/>
      <c r="J218" s="45"/>
      <c r="K218" s="45" t="s">
        <v>1050</v>
      </c>
      <c r="L218" s="45"/>
      <c r="M218" s="45">
        <v>1</v>
      </c>
      <c r="N218" s="50"/>
      <c r="O218" s="51">
        <f>IF(OR(ISBLANK(BOM_table6[[#This Row],[SKU QTY]]),BOM_table6[[#This Row],[SKU Cost]]=0),0,BOM_table6[[#This Row],[SKU Cost]]/BOM_table6[[#This Row],[SKU QTY]])</f>
        <v>0</v>
      </c>
      <c r="P218" s="51">
        <f>IF(OR(ISBLANK(BOM_table6[[#This Row],[ASM QTY]]),ISBLANK(BOM_table6[[#This Row],[Unit Cost]])),0,BOM_table6[[#This Row],[ASM QTY]]*BOM_table6[[#This Row],[Unit Cost]])</f>
        <v>0</v>
      </c>
      <c r="Q218" s="45"/>
      <c r="R218" s="81">
        <v>1</v>
      </c>
      <c r="S218" s="53">
        <f>BOM_table6[[#This Row],[ASM QTY]]*$Q$2+BOM_table6[[#This Row],[Spare QTY Needed]]-BOM_table6[[#This Row],[QTY in Inventory]]</f>
        <v>1</v>
      </c>
      <c r="T218" s="53">
        <f>ROUNDUP((BOM_table6[[#This Row],[QTY to Order]]/BOM_table6[[#This Row],[SKU QTY]]),0)</f>
        <v>1</v>
      </c>
      <c r="U218" s="51">
        <f>BOM_table6[[#This Row],[SKU QTY to Order]]*BOM_table6[[#This Row],[SKU Cost]]</f>
        <v>0</v>
      </c>
      <c r="V218" s="50"/>
      <c r="W218" s="45"/>
      <c r="X218" s="45"/>
      <c r="Y218" s="63"/>
      <c r="Z218" s="54"/>
      <c r="AA218" s="45"/>
      <c r="AB218" s="45"/>
      <c r="AC218" s="45"/>
    </row>
    <row r="219" spans="1:29" ht="15" customHeight="1" x14ac:dyDescent="0.2">
      <c r="A219" s="44" t="s">
        <v>160</v>
      </c>
      <c r="B219" s="44" t="s">
        <v>1055</v>
      </c>
      <c r="C219" s="45" t="s">
        <v>1056</v>
      </c>
      <c r="D219" s="45"/>
      <c r="E219" s="45" t="s">
        <v>1049</v>
      </c>
      <c r="F219" s="45" t="s">
        <v>1974</v>
      </c>
      <c r="G219" s="45">
        <v>1</v>
      </c>
      <c r="H219" s="45" t="s">
        <v>2177</v>
      </c>
      <c r="I219" s="157"/>
      <c r="J219" s="45"/>
      <c r="K219" s="45" t="s">
        <v>1050</v>
      </c>
      <c r="L219" s="45"/>
      <c r="M219" s="45">
        <v>1</v>
      </c>
      <c r="N219" s="50"/>
      <c r="O219" s="51">
        <f>IF(OR(ISBLANK(BOM_table6[[#This Row],[SKU QTY]]),BOM_table6[[#This Row],[SKU Cost]]=0),0,BOM_table6[[#This Row],[SKU Cost]]/BOM_table6[[#This Row],[SKU QTY]])</f>
        <v>0</v>
      </c>
      <c r="P219" s="51">
        <f>IF(OR(ISBLANK(BOM_table6[[#This Row],[ASM QTY]]),ISBLANK(BOM_table6[[#This Row],[Unit Cost]])),0,BOM_table6[[#This Row],[ASM QTY]]*BOM_table6[[#This Row],[Unit Cost]])</f>
        <v>0</v>
      </c>
      <c r="Q219" s="45"/>
      <c r="R219" s="81"/>
      <c r="S219" s="53">
        <f>BOM_table6[[#This Row],[ASM QTY]]*$Q$2+BOM_table6[[#This Row],[Spare QTY Needed]]-BOM_table6[[#This Row],[QTY in Inventory]]</f>
        <v>1</v>
      </c>
      <c r="T219" s="53">
        <f>ROUNDUP((BOM_table6[[#This Row],[QTY to Order]]/BOM_table6[[#This Row],[SKU QTY]]),0)</f>
        <v>1</v>
      </c>
      <c r="U219" s="51">
        <f>BOM_table6[[#This Row],[SKU QTY to Order]]*BOM_table6[[#This Row],[SKU Cost]]</f>
        <v>0</v>
      </c>
      <c r="V219" s="50"/>
      <c r="W219" s="45"/>
      <c r="X219" s="45"/>
      <c r="Y219" s="63"/>
      <c r="Z219" s="54"/>
      <c r="AA219" s="45"/>
      <c r="AB219" s="45"/>
      <c r="AC219" s="45"/>
    </row>
    <row r="220" spans="1:29" ht="15" customHeight="1" x14ac:dyDescent="0.2">
      <c r="A220" s="44" t="s">
        <v>160</v>
      </c>
      <c r="B220" s="44" t="s">
        <v>1057</v>
      </c>
      <c r="C220" s="45" t="s">
        <v>1058</v>
      </c>
      <c r="D220" s="45"/>
      <c r="E220" s="45" t="s">
        <v>1049</v>
      </c>
      <c r="F220" s="45" t="s">
        <v>1974</v>
      </c>
      <c r="G220" s="45">
        <v>1</v>
      </c>
      <c r="H220" s="45" t="s">
        <v>2177</v>
      </c>
      <c r="I220" s="157"/>
      <c r="J220" s="45"/>
      <c r="K220" s="45" t="s">
        <v>1050</v>
      </c>
      <c r="L220" s="45"/>
      <c r="M220" s="45">
        <v>1</v>
      </c>
      <c r="N220" s="50"/>
      <c r="O220" s="51">
        <f>IF(OR(ISBLANK(BOM_table6[[#This Row],[SKU QTY]]),BOM_table6[[#This Row],[SKU Cost]]=0),0,BOM_table6[[#This Row],[SKU Cost]]/BOM_table6[[#This Row],[SKU QTY]])</f>
        <v>0</v>
      </c>
      <c r="P220" s="51">
        <f>IF(OR(ISBLANK(BOM_table6[[#This Row],[ASM QTY]]),ISBLANK(BOM_table6[[#This Row],[Unit Cost]])),0,BOM_table6[[#This Row],[ASM QTY]]*BOM_table6[[#This Row],[Unit Cost]])</f>
        <v>0</v>
      </c>
      <c r="Q220" s="45"/>
      <c r="R220" s="81">
        <v>1</v>
      </c>
      <c r="S220" s="53">
        <f>BOM_table6[[#This Row],[ASM QTY]]*$Q$2+BOM_table6[[#This Row],[Spare QTY Needed]]-BOM_table6[[#This Row],[QTY in Inventory]]</f>
        <v>0</v>
      </c>
      <c r="T220" s="53">
        <f>ROUNDUP((BOM_table6[[#This Row],[QTY to Order]]/BOM_table6[[#This Row],[SKU QTY]]),0)</f>
        <v>0</v>
      </c>
      <c r="U220" s="51">
        <f>BOM_table6[[#This Row],[SKU QTY to Order]]*BOM_table6[[#This Row],[SKU Cost]]</f>
        <v>0</v>
      </c>
      <c r="V220" s="50"/>
      <c r="W220" s="45"/>
      <c r="X220" s="45"/>
      <c r="Y220" s="63"/>
      <c r="Z220" s="54"/>
      <c r="AA220" s="45"/>
      <c r="AB220" s="45"/>
      <c r="AC220" s="45"/>
    </row>
    <row r="221" spans="1:29" ht="15" customHeight="1" x14ac:dyDescent="0.2">
      <c r="A221" s="44" t="s">
        <v>160</v>
      </c>
      <c r="B221" s="44" t="s">
        <v>1150</v>
      </c>
      <c r="C221" s="45" t="s">
        <v>1058</v>
      </c>
      <c r="D221" s="45"/>
      <c r="E221" s="45" t="s">
        <v>1049</v>
      </c>
      <c r="F221" s="45" t="s">
        <v>1974</v>
      </c>
      <c r="G221" s="45">
        <v>1</v>
      </c>
      <c r="H221" s="45" t="s">
        <v>2177</v>
      </c>
      <c r="I221" s="157"/>
      <c r="J221" s="45"/>
      <c r="K221" s="45"/>
      <c r="L221" s="45"/>
      <c r="M221" s="45">
        <v>1</v>
      </c>
      <c r="N221" s="50"/>
      <c r="O221" s="51">
        <f>IF(OR(ISBLANK(BOM_table6[[#This Row],[SKU QTY]]),BOM_table6[[#This Row],[SKU Cost]]=0),0,BOM_table6[[#This Row],[SKU Cost]]/BOM_table6[[#This Row],[SKU QTY]])</f>
        <v>0</v>
      </c>
      <c r="P221" s="51">
        <f>IF(OR(ISBLANK(BOM_table6[[#This Row],[ASM QTY]]),ISBLANK(BOM_table6[[#This Row],[Unit Cost]])),0,BOM_table6[[#This Row],[ASM QTY]]*BOM_table6[[#This Row],[Unit Cost]])</f>
        <v>0</v>
      </c>
      <c r="Q221" s="45"/>
      <c r="R221" s="81">
        <v>2</v>
      </c>
      <c r="S221" s="53">
        <f>BOM_table6[[#This Row],[ASM QTY]]*$Q$2+BOM_table6[[#This Row],[Spare QTY Needed]]-BOM_table6[[#This Row],[QTY in Inventory]]</f>
        <v>-1</v>
      </c>
      <c r="T221" s="53">
        <f>ROUNDUP((BOM_table6[[#This Row],[QTY to Order]]/BOM_table6[[#This Row],[SKU QTY]]),0)</f>
        <v>-1</v>
      </c>
      <c r="U221" s="51">
        <f>BOM_table6[[#This Row],[SKU QTY to Order]]*BOM_table6[[#This Row],[SKU Cost]]</f>
        <v>0</v>
      </c>
      <c r="V221" s="50"/>
      <c r="W221" s="45"/>
      <c r="X221" s="45"/>
      <c r="Y221" s="63"/>
      <c r="Z221" s="54"/>
      <c r="AA221" s="45"/>
      <c r="AB221" s="45"/>
      <c r="AC221" s="45"/>
    </row>
    <row r="222" spans="1:29" ht="15" customHeight="1" x14ac:dyDescent="0.2">
      <c r="A222" s="44" t="s">
        <v>161</v>
      </c>
      <c r="B222" s="44" t="s">
        <v>1053</v>
      </c>
      <c r="C222" s="45" t="s">
        <v>1054</v>
      </c>
      <c r="D222" s="45"/>
      <c r="E222" s="45" t="s">
        <v>1049</v>
      </c>
      <c r="F222" s="45" t="s">
        <v>1974</v>
      </c>
      <c r="G222" s="45">
        <v>1</v>
      </c>
      <c r="H222" s="45" t="s">
        <v>2177</v>
      </c>
      <c r="I222" s="157" t="s">
        <v>2227</v>
      </c>
      <c r="J222" s="45"/>
      <c r="K222" s="45" t="s">
        <v>1050</v>
      </c>
      <c r="L222" s="45"/>
      <c r="M222" s="45">
        <v>1</v>
      </c>
      <c r="N222" s="50"/>
      <c r="O222" s="51">
        <f>IF(OR(ISBLANK(BOM_table6[[#This Row],[SKU QTY]]),BOM_table6[[#This Row],[SKU Cost]]=0),0,BOM_table6[[#This Row],[SKU Cost]]/BOM_table6[[#This Row],[SKU QTY]])</f>
        <v>0</v>
      </c>
      <c r="P222" s="51">
        <f>IF(OR(ISBLANK(BOM_table6[[#This Row],[ASM QTY]]),ISBLANK(BOM_table6[[#This Row],[Unit Cost]])),0,BOM_table6[[#This Row],[ASM QTY]]*BOM_table6[[#This Row],[Unit Cost]])</f>
        <v>0</v>
      </c>
      <c r="Q222" s="45"/>
      <c r="R222" s="81">
        <v>2</v>
      </c>
      <c r="S222" s="53">
        <f>BOM_table6[[#This Row],[ASM QTY]]*$Q$2+BOM_table6[[#This Row],[Spare QTY Needed]]-BOM_table6[[#This Row],[QTY in Inventory]]</f>
        <v>-1</v>
      </c>
      <c r="T222" s="53">
        <f>ROUNDUP((BOM_table6[[#This Row],[QTY to Order]]/BOM_table6[[#This Row],[SKU QTY]]),0)</f>
        <v>-1</v>
      </c>
      <c r="U222" s="51">
        <f>BOM_table6[[#This Row],[SKU QTY to Order]]*BOM_table6[[#This Row],[SKU Cost]]</f>
        <v>0</v>
      </c>
      <c r="V222" s="50"/>
      <c r="W222" s="45"/>
      <c r="X222" s="45"/>
      <c r="Y222" s="63"/>
      <c r="Z222" s="54"/>
      <c r="AA222" s="45"/>
      <c r="AB222" s="45"/>
      <c r="AC222" s="45"/>
    </row>
    <row r="223" spans="1:29" ht="15" customHeight="1" x14ac:dyDescent="0.2">
      <c r="A223" s="44" t="s">
        <v>161</v>
      </c>
      <c r="B223" s="44" t="s">
        <v>2005</v>
      </c>
      <c r="C223" s="45" t="s">
        <v>1383</v>
      </c>
      <c r="D223" s="45"/>
      <c r="E223" s="45" t="s">
        <v>568</v>
      </c>
      <c r="F223" s="45" t="s">
        <v>1974</v>
      </c>
      <c r="G223" s="45">
        <v>5</v>
      </c>
      <c r="H223" s="45" t="s">
        <v>2175</v>
      </c>
      <c r="I223" s="43" t="s">
        <v>2226</v>
      </c>
      <c r="J223" s="45" t="s">
        <v>166</v>
      </c>
      <c r="K223" s="45" t="s">
        <v>568</v>
      </c>
      <c r="L223" s="45"/>
      <c r="M223" s="45">
        <v>1</v>
      </c>
      <c r="N223" s="50">
        <v>325</v>
      </c>
      <c r="O223" s="51">
        <f>IF(OR(ISBLANK(BOM_table6[[#This Row],[SKU QTY]]),BOM_table6[[#This Row],[SKU Cost]]=0),0,BOM_table6[[#This Row],[SKU Cost]]/BOM_table6[[#This Row],[SKU QTY]])</f>
        <v>325</v>
      </c>
      <c r="P223" s="51">
        <f>IF(OR(ISBLANK(BOM_table6[[#This Row],[ASM QTY]]),ISBLANK(BOM_table6[[#This Row],[Unit Cost]])),0,BOM_table6[[#This Row],[ASM QTY]]*BOM_table6[[#This Row],[Unit Cost]])</f>
        <v>1625</v>
      </c>
      <c r="Q223" s="45"/>
      <c r="R223" s="81">
        <v>1</v>
      </c>
      <c r="S223" s="53">
        <f>BOM_table6[[#This Row],[ASM QTY]]*$Q$2+BOM_table6[[#This Row],[Spare QTY Needed]]-BOM_table6[[#This Row],[QTY in Inventory]]</f>
        <v>4</v>
      </c>
      <c r="T223" s="53">
        <f>ROUNDUP((BOM_table6[[#This Row],[QTY to Order]]/BOM_table6[[#This Row],[SKU QTY]]),0)</f>
        <v>4</v>
      </c>
      <c r="U223" s="51">
        <f>BOM_table6[[#This Row],[SKU QTY to Order]]*BOM_table6[[#This Row],[SKU Cost]]</f>
        <v>1300</v>
      </c>
      <c r="V223" s="50"/>
      <c r="W223" s="45" t="s">
        <v>2294</v>
      </c>
      <c r="X223" s="45"/>
      <c r="Y223" s="54">
        <v>45076</v>
      </c>
      <c r="Z223" s="54"/>
      <c r="AA223" s="54"/>
      <c r="AB223" s="45" t="s">
        <v>2351</v>
      </c>
      <c r="AC223" s="45"/>
    </row>
    <row r="224" spans="1:29" ht="14.65" customHeight="1" x14ac:dyDescent="0.2">
      <c r="A224" s="44" t="s">
        <v>161</v>
      </c>
      <c r="B224" s="44" t="s">
        <v>611</v>
      </c>
      <c r="C224" s="123" t="s">
        <v>612</v>
      </c>
      <c r="D224" s="45"/>
      <c r="E224" s="45" t="s">
        <v>613</v>
      </c>
      <c r="F224" s="45" t="s">
        <v>1974</v>
      </c>
      <c r="G224" s="45">
        <v>1</v>
      </c>
      <c r="H224" s="45" t="s">
        <v>2177</v>
      </c>
      <c r="I224" s="43" t="s">
        <v>2228</v>
      </c>
      <c r="J224" s="45" t="s">
        <v>166</v>
      </c>
      <c r="K224" s="45" t="s">
        <v>613</v>
      </c>
      <c r="L224" s="45"/>
      <c r="M224" s="45">
        <v>1</v>
      </c>
      <c r="N224" s="50"/>
      <c r="O224" s="51">
        <f>IF(OR(ISBLANK(BOM_table6[[#This Row],[SKU QTY]]),BOM_table6[[#This Row],[SKU Cost]]=0),0,BOM_table6[[#This Row],[SKU Cost]]/BOM_table6[[#This Row],[SKU QTY]])</f>
        <v>0</v>
      </c>
      <c r="P224" s="51">
        <f>IF(OR(ISBLANK(BOM_table6[[#This Row],[ASM QTY]]),ISBLANK(BOM_table6[[#This Row],[Unit Cost]])),0,BOM_table6[[#This Row],[ASM QTY]]*BOM_table6[[#This Row],[Unit Cost]])</f>
        <v>0</v>
      </c>
      <c r="Q224" s="45"/>
      <c r="R224" s="81">
        <v>2</v>
      </c>
      <c r="S224" s="53">
        <f>BOM_table6[[#This Row],[ASM QTY]]*$Q$2+BOM_table6[[#This Row],[Spare QTY Needed]]-BOM_table6[[#This Row],[QTY in Inventory]]</f>
        <v>-1</v>
      </c>
      <c r="T224" s="53">
        <f>ROUNDUP((BOM_table6[[#This Row],[QTY to Order]]/BOM_table6[[#This Row],[SKU QTY]]),0)</f>
        <v>-1</v>
      </c>
      <c r="U224" s="51">
        <f>BOM_table6[[#This Row],[SKU QTY to Order]]*BOM_table6[[#This Row],[SKU Cost]]</f>
        <v>0</v>
      </c>
      <c r="V224" s="50"/>
      <c r="W224" s="45"/>
      <c r="X224" s="45"/>
      <c r="Y224" s="45"/>
      <c r="Z224" s="54"/>
      <c r="AA224" s="54"/>
      <c r="AB224" s="45"/>
      <c r="AC224" s="45"/>
    </row>
    <row r="225" spans="1:29" ht="15" customHeight="1" x14ac:dyDescent="0.2">
      <c r="A225" s="44" t="s">
        <v>160</v>
      </c>
      <c r="B225" s="44" t="s">
        <v>1148</v>
      </c>
      <c r="C225" s="45" t="s">
        <v>1149</v>
      </c>
      <c r="D225" s="45"/>
      <c r="E225" s="45" t="s">
        <v>1049</v>
      </c>
      <c r="F225" s="45" t="s">
        <v>1974</v>
      </c>
      <c r="G225" s="45">
        <v>1</v>
      </c>
      <c r="H225" s="45" t="s">
        <v>2177</v>
      </c>
      <c r="I225" s="43" t="s">
        <v>2003</v>
      </c>
      <c r="J225" s="45" t="s">
        <v>167</v>
      </c>
      <c r="K225" s="45"/>
      <c r="L225" s="45"/>
      <c r="M225" s="45">
        <v>1</v>
      </c>
      <c r="N225" s="50"/>
      <c r="O225" s="51">
        <f>IF(OR(ISBLANK(BOM_table6[[#This Row],[SKU QTY]]),BOM_table6[[#This Row],[SKU Cost]]=0),0,BOM_table6[[#This Row],[SKU Cost]]/BOM_table6[[#This Row],[SKU QTY]])</f>
        <v>0</v>
      </c>
      <c r="P225" s="51">
        <f>IF(OR(ISBLANK(BOM_table6[[#This Row],[ASM QTY]]),ISBLANK(BOM_table6[[#This Row],[Unit Cost]])),0,BOM_table6[[#This Row],[ASM QTY]]*BOM_table6[[#This Row],[Unit Cost]])</f>
        <v>0</v>
      </c>
      <c r="Q225" s="45"/>
      <c r="R225" s="81"/>
      <c r="S225" s="53">
        <f>BOM_table6[[#This Row],[ASM QTY]]*$Q$2+BOM_table6[[#This Row],[Spare QTY Needed]]-BOM_table6[[#This Row],[QTY in Inventory]]</f>
        <v>1</v>
      </c>
      <c r="T225" s="53">
        <f>ROUNDUP((BOM_table6[[#This Row],[QTY to Order]]/BOM_table6[[#This Row],[SKU QTY]]),0)</f>
        <v>1</v>
      </c>
      <c r="U225" s="51">
        <f>BOM_table6[[#This Row],[SKU QTY to Order]]*BOM_table6[[#This Row],[SKU Cost]]</f>
        <v>0</v>
      </c>
      <c r="V225" s="50"/>
      <c r="W225" s="45"/>
      <c r="X225" s="45"/>
      <c r="Y225" s="63"/>
      <c r="Z225" s="54"/>
      <c r="AA225" s="45"/>
      <c r="AB225" s="45"/>
      <c r="AC225" s="45"/>
    </row>
    <row r="226" spans="1:29" ht="15" customHeight="1" x14ac:dyDescent="0.2">
      <c r="A226" s="44" t="s">
        <v>161</v>
      </c>
      <c r="B226" s="44" t="s">
        <v>616</v>
      </c>
      <c r="C226" s="45" t="s">
        <v>617</v>
      </c>
      <c r="D226" s="45"/>
      <c r="E226" s="45" t="s">
        <v>618</v>
      </c>
      <c r="F226" s="45" t="s">
        <v>1974</v>
      </c>
      <c r="G226" s="45">
        <v>1</v>
      </c>
      <c r="H226" s="45" t="s">
        <v>2177</v>
      </c>
      <c r="I226" s="43" t="s">
        <v>2004</v>
      </c>
      <c r="J226" s="45" t="s">
        <v>166</v>
      </c>
      <c r="K226" s="45" t="s">
        <v>618</v>
      </c>
      <c r="L226" s="45"/>
      <c r="M226" s="45">
        <v>1</v>
      </c>
      <c r="N226" s="50"/>
      <c r="O226" s="51">
        <f>IF(OR(ISBLANK(BOM_table6[[#This Row],[SKU QTY]]),BOM_table6[[#This Row],[SKU Cost]]=0),0,BOM_table6[[#This Row],[SKU Cost]]/BOM_table6[[#This Row],[SKU QTY]])</f>
        <v>0</v>
      </c>
      <c r="P226" s="51">
        <f>IF(OR(ISBLANK(BOM_table6[[#This Row],[ASM QTY]]),ISBLANK(BOM_table6[[#This Row],[Unit Cost]])),0,BOM_table6[[#This Row],[ASM QTY]]*BOM_table6[[#This Row],[Unit Cost]])</f>
        <v>0</v>
      </c>
      <c r="Q226" s="45"/>
      <c r="R226" s="81">
        <v>2</v>
      </c>
      <c r="S226" s="53">
        <f>BOM_table6[[#This Row],[ASM QTY]]*$Q$2+BOM_table6[[#This Row],[Spare QTY Needed]]-BOM_table6[[#This Row],[QTY in Inventory]]</f>
        <v>-1</v>
      </c>
      <c r="T226" s="53">
        <f>ROUNDUP((BOM_table6[[#This Row],[QTY to Order]]/BOM_table6[[#This Row],[SKU QTY]]),0)</f>
        <v>-1</v>
      </c>
      <c r="U226" s="51">
        <f>BOM_table6[[#This Row],[SKU QTY to Order]]*BOM_table6[[#This Row],[SKU Cost]]</f>
        <v>0</v>
      </c>
      <c r="V226" s="50"/>
      <c r="W226" s="45"/>
      <c r="X226" s="45"/>
      <c r="Y226" s="45"/>
      <c r="Z226" s="54"/>
      <c r="AA226" s="45"/>
      <c r="AB226" s="45"/>
      <c r="AC226" s="45"/>
    </row>
    <row r="227" spans="1:29" ht="15" customHeight="1" x14ac:dyDescent="0.2">
      <c r="A227" s="44" t="s">
        <v>160</v>
      </c>
      <c r="B227" s="157" t="s">
        <v>2006</v>
      </c>
      <c r="C227" s="45"/>
      <c r="D227" s="45"/>
      <c r="E227" s="45" t="s">
        <v>208</v>
      </c>
      <c r="F227" s="45" t="s">
        <v>1974</v>
      </c>
      <c r="G227" s="45">
        <v>1</v>
      </c>
      <c r="H227" s="45" t="s">
        <v>2177</v>
      </c>
      <c r="J227" s="45"/>
      <c r="K227" s="45"/>
      <c r="L227" s="45"/>
      <c r="M227" s="45">
        <v>1</v>
      </c>
      <c r="N227" s="50"/>
      <c r="O227" s="51">
        <f>IF(OR(ISBLANK(BOM_table6[[#This Row],[SKU QTY]]),BOM_table6[[#This Row],[SKU Cost]]=0),0,BOM_table6[[#This Row],[SKU Cost]]/BOM_table6[[#This Row],[SKU QTY]])</f>
        <v>0</v>
      </c>
      <c r="P227" s="51">
        <f>IF(OR(ISBLANK(BOM_table6[[#This Row],[ASM QTY]]),ISBLANK(BOM_table6[[#This Row],[Unit Cost]])),0,BOM_table6[[#This Row],[ASM QTY]]*BOM_table6[[#This Row],[Unit Cost]])</f>
        <v>0</v>
      </c>
      <c r="Q227" s="45"/>
      <c r="R227" s="81">
        <v>1</v>
      </c>
      <c r="S227" s="53">
        <f>BOM_table6[[#This Row],[ASM QTY]]*$Q$2+BOM_table6[[#This Row],[Spare QTY Needed]]-BOM_table6[[#This Row],[QTY in Inventory]]</f>
        <v>0</v>
      </c>
      <c r="T227" s="53">
        <f>ROUNDUP((BOM_table6[[#This Row],[QTY to Order]]/BOM_table6[[#This Row],[SKU QTY]]),0)</f>
        <v>0</v>
      </c>
      <c r="U227" s="51">
        <f>BOM_table6[[#This Row],[SKU QTY to Order]]*BOM_table6[[#This Row],[SKU Cost]]</f>
        <v>0</v>
      </c>
      <c r="V227" s="50"/>
      <c r="W227" s="45"/>
      <c r="X227" s="45"/>
      <c r="Y227" s="63"/>
      <c r="Z227" s="156"/>
      <c r="AA227" s="45"/>
      <c r="AB227" s="45"/>
      <c r="AC227" s="45"/>
    </row>
    <row r="228" spans="1:29" ht="15" customHeight="1" x14ac:dyDescent="0.2">
      <c r="A228" s="44" t="s">
        <v>1318</v>
      </c>
      <c r="B228" s="157" t="s">
        <v>2007</v>
      </c>
      <c r="C228" s="45">
        <v>301083</v>
      </c>
      <c r="D228" s="45"/>
      <c r="E228" s="45" t="s">
        <v>2338</v>
      </c>
      <c r="F228" s="45" t="s">
        <v>1974</v>
      </c>
      <c r="G228" s="45">
        <v>6</v>
      </c>
      <c r="H228" s="45" t="s">
        <v>2334</v>
      </c>
      <c r="I228" s="157"/>
      <c r="J228" s="45" t="s">
        <v>167</v>
      </c>
      <c r="K228" s="45" t="s">
        <v>2338</v>
      </c>
      <c r="L228" s="45"/>
      <c r="M228" s="45">
        <v>1</v>
      </c>
      <c r="N228" s="50"/>
      <c r="O228" s="51">
        <f>IF(OR(ISBLANK(BOM_table6[[#This Row],[SKU QTY]]),BOM_table6[[#This Row],[SKU Cost]]=0),0,BOM_table6[[#This Row],[SKU Cost]]/BOM_table6[[#This Row],[SKU QTY]])</f>
        <v>0</v>
      </c>
      <c r="P228" s="51">
        <f>IF(OR(ISBLANK(BOM_table6[[#This Row],[ASM QTY]]),ISBLANK(BOM_table6[[#This Row],[Unit Cost]])),0,BOM_table6[[#This Row],[ASM QTY]]*BOM_table6[[#This Row],[Unit Cost]])</f>
        <v>0</v>
      </c>
      <c r="Q228" s="45"/>
      <c r="R228" s="81"/>
      <c r="S228" s="53">
        <f>BOM_table6[[#This Row],[ASM QTY]]*$Q$2+BOM_table6[[#This Row],[Spare QTY Needed]]-BOM_table6[[#This Row],[QTY in Inventory]]</f>
        <v>6</v>
      </c>
      <c r="T228" s="53">
        <f>ROUNDUP((BOM_table6[[#This Row],[QTY to Order]]/BOM_table6[[#This Row],[SKU QTY]]),0)</f>
        <v>6</v>
      </c>
      <c r="U228" s="51">
        <f>BOM_table6[[#This Row],[SKU QTY to Order]]*BOM_table6[[#This Row],[SKU Cost]]</f>
        <v>0</v>
      </c>
      <c r="V228" s="50"/>
      <c r="W228" s="45"/>
      <c r="X228" s="45"/>
      <c r="Y228" s="63"/>
      <c r="Z228" s="156"/>
      <c r="AA228" s="45"/>
      <c r="AB228" s="45"/>
      <c r="AC228" s="45"/>
    </row>
    <row r="229" spans="1:29" ht="15" customHeight="1" x14ac:dyDescent="0.2">
      <c r="A229" s="44" t="s">
        <v>159</v>
      </c>
      <c r="B229" s="44" t="s">
        <v>2008</v>
      </c>
      <c r="C229" s="45" t="s">
        <v>2210</v>
      </c>
      <c r="D229" s="45"/>
      <c r="E229" s="45" t="s">
        <v>2211</v>
      </c>
      <c r="F229" s="45" t="s">
        <v>1974</v>
      </c>
      <c r="G229" s="45">
        <v>1</v>
      </c>
      <c r="H229" s="45" t="s">
        <v>2177</v>
      </c>
      <c r="I229" s="157" t="s">
        <v>2212</v>
      </c>
      <c r="J229" s="45"/>
      <c r="K229" s="45" t="s">
        <v>2213</v>
      </c>
      <c r="L229" s="45"/>
      <c r="M229" s="45">
        <v>1</v>
      </c>
      <c r="N229" s="50">
        <v>1290</v>
      </c>
      <c r="O229" s="51">
        <f>IF(OR(ISBLANK(BOM_table6[[#This Row],[SKU QTY]]),BOM_table6[[#This Row],[SKU Cost]]=0),0,BOM_table6[[#This Row],[SKU Cost]]/BOM_table6[[#This Row],[SKU QTY]])</f>
        <v>1290</v>
      </c>
      <c r="P229" s="51">
        <f>IF(OR(ISBLANK(BOM_table6[[#This Row],[ASM QTY]]),ISBLANK(BOM_table6[[#This Row],[Unit Cost]])),0,BOM_table6[[#This Row],[ASM QTY]]*BOM_table6[[#This Row],[Unit Cost]])</f>
        <v>1290</v>
      </c>
      <c r="Q229" s="45"/>
      <c r="R229" s="81"/>
      <c r="S229" s="53">
        <f>BOM_table6[[#This Row],[ASM QTY]]*$Q$2+BOM_table6[[#This Row],[Spare QTY Needed]]-BOM_table6[[#This Row],[QTY in Inventory]]</f>
        <v>1</v>
      </c>
      <c r="T229" s="53">
        <f>ROUNDUP((BOM_table6[[#This Row],[QTY to Order]]/BOM_table6[[#This Row],[SKU QTY]]),0)</f>
        <v>1</v>
      </c>
      <c r="U229" s="51">
        <f>BOM_table6[[#This Row],[SKU QTY to Order]]*BOM_table6[[#This Row],[SKU Cost]]</f>
        <v>1290</v>
      </c>
      <c r="V229" s="50"/>
      <c r="W229" s="45" t="s">
        <v>2191</v>
      </c>
      <c r="X229" s="45" t="s">
        <v>2192</v>
      </c>
      <c r="Y229" s="54">
        <v>44902</v>
      </c>
      <c r="Z229" s="156">
        <v>44916</v>
      </c>
      <c r="AA229" s="45"/>
      <c r="AB229" s="45"/>
      <c r="AC229" s="45"/>
    </row>
    <row r="230" spans="1:29" ht="15" customHeight="1" x14ac:dyDescent="0.2">
      <c r="A230" s="105" t="s">
        <v>161</v>
      </c>
      <c r="B230" s="44" t="s">
        <v>641</v>
      </c>
      <c r="C230" s="45" t="s">
        <v>642</v>
      </c>
      <c r="D230" s="45"/>
      <c r="E230" s="45" t="s">
        <v>1049</v>
      </c>
      <c r="F230" s="45" t="s">
        <v>831</v>
      </c>
      <c r="G230" s="45">
        <v>1</v>
      </c>
      <c r="H230" s="45" t="s">
        <v>2178</v>
      </c>
      <c r="I230" s="43" t="s">
        <v>2239</v>
      </c>
      <c r="J230" s="45" t="s">
        <v>169</v>
      </c>
      <c r="K230" s="45" t="s">
        <v>1439</v>
      </c>
      <c r="L230" s="45"/>
      <c r="M230" s="106">
        <v>1</v>
      </c>
      <c r="N230" s="50">
        <f>BOM_table6[[#This Row],[Unit Cost]]</f>
        <v>235.75</v>
      </c>
      <c r="O230" s="110">
        <v>235.75</v>
      </c>
      <c r="P230" s="110">
        <f>IF(OR(ISBLANK(BOM_table6[[#This Row],[ASM QTY]]),ISBLANK(BOM_table6[[#This Row],[Unit Cost]])),0,BOM_table6[[#This Row],[ASM QTY]]*BOM_table6[[#This Row],[Unit Cost]])</f>
        <v>235.75</v>
      </c>
      <c r="Q230" s="45"/>
      <c r="R230" s="81"/>
      <c r="S230" s="111">
        <f>BOM_table6[[#This Row],[ASM QTY]]*$Q$2+BOM_table6[[#This Row],[Spare QTY Needed]]-BOM_table6[[#This Row],[QTY in Inventory]]</f>
        <v>1</v>
      </c>
      <c r="T230" s="111">
        <f>ROUNDUP((BOM_table6[[#This Row],[QTY to Order]]/BOM_table6[[#This Row],[SKU QTY]]),0)</f>
        <v>1</v>
      </c>
      <c r="U230" s="110">
        <f>BOM_table6[[#This Row],[SKU QTY to Order]]*BOM_table6[[#This Row],[SKU Cost]]</f>
        <v>235.75</v>
      </c>
      <c r="V230" s="50" t="s">
        <v>2199</v>
      </c>
      <c r="W230" s="45" t="s">
        <v>2191</v>
      </c>
      <c r="X230" s="45" t="s">
        <v>2200</v>
      </c>
      <c r="Y230" s="97">
        <v>44845</v>
      </c>
      <c r="Z230" s="54">
        <v>44879</v>
      </c>
      <c r="AA230" s="54"/>
      <c r="AB230" s="45"/>
      <c r="AC230" s="45"/>
    </row>
    <row r="231" spans="1:29" ht="15" customHeight="1" x14ac:dyDescent="0.2">
      <c r="A231" s="105" t="s">
        <v>161</v>
      </c>
      <c r="B231" s="44" t="s">
        <v>310</v>
      </c>
      <c r="C231" s="45" t="s">
        <v>311</v>
      </c>
      <c r="D231" s="45"/>
      <c r="E231" s="45"/>
      <c r="F231" s="45" t="s">
        <v>814</v>
      </c>
      <c r="G231" s="45">
        <v>4</v>
      </c>
      <c r="H231" s="45"/>
      <c r="J231" s="45" t="s">
        <v>166</v>
      </c>
      <c r="K231" s="45" t="s">
        <v>216</v>
      </c>
      <c r="L231" s="45"/>
      <c r="M231" s="106">
        <v>1</v>
      </c>
      <c r="N231" s="50">
        <f>3.88/4</f>
        <v>0.97</v>
      </c>
      <c r="O231" s="110">
        <f>IF(OR(ISBLANK(BOM_table6[[#This Row],[SKU QTY]]),BOM_table6[[#This Row],[SKU Cost]]=0),0,BOM_table6[[#This Row],[SKU Cost]]/BOM_table6[[#This Row],[SKU QTY]])</f>
        <v>0.97</v>
      </c>
      <c r="P231" s="110">
        <f>IF(OR(ISBLANK(BOM_table6[[#This Row],[ASM QTY]]),ISBLANK(BOM_table6[[#This Row],[Unit Cost]])),0,BOM_table6[[#This Row],[ASM QTY]]*BOM_table6[[#This Row],[Unit Cost]])</f>
        <v>3.88</v>
      </c>
      <c r="Q231" s="45"/>
      <c r="R231" s="81"/>
      <c r="S231" s="111">
        <f>BOM_table6[[#This Row],[ASM QTY]]*$Q$2+BOM_table6[[#This Row],[Spare QTY Needed]]-BOM_table6[[#This Row],[QTY in Inventory]]</f>
        <v>4</v>
      </c>
      <c r="T231" s="111">
        <f>ROUNDUP((BOM_table6[[#This Row],[QTY to Order]]/BOM_table6[[#This Row],[SKU QTY]]),0)</f>
        <v>4</v>
      </c>
      <c r="U231" s="110">
        <f>BOM_table6[[#This Row],[SKU QTY to Order]]*BOM_table6[[#This Row],[SKU Cost]]</f>
        <v>3.88</v>
      </c>
      <c r="V231" s="62"/>
      <c r="W231" s="45" t="s">
        <v>2191</v>
      </c>
      <c r="X231" s="45" t="s">
        <v>2192</v>
      </c>
      <c r="Y231" s="54">
        <v>44923</v>
      </c>
      <c r="Z231" s="54"/>
      <c r="AA231" s="54">
        <v>44924</v>
      </c>
      <c r="AB231" s="45"/>
      <c r="AC231" s="45"/>
    </row>
    <row r="232" spans="1:29" ht="15" customHeight="1" x14ac:dyDescent="0.2">
      <c r="A232" s="105" t="s">
        <v>161</v>
      </c>
      <c r="B232" s="44" t="s">
        <v>308</v>
      </c>
      <c r="C232" s="45" t="s">
        <v>309</v>
      </c>
      <c r="D232" s="45"/>
      <c r="E232" s="45"/>
      <c r="F232" s="45" t="s">
        <v>814</v>
      </c>
      <c r="G232" s="45">
        <v>4</v>
      </c>
      <c r="H232" s="45"/>
      <c r="I232" s="43" t="s">
        <v>2312</v>
      </c>
      <c r="J232" s="45" t="s">
        <v>1321</v>
      </c>
      <c r="K232" s="45" t="s">
        <v>216</v>
      </c>
      <c r="L232" s="45"/>
      <c r="M232" s="106">
        <v>1</v>
      </c>
      <c r="N232" s="50">
        <f>15.81/50</f>
        <v>0.31620000000000004</v>
      </c>
      <c r="O232" s="110">
        <f>IF(OR(ISBLANK(BOM_table6[[#This Row],[SKU QTY]]),BOM_table6[[#This Row],[SKU Cost]]=0),0,BOM_table6[[#This Row],[SKU Cost]]/BOM_table6[[#This Row],[SKU QTY]])</f>
        <v>0.31620000000000004</v>
      </c>
      <c r="P232" s="110">
        <f>IF(OR(ISBLANK(BOM_table6[[#This Row],[ASM QTY]]),ISBLANK(BOM_table6[[#This Row],[Unit Cost]])),0,BOM_table6[[#This Row],[ASM QTY]]*BOM_table6[[#This Row],[Unit Cost]])</f>
        <v>1.2648000000000001</v>
      </c>
      <c r="Q232" s="45">
        <f>50-4</f>
        <v>46</v>
      </c>
      <c r="R232" s="81"/>
      <c r="S232" s="111">
        <f>BOM_table6[[#This Row],[ASM QTY]]*$Q$2+BOM_table6[[#This Row],[Spare QTY Needed]]-BOM_table6[[#This Row],[QTY in Inventory]]</f>
        <v>50</v>
      </c>
      <c r="T232" s="111">
        <f>ROUNDUP((BOM_table6[[#This Row],[QTY to Order]]/BOM_table6[[#This Row],[SKU QTY]]),0)</f>
        <v>50</v>
      </c>
      <c r="U232" s="110">
        <f>BOM_table6[[#This Row],[SKU QTY to Order]]*BOM_table6[[#This Row],[SKU Cost]]</f>
        <v>15.810000000000002</v>
      </c>
      <c r="V232" s="62"/>
      <c r="W232" s="45" t="s">
        <v>2191</v>
      </c>
      <c r="X232" s="45" t="s">
        <v>2192</v>
      </c>
      <c r="Y232" s="54">
        <v>44923</v>
      </c>
      <c r="Z232" s="54"/>
      <c r="AA232" s="54">
        <v>44924</v>
      </c>
      <c r="AB232" s="45"/>
      <c r="AC232" s="45"/>
    </row>
    <row r="233" spans="1:29" ht="15" customHeight="1" x14ac:dyDescent="0.2">
      <c r="A233" s="105" t="s">
        <v>160</v>
      </c>
      <c r="B233" s="44" t="s">
        <v>1517</v>
      </c>
      <c r="C233" s="45" t="s">
        <v>1516</v>
      </c>
      <c r="D233" s="45"/>
      <c r="E233" s="45"/>
      <c r="F233" s="45" t="s">
        <v>814</v>
      </c>
      <c r="G233" s="45">
        <v>2</v>
      </c>
      <c r="H233" s="45"/>
      <c r="J233" s="45" t="s">
        <v>166</v>
      </c>
      <c r="K233" s="45" t="s">
        <v>216</v>
      </c>
      <c r="L233" s="45"/>
      <c r="M233" s="106">
        <v>1</v>
      </c>
      <c r="N233" s="50"/>
      <c r="O233" s="110">
        <f>IF(OR(ISBLANK(BOM_table6[[#This Row],[SKU QTY]]),BOM_table6[[#This Row],[SKU Cost]]=0),0,BOM_table6[[#This Row],[SKU Cost]]/BOM_table6[[#This Row],[SKU QTY]])</f>
        <v>0</v>
      </c>
      <c r="P233" s="110">
        <f>IF(OR(ISBLANK(BOM_table6[[#This Row],[ASM QTY]]),ISBLANK(BOM_table6[[#This Row],[Unit Cost]])),0,BOM_table6[[#This Row],[ASM QTY]]*BOM_table6[[#This Row],[Unit Cost]])</f>
        <v>0</v>
      </c>
      <c r="Q233" s="45"/>
      <c r="R233" s="81"/>
      <c r="S233" s="111">
        <f>BOM_table6[[#This Row],[ASM QTY]]*$Q$2+BOM_table6[[#This Row],[Spare QTY Needed]]-BOM_table6[[#This Row],[QTY in Inventory]]</f>
        <v>2</v>
      </c>
      <c r="T233" s="111">
        <f>ROUNDUP((BOM_table6[[#This Row],[QTY to Order]]/BOM_table6[[#This Row],[SKU QTY]]),0)</f>
        <v>2</v>
      </c>
      <c r="U233" s="110">
        <f>BOM_table6[[#This Row],[SKU QTY to Order]]*BOM_table6[[#This Row],[SKU Cost]]</f>
        <v>0</v>
      </c>
      <c r="V233" s="62"/>
      <c r="W233" s="45"/>
      <c r="X233" s="45"/>
      <c r="Y233" s="54"/>
      <c r="Z233" s="54"/>
      <c r="AA233" s="45"/>
      <c r="AB233" s="45"/>
      <c r="AC233" s="45"/>
    </row>
    <row r="234" spans="1:29" ht="15" customHeight="1" x14ac:dyDescent="0.2">
      <c r="A234" s="105" t="s">
        <v>160</v>
      </c>
      <c r="B234" s="44" t="s">
        <v>1943</v>
      </c>
      <c r="C234" s="45" t="s">
        <v>320</v>
      </c>
      <c r="D234" s="45"/>
      <c r="E234" s="45" t="s">
        <v>1049</v>
      </c>
      <c r="F234" s="45" t="s">
        <v>814</v>
      </c>
      <c r="G234" s="45">
        <v>1</v>
      </c>
      <c r="H234" s="45"/>
      <c r="I234" s="43" t="s">
        <v>2150</v>
      </c>
      <c r="J234" s="45" t="s">
        <v>166</v>
      </c>
      <c r="K234" s="45"/>
      <c r="L234" s="45"/>
      <c r="M234" s="106">
        <v>1</v>
      </c>
      <c r="N234" s="50"/>
      <c r="O234" s="110">
        <f>IF(OR(ISBLANK(BOM_table6[[#This Row],[SKU QTY]]),BOM_table6[[#This Row],[SKU Cost]]=0),0,BOM_table6[[#This Row],[SKU Cost]]/BOM_table6[[#This Row],[SKU QTY]])</f>
        <v>0</v>
      </c>
      <c r="P234" s="110">
        <f>IF(OR(ISBLANK(BOM_table6[[#This Row],[ASM QTY]]),ISBLANK(BOM_table6[[#This Row],[Unit Cost]])),0,BOM_table6[[#This Row],[ASM QTY]]*BOM_table6[[#This Row],[Unit Cost]])</f>
        <v>0</v>
      </c>
      <c r="Q234" s="45"/>
      <c r="R234" s="81"/>
      <c r="S234" s="111">
        <f>BOM_table6[[#This Row],[ASM QTY]]*$Q$2+BOM_table6[[#This Row],[Spare QTY Needed]]-BOM_table6[[#This Row],[QTY in Inventory]]</f>
        <v>1</v>
      </c>
      <c r="T234" s="111">
        <f>ROUNDUP((BOM_table6[[#This Row],[QTY to Order]]/BOM_table6[[#This Row],[SKU QTY]]),0)</f>
        <v>1</v>
      </c>
      <c r="U234" s="110">
        <f>BOM_table6[[#This Row],[SKU QTY to Order]]*BOM_table6[[#This Row],[SKU Cost]]</f>
        <v>0</v>
      </c>
      <c r="V234" s="62"/>
      <c r="W234" s="45"/>
      <c r="X234" s="45"/>
      <c r="Y234" s="54"/>
      <c r="Z234" s="54"/>
      <c r="AA234" s="45"/>
      <c r="AB234" s="45"/>
      <c r="AC234" s="45"/>
    </row>
    <row r="235" spans="1:29" ht="15" customHeight="1" x14ac:dyDescent="0.2">
      <c r="A235" s="105" t="s">
        <v>161</v>
      </c>
      <c r="B235" s="44" t="s">
        <v>321</v>
      </c>
      <c r="C235" s="45" t="s">
        <v>322</v>
      </c>
      <c r="D235" s="45" t="s">
        <v>152</v>
      </c>
      <c r="E235" s="45" t="s">
        <v>1049</v>
      </c>
      <c r="F235" s="45" t="s">
        <v>814</v>
      </c>
      <c r="G235" s="45">
        <v>2</v>
      </c>
      <c r="H235" s="45" t="s">
        <v>2175</v>
      </c>
      <c r="J235" s="45" t="s">
        <v>169</v>
      </c>
      <c r="K235" s="45" t="s">
        <v>1439</v>
      </c>
      <c r="L235" s="45"/>
      <c r="M235" s="106">
        <v>1</v>
      </c>
      <c r="N235" s="50"/>
      <c r="O235" s="110">
        <f>IF(OR(ISBLANK(BOM_table6[[#This Row],[SKU QTY]]),BOM_table6[[#This Row],[SKU Cost]]=0),0,BOM_table6[[#This Row],[SKU Cost]]/BOM_table6[[#This Row],[SKU QTY]])</f>
        <v>0</v>
      </c>
      <c r="P235" s="110">
        <f>IF(OR(ISBLANK(BOM_table6[[#This Row],[ASM QTY]]),ISBLANK(BOM_table6[[#This Row],[Unit Cost]])),0,BOM_table6[[#This Row],[ASM QTY]]*BOM_table6[[#This Row],[Unit Cost]])</f>
        <v>0</v>
      </c>
      <c r="Q235" s="45"/>
      <c r="R235" s="81"/>
      <c r="S235" s="111">
        <f>BOM_table6[[#This Row],[ASM QTY]]*$Q$2+BOM_table6[[#This Row],[Spare QTY Needed]]-BOM_table6[[#This Row],[QTY in Inventory]]</f>
        <v>2</v>
      </c>
      <c r="T235" s="111">
        <f>ROUNDUP((BOM_table6[[#This Row],[QTY to Order]]/BOM_table6[[#This Row],[SKU QTY]]),0)</f>
        <v>2</v>
      </c>
      <c r="U235" s="110">
        <f>BOM_table6[[#This Row],[SKU QTY to Order]]*BOM_table6[[#This Row],[SKU Cost]]</f>
        <v>0</v>
      </c>
      <c r="V235" s="62"/>
      <c r="W235" s="45"/>
      <c r="X235" s="45"/>
      <c r="Y235" s="97"/>
      <c r="Z235" s="54"/>
      <c r="AA235" s="45"/>
      <c r="AB235" s="45"/>
      <c r="AC235" s="45"/>
    </row>
    <row r="236" spans="1:29" ht="15" customHeight="1" x14ac:dyDescent="0.2">
      <c r="A236" s="44" t="s">
        <v>159</v>
      </c>
      <c r="B236" s="44" t="s">
        <v>793</v>
      </c>
      <c r="C236" s="45" t="s">
        <v>794</v>
      </c>
      <c r="D236" s="45" t="s">
        <v>152</v>
      </c>
      <c r="E236" s="45" t="s">
        <v>1049</v>
      </c>
      <c r="F236" s="45" t="s">
        <v>814</v>
      </c>
      <c r="G236" s="45">
        <v>1</v>
      </c>
      <c r="H236" s="45" t="s">
        <v>2175</v>
      </c>
      <c r="I236" s="43" t="s">
        <v>792</v>
      </c>
      <c r="J236" s="45" t="s">
        <v>169</v>
      </c>
      <c r="K236" s="45"/>
      <c r="L236" s="45"/>
      <c r="M236" s="106">
        <v>1</v>
      </c>
      <c r="N236" s="50"/>
      <c r="O236" s="110">
        <f>IF(OR(ISBLANK(BOM_table6[[#This Row],[SKU QTY]]),BOM_table6[[#This Row],[SKU Cost]]=0),0,BOM_table6[[#This Row],[SKU Cost]]/BOM_table6[[#This Row],[SKU QTY]])</f>
        <v>0</v>
      </c>
      <c r="P236" s="110">
        <f>IF(OR(ISBLANK(BOM_table6[[#This Row],[ASM QTY]]),ISBLANK(BOM_table6[[#This Row],[Unit Cost]])),0,BOM_table6[[#This Row],[ASM QTY]]*BOM_table6[[#This Row],[Unit Cost]])</f>
        <v>0</v>
      </c>
      <c r="Q236" s="45"/>
      <c r="R236" s="81"/>
      <c r="S236" s="111">
        <f>BOM_table6[[#This Row],[ASM QTY]]*$Q$2+BOM_table6[[#This Row],[Spare QTY Needed]]-BOM_table6[[#This Row],[QTY in Inventory]]</f>
        <v>1</v>
      </c>
      <c r="T236" s="111">
        <f>ROUNDUP((BOM_table6[[#This Row],[QTY to Order]]/BOM_table6[[#This Row],[SKU QTY]]),0)</f>
        <v>1</v>
      </c>
      <c r="U236" s="110">
        <f>BOM_table6[[#This Row],[SKU QTY to Order]]*BOM_table6[[#This Row],[SKU Cost]]</f>
        <v>0</v>
      </c>
      <c r="V236" s="62"/>
      <c r="W236" s="45"/>
      <c r="X236" s="45"/>
      <c r="Y236" s="45"/>
      <c r="Z236" s="54"/>
      <c r="AA236" s="54"/>
      <c r="AB236" s="45"/>
      <c r="AC236" s="45"/>
    </row>
    <row r="237" spans="1:29" ht="15" customHeight="1" x14ac:dyDescent="0.2">
      <c r="A237" s="105" t="s">
        <v>161</v>
      </c>
      <c r="B237" s="44" t="s">
        <v>317</v>
      </c>
      <c r="C237" s="45" t="s">
        <v>318</v>
      </c>
      <c r="D237" s="45"/>
      <c r="E237" s="45" t="s">
        <v>316</v>
      </c>
      <c r="F237" s="45" t="s">
        <v>814</v>
      </c>
      <c r="G237" s="45">
        <v>1</v>
      </c>
      <c r="H237" s="45" t="s">
        <v>2175</v>
      </c>
      <c r="J237" s="45" t="s">
        <v>166</v>
      </c>
      <c r="K237" s="45" t="s">
        <v>316</v>
      </c>
      <c r="L237" s="45"/>
      <c r="M237" s="106">
        <v>1</v>
      </c>
      <c r="N237" s="50">
        <v>52.28</v>
      </c>
      <c r="O237" s="110">
        <f>IF(OR(ISBLANK(BOM_table6[[#This Row],[SKU QTY]]),BOM_table6[[#This Row],[SKU Cost]]=0),0,BOM_table6[[#This Row],[SKU Cost]]/BOM_table6[[#This Row],[SKU QTY]])</f>
        <v>52.28</v>
      </c>
      <c r="P237" s="110">
        <f>IF(OR(ISBLANK(BOM_table6[[#This Row],[ASM QTY]]),ISBLANK(BOM_table6[[#This Row],[Unit Cost]])),0,BOM_table6[[#This Row],[ASM QTY]]*BOM_table6[[#This Row],[Unit Cost]])</f>
        <v>52.28</v>
      </c>
      <c r="Q237" s="45"/>
      <c r="R237" s="81"/>
      <c r="S237" s="111">
        <f>BOM_table6[[#This Row],[ASM QTY]]*$Q$2+BOM_table6[[#This Row],[Spare QTY Needed]]-BOM_table6[[#This Row],[QTY in Inventory]]</f>
        <v>1</v>
      </c>
      <c r="T237" s="111">
        <f>ROUNDUP((BOM_table6[[#This Row],[QTY to Order]]/BOM_table6[[#This Row],[SKU QTY]]),0)</f>
        <v>1</v>
      </c>
      <c r="U237" s="110">
        <f>BOM_table6[[#This Row],[SKU QTY to Order]]*BOM_table6[[#This Row],[SKU Cost]]</f>
        <v>52.28</v>
      </c>
      <c r="V237" s="50" t="s">
        <v>2190</v>
      </c>
      <c r="W237" s="45" t="s">
        <v>2191</v>
      </c>
      <c r="X237" s="45" t="s">
        <v>2192</v>
      </c>
      <c r="Y237" s="54">
        <v>44845</v>
      </c>
      <c r="Z237" s="54"/>
      <c r="AA237" s="54"/>
      <c r="AB237" s="45"/>
      <c r="AC237" s="45"/>
    </row>
    <row r="238" spans="1:29" ht="15" customHeight="1" x14ac:dyDescent="0.2">
      <c r="A238" s="105" t="s">
        <v>172</v>
      </c>
      <c r="B238" s="193" t="s">
        <v>314</v>
      </c>
      <c r="C238" s="194" t="s">
        <v>315</v>
      </c>
      <c r="D238" s="45"/>
      <c r="E238" s="45" t="s">
        <v>316</v>
      </c>
      <c r="F238" s="45" t="s">
        <v>814</v>
      </c>
      <c r="G238" s="45">
        <v>0</v>
      </c>
      <c r="H238" s="45" t="s">
        <v>2175</v>
      </c>
      <c r="I238" s="43" t="s">
        <v>2187</v>
      </c>
      <c r="J238" s="45" t="s">
        <v>166</v>
      </c>
      <c r="K238" s="45" t="s">
        <v>316</v>
      </c>
      <c r="L238" s="45"/>
      <c r="M238" s="106">
        <v>1</v>
      </c>
      <c r="N238" s="50">
        <v>26.65</v>
      </c>
      <c r="O238" s="110">
        <f>IF(OR(ISBLANK(BOM_table6[[#This Row],[SKU QTY]]),BOM_table6[[#This Row],[SKU Cost]]=0),0,BOM_table6[[#This Row],[SKU Cost]]/BOM_table6[[#This Row],[SKU QTY]])</f>
        <v>26.65</v>
      </c>
      <c r="P238" s="110">
        <f>IF(OR(ISBLANK(BOM_table6[[#This Row],[ASM QTY]]),ISBLANK(BOM_table6[[#This Row],[Unit Cost]])),0,BOM_table6[[#This Row],[ASM QTY]]*BOM_table6[[#This Row],[Unit Cost]])</f>
        <v>0</v>
      </c>
      <c r="Q238" s="45"/>
      <c r="R238" s="81"/>
      <c r="S238" s="111">
        <f>BOM_table6[[#This Row],[ASM QTY]]*$Q$2+BOM_table6[[#This Row],[Spare QTY Needed]]-BOM_table6[[#This Row],[QTY in Inventory]]</f>
        <v>0</v>
      </c>
      <c r="T238" s="111">
        <f>ROUNDUP((BOM_table6[[#This Row],[QTY to Order]]/BOM_table6[[#This Row],[SKU QTY]]),0)</f>
        <v>0</v>
      </c>
      <c r="U238" s="110">
        <f>BOM_table6[[#This Row],[SKU QTY to Order]]*BOM_table6[[#This Row],[SKU Cost]]</f>
        <v>0</v>
      </c>
      <c r="V238" s="62"/>
      <c r="W238" s="45"/>
      <c r="X238" s="45"/>
      <c r="Y238" s="54"/>
      <c r="Z238" s="54"/>
      <c r="AA238" s="54"/>
      <c r="AB238" s="45"/>
      <c r="AC238" s="45"/>
    </row>
    <row r="239" spans="1:29" ht="15" customHeight="1" x14ac:dyDescent="0.2">
      <c r="A239" s="105" t="s">
        <v>160</v>
      </c>
      <c r="B239" s="44" t="s">
        <v>319</v>
      </c>
      <c r="C239" s="45"/>
      <c r="D239" s="45"/>
      <c r="E239" s="45" t="s">
        <v>861</v>
      </c>
      <c r="F239" s="45" t="s">
        <v>814</v>
      </c>
      <c r="G239" s="45">
        <v>2</v>
      </c>
      <c r="H239" s="45"/>
      <c r="J239" s="45" t="s">
        <v>166</v>
      </c>
      <c r="K239" s="45" t="s">
        <v>862</v>
      </c>
      <c r="L239" s="45"/>
      <c r="M239" s="106">
        <v>1</v>
      </c>
      <c r="N239" s="50"/>
      <c r="O239" s="110">
        <f>IF(OR(ISBLANK(BOM_table6[[#This Row],[SKU QTY]]),BOM_table6[[#This Row],[SKU Cost]]=0),0,BOM_table6[[#This Row],[SKU Cost]]/BOM_table6[[#This Row],[SKU QTY]])</f>
        <v>0</v>
      </c>
      <c r="P239" s="110">
        <f>IF(OR(ISBLANK(BOM_table6[[#This Row],[ASM QTY]]),ISBLANK(BOM_table6[[#This Row],[Unit Cost]])),0,BOM_table6[[#This Row],[ASM QTY]]*BOM_table6[[#This Row],[Unit Cost]])</f>
        <v>0</v>
      </c>
      <c r="Q239" s="45"/>
      <c r="R239" s="81"/>
      <c r="S239" s="111">
        <f>BOM_table6[[#This Row],[ASM QTY]]*$Q$2+BOM_table6[[#This Row],[Spare QTY Needed]]-BOM_table6[[#This Row],[QTY in Inventory]]</f>
        <v>2</v>
      </c>
      <c r="T239" s="111">
        <f>ROUNDUP((BOM_table6[[#This Row],[QTY to Order]]/BOM_table6[[#This Row],[SKU QTY]]),0)</f>
        <v>2</v>
      </c>
      <c r="U239" s="110">
        <f>BOM_table6[[#This Row],[SKU QTY to Order]]*BOM_table6[[#This Row],[SKU Cost]]</f>
        <v>0</v>
      </c>
      <c r="V239" s="62"/>
      <c r="W239" s="45"/>
      <c r="X239" s="45"/>
      <c r="Y239" s="45"/>
      <c r="Z239" s="54"/>
      <c r="AA239" s="45"/>
      <c r="AB239" s="45"/>
      <c r="AC239" s="45"/>
    </row>
    <row r="240" spans="1:29" ht="15" customHeight="1" x14ac:dyDescent="0.2">
      <c r="A240" s="105" t="s">
        <v>160</v>
      </c>
      <c r="B240" s="44" t="s">
        <v>312</v>
      </c>
      <c r="C240" s="45"/>
      <c r="D240" s="45"/>
      <c r="E240" s="45"/>
      <c r="F240" s="45" t="s">
        <v>814</v>
      </c>
      <c r="G240" s="45">
        <v>1</v>
      </c>
      <c r="H240" s="45"/>
      <c r="J240" s="45" t="s">
        <v>166</v>
      </c>
      <c r="K240" s="45" t="s">
        <v>216</v>
      </c>
      <c r="L240" s="45"/>
      <c r="M240" s="106">
        <v>1</v>
      </c>
      <c r="N240" s="50"/>
      <c r="O240" s="110">
        <f>IF(OR(ISBLANK(BOM_table6[[#This Row],[SKU QTY]]),BOM_table6[[#This Row],[SKU Cost]]=0),0,BOM_table6[[#This Row],[SKU Cost]]/BOM_table6[[#This Row],[SKU QTY]])</f>
        <v>0</v>
      </c>
      <c r="P240" s="110">
        <f>IF(OR(ISBLANK(BOM_table6[[#This Row],[ASM QTY]]),ISBLANK(BOM_table6[[#This Row],[Unit Cost]])),0,BOM_table6[[#This Row],[ASM QTY]]*BOM_table6[[#This Row],[Unit Cost]])</f>
        <v>0</v>
      </c>
      <c r="Q240" s="45"/>
      <c r="R240" s="81"/>
      <c r="S240" s="111">
        <f>BOM_table6[[#This Row],[ASM QTY]]*$Q$2+BOM_table6[[#This Row],[Spare QTY Needed]]-BOM_table6[[#This Row],[QTY in Inventory]]</f>
        <v>1</v>
      </c>
      <c r="T240" s="111">
        <f>ROUNDUP((BOM_table6[[#This Row],[QTY to Order]]/BOM_table6[[#This Row],[SKU QTY]]),0)</f>
        <v>1</v>
      </c>
      <c r="U240" s="110">
        <f>BOM_table6[[#This Row],[SKU QTY to Order]]*BOM_table6[[#This Row],[SKU Cost]]</f>
        <v>0</v>
      </c>
      <c r="V240" s="62"/>
      <c r="W240" s="45"/>
      <c r="X240" s="45"/>
      <c r="Y240" s="45"/>
      <c r="Z240" s="54"/>
      <c r="AA240" s="45"/>
      <c r="AB240" s="45"/>
      <c r="AC240" s="45"/>
    </row>
    <row r="241" spans="1:29" ht="15" customHeight="1" x14ac:dyDescent="0.2">
      <c r="A241" s="105" t="s">
        <v>160</v>
      </c>
      <c r="B241" s="44" t="s">
        <v>313</v>
      </c>
      <c r="C241" s="45"/>
      <c r="D241" s="45"/>
      <c r="E241" s="45"/>
      <c r="F241" s="45" t="s">
        <v>814</v>
      </c>
      <c r="G241" s="45">
        <v>1</v>
      </c>
      <c r="H241" s="45"/>
      <c r="J241" s="45" t="s">
        <v>166</v>
      </c>
      <c r="K241" s="45" t="s">
        <v>216</v>
      </c>
      <c r="L241" s="45"/>
      <c r="M241" s="106">
        <v>1</v>
      </c>
      <c r="N241" s="50"/>
      <c r="O241" s="110">
        <f>IF(OR(ISBLANK(BOM_table6[[#This Row],[SKU QTY]]),BOM_table6[[#This Row],[SKU Cost]]=0),0,BOM_table6[[#This Row],[SKU Cost]]/BOM_table6[[#This Row],[SKU QTY]])</f>
        <v>0</v>
      </c>
      <c r="P241" s="110">
        <f>IF(OR(ISBLANK(BOM_table6[[#This Row],[ASM QTY]]),ISBLANK(BOM_table6[[#This Row],[Unit Cost]])),0,BOM_table6[[#This Row],[ASM QTY]]*BOM_table6[[#This Row],[Unit Cost]])</f>
        <v>0</v>
      </c>
      <c r="Q241" s="45"/>
      <c r="R241" s="81"/>
      <c r="S241" s="111">
        <f>BOM_table6[[#This Row],[ASM QTY]]*$Q$2+BOM_table6[[#This Row],[Spare QTY Needed]]-BOM_table6[[#This Row],[QTY in Inventory]]</f>
        <v>1</v>
      </c>
      <c r="T241" s="111">
        <f>ROUNDUP((BOM_table6[[#This Row],[QTY to Order]]/BOM_table6[[#This Row],[SKU QTY]]),0)</f>
        <v>1</v>
      </c>
      <c r="U241" s="110">
        <f>BOM_table6[[#This Row],[SKU QTY to Order]]*BOM_table6[[#This Row],[SKU Cost]]</f>
        <v>0</v>
      </c>
      <c r="V241" s="62"/>
      <c r="W241" s="45"/>
      <c r="X241" s="45"/>
      <c r="Y241" s="45"/>
      <c r="Z241" s="54"/>
      <c r="AA241" s="45"/>
      <c r="AB241" s="45"/>
      <c r="AC241" s="45"/>
    </row>
    <row r="242" spans="1:29" ht="15" customHeight="1" x14ac:dyDescent="0.2">
      <c r="A242" s="105" t="s">
        <v>161</v>
      </c>
      <c r="B242" s="44" t="s">
        <v>562</v>
      </c>
      <c r="C242" s="45" t="s">
        <v>563</v>
      </c>
      <c r="D242" s="45"/>
      <c r="E242" s="45"/>
      <c r="F242" s="45" t="s">
        <v>825</v>
      </c>
      <c r="G242" s="45">
        <v>8</v>
      </c>
      <c r="H242" s="45"/>
      <c r="I242" s="43" t="s">
        <v>2330</v>
      </c>
      <c r="J242" s="45" t="s">
        <v>1321</v>
      </c>
      <c r="K242" s="45" t="s">
        <v>216</v>
      </c>
      <c r="L242" s="45"/>
      <c r="M242" s="106">
        <v>1</v>
      </c>
      <c r="N242" s="50">
        <f>8.99/100</f>
        <v>8.9900000000000008E-2</v>
      </c>
      <c r="O242" s="110">
        <f>IF(OR(ISBLANK(BOM_table6[[#This Row],[SKU QTY]]),BOM_table6[[#This Row],[SKU Cost]]=0),0,BOM_table6[[#This Row],[SKU Cost]]/BOM_table6[[#This Row],[SKU QTY]])</f>
        <v>8.9900000000000008E-2</v>
      </c>
      <c r="P242" s="110">
        <f>IF(OR(ISBLANK(BOM_table6[[#This Row],[ASM QTY]]),ISBLANK(BOM_table6[[#This Row],[Unit Cost]])),0,BOM_table6[[#This Row],[ASM QTY]]*BOM_table6[[#This Row],[Unit Cost]])</f>
        <v>0.71920000000000006</v>
      </c>
      <c r="Q242" s="45">
        <f>100-8</f>
        <v>92</v>
      </c>
      <c r="R242" s="81"/>
      <c r="S242" s="111">
        <f>BOM_table6[[#This Row],[ASM QTY]]*$Q$2+BOM_table6[[#This Row],[Spare QTY Needed]]-BOM_table6[[#This Row],[QTY in Inventory]]</f>
        <v>100</v>
      </c>
      <c r="T242" s="111">
        <f>ROUNDUP((BOM_table6[[#This Row],[QTY to Order]]/BOM_table6[[#This Row],[SKU QTY]]),0)</f>
        <v>100</v>
      </c>
      <c r="U242" s="110">
        <f>BOM_table6[[#This Row],[SKU QTY to Order]]*BOM_table6[[#This Row],[SKU Cost]]</f>
        <v>8.99</v>
      </c>
      <c r="V242" s="62"/>
      <c r="W242" s="45" t="s">
        <v>2191</v>
      </c>
      <c r="X242" s="45" t="s">
        <v>2192</v>
      </c>
      <c r="Y242" s="54">
        <v>44923</v>
      </c>
      <c r="Z242" s="54"/>
      <c r="AA242" s="54">
        <v>44924</v>
      </c>
      <c r="AB242" s="45"/>
      <c r="AC242" s="45"/>
    </row>
    <row r="243" spans="1:29" ht="15" customHeight="1" x14ac:dyDescent="0.2">
      <c r="A243" s="105" t="s">
        <v>160</v>
      </c>
      <c r="B243" s="44" t="s">
        <v>569</v>
      </c>
      <c r="C243" s="45" t="s">
        <v>1462</v>
      </c>
      <c r="D243" s="45"/>
      <c r="E243" s="45"/>
      <c r="F243" s="45" t="s">
        <v>1331</v>
      </c>
      <c r="G243" s="45">
        <v>24</v>
      </c>
      <c r="H243" s="45"/>
      <c r="J243" s="45" t="s">
        <v>1321</v>
      </c>
      <c r="K243" s="45" t="s">
        <v>216</v>
      </c>
      <c r="L243" s="45"/>
      <c r="M243" s="106">
        <v>1</v>
      </c>
      <c r="N243" s="50"/>
      <c r="O243" s="110">
        <f>IF(OR(ISBLANK(BOM_table6[[#This Row],[SKU QTY]]),BOM_table6[[#This Row],[SKU Cost]]=0),0,BOM_table6[[#This Row],[SKU Cost]]/BOM_table6[[#This Row],[SKU QTY]])</f>
        <v>0</v>
      </c>
      <c r="P243" s="110">
        <f>IF(OR(ISBLANK(BOM_table6[[#This Row],[ASM QTY]]),ISBLANK(BOM_table6[[#This Row],[Unit Cost]])),0,BOM_table6[[#This Row],[ASM QTY]]*BOM_table6[[#This Row],[Unit Cost]])</f>
        <v>0</v>
      </c>
      <c r="Q243" s="45"/>
      <c r="R243" s="81"/>
      <c r="S243" s="111">
        <f>BOM_table6[[#This Row],[ASM QTY]]*$Q$2+BOM_table6[[#This Row],[Spare QTY Needed]]-BOM_table6[[#This Row],[QTY in Inventory]]</f>
        <v>24</v>
      </c>
      <c r="T243" s="111">
        <f>ROUNDUP((BOM_table6[[#This Row],[QTY to Order]]/BOM_table6[[#This Row],[SKU QTY]]),0)</f>
        <v>24</v>
      </c>
      <c r="U243" s="110">
        <f>BOM_table6[[#This Row],[SKU QTY to Order]]*BOM_table6[[#This Row],[SKU Cost]]</f>
        <v>0</v>
      </c>
      <c r="V243" s="62"/>
      <c r="W243" s="45"/>
      <c r="X243" s="45"/>
      <c r="Y243" s="97"/>
      <c r="Z243" s="54"/>
      <c r="AA243" s="45"/>
      <c r="AB243" s="45"/>
      <c r="AC243" s="45"/>
    </row>
    <row r="244" spans="1:29" ht="15" customHeight="1" x14ac:dyDescent="0.2">
      <c r="A244" s="105" t="s">
        <v>161</v>
      </c>
      <c r="B244" s="44" t="s">
        <v>570</v>
      </c>
      <c r="C244" s="45" t="s">
        <v>1463</v>
      </c>
      <c r="D244" s="45"/>
      <c r="E244" s="45"/>
      <c r="F244" s="45" t="s">
        <v>1331</v>
      </c>
      <c r="G244" s="45">
        <v>16</v>
      </c>
      <c r="H244" s="45"/>
      <c r="I244" s="43" t="s">
        <v>2330</v>
      </c>
      <c r="J244" s="45" t="s">
        <v>1321</v>
      </c>
      <c r="K244" s="45" t="s">
        <v>216</v>
      </c>
      <c r="L244" s="45"/>
      <c r="M244" s="106">
        <v>1</v>
      </c>
      <c r="N244" s="50">
        <f>9.18/100</f>
        <v>9.1799999999999993E-2</v>
      </c>
      <c r="O244" s="110">
        <f>IF(OR(ISBLANK(BOM_table6[[#This Row],[SKU QTY]]),BOM_table6[[#This Row],[SKU Cost]]=0),0,BOM_table6[[#This Row],[SKU Cost]]/BOM_table6[[#This Row],[SKU QTY]])</f>
        <v>9.1799999999999993E-2</v>
      </c>
      <c r="P244" s="110">
        <f>IF(OR(ISBLANK(BOM_table6[[#This Row],[ASM QTY]]),ISBLANK(BOM_table6[[#This Row],[Unit Cost]])),0,BOM_table6[[#This Row],[ASM QTY]]*BOM_table6[[#This Row],[Unit Cost]])</f>
        <v>1.4687999999999999</v>
      </c>
      <c r="Q244" s="45">
        <f>100-16</f>
        <v>84</v>
      </c>
      <c r="R244" s="81"/>
      <c r="S244" s="111">
        <f>BOM_table6[[#This Row],[ASM QTY]]*$Q$2+BOM_table6[[#This Row],[Spare QTY Needed]]-BOM_table6[[#This Row],[QTY in Inventory]]</f>
        <v>100</v>
      </c>
      <c r="T244" s="111">
        <f>ROUNDUP((BOM_table6[[#This Row],[QTY to Order]]/BOM_table6[[#This Row],[SKU QTY]]),0)</f>
        <v>100</v>
      </c>
      <c r="U244" s="110">
        <f>BOM_table6[[#This Row],[SKU QTY to Order]]*BOM_table6[[#This Row],[SKU Cost]]</f>
        <v>9.18</v>
      </c>
      <c r="V244" s="62"/>
      <c r="W244" s="45" t="s">
        <v>2191</v>
      </c>
      <c r="X244" s="45" t="s">
        <v>2192</v>
      </c>
      <c r="Y244" s="97">
        <v>44923</v>
      </c>
      <c r="Z244" s="54"/>
      <c r="AA244" s="97">
        <v>44924</v>
      </c>
      <c r="AB244" s="45"/>
      <c r="AC244" s="45"/>
    </row>
    <row r="245" spans="1:29" ht="15" customHeight="1" x14ac:dyDescent="0.2">
      <c r="A245" s="105" t="s">
        <v>161</v>
      </c>
      <c r="B245" s="44" t="s">
        <v>566</v>
      </c>
      <c r="C245" s="45" t="s">
        <v>567</v>
      </c>
      <c r="D245" s="45"/>
      <c r="E245" s="45" t="s">
        <v>1049</v>
      </c>
      <c r="F245" s="45" t="s">
        <v>1331</v>
      </c>
      <c r="G245" s="45">
        <v>2</v>
      </c>
      <c r="H245" s="45" t="s">
        <v>2175</v>
      </c>
      <c r="J245" s="45" t="s">
        <v>169</v>
      </c>
      <c r="K245" s="45" t="s">
        <v>1439</v>
      </c>
      <c r="L245" s="45"/>
      <c r="M245" s="106">
        <v>1</v>
      </c>
      <c r="N245" s="50"/>
      <c r="O245" s="110">
        <f>IF(OR(ISBLANK(BOM_table6[[#This Row],[SKU QTY]]),BOM_table6[[#This Row],[SKU Cost]]=0),0,BOM_table6[[#This Row],[SKU Cost]]/BOM_table6[[#This Row],[SKU QTY]])</f>
        <v>0</v>
      </c>
      <c r="P245" s="110">
        <f>IF(OR(ISBLANK(BOM_table6[[#This Row],[ASM QTY]]),ISBLANK(BOM_table6[[#This Row],[Unit Cost]])),0,BOM_table6[[#This Row],[ASM QTY]]*BOM_table6[[#This Row],[Unit Cost]])</f>
        <v>0</v>
      </c>
      <c r="Q245" s="45"/>
      <c r="R245" s="81">
        <v>4</v>
      </c>
      <c r="S245" s="111">
        <f>BOM_table6[[#This Row],[ASM QTY]]*$Q$2+BOM_table6[[#This Row],[Spare QTY Needed]]-BOM_table6[[#This Row],[QTY in Inventory]]</f>
        <v>-2</v>
      </c>
      <c r="T245" s="111">
        <f>ROUNDUP((BOM_table6[[#This Row],[QTY to Order]]/BOM_table6[[#This Row],[SKU QTY]]),0)</f>
        <v>-2</v>
      </c>
      <c r="U245" s="110">
        <f>BOM_table6[[#This Row],[SKU QTY to Order]]*BOM_table6[[#This Row],[SKU Cost]]</f>
        <v>0</v>
      </c>
      <c r="V245" s="62"/>
      <c r="W245" s="45"/>
      <c r="X245" s="45"/>
      <c r="Y245" s="97"/>
      <c r="Z245" s="54"/>
      <c r="AA245" s="54"/>
      <c r="AB245" s="45"/>
      <c r="AC245" s="45"/>
    </row>
    <row r="246" spans="1:29" ht="15" customHeight="1" x14ac:dyDescent="0.2">
      <c r="A246" s="105" t="s">
        <v>161</v>
      </c>
      <c r="B246" s="44" t="s">
        <v>565</v>
      </c>
      <c r="C246" s="45" t="s">
        <v>1464</v>
      </c>
      <c r="D246" s="45"/>
      <c r="E246" s="45"/>
      <c r="F246" s="45" t="s">
        <v>826</v>
      </c>
      <c r="G246" s="45">
        <v>8</v>
      </c>
      <c r="H246" s="45"/>
      <c r="I246" s="43" t="s">
        <v>2330</v>
      </c>
      <c r="J246" s="45" t="s">
        <v>1321</v>
      </c>
      <c r="K246" s="45" t="s">
        <v>216</v>
      </c>
      <c r="L246" s="45"/>
      <c r="M246" s="106">
        <v>1</v>
      </c>
      <c r="N246" s="50">
        <f>8.89/100</f>
        <v>8.8900000000000007E-2</v>
      </c>
      <c r="O246" s="110">
        <f>IF(OR(ISBLANK(BOM_table6[[#This Row],[SKU QTY]]),BOM_table6[[#This Row],[SKU Cost]]=0),0,BOM_table6[[#This Row],[SKU Cost]]/BOM_table6[[#This Row],[SKU QTY]])</f>
        <v>8.8900000000000007E-2</v>
      </c>
      <c r="P246" s="110">
        <f>IF(OR(ISBLANK(BOM_table6[[#This Row],[ASM QTY]]),ISBLANK(BOM_table6[[#This Row],[Unit Cost]])),0,BOM_table6[[#This Row],[ASM QTY]]*BOM_table6[[#This Row],[Unit Cost]])</f>
        <v>0.71120000000000005</v>
      </c>
      <c r="Q246" s="45">
        <v>92</v>
      </c>
      <c r="R246" s="81"/>
      <c r="S246" s="111">
        <f>BOM_table6[[#This Row],[ASM QTY]]*$Q$2+BOM_table6[[#This Row],[Spare QTY Needed]]-BOM_table6[[#This Row],[QTY in Inventory]]</f>
        <v>100</v>
      </c>
      <c r="T246" s="111">
        <f>ROUNDUP((BOM_table6[[#This Row],[QTY to Order]]/BOM_table6[[#This Row],[SKU QTY]]),0)</f>
        <v>100</v>
      </c>
      <c r="U246" s="110">
        <f>BOM_table6[[#This Row],[SKU QTY to Order]]*BOM_table6[[#This Row],[SKU Cost]]</f>
        <v>8.89</v>
      </c>
      <c r="V246" s="62"/>
      <c r="W246" s="45" t="s">
        <v>2191</v>
      </c>
      <c r="X246" s="45" t="s">
        <v>2192</v>
      </c>
      <c r="Y246" s="97">
        <v>44923</v>
      </c>
      <c r="Z246" s="54"/>
      <c r="AA246" s="97">
        <v>44924</v>
      </c>
      <c r="AB246" s="45"/>
      <c r="AC246" s="45"/>
    </row>
    <row r="247" spans="1:29" ht="15" customHeight="1" x14ac:dyDescent="0.2">
      <c r="A247" s="105" t="s">
        <v>160</v>
      </c>
      <c r="B247" s="44" t="s">
        <v>299</v>
      </c>
      <c r="C247" s="45" t="s">
        <v>787</v>
      </c>
      <c r="D247" s="45"/>
      <c r="E247" s="45"/>
      <c r="F247" s="45" t="s">
        <v>813</v>
      </c>
      <c r="G247" s="45">
        <v>4</v>
      </c>
      <c r="H247" s="45"/>
      <c r="J247" s="45" t="s">
        <v>1321</v>
      </c>
      <c r="K247" s="45" t="s">
        <v>216</v>
      </c>
      <c r="L247" s="45"/>
      <c r="M247" s="106">
        <v>1</v>
      </c>
      <c r="N247" s="50"/>
      <c r="O247" s="110">
        <f>IF(OR(ISBLANK(BOM_table6[[#This Row],[SKU QTY]]),BOM_table6[[#This Row],[SKU Cost]]=0),0,BOM_table6[[#This Row],[SKU Cost]]/BOM_table6[[#This Row],[SKU QTY]])</f>
        <v>0</v>
      </c>
      <c r="P247" s="110">
        <f>IF(OR(ISBLANK(BOM_table6[[#This Row],[ASM QTY]]),ISBLANK(BOM_table6[[#This Row],[Unit Cost]])),0,BOM_table6[[#This Row],[ASM QTY]]*BOM_table6[[#This Row],[Unit Cost]])</f>
        <v>0</v>
      </c>
      <c r="Q247" s="45"/>
      <c r="R247" s="81"/>
      <c r="S247" s="111">
        <f>BOM_table6[[#This Row],[ASM QTY]]*$Q$2+BOM_table6[[#This Row],[Spare QTY Needed]]-BOM_table6[[#This Row],[QTY in Inventory]]</f>
        <v>4</v>
      </c>
      <c r="T247" s="111">
        <f>ROUNDUP((BOM_table6[[#This Row],[QTY to Order]]/BOM_table6[[#This Row],[SKU QTY]]),0)</f>
        <v>4</v>
      </c>
      <c r="U247" s="110">
        <f>BOM_table6[[#This Row],[SKU QTY to Order]]*BOM_table6[[#This Row],[SKU Cost]]</f>
        <v>0</v>
      </c>
      <c r="V247" s="62"/>
      <c r="W247" s="45"/>
      <c r="X247" s="45"/>
      <c r="Y247" s="54"/>
      <c r="Z247" s="54"/>
      <c r="AA247" s="54"/>
      <c r="AB247" s="45"/>
      <c r="AC247" s="45"/>
    </row>
    <row r="248" spans="1:29" ht="15" customHeight="1" x14ac:dyDescent="0.2">
      <c r="A248" s="105" t="s">
        <v>161</v>
      </c>
      <c r="B248" s="44" t="s">
        <v>866</v>
      </c>
      <c r="C248" s="45" t="s">
        <v>306</v>
      </c>
      <c r="D248" s="45"/>
      <c r="E248" s="45" t="s">
        <v>1049</v>
      </c>
      <c r="F248" s="45" t="s">
        <v>813</v>
      </c>
      <c r="G248" s="45">
        <v>4</v>
      </c>
      <c r="H248" s="45"/>
      <c r="I248" s="43" t="s">
        <v>1667</v>
      </c>
      <c r="J248" s="45" t="s">
        <v>865</v>
      </c>
      <c r="K248" s="45" t="s">
        <v>1430</v>
      </c>
      <c r="L248" s="45"/>
      <c r="M248" s="106">
        <v>1</v>
      </c>
      <c r="N248" s="50"/>
      <c r="O248" s="110">
        <f>IF(OR(ISBLANK(BOM_table6[[#This Row],[SKU QTY]]),BOM_table6[[#This Row],[SKU Cost]]=0),0,BOM_table6[[#This Row],[SKU Cost]]/BOM_table6[[#This Row],[SKU QTY]])</f>
        <v>0</v>
      </c>
      <c r="P248" s="110">
        <f>IF(OR(ISBLANK(BOM_table6[[#This Row],[ASM QTY]]),ISBLANK(BOM_table6[[#This Row],[Unit Cost]])),0,BOM_table6[[#This Row],[ASM QTY]]*BOM_table6[[#This Row],[Unit Cost]])</f>
        <v>0</v>
      </c>
      <c r="Q248" s="45"/>
      <c r="R248" s="81"/>
      <c r="S248" s="111">
        <f>BOM_table6[[#This Row],[ASM QTY]]*$Q$2+BOM_table6[[#This Row],[Spare QTY Needed]]-BOM_table6[[#This Row],[QTY in Inventory]]</f>
        <v>4</v>
      </c>
      <c r="T248" s="111">
        <f>ROUNDUP((BOM_table6[[#This Row],[QTY to Order]]/BOM_table6[[#This Row],[SKU QTY]]),0)</f>
        <v>4</v>
      </c>
      <c r="U248" s="110">
        <f>BOM_table6[[#This Row],[SKU QTY to Order]]*BOM_table6[[#This Row],[SKU Cost]]</f>
        <v>0</v>
      </c>
      <c r="V248" s="62"/>
      <c r="W248" s="45"/>
      <c r="X248" s="45"/>
      <c r="Y248" s="54"/>
      <c r="Z248" s="54"/>
      <c r="AA248" s="54"/>
      <c r="AB248" s="45"/>
      <c r="AC248" s="45"/>
    </row>
    <row r="249" spans="1:29" ht="15" customHeight="1" x14ac:dyDescent="0.2">
      <c r="A249" s="105" t="s">
        <v>160</v>
      </c>
      <c r="B249" s="44" t="s">
        <v>304</v>
      </c>
      <c r="C249" s="45" t="s">
        <v>305</v>
      </c>
      <c r="D249" s="45" t="s">
        <v>233</v>
      </c>
      <c r="E249" s="45" t="s">
        <v>1049</v>
      </c>
      <c r="F249" s="45" t="s">
        <v>813</v>
      </c>
      <c r="G249" s="45">
        <v>4</v>
      </c>
      <c r="H249" s="45"/>
      <c r="I249" s="43" t="s">
        <v>2151</v>
      </c>
      <c r="J249" s="45" t="s">
        <v>170</v>
      </c>
      <c r="K249" s="45" t="s">
        <v>2035</v>
      </c>
      <c r="L249" s="45"/>
      <c r="M249" s="106">
        <v>1</v>
      </c>
      <c r="N249" s="50"/>
      <c r="O249" s="110">
        <f>IF(OR(ISBLANK(BOM_table6[[#This Row],[SKU QTY]]),BOM_table6[[#This Row],[SKU Cost]]=0),0,BOM_table6[[#This Row],[SKU Cost]]/BOM_table6[[#This Row],[SKU QTY]])</f>
        <v>0</v>
      </c>
      <c r="P249" s="110">
        <f>IF(OR(ISBLANK(BOM_table6[[#This Row],[ASM QTY]]),ISBLANK(BOM_table6[[#This Row],[Unit Cost]])),0,BOM_table6[[#This Row],[ASM QTY]]*BOM_table6[[#This Row],[Unit Cost]])</f>
        <v>0</v>
      </c>
      <c r="Q249" s="45"/>
      <c r="R249" s="81"/>
      <c r="S249" s="111">
        <f>BOM_table6[[#This Row],[ASM QTY]]*$Q$2+BOM_table6[[#This Row],[Spare QTY Needed]]-BOM_table6[[#This Row],[QTY in Inventory]]</f>
        <v>4</v>
      </c>
      <c r="T249" s="111">
        <f>ROUNDUP((BOM_table6[[#This Row],[QTY to Order]]/BOM_table6[[#This Row],[SKU QTY]]),0)</f>
        <v>4</v>
      </c>
      <c r="U249" s="110">
        <f>BOM_table6[[#This Row],[SKU QTY to Order]]*BOM_table6[[#This Row],[SKU Cost]]</f>
        <v>0</v>
      </c>
      <c r="V249" s="62"/>
      <c r="W249" s="45"/>
      <c r="X249" s="45"/>
      <c r="Y249" s="54"/>
      <c r="Z249" s="54"/>
      <c r="AA249" s="45"/>
      <c r="AB249" s="45"/>
      <c r="AC249" s="45"/>
    </row>
    <row r="250" spans="1:29" ht="15" customHeight="1" x14ac:dyDescent="0.2">
      <c r="A250" s="105" t="s">
        <v>161</v>
      </c>
      <c r="B250" s="44" t="s">
        <v>300</v>
      </c>
      <c r="C250" s="45" t="s">
        <v>301</v>
      </c>
      <c r="D250" s="45"/>
      <c r="E250" s="45" t="s">
        <v>1049</v>
      </c>
      <c r="F250" s="45" t="s">
        <v>813</v>
      </c>
      <c r="G250" s="45">
        <v>4</v>
      </c>
      <c r="H250" s="45" t="s">
        <v>2175</v>
      </c>
      <c r="I250" s="43" t="s">
        <v>2346</v>
      </c>
      <c r="J250" s="45" t="s">
        <v>169</v>
      </c>
      <c r="K250" s="45" t="s">
        <v>1395</v>
      </c>
      <c r="L250" s="45"/>
      <c r="M250" s="106">
        <v>1</v>
      </c>
      <c r="N250" s="50"/>
      <c r="O250" s="110">
        <f>IF(OR(ISBLANK(BOM_table6[[#This Row],[SKU QTY]]),BOM_table6[[#This Row],[SKU Cost]]=0),0,BOM_table6[[#This Row],[SKU Cost]]/BOM_table6[[#This Row],[SKU QTY]])</f>
        <v>0</v>
      </c>
      <c r="P250" s="110">
        <f>IF(OR(ISBLANK(BOM_table6[[#This Row],[ASM QTY]]),ISBLANK(BOM_table6[[#This Row],[Unit Cost]])),0,BOM_table6[[#This Row],[ASM QTY]]*BOM_table6[[#This Row],[Unit Cost]])</f>
        <v>0</v>
      </c>
      <c r="Q250" s="45"/>
      <c r="R250" s="81"/>
      <c r="S250" s="111">
        <f>BOM_table6[[#This Row],[ASM QTY]]*$Q$2+BOM_table6[[#This Row],[Spare QTY Needed]]-BOM_table6[[#This Row],[QTY in Inventory]]</f>
        <v>4</v>
      </c>
      <c r="T250" s="111">
        <f>ROUNDUP((BOM_table6[[#This Row],[QTY to Order]]/BOM_table6[[#This Row],[SKU QTY]]),0)</f>
        <v>4</v>
      </c>
      <c r="U250" s="110">
        <f>BOM_table6[[#This Row],[SKU QTY to Order]]*BOM_table6[[#This Row],[SKU Cost]]</f>
        <v>0</v>
      </c>
      <c r="V250" s="62"/>
      <c r="W250" s="45"/>
      <c r="X250" s="45"/>
      <c r="Y250" s="97"/>
      <c r="Z250" s="54"/>
      <c r="AA250" s="54"/>
      <c r="AB250" s="45"/>
      <c r="AC250" s="45"/>
    </row>
    <row r="251" spans="1:29" ht="15" customHeight="1" x14ac:dyDescent="0.2">
      <c r="A251" s="105" t="s">
        <v>161</v>
      </c>
      <c r="B251" s="44" t="s">
        <v>302</v>
      </c>
      <c r="C251" s="45" t="s">
        <v>303</v>
      </c>
      <c r="D251" s="45"/>
      <c r="E251" s="45" t="s">
        <v>1049</v>
      </c>
      <c r="F251" s="45" t="s">
        <v>813</v>
      </c>
      <c r="G251" s="45">
        <v>4</v>
      </c>
      <c r="H251" s="45" t="s">
        <v>2175</v>
      </c>
      <c r="I251" s="43" t="s">
        <v>2346</v>
      </c>
      <c r="J251" s="45" t="s">
        <v>169</v>
      </c>
      <c r="K251" s="45" t="s">
        <v>1395</v>
      </c>
      <c r="L251" s="45"/>
      <c r="M251" s="106">
        <v>1</v>
      </c>
      <c r="N251" s="50"/>
      <c r="O251" s="110">
        <f>IF(OR(ISBLANK(BOM_table6[[#This Row],[SKU QTY]]),BOM_table6[[#This Row],[SKU Cost]]=0),0,BOM_table6[[#This Row],[SKU Cost]]/BOM_table6[[#This Row],[SKU QTY]])</f>
        <v>0</v>
      </c>
      <c r="P251" s="110">
        <f>IF(OR(ISBLANK(BOM_table6[[#This Row],[ASM QTY]]),ISBLANK(BOM_table6[[#This Row],[Unit Cost]])),0,BOM_table6[[#This Row],[ASM QTY]]*BOM_table6[[#This Row],[Unit Cost]])</f>
        <v>0</v>
      </c>
      <c r="Q251" s="45"/>
      <c r="R251" s="81"/>
      <c r="S251" s="111">
        <f>BOM_table6[[#This Row],[ASM QTY]]*$Q$2+BOM_table6[[#This Row],[Spare QTY Needed]]-BOM_table6[[#This Row],[QTY in Inventory]]</f>
        <v>4</v>
      </c>
      <c r="T251" s="111">
        <f>ROUNDUP((BOM_table6[[#This Row],[QTY to Order]]/BOM_table6[[#This Row],[SKU QTY]]),0)</f>
        <v>4</v>
      </c>
      <c r="U251" s="110">
        <f>BOM_table6[[#This Row],[SKU QTY to Order]]*BOM_table6[[#This Row],[SKU Cost]]</f>
        <v>0</v>
      </c>
      <c r="V251" s="62"/>
      <c r="W251" s="45"/>
      <c r="X251" s="45"/>
      <c r="Y251" s="97"/>
      <c r="Z251" s="54"/>
      <c r="AA251" s="54"/>
      <c r="AB251" s="45"/>
      <c r="AC251" s="45"/>
    </row>
    <row r="252" spans="1:29" ht="15" customHeight="1" x14ac:dyDescent="0.2">
      <c r="A252" s="105" t="s">
        <v>160</v>
      </c>
      <c r="B252" s="44" t="s">
        <v>297</v>
      </c>
      <c r="C252" s="45" t="s">
        <v>298</v>
      </c>
      <c r="D252" s="45"/>
      <c r="E252" s="45"/>
      <c r="F252" s="45" t="s">
        <v>841</v>
      </c>
      <c r="G252" s="45">
        <v>6</v>
      </c>
      <c r="H252" s="45"/>
      <c r="I252" s="43" t="s">
        <v>842</v>
      </c>
      <c r="J252" s="45" t="s">
        <v>166</v>
      </c>
      <c r="K252" s="45" t="s">
        <v>216</v>
      </c>
      <c r="L252" s="45"/>
      <c r="M252" s="106">
        <v>1</v>
      </c>
      <c r="N252" s="50"/>
      <c r="O252" s="110">
        <f>IF(OR(ISBLANK(BOM_table6[[#This Row],[SKU QTY]]),BOM_table6[[#This Row],[SKU Cost]]=0),0,BOM_table6[[#This Row],[SKU Cost]]/BOM_table6[[#This Row],[SKU QTY]])</f>
        <v>0</v>
      </c>
      <c r="P252" s="110">
        <f>IF(OR(ISBLANK(BOM_table6[[#This Row],[ASM QTY]]),ISBLANK(BOM_table6[[#This Row],[Unit Cost]])),0,BOM_table6[[#This Row],[ASM QTY]]*BOM_table6[[#This Row],[Unit Cost]])</f>
        <v>0</v>
      </c>
      <c r="Q252" s="45"/>
      <c r="R252" s="81"/>
      <c r="S252" s="111">
        <f>BOM_table6[[#This Row],[ASM QTY]]*$Q$2+BOM_table6[[#This Row],[Spare QTY Needed]]-BOM_table6[[#This Row],[QTY in Inventory]]</f>
        <v>6</v>
      </c>
      <c r="T252" s="111">
        <f>ROUNDUP((BOM_table6[[#This Row],[QTY to Order]]/BOM_table6[[#This Row],[SKU QTY]]),0)</f>
        <v>6</v>
      </c>
      <c r="U252" s="110">
        <f>BOM_table6[[#This Row],[SKU QTY to Order]]*BOM_table6[[#This Row],[SKU Cost]]</f>
        <v>0</v>
      </c>
      <c r="V252" s="62"/>
      <c r="W252" s="45"/>
      <c r="X252" s="45"/>
      <c r="Y252" s="54"/>
      <c r="Z252" s="54"/>
      <c r="AA252" s="54"/>
      <c r="AB252" s="45"/>
      <c r="AC252" s="45"/>
    </row>
    <row r="253" spans="1:29" ht="15" customHeight="1" x14ac:dyDescent="0.2">
      <c r="A253" s="105" t="s">
        <v>160</v>
      </c>
      <c r="B253" s="64" t="s">
        <v>970</v>
      </c>
      <c r="C253" s="65" t="s">
        <v>971</v>
      </c>
      <c r="D253" s="65"/>
      <c r="E253" s="65"/>
      <c r="F253" s="65" t="s">
        <v>972</v>
      </c>
      <c r="G253" s="65">
        <v>1</v>
      </c>
      <c r="H253" s="65"/>
      <c r="I253" s="66"/>
      <c r="J253" s="65" t="s">
        <v>166</v>
      </c>
      <c r="K253" s="45" t="s">
        <v>216</v>
      </c>
      <c r="L253" s="45"/>
      <c r="M253" s="106">
        <v>1</v>
      </c>
      <c r="N253" s="67"/>
      <c r="O253" s="110">
        <f>IF(OR(ISBLANK(BOM_table6[[#This Row],[SKU QTY]]),BOM_table6[[#This Row],[SKU Cost]]=0),0,BOM_table6[[#This Row],[SKU Cost]]/BOM_table6[[#This Row],[SKU QTY]])</f>
        <v>0</v>
      </c>
      <c r="P253" s="110">
        <f>IF(OR(ISBLANK(BOM_table6[[#This Row],[ASM QTY]]),ISBLANK(BOM_table6[[#This Row],[Unit Cost]])),0,BOM_table6[[#This Row],[ASM QTY]]*BOM_table6[[#This Row],[Unit Cost]])</f>
        <v>0</v>
      </c>
      <c r="Q253" s="65"/>
      <c r="R253" s="80"/>
      <c r="S253" s="111">
        <f>BOM_table6[[#This Row],[ASM QTY]]*$Q$2+BOM_table6[[#This Row],[Spare QTY Needed]]-BOM_table6[[#This Row],[QTY in Inventory]]</f>
        <v>1</v>
      </c>
      <c r="T253" s="111">
        <f>ROUNDUP((BOM_table6[[#This Row],[QTY to Order]]/BOM_table6[[#This Row],[SKU QTY]]),0)</f>
        <v>1</v>
      </c>
      <c r="U253" s="110">
        <f>BOM_table6[[#This Row],[SKU QTY to Order]]*BOM_table6[[#This Row],[SKU Cost]]</f>
        <v>0</v>
      </c>
      <c r="V253" s="67"/>
      <c r="W253" s="65"/>
      <c r="X253" s="65"/>
      <c r="Y253" s="71"/>
      <c r="Z253" s="71"/>
      <c r="AA253" s="65"/>
      <c r="AB253" s="45"/>
      <c r="AC253" s="45"/>
    </row>
    <row r="254" spans="1:29" ht="15" customHeight="1" x14ac:dyDescent="0.2">
      <c r="A254" s="105" t="s">
        <v>160</v>
      </c>
      <c r="B254" s="64" t="s">
        <v>975</v>
      </c>
      <c r="C254" s="65" t="s">
        <v>976</v>
      </c>
      <c r="D254" s="65"/>
      <c r="E254" s="65"/>
      <c r="F254" s="65" t="s">
        <v>972</v>
      </c>
      <c r="G254" s="65">
        <v>1</v>
      </c>
      <c r="H254" s="65"/>
      <c r="I254" s="66"/>
      <c r="J254" s="65" t="s">
        <v>166</v>
      </c>
      <c r="K254" s="45" t="s">
        <v>216</v>
      </c>
      <c r="L254" s="45"/>
      <c r="M254" s="106">
        <v>1</v>
      </c>
      <c r="N254" s="67"/>
      <c r="O254" s="110">
        <f>IF(OR(ISBLANK(BOM_table6[[#This Row],[SKU QTY]]),BOM_table6[[#This Row],[SKU Cost]]=0),0,BOM_table6[[#This Row],[SKU Cost]]/BOM_table6[[#This Row],[SKU QTY]])</f>
        <v>0</v>
      </c>
      <c r="P254" s="110">
        <f>IF(OR(ISBLANK(BOM_table6[[#This Row],[ASM QTY]]),ISBLANK(BOM_table6[[#This Row],[Unit Cost]])),0,BOM_table6[[#This Row],[ASM QTY]]*BOM_table6[[#This Row],[Unit Cost]])</f>
        <v>0</v>
      </c>
      <c r="Q254" s="65"/>
      <c r="R254" s="80"/>
      <c r="S254" s="111">
        <f>BOM_table6[[#This Row],[ASM QTY]]*$Q$2+BOM_table6[[#This Row],[Spare QTY Needed]]-BOM_table6[[#This Row],[QTY in Inventory]]</f>
        <v>1</v>
      </c>
      <c r="T254" s="111">
        <f>ROUNDUP((BOM_table6[[#This Row],[QTY to Order]]/BOM_table6[[#This Row],[SKU QTY]]),0)</f>
        <v>1</v>
      </c>
      <c r="U254" s="110">
        <f>BOM_table6[[#This Row],[SKU QTY to Order]]*BOM_table6[[#This Row],[SKU Cost]]</f>
        <v>0</v>
      </c>
      <c r="V254" s="67"/>
      <c r="W254" s="65"/>
      <c r="X254" s="65"/>
      <c r="Y254" s="71"/>
      <c r="Z254" s="71"/>
      <c r="AA254" s="65"/>
      <c r="AB254" s="45"/>
      <c r="AC254" s="45"/>
    </row>
    <row r="255" spans="1:29" ht="15" customHeight="1" x14ac:dyDescent="0.2">
      <c r="A255" s="105" t="s">
        <v>161</v>
      </c>
      <c r="B255" s="64" t="s">
        <v>973</v>
      </c>
      <c r="C255" s="65" t="s">
        <v>974</v>
      </c>
      <c r="D255" s="65" t="s">
        <v>152</v>
      </c>
      <c r="E255" s="45" t="s">
        <v>1049</v>
      </c>
      <c r="F255" s="45" t="s">
        <v>972</v>
      </c>
      <c r="G255" s="65">
        <v>1</v>
      </c>
      <c r="H255" s="45" t="s">
        <v>2175</v>
      </c>
      <c r="J255" s="65" t="s">
        <v>169</v>
      </c>
      <c r="K255" s="45" t="s">
        <v>1439</v>
      </c>
      <c r="L255" s="45"/>
      <c r="M255" s="106">
        <v>1</v>
      </c>
      <c r="N255" s="67">
        <v>98.43</v>
      </c>
      <c r="O255" s="110">
        <f>IF(OR(ISBLANK(BOM_table6[[#This Row],[SKU QTY]]),BOM_table6[[#This Row],[SKU Cost]]=0),0,BOM_table6[[#This Row],[SKU Cost]]/BOM_table6[[#This Row],[SKU QTY]])</f>
        <v>98.43</v>
      </c>
      <c r="P255" s="110">
        <f>IF(OR(ISBLANK(BOM_table6[[#This Row],[ASM QTY]]),ISBLANK(BOM_table6[[#This Row],[Unit Cost]])),0,BOM_table6[[#This Row],[ASM QTY]]*BOM_table6[[#This Row],[Unit Cost]])</f>
        <v>98.43</v>
      </c>
      <c r="Q255" s="65"/>
      <c r="R255" s="80"/>
      <c r="S255" s="111">
        <f>BOM_table6[[#This Row],[ASM QTY]]*$Q$2+BOM_table6[[#This Row],[Spare QTY Needed]]-BOM_table6[[#This Row],[QTY in Inventory]]</f>
        <v>1</v>
      </c>
      <c r="T255" s="111">
        <f>ROUNDUP((BOM_table6[[#This Row],[QTY to Order]]/BOM_table6[[#This Row],[SKU QTY]]),0)</f>
        <v>1</v>
      </c>
      <c r="U255" s="110">
        <f>BOM_table6[[#This Row],[SKU QTY to Order]]*BOM_table6[[#This Row],[SKU Cost]]</f>
        <v>98.43</v>
      </c>
      <c r="V255" s="50" t="s">
        <v>2201</v>
      </c>
      <c r="W255" s="45" t="s">
        <v>2191</v>
      </c>
      <c r="X255" s="45" t="s">
        <v>2247</v>
      </c>
      <c r="Y255" s="71">
        <v>44893</v>
      </c>
      <c r="Z255" s="71">
        <v>44928</v>
      </c>
      <c r="AA255" s="71"/>
      <c r="AB255" s="65"/>
      <c r="AC255" s="45"/>
    </row>
    <row r="256" spans="1:29" ht="15" customHeight="1" x14ac:dyDescent="0.2">
      <c r="A256" s="105" t="s">
        <v>161</v>
      </c>
      <c r="B256" s="64" t="s">
        <v>969</v>
      </c>
      <c r="C256" s="65"/>
      <c r="D256" s="65"/>
      <c r="E256" s="45" t="s">
        <v>1049</v>
      </c>
      <c r="F256" s="65" t="s">
        <v>972</v>
      </c>
      <c r="G256" s="65">
        <v>1</v>
      </c>
      <c r="H256" s="45" t="s">
        <v>2175</v>
      </c>
      <c r="J256" s="65" t="s">
        <v>169</v>
      </c>
      <c r="K256" s="45" t="s">
        <v>1439</v>
      </c>
      <c r="L256" s="45"/>
      <c r="M256" s="106">
        <v>1</v>
      </c>
      <c r="N256" s="67">
        <v>71.41</v>
      </c>
      <c r="O256" s="110">
        <f>IF(OR(ISBLANK(BOM_table6[[#This Row],[SKU QTY]]),BOM_table6[[#This Row],[SKU Cost]]=0),0,BOM_table6[[#This Row],[SKU Cost]]/BOM_table6[[#This Row],[SKU QTY]])</f>
        <v>71.41</v>
      </c>
      <c r="P256" s="110">
        <f>IF(OR(ISBLANK(BOM_table6[[#This Row],[ASM QTY]]),ISBLANK(BOM_table6[[#This Row],[Unit Cost]])),0,BOM_table6[[#This Row],[ASM QTY]]*BOM_table6[[#This Row],[Unit Cost]])</f>
        <v>71.41</v>
      </c>
      <c r="Q256" s="65"/>
      <c r="R256" s="80"/>
      <c r="S256" s="111">
        <f>BOM_table6[[#This Row],[ASM QTY]]*$Q$2+BOM_table6[[#This Row],[Spare QTY Needed]]-BOM_table6[[#This Row],[QTY in Inventory]]</f>
        <v>1</v>
      </c>
      <c r="T256" s="111">
        <f>ROUNDUP((BOM_table6[[#This Row],[QTY to Order]]/BOM_table6[[#This Row],[SKU QTY]]),0)</f>
        <v>1</v>
      </c>
      <c r="U256" s="110">
        <f>BOM_table6[[#This Row],[SKU QTY to Order]]*BOM_table6[[#This Row],[SKU Cost]]</f>
        <v>71.41</v>
      </c>
      <c r="V256" s="50" t="s">
        <v>2201</v>
      </c>
      <c r="W256" s="45" t="s">
        <v>2191</v>
      </c>
      <c r="X256" s="45" t="s">
        <v>2247</v>
      </c>
      <c r="Y256" s="71">
        <v>44893</v>
      </c>
      <c r="Z256" s="71">
        <v>44928</v>
      </c>
      <c r="AA256" s="71"/>
      <c r="AB256" s="65"/>
      <c r="AC256" s="45"/>
    </row>
    <row r="257" spans="1:29" ht="15" customHeight="1" x14ac:dyDescent="0.2">
      <c r="A257" s="105" t="s">
        <v>160</v>
      </c>
      <c r="B257" s="135" t="s">
        <v>1705</v>
      </c>
      <c r="C257" s="45" t="s">
        <v>1706</v>
      </c>
      <c r="D257" s="136"/>
      <c r="E257" s="136"/>
      <c r="F257" s="136" t="s">
        <v>1703</v>
      </c>
      <c r="G257" s="136">
        <v>16</v>
      </c>
      <c r="H257" s="136"/>
      <c r="I257" s="137"/>
      <c r="J257" s="136" t="s">
        <v>166</v>
      </c>
      <c r="K257" s="136" t="s">
        <v>216</v>
      </c>
      <c r="L257" s="136"/>
      <c r="M257" s="106">
        <v>1</v>
      </c>
      <c r="N257" s="138"/>
      <c r="O257" s="110">
        <f>IF(OR(ISBLANK(BOM_table6[[#This Row],[SKU QTY]]),BOM_table6[[#This Row],[SKU Cost]]=0),0,BOM_table6[[#This Row],[SKU Cost]]/BOM_table6[[#This Row],[SKU QTY]])</f>
        <v>0</v>
      </c>
      <c r="P257" s="110">
        <f>IF(OR(ISBLANK(BOM_table6[[#This Row],[ASM QTY]]),ISBLANK(BOM_table6[[#This Row],[Unit Cost]])),0,BOM_table6[[#This Row],[ASM QTY]]*BOM_table6[[#This Row],[Unit Cost]])</f>
        <v>0</v>
      </c>
      <c r="Q257" s="136"/>
      <c r="R257" s="139"/>
      <c r="S257" s="111">
        <f>BOM_table6[[#This Row],[ASM QTY]]*$Q$2+BOM_table6[[#This Row],[Spare QTY Needed]]-BOM_table6[[#This Row],[QTY in Inventory]]</f>
        <v>16</v>
      </c>
      <c r="T257" s="111">
        <f>ROUNDUP((BOM_table6[[#This Row],[QTY to Order]]/BOM_table6[[#This Row],[SKU QTY]]),0)</f>
        <v>16</v>
      </c>
      <c r="U257" s="110">
        <f>BOM_table6[[#This Row],[SKU QTY to Order]]*BOM_table6[[#This Row],[SKU Cost]]</f>
        <v>0</v>
      </c>
      <c r="V257" s="138"/>
      <c r="W257" s="45"/>
      <c r="X257" s="45"/>
      <c r="Y257" s="140"/>
      <c r="Z257" s="141"/>
      <c r="AA257" s="142"/>
      <c r="AB257" s="136"/>
      <c r="AC257" s="45"/>
    </row>
    <row r="258" spans="1:29" ht="15" customHeight="1" x14ac:dyDescent="0.2">
      <c r="A258" s="105" t="s">
        <v>160</v>
      </c>
      <c r="B258" s="135" t="s">
        <v>1704</v>
      </c>
      <c r="C258" s="136" t="s">
        <v>1702</v>
      </c>
      <c r="D258" s="136"/>
      <c r="E258" s="136"/>
      <c r="F258" s="136" t="s">
        <v>1703</v>
      </c>
      <c r="G258" s="136">
        <v>16</v>
      </c>
      <c r="H258" s="136"/>
      <c r="I258" s="137"/>
      <c r="J258" s="136" t="s">
        <v>166</v>
      </c>
      <c r="K258" s="136" t="s">
        <v>216</v>
      </c>
      <c r="L258" s="136"/>
      <c r="M258" s="106">
        <v>1</v>
      </c>
      <c r="N258" s="138"/>
      <c r="O258" s="110">
        <f>IF(OR(ISBLANK(BOM_table6[[#This Row],[SKU QTY]]),BOM_table6[[#This Row],[SKU Cost]]=0),0,BOM_table6[[#This Row],[SKU Cost]]/BOM_table6[[#This Row],[SKU QTY]])</f>
        <v>0</v>
      </c>
      <c r="P258" s="110">
        <f>IF(OR(ISBLANK(BOM_table6[[#This Row],[ASM QTY]]),ISBLANK(BOM_table6[[#This Row],[Unit Cost]])),0,BOM_table6[[#This Row],[ASM QTY]]*BOM_table6[[#This Row],[Unit Cost]])</f>
        <v>0</v>
      </c>
      <c r="Q258" s="136"/>
      <c r="R258" s="139"/>
      <c r="S258" s="111">
        <f>BOM_table6[[#This Row],[ASM QTY]]*$Q$2+BOM_table6[[#This Row],[Spare QTY Needed]]-BOM_table6[[#This Row],[QTY in Inventory]]</f>
        <v>16</v>
      </c>
      <c r="T258" s="111">
        <f>ROUNDUP((BOM_table6[[#This Row],[QTY to Order]]/BOM_table6[[#This Row],[SKU QTY]]),0)</f>
        <v>16</v>
      </c>
      <c r="U258" s="110">
        <f>BOM_table6[[#This Row],[SKU QTY to Order]]*BOM_table6[[#This Row],[SKU Cost]]</f>
        <v>0</v>
      </c>
      <c r="V258" s="138"/>
      <c r="W258" s="45"/>
      <c r="X258" s="45"/>
      <c r="Y258" s="140"/>
      <c r="Z258" s="141"/>
      <c r="AA258" s="142"/>
      <c r="AB258" s="136"/>
      <c r="AC258" s="45"/>
    </row>
    <row r="259" spans="1:29" ht="15" customHeight="1" x14ac:dyDescent="0.2">
      <c r="A259" s="105" t="s">
        <v>161</v>
      </c>
      <c r="B259" s="127" t="s">
        <v>1684</v>
      </c>
      <c r="C259" s="126" t="s">
        <v>1679</v>
      </c>
      <c r="D259" s="126"/>
      <c r="E259" s="126" t="s">
        <v>1049</v>
      </c>
      <c r="F259" s="126" t="s">
        <v>1675</v>
      </c>
      <c r="G259" s="126">
        <v>2</v>
      </c>
      <c r="H259" s="45" t="s">
        <v>2175</v>
      </c>
      <c r="J259" s="126" t="s">
        <v>169</v>
      </c>
      <c r="K259" s="126" t="s">
        <v>1439</v>
      </c>
      <c r="L259" s="126"/>
      <c r="M259" s="106">
        <v>1</v>
      </c>
      <c r="N259" s="128">
        <v>73.34</v>
      </c>
      <c r="O259" s="110">
        <f>IF(OR(ISBLANK(BOM_table6[[#This Row],[SKU QTY]]),BOM_table6[[#This Row],[SKU Cost]]=0),0,BOM_table6[[#This Row],[SKU Cost]]/BOM_table6[[#This Row],[SKU QTY]])</f>
        <v>73.34</v>
      </c>
      <c r="P259" s="110">
        <f>IF(OR(ISBLANK(BOM_table6[[#This Row],[ASM QTY]]),ISBLANK(BOM_table6[[#This Row],[Unit Cost]])),0,BOM_table6[[#This Row],[ASM QTY]]*BOM_table6[[#This Row],[Unit Cost]])</f>
        <v>146.68</v>
      </c>
      <c r="Q259" s="126"/>
      <c r="R259" s="132"/>
      <c r="S259" s="111">
        <f>BOM_table6[[#This Row],[ASM QTY]]*$Q$2+BOM_table6[[#This Row],[Spare QTY Needed]]-BOM_table6[[#This Row],[QTY in Inventory]]</f>
        <v>2</v>
      </c>
      <c r="T259" s="111">
        <f>ROUNDUP((BOM_table6[[#This Row],[QTY to Order]]/BOM_table6[[#This Row],[SKU QTY]]),0)</f>
        <v>2</v>
      </c>
      <c r="U259" s="110">
        <f>BOM_table6[[#This Row],[SKU QTY to Order]]*BOM_table6[[#This Row],[SKU Cost]]</f>
        <v>146.68</v>
      </c>
      <c r="V259" s="50" t="s">
        <v>2201</v>
      </c>
      <c r="W259" s="45" t="s">
        <v>2191</v>
      </c>
      <c r="X259" s="45" t="s">
        <v>2247</v>
      </c>
      <c r="Y259" s="130">
        <v>44893</v>
      </c>
      <c r="Z259" s="133">
        <v>44928</v>
      </c>
      <c r="AA259" s="130"/>
      <c r="AB259" s="126"/>
      <c r="AC259" s="45"/>
    </row>
    <row r="260" spans="1:29" ht="15" customHeight="1" x14ac:dyDescent="0.2">
      <c r="A260" s="105" t="s">
        <v>161</v>
      </c>
      <c r="B260" s="127" t="s">
        <v>1685</v>
      </c>
      <c r="C260" s="126" t="s">
        <v>1680</v>
      </c>
      <c r="D260" s="126"/>
      <c r="E260" s="126" t="s">
        <v>1049</v>
      </c>
      <c r="F260" s="126" t="s">
        <v>1677</v>
      </c>
      <c r="G260" s="126">
        <v>2</v>
      </c>
      <c r="H260" s="45" t="s">
        <v>2175</v>
      </c>
      <c r="J260" s="126" t="s">
        <v>169</v>
      </c>
      <c r="K260" s="126" t="s">
        <v>1439</v>
      </c>
      <c r="L260" s="126"/>
      <c r="M260" s="106">
        <v>1</v>
      </c>
      <c r="N260" s="128">
        <v>73.34</v>
      </c>
      <c r="O260" s="110">
        <f>IF(OR(ISBLANK(BOM_table6[[#This Row],[SKU QTY]]),BOM_table6[[#This Row],[SKU Cost]]=0),0,BOM_table6[[#This Row],[SKU Cost]]/BOM_table6[[#This Row],[SKU QTY]])</f>
        <v>73.34</v>
      </c>
      <c r="P260" s="110">
        <f>IF(OR(ISBLANK(BOM_table6[[#This Row],[ASM QTY]]),ISBLANK(BOM_table6[[#This Row],[Unit Cost]])),0,BOM_table6[[#This Row],[ASM QTY]]*BOM_table6[[#This Row],[Unit Cost]])</f>
        <v>146.68</v>
      </c>
      <c r="Q260" s="126"/>
      <c r="R260" s="132"/>
      <c r="S260" s="111">
        <f>BOM_table6[[#This Row],[ASM QTY]]*$Q$2+BOM_table6[[#This Row],[Spare QTY Needed]]-BOM_table6[[#This Row],[QTY in Inventory]]</f>
        <v>2</v>
      </c>
      <c r="T260" s="111">
        <f>ROUNDUP((BOM_table6[[#This Row],[QTY to Order]]/BOM_table6[[#This Row],[SKU QTY]]),0)</f>
        <v>2</v>
      </c>
      <c r="U260" s="110">
        <f>BOM_table6[[#This Row],[SKU QTY to Order]]*BOM_table6[[#This Row],[SKU Cost]]</f>
        <v>146.68</v>
      </c>
      <c r="V260" s="50" t="s">
        <v>2201</v>
      </c>
      <c r="W260" s="45" t="s">
        <v>2191</v>
      </c>
      <c r="X260" s="45" t="s">
        <v>2247</v>
      </c>
      <c r="Y260" s="130">
        <v>44893</v>
      </c>
      <c r="Z260" s="133">
        <v>44928</v>
      </c>
      <c r="AA260" s="130"/>
      <c r="AB260" s="126"/>
      <c r="AC260" s="45"/>
    </row>
    <row r="261" spans="1:29" ht="15" customHeight="1" x14ac:dyDescent="0.2">
      <c r="A261" s="105" t="s">
        <v>161</v>
      </c>
      <c r="B261" s="127" t="s">
        <v>1683</v>
      </c>
      <c r="C261" s="126" t="s">
        <v>1681</v>
      </c>
      <c r="D261" s="126"/>
      <c r="E261" s="126" t="s">
        <v>1049</v>
      </c>
      <c r="F261" s="126" t="s">
        <v>1676</v>
      </c>
      <c r="G261" s="126">
        <v>2</v>
      </c>
      <c r="H261" s="45" t="s">
        <v>2175</v>
      </c>
      <c r="J261" s="126" t="s">
        <v>169</v>
      </c>
      <c r="K261" s="126" t="s">
        <v>1439</v>
      </c>
      <c r="L261" s="126"/>
      <c r="M261" s="106">
        <v>1</v>
      </c>
      <c r="N261" s="128">
        <v>67.55</v>
      </c>
      <c r="O261" s="110">
        <f>IF(OR(ISBLANK(BOM_table6[[#This Row],[SKU QTY]]),BOM_table6[[#This Row],[SKU Cost]]=0),0,BOM_table6[[#This Row],[SKU Cost]]/BOM_table6[[#This Row],[SKU QTY]])</f>
        <v>67.55</v>
      </c>
      <c r="P261" s="110">
        <f>IF(OR(ISBLANK(BOM_table6[[#This Row],[ASM QTY]]),ISBLANK(BOM_table6[[#This Row],[Unit Cost]])),0,BOM_table6[[#This Row],[ASM QTY]]*BOM_table6[[#This Row],[Unit Cost]])</f>
        <v>135.1</v>
      </c>
      <c r="Q261" s="126"/>
      <c r="R261" s="132"/>
      <c r="S261" s="111">
        <f>BOM_table6[[#This Row],[ASM QTY]]*$Q$2+BOM_table6[[#This Row],[Spare QTY Needed]]-BOM_table6[[#This Row],[QTY in Inventory]]</f>
        <v>2</v>
      </c>
      <c r="T261" s="111">
        <f>ROUNDUP((BOM_table6[[#This Row],[QTY to Order]]/BOM_table6[[#This Row],[SKU QTY]]),0)</f>
        <v>2</v>
      </c>
      <c r="U261" s="110">
        <f>BOM_table6[[#This Row],[SKU QTY to Order]]*BOM_table6[[#This Row],[SKU Cost]]</f>
        <v>135.1</v>
      </c>
      <c r="V261" s="50" t="s">
        <v>2201</v>
      </c>
      <c r="W261" s="45" t="s">
        <v>2191</v>
      </c>
      <c r="X261" s="45" t="s">
        <v>2247</v>
      </c>
      <c r="Y261" s="130">
        <v>44893</v>
      </c>
      <c r="Z261" s="133">
        <v>44928</v>
      </c>
      <c r="AA261" s="130"/>
      <c r="AB261" s="126"/>
      <c r="AC261" s="45"/>
    </row>
    <row r="262" spans="1:29" ht="15" customHeight="1" x14ac:dyDescent="0.2">
      <c r="A262" s="105" t="s">
        <v>161</v>
      </c>
      <c r="B262" s="127" t="s">
        <v>1686</v>
      </c>
      <c r="C262" s="126" t="s">
        <v>1682</v>
      </c>
      <c r="D262" s="126"/>
      <c r="E262" s="126" t="s">
        <v>1049</v>
      </c>
      <c r="F262" s="126" t="s">
        <v>1678</v>
      </c>
      <c r="G262" s="126">
        <v>2</v>
      </c>
      <c r="H262" s="45" t="s">
        <v>2175</v>
      </c>
      <c r="J262" s="126" t="s">
        <v>169</v>
      </c>
      <c r="K262" s="126" t="s">
        <v>1439</v>
      </c>
      <c r="L262" s="126"/>
      <c r="M262" s="106">
        <v>1</v>
      </c>
      <c r="N262" s="128">
        <v>67.55</v>
      </c>
      <c r="O262" s="110">
        <f>IF(OR(ISBLANK(BOM_table6[[#This Row],[SKU QTY]]),BOM_table6[[#This Row],[SKU Cost]]=0),0,BOM_table6[[#This Row],[SKU Cost]]/BOM_table6[[#This Row],[SKU QTY]])</f>
        <v>67.55</v>
      </c>
      <c r="P262" s="110">
        <f>IF(OR(ISBLANK(BOM_table6[[#This Row],[ASM QTY]]),ISBLANK(BOM_table6[[#This Row],[Unit Cost]])),0,BOM_table6[[#This Row],[ASM QTY]]*BOM_table6[[#This Row],[Unit Cost]])</f>
        <v>135.1</v>
      </c>
      <c r="Q262" s="126"/>
      <c r="R262" s="132"/>
      <c r="S262" s="111">
        <f>BOM_table6[[#This Row],[ASM QTY]]*$Q$2+BOM_table6[[#This Row],[Spare QTY Needed]]-BOM_table6[[#This Row],[QTY in Inventory]]</f>
        <v>2</v>
      </c>
      <c r="T262" s="111">
        <f>ROUNDUP((BOM_table6[[#This Row],[QTY to Order]]/BOM_table6[[#This Row],[SKU QTY]]),0)</f>
        <v>2</v>
      </c>
      <c r="U262" s="110">
        <f>BOM_table6[[#This Row],[SKU QTY to Order]]*BOM_table6[[#This Row],[SKU Cost]]</f>
        <v>135.1</v>
      </c>
      <c r="V262" s="50" t="s">
        <v>2201</v>
      </c>
      <c r="W262" s="45" t="s">
        <v>2191</v>
      </c>
      <c r="X262" s="45" t="s">
        <v>2247</v>
      </c>
      <c r="Y262" s="130">
        <v>44893</v>
      </c>
      <c r="Z262" s="133">
        <v>44928</v>
      </c>
      <c r="AA262" s="130"/>
      <c r="AB262" s="126"/>
      <c r="AC262" s="45"/>
    </row>
    <row r="263" spans="1:29" ht="15" customHeight="1" x14ac:dyDescent="0.2">
      <c r="A263" s="105" t="s">
        <v>160</v>
      </c>
      <c r="B263" s="44" t="s">
        <v>1691</v>
      </c>
      <c r="C263" s="126" t="s">
        <v>1687</v>
      </c>
      <c r="D263" s="126"/>
      <c r="E263" s="126" t="s">
        <v>1380</v>
      </c>
      <c r="F263" s="45" t="s">
        <v>1689</v>
      </c>
      <c r="G263" s="126">
        <v>8</v>
      </c>
      <c r="H263" s="45"/>
      <c r="I263" s="131"/>
      <c r="J263" s="126" t="s">
        <v>166</v>
      </c>
      <c r="K263" s="126" t="s">
        <v>216</v>
      </c>
      <c r="L263" s="126"/>
      <c r="M263" s="106">
        <v>1</v>
      </c>
      <c r="N263" s="128"/>
      <c r="O263" s="110">
        <f>IF(OR(ISBLANK(BOM_table6[[#This Row],[SKU QTY]]),BOM_table6[[#This Row],[SKU Cost]]=0),0,BOM_table6[[#This Row],[SKU Cost]]/BOM_table6[[#This Row],[SKU QTY]])</f>
        <v>0</v>
      </c>
      <c r="P263" s="110">
        <f>IF(OR(ISBLANK(BOM_table6[[#This Row],[ASM QTY]]),ISBLANK(BOM_table6[[#This Row],[Unit Cost]])),0,BOM_table6[[#This Row],[ASM QTY]]*BOM_table6[[#This Row],[Unit Cost]])</f>
        <v>0</v>
      </c>
      <c r="Q263" s="126"/>
      <c r="R263" s="132"/>
      <c r="S263" s="111">
        <f>BOM_table6[[#This Row],[ASM QTY]]*$Q$2+BOM_table6[[#This Row],[Spare QTY Needed]]-BOM_table6[[#This Row],[QTY in Inventory]]</f>
        <v>8</v>
      </c>
      <c r="T263" s="111">
        <f>ROUNDUP((BOM_table6[[#This Row],[QTY to Order]]/BOM_table6[[#This Row],[SKU QTY]]),0)</f>
        <v>8</v>
      </c>
      <c r="U263" s="110">
        <f>BOM_table6[[#This Row],[SKU QTY to Order]]*BOM_table6[[#This Row],[SKU Cost]]</f>
        <v>0</v>
      </c>
      <c r="V263" s="128"/>
      <c r="W263" s="126"/>
      <c r="X263" s="126"/>
      <c r="Y263" s="130"/>
      <c r="Z263" s="133"/>
      <c r="AA263" s="126"/>
      <c r="AB263" s="126"/>
      <c r="AC263" s="45"/>
    </row>
    <row r="264" spans="1:29" ht="15" customHeight="1" x14ac:dyDescent="0.2">
      <c r="A264" s="105" t="s">
        <v>159</v>
      </c>
      <c r="B264" s="127" t="s">
        <v>1688</v>
      </c>
      <c r="C264" s="126" t="s">
        <v>1688</v>
      </c>
      <c r="D264" s="126"/>
      <c r="E264" s="126" t="s">
        <v>1690</v>
      </c>
      <c r="F264" s="45" t="s">
        <v>1689</v>
      </c>
      <c r="G264" s="126">
        <v>8</v>
      </c>
      <c r="H264" s="45" t="s">
        <v>2175</v>
      </c>
      <c r="I264" s="43" t="s">
        <v>2295</v>
      </c>
      <c r="J264" s="126" t="s">
        <v>166</v>
      </c>
      <c r="K264" s="126" t="s">
        <v>1690</v>
      </c>
      <c r="L264" s="126"/>
      <c r="M264" s="106">
        <v>1</v>
      </c>
      <c r="N264" s="128"/>
      <c r="O264" s="110">
        <v>15.86</v>
      </c>
      <c r="P264" s="110">
        <f>IF(OR(ISBLANK(BOM_table6[[#This Row],[ASM QTY]]),ISBLANK(BOM_table6[[#This Row],[Unit Cost]])),0,BOM_table6[[#This Row],[ASM QTY]]*BOM_table6[[#This Row],[Unit Cost]])</f>
        <v>126.88</v>
      </c>
      <c r="Q264" s="126">
        <v>2</v>
      </c>
      <c r="R264" s="132">
        <v>-2</v>
      </c>
      <c r="S264" s="111">
        <f>BOM_table6[[#This Row],[ASM QTY]]*$Q$2+BOM_table6[[#This Row],[Spare QTY Needed]]-BOM_table6[[#This Row],[QTY in Inventory]]</f>
        <v>12</v>
      </c>
      <c r="T264" s="111">
        <f>ROUNDUP((BOM_table6[[#This Row],[QTY to Order]]/BOM_table6[[#This Row],[SKU QTY]]),0)</f>
        <v>12</v>
      </c>
      <c r="U264" s="110">
        <f>BOM_table6[[#This Row],[SKU QTY to Order]]*BOM_table6[[#This Row],[SKU Cost]]</f>
        <v>0</v>
      </c>
      <c r="V264" s="128"/>
      <c r="W264" s="45" t="s">
        <v>2294</v>
      </c>
      <c r="X264" s="126"/>
      <c r="Y264" s="130">
        <v>44908</v>
      </c>
      <c r="Z264" s="133"/>
      <c r="AA264" s="130"/>
      <c r="AB264" s="126"/>
      <c r="AC264" s="45"/>
    </row>
    <row r="265" spans="1:29" ht="15" customHeight="1" x14ac:dyDescent="0.2">
      <c r="A265" s="105" t="s">
        <v>160</v>
      </c>
      <c r="B265" s="44" t="s">
        <v>599</v>
      </c>
      <c r="C265" s="45">
        <v>11021196</v>
      </c>
      <c r="D265" s="45"/>
      <c r="E265" s="45"/>
      <c r="F265" s="45" t="s">
        <v>828</v>
      </c>
      <c r="G265" s="45">
        <v>1</v>
      </c>
      <c r="H265" s="45"/>
      <c r="J265" s="45" t="s">
        <v>171</v>
      </c>
      <c r="K265" s="45"/>
      <c r="L265" s="45"/>
      <c r="M265" s="106">
        <v>1</v>
      </c>
      <c r="N265" s="50"/>
      <c r="O265" s="110">
        <f>IF(OR(ISBLANK(BOM_table6[[#This Row],[SKU QTY]]),BOM_table6[[#This Row],[SKU Cost]]=0),0,BOM_table6[[#This Row],[SKU Cost]]/BOM_table6[[#This Row],[SKU QTY]])</f>
        <v>0</v>
      </c>
      <c r="P265" s="110">
        <f>IF(OR(ISBLANK(BOM_table6[[#This Row],[ASM QTY]]),ISBLANK(BOM_table6[[#This Row],[Unit Cost]])),0,BOM_table6[[#This Row],[ASM QTY]]*BOM_table6[[#This Row],[Unit Cost]])</f>
        <v>0</v>
      </c>
      <c r="Q265" s="45"/>
      <c r="R265" s="81"/>
      <c r="S265" s="111">
        <f>BOM_table6[[#This Row],[ASM QTY]]*$Q$2+BOM_table6[[#This Row],[Spare QTY Needed]]-BOM_table6[[#This Row],[QTY in Inventory]]</f>
        <v>1</v>
      </c>
      <c r="T265" s="111">
        <f>ROUNDUP((BOM_table6[[#This Row],[QTY to Order]]/BOM_table6[[#This Row],[SKU QTY]]),0)</f>
        <v>1</v>
      </c>
      <c r="U265" s="110">
        <f>BOM_table6[[#This Row],[SKU QTY to Order]]*BOM_table6[[#This Row],[SKU Cost]]</f>
        <v>0</v>
      </c>
      <c r="V265" s="62"/>
      <c r="W265" s="45"/>
      <c r="X265" s="45"/>
      <c r="Y265" s="45"/>
      <c r="Z265" s="54"/>
      <c r="AA265" s="45"/>
      <c r="AB265" s="45"/>
      <c r="AC265" s="45"/>
    </row>
    <row r="266" spans="1:29" ht="15" customHeight="1" x14ac:dyDescent="0.2">
      <c r="A266" s="105" t="s">
        <v>160</v>
      </c>
      <c r="B266" s="44" t="s">
        <v>608</v>
      </c>
      <c r="C266" s="45" t="s">
        <v>609</v>
      </c>
      <c r="D266" s="45"/>
      <c r="E266" s="45" t="s">
        <v>610</v>
      </c>
      <c r="F266" s="45" t="s">
        <v>828</v>
      </c>
      <c r="G266" s="45">
        <v>4</v>
      </c>
      <c r="H266" s="45"/>
      <c r="J266" s="45" t="s">
        <v>166</v>
      </c>
      <c r="K266" s="45" t="s">
        <v>610</v>
      </c>
      <c r="L266" s="45"/>
      <c r="M266" s="106">
        <v>1</v>
      </c>
      <c r="N266" s="50"/>
      <c r="O266" s="110">
        <f>IF(OR(ISBLANK(BOM_table6[[#This Row],[SKU QTY]]),BOM_table6[[#This Row],[SKU Cost]]=0),0,BOM_table6[[#This Row],[SKU Cost]]/BOM_table6[[#This Row],[SKU QTY]])</f>
        <v>0</v>
      </c>
      <c r="P266" s="110">
        <f>IF(OR(ISBLANK(BOM_table6[[#This Row],[ASM QTY]]),ISBLANK(BOM_table6[[#This Row],[Unit Cost]])),0,BOM_table6[[#This Row],[ASM QTY]]*BOM_table6[[#This Row],[Unit Cost]])</f>
        <v>0</v>
      </c>
      <c r="Q266" s="45"/>
      <c r="R266" s="81"/>
      <c r="S266" s="111">
        <f>BOM_table6[[#This Row],[ASM QTY]]*$Q$2+BOM_table6[[#This Row],[Spare QTY Needed]]-BOM_table6[[#This Row],[QTY in Inventory]]</f>
        <v>4</v>
      </c>
      <c r="T266" s="111">
        <f>ROUNDUP((BOM_table6[[#This Row],[QTY to Order]]/BOM_table6[[#This Row],[SKU QTY]]),0)</f>
        <v>4</v>
      </c>
      <c r="U266" s="110">
        <f>BOM_table6[[#This Row],[SKU QTY to Order]]*BOM_table6[[#This Row],[SKU Cost]]</f>
        <v>0</v>
      </c>
      <c r="V266" s="62"/>
      <c r="W266" s="45"/>
      <c r="X266" s="45"/>
      <c r="Y266" s="45"/>
      <c r="Z266" s="54"/>
      <c r="AA266" s="45"/>
      <c r="AB266" s="45"/>
      <c r="AC266" s="45"/>
    </row>
    <row r="267" spans="1:29" ht="15" customHeight="1" x14ac:dyDescent="0.2">
      <c r="A267" s="105" t="s">
        <v>161</v>
      </c>
      <c r="B267" s="44" t="s">
        <v>594</v>
      </c>
      <c r="C267" s="45" t="s">
        <v>595</v>
      </c>
      <c r="D267" s="45"/>
      <c r="E267" s="45"/>
      <c r="F267" s="45" t="s">
        <v>828</v>
      </c>
      <c r="G267" s="45">
        <v>4</v>
      </c>
      <c r="H267" s="45"/>
      <c r="I267" s="43" t="s">
        <v>598</v>
      </c>
      <c r="J267" s="45" t="s">
        <v>1321</v>
      </c>
      <c r="K267" s="45" t="s">
        <v>216</v>
      </c>
      <c r="L267" s="45"/>
      <c r="M267" s="106">
        <v>1</v>
      </c>
      <c r="N267" s="50">
        <f>12.2/100</f>
        <v>0.122</v>
      </c>
      <c r="O267" s="110">
        <f>IF(OR(ISBLANK(BOM_table6[[#This Row],[SKU QTY]]),BOM_table6[[#This Row],[SKU Cost]]=0),0,BOM_table6[[#This Row],[SKU Cost]]/BOM_table6[[#This Row],[SKU QTY]])</f>
        <v>0.122</v>
      </c>
      <c r="P267" s="110">
        <f>IF(OR(ISBLANK(BOM_table6[[#This Row],[ASM QTY]]),ISBLANK(BOM_table6[[#This Row],[Unit Cost]])),0,BOM_table6[[#This Row],[ASM QTY]]*BOM_table6[[#This Row],[Unit Cost]])</f>
        <v>0.48799999999999999</v>
      </c>
      <c r="Q267" s="45">
        <v>96</v>
      </c>
      <c r="R267" s="81"/>
      <c r="S267" s="111">
        <f>BOM_table6[[#This Row],[ASM QTY]]*$Q$2+BOM_table6[[#This Row],[Spare QTY Needed]]-BOM_table6[[#This Row],[QTY in Inventory]]</f>
        <v>100</v>
      </c>
      <c r="T267" s="111">
        <f>ROUNDUP((BOM_table6[[#This Row],[QTY to Order]]/BOM_table6[[#This Row],[SKU QTY]]),0)</f>
        <v>100</v>
      </c>
      <c r="U267" s="110">
        <f>BOM_table6[[#This Row],[SKU QTY to Order]]*BOM_table6[[#This Row],[SKU Cost]]</f>
        <v>12.2</v>
      </c>
      <c r="V267" s="62"/>
      <c r="W267" s="45" t="s">
        <v>2191</v>
      </c>
      <c r="X267" s="45" t="s">
        <v>2192</v>
      </c>
      <c r="Y267" s="54">
        <v>44923</v>
      </c>
      <c r="Z267" s="54"/>
      <c r="AA267" s="54">
        <v>44924</v>
      </c>
      <c r="AB267" s="45"/>
      <c r="AC267" s="45"/>
    </row>
    <row r="268" spans="1:29" ht="15" customHeight="1" x14ac:dyDescent="0.2">
      <c r="A268" s="105" t="s">
        <v>161</v>
      </c>
      <c r="B268" s="44" t="s">
        <v>614</v>
      </c>
      <c r="C268" s="45" t="s">
        <v>615</v>
      </c>
      <c r="D268" s="45"/>
      <c r="E268" s="45"/>
      <c r="F268" s="45" t="s">
        <v>828</v>
      </c>
      <c r="G268" s="45">
        <v>3</v>
      </c>
      <c r="H268" s="45"/>
      <c r="I268" s="43" t="s">
        <v>2329</v>
      </c>
      <c r="J268" s="45" t="s">
        <v>1321</v>
      </c>
      <c r="K268" s="45" t="s">
        <v>216</v>
      </c>
      <c r="L268" s="45"/>
      <c r="M268" s="106">
        <v>1</v>
      </c>
      <c r="N268" s="50">
        <f>2.41/10</f>
        <v>0.24100000000000002</v>
      </c>
      <c r="O268" s="110">
        <f>IF(OR(ISBLANK(BOM_table6[[#This Row],[SKU QTY]]),BOM_table6[[#This Row],[SKU Cost]]=0),0,BOM_table6[[#This Row],[SKU Cost]]/BOM_table6[[#This Row],[SKU QTY]])</f>
        <v>0.24100000000000002</v>
      </c>
      <c r="P268" s="110">
        <f>IF(OR(ISBLANK(BOM_table6[[#This Row],[ASM QTY]]),ISBLANK(BOM_table6[[#This Row],[Unit Cost]])),0,BOM_table6[[#This Row],[ASM QTY]]*BOM_table6[[#This Row],[Unit Cost]])</f>
        <v>0.72300000000000009</v>
      </c>
      <c r="Q268" s="45">
        <v>7</v>
      </c>
      <c r="R268" s="81"/>
      <c r="S268" s="111">
        <f>BOM_table6[[#This Row],[ASM QTY]]*$Q$2+BOM_table6[[#This Row],[Spare QTY Needed]]-BOM_table6[[#This Row],[QTY in Inventory]]</f>
        <v>10</v>
      </c>
      <c r="T268" s="111">
        <f>ROUNDUP((BOM_table6[[#This Row],[QTY to Order]]/BOM_table6[[#This Row],[SKU QTY]]),0)</f>
        <v>10</v>
      </c>
      <c r="U268" s="110">
        <f>BOM_table6[[#This Row],[SKU QTY to Order]]*BOM_table6[[#This Row],[SKU Cost]]</f>
        <v>2.41</v>
      </c>
      <c r="V268" s="62"/>
      <c r="W268" s="45" t="s">
        <v>2191</v>
      </c>
      <c r="X268" s="45" t="s">
        <v>2192</v>
      </c>
      <c r="Y268" s="54">
        <v>44923</v>
      </c>
      <c r="Z268" s="54"/>
      <c r="AA268" s="54">
        <v>44924</v>
      </c>
      <c r="AB268" s="45"/>
      <c r="AC268" s="45"/>
    </row>
    <row r="269" spans="1:29" ht="15" customHeight="1" x14ac:dyDescent="0.2">
      <c r="A269" s="105" t="s">
        <v>161</v>
      </c>
      <c r="B269" s="44" t="s">
        <v>596</v>
      </c>
      <c r="C269" s="45" t="s">
        <v>597</v>
      </c>
      <c r="D269" s="45"/>
      <c r="E269" s="45"/>
      <c r="F269" s="45" t="s">
        <v>828</v>
      </c>
      <c r="G269" s="45">
        <v>4</v>
      </c>
      <c r="H269" s="45"/>
      <c r="I269" s="43" t="s">
        <v>2330</v>
      </c>
      <c r="J269" s="45" t="s">
        <v>1321</v>
      </c>
      <c r="K269" s="45" t="s">
        <v>216</v>
      </c>
      <c r="L269" s="45"/>
      <c r="M269" s="106">
        <v>1</v>
      </c>
      <c r="N269" s="50">
        <f>9.08/100</f>
        <v>9.0800000000000006E-2</v>
      </c>
      <c r="O269" s="110">
        <f>IF(OR(ISBLANK(BOM_table6[[#This Row],[SKU QTY]]),BOM_table6[[#This Row],[SKU Cost]]=0),0,BOM_table6[[#This Row],[SKU Cost]]/BOM_table6[[#This Row],[SKU QTY]])</f>
        <v>9.0800000000000006E-2</v>
      </c>
      <c r="P269" s="110">
        <f>IF(OR(ISBLANK(BOM_table6[[#This Row],[ASM QTY]]),ISBLANK(BOM_table6[[#This Row],[Unit Cost]])),0,BOM_table6[[#This Row],[ASM QTY]]*BOM_table6[[#This Row],[Unit Cost]])</f>
        <v>0.36320000000000002</v>
      </c>
      <c r="Q269" s="45">
        <v>96</v>
      </c>
      <c r="R269" s="81"/>
      <c r="S269" s="111">
        <f>BOM_table6[[#This Row],[ASM QTY]]*$Q$2+BOM_table6[[#This Row],[Spare QTY Needed]]-BOM_table6[[#This Row],[QTY in Inventory]]</f>
        <v>100</v>
      </c>
      <c r="T269" s="111">
        <f>ROUNDUP((BOM_table6[[#This Row],[QTY to Order]]/BOM_table6[[#This Row],[SKU QTY]]),0)</f>
        <v>100</v>
      </c>
      <c r="U269" s="110">
        <f>BOM_table6[[#This Row],[SKU QTY to Order]]*BOM_table6[[#This Row],[SKU Cost]]</f>
        <v>9.08</v>
      </c>
      <c r="V269" s="62"/>
      <c r="W269" s="45" t="s">
        <v>2191</v>
      </c>
      <c r="X269" s="45" t="s">
        <v>2192</v>
      </c>
      <c r="Y269" s="54">
        <v>44923</v>
      </c>
      <c r="Z269" s="54"/>
      <c r="AA269" s="54">
        <v>44924</v>
      </c>
      <c r="AB269" s="45"/>
      <c r="AC269" s="45"/>
    </row>
    <row r="270" spans="1:29" ht="15" customHeight="1" x14ac:dyDescent="0.2">
      <c r="A270" s="105" t="s">
        <v>160</v>
      </c>
      <c r="B270" s="44" t="s">
        <v>619</v>
      </c>
      <c r="C270" s="45" t="s">
        <v>620</v>
      </c>
      <c r="D270" s="45"/>
      <c r="E270" s="45" t="s">
        <v>1049</v>
      </c>
      <c r="F270" s="45" t="s">
        <v>828</v>
      </c>
      <c r="G270" s="45">
        <v>1</v>
      </c>
      <c r="H270" s="45"/>
      <c r="J270" s="45" t="s">
        <v>1320</v>
      </c>
      <c r="K270" s="45"/>
      <c r="L270" s="45"/>
      <c r="M270" s="106">
        <v>1</v>
      </c>
      <c r="N270" s="50"/>
      <c r="O270" s="110">
        <f>IF(OR(ISBLANK(BOM_table6[[#This Row],[SKU QTY]]),BOM_table6[[#This Row],[SKU Cost]]=0),0,BOM_table6[[#This Row],[SKU Cost]]/BOM_table6[[#This Row],[SKU QTY]])</f>
        <v>0</v>
      </c>
      <c r="P270" s="110">
        <f>IF(OR(ISBLANK(BOM_table6[[#This Row],[ASM QTY]]),ISBLANK(BOM_table6[[#This Row],[Unit Cost]])),0,BOM_table6[[#This Row],[ASM QTY]]*BOM_table6[[#This Row],[Unit Cost]])</f>
        <v>0</v>
      </c>
      <c r="Q270" s="45"/>
      <c r="R270" s="81"/>
      <c r="S270" s="111">
        <f>BOM_table6[[#This Row],[ASM QTY]]*$Q$2+BOM_table6[[#This Row],[Spare QTY Needed]]-BOM_table6[[#This Row],[QTY in Inventory]]</f>
        <v>1</v>
      </c>
      <c r="T270" s="111">
        <f>ROUNDUP((BOM_table6[[#This Row],[QTY to Order]]/BOM_table6[[#This Row],[SKU QTY]]),0)</f>
        <v>1</v>
      </c>
      <c r="U270" s="110">
        <f>BOM_table6[[#This Row],[SKU QTY to Order]]*BOM_table6[[#This Row],[SKU Cost]]</f>
        <v>0</v>
      </c>
      <c r="V270" s="62"/>
      <c r="W270" s="45"/>
      <c r="X270" s="45"/>
      <c r="Y270" s="54"/>
      <c r="Z270" s="54"/>
      <c r="AA270" s="97"/>
      <c r="AB270" s="45"/>
      <c r="AC270" s="45"/>
    </row>
    <row r="271" spans="1:29" ht="15" customHeight="1" x14ac:dyDescent="0.2">
      <c r="A271" s="105" t="s">
        <v>160</v>
      </c>
      <c r="B271" s="44" t="s">
        <v>700</v>
      </c>
      <c r="C271" s="45">
        <v>11021164</v>
      </c>
      <c r="D271" s="45"/>
      <c r="E271" s="45"/>
      <c r="F271" s="45" t="s">
        <v>833</v>
      </c>
      <c r="G271" s="45">
        <v>1</v>
      </c>
      <c r="H271" s="45"/>
      <c r="J271" s="45" t="s">
        <v>171</v>
      </c>
      <c r="K271" s="45"/>
      <c r="L271" s="45"/>
      <c r="M271" s="106">
        <v>1</v>
      </c>
      <c r="N271" s="50"/>
      <c r="O271" s="110">
        <f>IF(OR(ISBLANK(BOM_table6[[#This Row],[SKU QTY]]),BOM_table6[[#This Row],[SKU Cost]]=0),0,BOM_table6[[#This Row],[SKU Cost]]/BOM_table6[[#This Row],[SKU QTY]])</f>
        <v>0</v>
      </c>
      <c r="P271" s="110">
        <f>IF(OR(ISBLANK(BOM_table6[[#This Row],[ASM QTY]]),ISBLANK(BOM_table6[[#This Row],[Unit Cost]])),0,BOM_table6[[#This Row],[ASM QTY]]*BOM_table6[[#This Row],[Unit Cost]])</f>
        <v>0</v>
      </c>
      <c r="Q271" s="45"/>
      <c r="R271" s="81">
        <v>2</v>
      </c>
      <c r="S271" s="111">
        <f>BOM_table6[[#This Row],[ASM QTY]]*$Q$2+BOM_table6[[#This Row],[Spare QTY Needed]]-BOM_table6[[#This Row],[QTY in Inventory]]</f>
        <v>-1</v>
      </c>
      <c r="T271" s="111">
        <f>ROUNDUP((BOM_table6[[#This Row],[QTY to Order]]/BOM_table6[[#This Row],[SKU QTY]]),0)</f>
        <v>-1</v>
      </c>
      <c r="U271" s="110">
        <f>BOM_table6[[#This Row],[SKU QTY to Order]]*BOM_table6[[#This Row],[SKU Cost]]</f>
        <v>0</v>
      </c>
      <c r="V271" s="62"/>
      <c r="W271" s="45"/>
      <c r="X271" s="45"/>
      <c r="Y271" s="45"/>
      <c r="Z271" s="54"/>
      <c r="AA271" s="45"/>
      <c r="AB271" s="45"/>
      <c r="AC271" s="45"/>
    </row>
    <row r="272" spans="1:29" ht="15" customHeight="1" x14ac:dyDescent="0.2">
      <c r="A272" s="105" t="s">
        <v>161</v>
      </c>
      <c r="B272" s="44" t="s">
        <v>710</v>
      </c>
      <c r="C272" s="45" t="s">
        <v>711</v>
      </c>
      <c r="D272" s="45"/>
      <c r="E272" s="45"/>
      <c r="F272" s="45" t="s">
        <v>833</v>
      </c>
      <c r="G272" s="45">
        <v>8</v>
      </c>
      <c r="H272" s="45"/>
      <c r="I272" s="43" t="s">
        <v>2329</v>
      </c>
      <c r="J272" s="45" t="s">
        <v>1321</v>
      </c>
      <c r="K272" s="45" t="s">
        <v>216</v>
      </c>
      <c r="L272" s="45"/>
      <c r="M272" s="106">
        <v>1</v>
      </c>
      <c r="N272" s="50">
        <f>4.51/10</f>
        <v>0.45099999999999996</v>
      </c>
      <c r="O272" s="110">
        <f>IF(OR(ISBLANK(BOM_table6[[#This Row],[SKU QTY]]),BOM_table6[[#This Row],[SKU Cost]]=0),0,BOM_table6[[#This Row],[SKU Cost]]/BOM_table6[[#This Row],[SKU QTY]])</f>
        <v>0.45099999999999996</v>
      </c>
      <c r="P272" s="110">
        <f>IF(OR(ISBLANK(BOM_table6[[#This Row],[ASM QTY]]),ISBLANK(BOM_table6[[#This Row],[Unit Cost]])),0,BOM_table6[[#This Row],[ASM QTY]]*BOM_table6[[#This Row],[Unit Cost]])</f>
        <v>3.6079999999999997</v>
      </c>
      <c r="Q272" s="45">
        <v>2</v>
      </c>
      <c r="R272" s="81"/>
      <c r="S272" s="111">
        <f>BOM_table6[[#This Row],[ASM QTY]]*$Q$2+BOM_table6[[#This Row],[Spare QTY Needed]]-BOM_table6[[#This Row],[QTY in Inventory]]</f>
        <v>10</v>
      </c>
      <c r="T272" s="111">
        <f>ROUNDUP((BOM_table6[[#This Row],[QTY to Order]]/BOM_table6[[#This Row],[SKU QTY]]),0)</f>
        <v>10</v>
      </c>
      <c r="U272" s="110">
        <f>BOM_table6[[#This Row],[SKU QTY to Order]]*BOM_table6[[#This Row],[SKU Cost]]</f>
        <v>4.51</v>
      </c>
      <c r="V272" s="62"/>
      <c r="W272" s="45" t="s">
        <v>2191</v>
      </c>
      <c r="X272" s="45" t="s">
        <v>2192</v>
      </c>
      <c r="Y272" s="54">
        <v>44923</v>
      </c>
      <c r="Z272" s="54"/>
      <c r="AA272" s="54">
        <v>44924</v>
      </c>
      <c r="AB272" s="45"/>
      <c r="AC272" s="45"/>
    </row>
    <row r="273" spans="1:29" ht="15" customHeight="1" x14ac:dyDescent="0.2">
      <c r="A273" s="105" t="s">
        <v>160</v>
      </c>
      <c r="B273" s="44" t="s">
        <v>713</v>
      </c>
      <c r="C273" s="45" t="s">
        <v>1465</v>
      </c>
      <c r="D273" s="45"/>
      <c r="E273" s="45"/>
      <c r="F273" s="45" t="s">
        <v>833</v>
      </c>
      <c r="G273" s="45">
        <v>1</v>
      </c>
      <c r="H273" s="45"/>
      <c r="J273" s="45" t="s">
        <v>1321</v>
      </c>
      <c r="K273" s="45" t="s">
        <v>216</v>
      </c>
      <c r="L273" s="45"/>
      <c r="M273" s="106">
        <v>1</v>
      </c>
      <c r="N273" s="50"/>
      <c r="O273" s="110">
        <f>IF(OR(ISBLANK(BOM_table6[[#This Row],[SKU QTY]]),BOM_table6[[#This Row],[SKU Cost]]=0),0,BOM_table6[[#This Row],[SKU Cost]]/BOM_table6[[#This Row],[SKU QTY]])</f>
        <v>0</v>
      </c>
      <c r="P273" s="110">
        <f>IF(OR(ISBLANK(BOM_table6[[#This Row],[ASM QTY]]),ISBLANK(BOM_table6[[#This Row],[Unit Cost]])),0,BOM_table6[[#This Row],[ASM QTY]]*BOM_table6[[#This Row],[Unit Cost]])</f>
        <v>0</v>
      </c>
      <c r="Q273" s="45"/>
      <c r="R273" s="81"/>
      <c r="S273" s="111">
        <f>BOM_table6[[#This Row],[ASM QTY]]*$Q$2+BOM_table6[[#This Row],[Spare QTY Needed]]-BOM_table6[[#This Row],[QTY in Inventory]]</f>
        <v>1</v>
      </c>
      <c r="T273" s="111">
        <f>ROUNDUP((BOM_table6[[#This Row],[QTY to Order]]/BOM_table6[[#This Row],[SKU QTY]]),0)</f>
        <v>1</v>
      </c>
      <c r="U273" s="110">
        <f>BOM_table6[[#This Row],[SKU QTY to Order]]*BOM_table6[[#This Row],[SKU Cost]]</f>
        <v>0</v>
      </c>
      <c r="V273" s="62"/>
      <c r="W273" s="45"/>
      <c r="X273" s="45"/>
      <c r="Y273" s="97"/>
      <c r="Z273" s="54"/>
      <c r="AA273" s="45"/>
      <c r="AB273" s="45"/>
      <c r="AC273" s="45"/>
    </row>
    <row r="274" spans="1:29" ht="15" customHeight="1" x14ac:dyDescent="0.2">
      <c r="A274" s="105" t="s">
        <v>160</v>
      </c>
      <c r="B274" s="44" t="s">
        <v>701</v>
      </c>
      <c r="C274" s="45" t="s">
        <v>702</v>
      </c>
      <c r="D274" s="45"/>
      <c r="E274" s="45" t="s">
        <v>1049</v>
      </c>
      <c r="F274" s="45" t="s">
        <v>833</v>
      </c>
      <c r="G274" s="45">
        <v>1</v>
      </c>
      <c r="H274" s="45"/>
      <c r="I274" s="43" t="s">
        <v>705</v>
      </c>
      <c r="J274" s="45" t="s">
        <v>1320</v>
      </c>
      <c r="K274" s="45"/>
      <c r="L274" s="45"/>
      <c r="M274" s="106">
        <v>1</v>
      </c>
      <c r="N274" s="50"/>
      <c r="O274" s="110">
        <f>IF(OR(ISBLANK(BOM_table6[[#This Row],[SKU QTY]]),BOM_table6[[#This Row],[SKU Cost]]=0),0,BOM_table6[[#This Row],[SKU Cost]]/BOM_table6[[#This Row],[SKU QTY]])</f>
        <v>0</v>
      </c>
      <c r="P274" s="110">
        <f>IF(OR(ISBLANK(BOM_table6[[#This Row],[ASM QTY]]),ISBLANK(BOM_table6[[#This Row],[Unit Cost]])),0,BOM_table6[[#This Row],[ASM QTY]]*BOM_table6[[#This Row],[Unit Cost]])</f>
        <v>0</v>
      </c>
      <c r="Q274" s="45"/>
      <c r="R274" s="81"/>
      <c r="S274" s="111">
        <f>BOM_table6[[#This Row],[ASM QTY]]*$Q$2+BOM_table6[[#This Row],[Spare QTY Needed]]-BOM_table6[[#This Row],[QTY in Inventory]]</f>
        <v>1</v>
      </c>
      <c r="T274" s="111">
        <f>ROUNDUP((BOM_table6[[#This Row],[QTY to Order]]/BOM_table6[[#This Row],[SKU QTY]]),0)</f>
        <v>1</v>
      </c>
      <c r="U274" s="110">
        <f>BOM_table6[[#This Row],[SKU QTY to Order]]*BOM_table6[[#This Row],[SKU Cost]]</f>
        <v>0</v>
      </c>
      <c r="V274" s="62"/>
      <c r="W274" s="45"/>
      <c r="X274" s="45"/>
      <c r="Y274" s="45"/>
      <c r="Z274" s="54"/>
      <c r="AA274" s="45"/>
      <c r="AB274" s="45"/>
      <c r="AC274" s="45"/>
    </row>
    <row r="275" spans="1:29" ht="15" customHeight="1" x14ac:dyDescent="0.2">
      <c r="A275" s="105" t="s">
        <v>161</v>
      </c>
      <c r="B275" s="44" t="s">
        <v>706</v>
      </c>
      <c r="C275" s="45" t="s">
        <v>707</v>
      </c>
      <c r="D275" s="45"/>
      <c r="E275" s="45" t="s">
        <v>1049</v>
      </c>
      <c r="F275" s="45" t="s">
        <v>833</v>
      </c>
      <c r="G275" s="45">
        <v>1</v>
      </c>
      <c r="H275" s="45" t="s">
        <v>2178</v>
      </c>
      <c r="I275" s="43" t="s">
        <v>2239</v>
      </c>
      <c r="J275" s="45" t="s">
        <v>169</v>
      </c>
      <c r="K275" s="45" t="s">
        <v>1439</v>
      </c>
      <c r="L275" s="45"/>
      <c r="M275" s="106">
        <v>1</v>
      </c>
      <c r="N275" s="50">
        <v>224.7</v>
      </c>
      <c r="O275" s="110">
        <f>IF(OR(ISBLANK(BOM_table6[[#This Row],[SKU QTY]]),BOM_table6[[#This Row],[SKU Cost]]=0),0,BOM_table6[[#This Row],[SKU Cost]]/BOM_table6[[#This Row],[SKU QTY]])</f>
        <v>224.7</v>
      </c>
      <c r="P275" s="110">
        <f>IF(OR(ISBLANK(BOM_table6[[#This Row],[ASM QTY]]),ISBLANK(BOM_table6[[#This Row],[Unit Cost]])),0,BOM_table6[[#This Row],[ASM QTY]]*BOM_table6[[#This Row],[Unit Cost]])</f>
        <v>224.7</v>
      </c>
      <c r="Q275" s="45"/>
      <c r="R275" s="81"/>
      <c r="S275" s="111">
        <f>BOM_table6[[#This Row],[ASM QTY]]*$Q$2+BOM_table6[[#This Row],[Spare QTY Needed]]-BOM_table6[[#This Row],[QTY in Inventory]]</f>
        <v>1</v>
      </c>
      <c r="T275" s="111">
        <f>ROUNDUP((BOM_table6[[#This Row],[QTY to Order]]/BOM_table6[[#This Row],[SKU QTY]]),0)</f>
        <v>1</v>
      </c>
      <c r="U275" s="110">
        <f>BOM_table6[[#This Row],[SKU QTY to Order]]*BOM_table6[[#This Row],[SKU Cost]]</f>
        <v>224.7</v>
      </c>
      <c r="V275" s="62"/>
      <c r="W275" s="45" t="s">
        <v>2191</v>
      </c>
      <c r="X275" s="45" t="s">
        <v>2216</v>
      </c>
      <c r="Y275" s="97">
        <v>44858</v>
      </c>
      <c r="Z275" s="54">
        <v>44893</v>
      </c>
      <c r="AA275" s="54"/>
      <c r="AB275" s="45"/>
      <c r="AC275" s="45"/>
    </row>
    <row r="276" spans="1:29" ht="15" customHeight="1" x14ac:dyDescent="0.2">
      <c r="A276" s="105" t="s">
        <v>161</v>
      </c>
      <c r="B276" s="44" t="s">
        <v>712</v>
      </c>
      <c r="C276" s="45" t="s">
        <v>709</v>
      </c>
      <c r="D276" s="45" t="s">
        <v>152</v>
      </c>
      <c r="E276" s="45" t="s">
        <v>1049</v>
      </c>
      <c r="F276" s="45" t="s">
        <v>833</v>
      </c>
      <c r="G276" s="45">
        <v>1</v>
      </c>
      <c r="H276" s="45"/>
      <c r="I276" s="43" t="s">
        <v>1496</v>
      </c>
      <c r="J276" s="45" t="s">
        <v>867</v>
      </c>
      <c r="K276" s="45" t="s">
        <v>1712</v>
      </c>
      <c r="L276" s="45"/>
      <c r="M276" s="106">
        <v>1</v>
      </c>
      <c r="N276" s="50"/>
      <c r="O276" s="110">
        <f>IF(OR(ISBLANK(BOM_table6[[#This Row],[SKU QTY]]),BOM_table6[[#This Row],[SKU Cost]]=0),0,BOM_table6[[#This Row],[SKU Cost]]/BOM_table6[[#This Row],[SKU QTY]])</f>
        <v>0</v>
      </c>
      <c r="P276" s="110">
        <f>IF(OR(ISBLANK(BOM_table6[[#This Row],[ASM QTY]]),ISBLANK(BOM_table6[[#This Row],[Unit Cost]])),0,BOM_table6[[#This Row],[ASM QTY]]*BOM_table6[[#This Row],[Unit Cost]])</f>
        <v>0</v>
      </c>
      <c r="Q276" s="45"/>
      <c r="R276" s="81"/>
      <c r="S276" s="111">
        <f>BOM_table6[[#This Row],[ASM QTY]]*$Q$2+BOM_table6[[#This Row],[Spare QTY Needed]]-BOM_table6[[#This Row],[QTY in Inventory]]</f>
        <v>1</v>
      </c>
      <c r="T276" s="111">
        <f>ROUNDUP((BOM_table6[[#This Row],[QTY to Order]]/BOM_table6[[#This Row],[SKU QTY]]),0)</f>
        <v>1</v>
      </c>
      <c r="U276" s="110">
        <f>BOM_table6[[#This Row],[SKU QTY to Order]]*BOM_table6[[#This Row],[SKU Cost]]</f>
        <v>0</v>
      </c>
      <c r="V276" s="62"/>
      <c r="W276" s="45"/>
      <c r="X276" s="45"/>
      <c r="Y276" s="54"/>
      <c r="Z276" s="54"/>
      <c r="AA276" s="54"/>
      <c r="AB276" s="45"/>
      <c r="AC276" s="45"/>
    </row>
    <row r="277" spans="1:29" ht="15" customHeight="1" x14ac:dyDescent="0.2">
      <c r="A277" s="105" t="s">
        <v>161</v>
      </c>
      <c r="B277" s="44" t="s">
        <v>708</v>
      </c>
      <c r="C277" s="45" t="s">
        <v>709</v>
      </c>
      <c r="D277" s="45" t="s">
        <v>152</v>
      </c>
      <c r="E277" s="45" t="s">
        <v>1049</v>
      </c>
      <c r="F277" s="45" t="s">
        <v>833</v>
      </c>
      <c r="G277" s="45">
        <v>1</v>
      </c>
      <c r="H277" s="45"/>
      <c r="J277" s="45" t="s">
        <v>867</v>
      </c>
      <c r="K277" s="45" t="s">
        <v>1712</v>
      </c>
      <c r="L277" s="45"/>
      <c r="M277" s="106">
        <v>1</v>
      </c>
      <c r="N277" s="50"/>
      <c r="O277" s="110">
        <f>IF(OR(ISBLANK(BOM_table6[[#This Row],[SKU QTY]]),BOM_table6[[#This Row],[SKU Cost]]=0),0,BOM_table6[[#This Row],[SKU Cost]]/BOM_table6[[#This Row],[SKU QTY]])</f>
        <v>0</v>
      </c>
      <c r="P277" s="110">
        <f>IF(OR(ISBLANK(BOM_table6[[#This Row],[ASM QTY]]),ISBLANK(BOM_table6[[#This Row],[Unit Cost]])),0,BOM_table6[[#This Row],[ASM QTY]]*BOM_table6[[#This Row],[Unit Cost]])</f>
        <v>0</v>
      </c>
      <c r="Q277" s="45"/>
      <c r="R277" s="81"/>
      <c r="S277" s="111">
        <f>BOM_table6[[#This Row],[ASM QTY]]*$Q$2+BOM_table6[[#This Row],[Spare QTY Needed]]-BOM_table6[[#This Row],[QTY in Inventory]]</f>
        <v>1</v>
      </c>
      <c r="T277" s="111">
        <f>ROUNDUP((BOM_table6[[#This Row],[QTY to Order]]/BOM_table6[[#This Row],[SKU QTY]]),0)</f>
        <v>1</v>
      </c>
      <c r="U277" s="110">
        <f>BOM_table6[[#This Row],[SKU QTY to Order]]*BOM_table6[[#This Row],[SKU Cost]]</f>
        <v>0</v>
      </c>
      <c r="V277" s="62"/>
      <c r="W277" s="45"/>
      <c r="X277" s="45"/>
      <c r="Y277" s="54"/>
      <c r="Z277" s="54"/>
      <c r="AA277" s="54"/>
      <c r="AB277" s="45"/>
      <c r="AC277" s="45"/>
    </row>
    <row r="278" spans="1:29" ht="15" customHeight="1" x14ac:dyDescent="0.2">
      <c r="A278" s="105" t="s">
        <v>161</v>
      </c>
      <c r="B278" s="44" t="s">
        <v>703</v>
      </c>
      <c r="C278" s="45" t="s">
        <v>704</v>
      </c>
      <c r="D278" s="45"/>
      <c r="E278" s="45" t="s">
        <v>1049</v>
      </c>
      <c r="F278" s="45" t="s">
        <v>833</v>
      </c>
      <c r="G278" s="45">
        <v>1</v>
      </c>
      <c r="H278" s="45" t="s">
        <v>2178</v>
      </c>
      <c r="I278" s="43" t="s">
        <v>2239</v>
      </c>
      <c r="J278" s="45" t="s">
        <v>169</v>
      </c>
      <c r="K278" s="45" t="s">
        <v>1439</v>
      </c>
      <c r="L278" s="45"/>
      <c r="M278" s="106">
        <v>1</v>
      </c>
      <c r="N278" s="50">
        <v>205.8</v>
      </c>
      <c r="O278" s="110">
        <f>IF(OR(ISBLANK(BOM_table6[[#This Row],[SKU QTY]]),BOM_table6[[#This Row],[SKU Cost]]=0),0,BOM_table6[[#This Row],[SKU Cost]]/BOM_table6[[#This Row],[SKU QTY]])</f>
        <v>205.8</v>
      </c>
      <c r="P278" s="110">
        <f>IF(OR(ISBLANK(BOM_table6[[#This Row],[ASM QTY]]),ISBLANK(BOM_table6[[#This Row],[Unit Cost]])),0,BOM_table6[[#This Row],[ASM QTY]]*BOM_table6[[#This Row],[Unit Cost]])</f>
        <v>205.8</v>
      </c>
      <c r="Q278" s="45"/>
      <c r="R278" s="81"/>
      <c r="S278" s="111">
        <f>BOM_table6[[#This Row],[ASM QTY]]*$Q$2+BOM_table6[[#This Row],[Spare QTY Needed]]-BOM_table6[[#This Row],[QTY in Inventory]]</f>
        <v>1</v>
      </c>
      <c r="T278" s="111">
        <f>ROUNDUP((BOM_table6[[#This Row],[QTY to Order]]/BOM_table6[[#This Row],[SKU QTY]]),0)</f>
        <v>1</v>
      </c>
      <c r="U278" s="110">
        <f>BOM_table6[[#This Row],[SKU QTY to Order]]*BOM_table6[[#This Row],[SKU Cost]]</f>
        <v>205.8</v>
      </c>
      <c r="V278" s="62"/>
      <c r="W278" s="45" t="s">
        <v>2191</v>
      </c>
      <c r="X278" s="45" t="s">
        <v>2216</v>
      </c>
      <c r="Y278" s="97">
        <v>44858</v>
      </c>
      <c r="Z278" s="54">
        <v>44893</v>
      </c>
      <c r="AA278" s="54"/>
      <c r="AB278" s="124"/>
      <c r="AC278" s="45"/>
    </row>
    <row r="279" spans="1:29" ht="15" customHeight="1" x14ac:dyDescent="0.2">
      <c r="A279" s="105" t="s">
        <v>161</v>
      </c>
      <c r="B279" s="143" t="s">
        <v>1738</v>
      </c>
      <c r="C279" s="45" t="s">
        <v>2214</v>
      </c>
      <c r="D279" s="144"/>
      <c r="E279" s="144" t="s">
        <v>1049</v>
      </c>
      <c r="F279" s="144" t="s">
        <v>1739</v>
      </c>
      <c r="G279" s="144">
        <v>1</v>
      </c>
      <c r="H279" s="45" t="s">
        <v>2178</v>
      </c>
      <c r="I279" s="150"/>
      <c r="J279" s="144"/>
      <c r="K279" s="45" t="s">
        <v>1439</v>
      </c>
      <c r="L279" s="45"/>
      <c r="M279" s="106">
        <v>1</v>
      </c>
      <c r="N279" s="145">
        <v>172.2</v>
      </c>
      <c r="O279" s="110">
        <f>IF(OR(ISBLANK(BOM_table6[[#This Row],[SKU QTY]]),BOM_table6[[#This Row],[SKU Cost]]=0),0,BOM_table6[[#This Row],[SKU Cost]]/BOM_table6[[#This Row],[SKU QTY]])</f>
        <v>172.2</v>
      </c>
      <c r="P279" s="110">
        <f>IF(OR(ISBLANK(BOM_table6[[#This Row],[ASM QTY]]),ISBLANK(BOM_table6[[#This Row],[Unit Cost]])),0,BOM_table6[[#This Row],[ASM QTY]]*BOM_table6[[#This Row],[Unit Cost]])</f>
        <v>172.2</v>
      </c>
      <c r="Q279" s="144"/>
      <c r="R279" s="151"/>
      <c r="S279" s="111">
        <f>BOM_table6[[#This Row],[ASM QTY]]*$Q$2+BOM_table6[[#This Row],[Spare QTY Needed]]-BOM_table6[[#This Row],[QTY in Inventory]]</f>
        <v>1</v>
      </c>
      <c r="T279" s="111">
        <f>ROUNDUP((BOM_table6[[#This Row],[QTY to Order]]/BOM_table6[[#This Row],[SKU QTY]]),0)</f>
        <v>1</v>
      </c>
      <c r="U279" s="110">
        <f>BOM_table6[[#This Row],[SKU QTY to Order]]*BOM_table6[[#This Row],[SKU Cost]]</f>
        <v>172.2</v>
      </c>
      <c r="V279" s="145"/>
      <c r="W279" s="45" t="s">
        <v>2191</v>
      </c>
      <c r="X279" s="45" t="s">
        <v>2216</v>
      </c>
      <c r="Y279" s="54">
        <v>44858</v>
      </c>
      <c r="Z279" s="152">
        <v>44893</v>
      </c>
      <c r="AA279" s="148"/>
      <c r="AB279" s="144"/>
      <c r="AC279" s="45"/>
    </row>
    <row r="280" spans="1:29" ht="15" customHeight="1" x14ac:dyDescent="0.2">
      <c r="A280" s="105" t="s">
        <v>160</v>
      </c>
      <c r="B280" s="143" t="s">
        <v>1740</v>
      </c>
      <c r="C280" s="144" t="s">
        <v>1741</v>
      </c>
      <c r="D280" s="144"/>
      <c r="E280" s="144" t="s">
        <v>1742</v>
      </c>
      <c r="F280" s="144" t="s">
        <v>1739</v>
      </c>
      <c r="G280" s="144">
        <v>14</v>
      </c>
      <c r="H280" s="144"/>
      <c r="I280" s="43" t="s">
        <v>2036</v>
      </c>
      <c r="J280" s="144"/>
      <c r="K280" s="144"/>
      <c r="L280" s="144"/>
      <c r="M280" s="106">
        <v>1</v>
      </c>
      <c r="N280" s="145"/>
      <c r="O280" s="110">
        <f>IF(OR(ISBLANK(BOM_table6[[#This Row],[SKU QTY]]),BOM_table6[[#This Row],[SKU Cost]]=0),0,BOM_table6[[#This Row],[SKU Cost]]/BOM_table6[[#This Row],[SKU QTY]])</f>
        <v>0</v>
      </c>
      <c r="P280" s="110">
        <f>IF(OR(ISBLANK(BOM_table6[[#This Row],[ASM QTY]]),ISBLANK(BOM_table6[[#This Row],[Unit Cost]])),0,BOM_table6[[#This Row],[ASM QTY]]*BOM_table6[[#This Row],[Unit Cost]])</f>
        <v>0</v>
      </c>
      <c r="Q280" s="144"/>
      <c r="R280" s="151"/>
      <c r="S280" s="111">
        <f>BOM_table6[[#This Row],[ASM QTY]]*$Q$2+BOM_table6[[#This Row],[Spare QTY Needed]]-BOM_table6[[#This Row],[QTY in Inventory]]</f>
        <v>14</v>
      </c>
      <c r="T280" s="111">
        <f>ROUNDUP((BOM_table6[[#This Row],[QTY to Order]]/BOM_table6[[#This Row],[SKU QTY]]),0)</f>
        <v>14</v>
      </c>
      <c r="U280" s="110">
        <f>BOM_table6[[#This Row],[SKU QTY to Order]]*BOM_table6[[#This Row],[SKU Cost]]</f>
        <v>0</v>
      </c>
      <c r="V280" s="145"/>
      <c r="W280" s="45"/>
      <c r="X280" s="144"/>
      <c r="Y280" s="147"/>
      <c r="Z280" s="152"/>
      <c r="AA280" s="148"/>
      <c r="AB280" s="144"/>
      <c r="AC280" s="45"/>
    </row>
    <row r="281" spans="1:29" ht="15" customHeight="1" x14ac:dyDescent="0.2">
      <c r="A281" s="105" t="s">
        <v>160</v>
      </c>
      <c r="B281" s="44" t="s">
        <v>1466</v>
      </c>
      <c r="C281" s="45" t="s">
        <v>1467</v>
      </c>
      <c r="D281" s="45"/>
      <c r="E281" s="45"/>
      <c r="F281" s="45" t="s">
        <v>810</v>
      </c>
      <c r="G281" s="45">
        <v>1</v>
      </c>
      <c r="H281" s="45"/>
      <c r="J281" s="45" t="s">
        <v>166</v>
      </c>
      <c r="K281" s="45" t="s">
        <v>216</v>
      </c>
      <c r="L281" s="45"/>
      <c r="M281" s="106">
        <v>1</v>
      </c>
      <c r="N281" s="50"/>
      <c r="O281" s="110">
        <f>IF(OR(ISBLANK(BOM_table6[[#This Row],[SKU QTY]]),BOM_table6[[#This Row],[SKU Cost]]=0),0,BOM_table6[[#This Row],[SKU Cost]]/BOM_table6[[#This Row],[SKU QTY]])</f>
        <v>0</v>
      </c>
      <c r="P281" s="110">
        <f>IF(OR(ISBLANK(BOM_table6[[#This Row],[ASM QTY]]),ISBLANK(BOM_table6[[#This Row],[Unit Cost]])),0,BOM_table6[[#This Row],[ASM QTY]]*BOM_table6[[#This Row],[Unit Cost]])</f>
        <v>0</v>
      </c>
      <c r="Q281" s="45"/>
      <c r="R281" s="81"/>
      <c r="S281" s="111">
        <f>BOM_table6[[#This Row],[ASM QTY]]*$Q$2+BOM_table6[[#This Row],[Spare QTY Needed]]-BOM_table6[[#This Row],[QTY in Inventory]]</f>
        <v>1</v>
      </c>
      <c r="T281" s="111">
        <f>ROUNDUP((BOM_table6[[#This Row],[QTY to Order]]/BOM_table6[[#This Row],[SKU QTY]]),0)</f>
        <v>1</v>
      </c>
      <c r="U281" s="110">
        <f>BOM_table6[[#This Row],[SKU QTY to Order]]*BOM_table6[[#This Row],[SKU Cost]]</f>
        <v>0</v>
      </c>
      <c r="V281" s="62"/>
      <c r="W281" s="45"/>
      <c r="X281" s="45"/>
      <c r="Y281" s="97"/>
      <c r="Z281" s="54"/>
      <c r="AA281" s="45"/>
      <c r="AB281" s="45"/>
      <c r="AC281" s="45"/>
    </row>
    <row r="282" spans="1:29" ht="15" customHeight="1" x14ac:dyDescent="0.2">
      <c r="A282" s="105" t="s">
        <v>161</v>
      </c>
      <c r="B282" s="44" t="s">
        <v>257</v>
      </c>
      <c r="C282" s="45" t="s">
        <v>258</v>
      </c>
      <c r="D282" s="45"/>
      <c r="E282" s="45"/>
      <c r="F282" s="45" t="s">
        <v>810</v>
      </c>
      <c r="G282" s="45">
        <v>1</v>
      </c>
      <c r="H282" s="45"/>
      <c r="J282" s="45" t="s">
        <v>166</v>
      </c>
      <c r="K282" s="45" t="s">
        <v>216</v>
      </c>
      <c r="L282" s="45"/>
      <c r="M282" s="106">
        <v>1</v>
      </c>
      <c r="N282" s="50">
        <v>2.77</v>
      </c>
      <c r="O282" s="110">
        <f>IF(OR(ISBLANK(BOM_table6[[#This Row],[SKU QTY]]),BOM_table6[[#This Row],[SKU Cost]]=0),0,BOM_table6[[#This Row],[SKU Cost]]/BOM_table6[[#This Row],[SKU QTY]])</f>
        <v>2.77</v>
      </c>
      <c r="P282" s="110">
        <f>IF(OR(ISBLANK(BOM_table6[[#This Row],[ASM QTY]]),ISBLANK(BOM_table6[[#This Row],[Unit Cost]])),0,BOM_table6[[#This Row],[ASM QTY]]*BOM_table6[[#This Row],[Unit Cost]])</f>
        <v>2.77</v>
      </c>
      <c r="Q282" s="45">
        <v>1</v>
      </c>
      <c r="R282" s="81"/>
      <c r="S282" s="111">
        <f>BOM_table6[[#This Row],[ASM QTY]]*$Q$2+BOM_table6[[#This Row],[Spare QTY Needed]]-BOM_table6[[#This Row],[QTY in Inventory]]</f>
        <v>2</v>
      </c>
      <c r="T282" s="111">
        <f>ROUNDUP((BOM_table6[[#This Row],[QTY to Order]]/BOM_table6[[#This Row],[SKU QTY]]),0)</f>
        <v>2</v>
      </c>
      <c r="U282" s="110">
        <f>BOM_table6[[#This Row],[SKU QTY to Order]]*BOM_table6[[#This Row],[SKU Cost]]</f>
        <v>5.54</v>
      </c>
      <c r="V282" s="62"/>
      <c r="W282" s="45" t="s">
        <v>2191</v>
      </c>
      <c r="X282" s="45" t="s">
        <v>2192</v>
      </c>
      <c r="Y282" s="54">
        <v>44923</v>
      </c>
      <c r="Z282" s="54"/>
      <c r="AA282" s="54">
        <v>44924</v>
      </c>
      <c r="AB282" s="45"/>
      <c r="AC282" s="45"/>
    </row>
    <row r="283" spans="1:29" ht="15" customHeight="1" x14ac:dyDescent="0.2">
      <c r="A283" s="105" t="s">
        <v>161</v>
      </c>
      <c r="B283" s="44" t="s">
        <v>278</v>
      </c>
      <c r="C283" s="45" t="s">
        <v>277</v>
      </c>
      <c r="D283" s="45"/>
      <c r="E283" s="45"/>
      <c r="F283" s="45" t="s">
        <v>810</v>
      </c>
      <c r="G283" s="45">
        <v>1</v>
      </c>
      <c r="H283" s="45"/>
      <c r="J283" s="45" t="s">
        <v>166</v>
      </c>
      <c r="K283" s="45" t="s">
        <v>216</v>
      </c>
      <c r="L283" s="45"/>
      <c r="M283" s="106">
        <v>1</v>
      </c>
      <c r="N283" s="50">
        <v>47.02</v>
      </c>
      <c r="O283" s="110">
        <f>IF(OR(ISBLANK(BOM_table6[[#This Row],[SKU QTY]]),BOM_table6[[#This Row],[SKU Cost]]=0),0,BOM_table6[[#This Row],[SKU Cost]]/BOM_table6[[#This Row],[SKU QTY]])</f>
        <v>47.02</v>
      </c>
      <c r="P283" s="110">
        <f>IF(OR(ISBLANK(BOM_table6[[#This Row],[ASM QTY]]),ISBLANK(BOM_table6[[#This Row],[Unit Cost]])),0,BOM_table6[[#This Row],[ASM QTY]]*BOM_table6[[#This Row],[Unit Cost]])</f>
        <v>47.02</v>
      </c>
      <c r="Q283" s="45"/>
      <c r="R283" s="81"/>
      <c r="S283" s="111">
        <f>BOM_table6[[#This Row],[ASM QTY]]*$Q$2+BOM_table6[[#This Row],[Spare QTY Needed]]-BOM_table6[[#This Row],[QTY in Inventory]]</f>
        <v>1</v>
      </c>
      <c r="T283" s="111">
        <f>ROUNDUP((BOM_table6[[#This Row],[QTY to Order]]/BOM_table6[[#This Row],[SKU QTY]]),0)</f>
        <v>1</v>
      </c>
      <c r="U283" s="110">
        <f>BOM_table6[[#This Row],[SKU QTY to Order]]*BOM_table6[[#This Row],[SKU Cost]]</f>
        <v>47.02</v>
      </c>
      <c r="V283" s="62"/>
      <c r="W283" s="45" t="s">
        <v>2191</v>
      </c>
      <c r="X283" s="45" t="s">
        <v>2192</v>
      </c>
      <c r="Y283" s="54">
        <v>44923</v>
      </c>
      <c r="Z283" s="54"/>
      <c r="AA283" s="54">
        <v>44924</v>
      </c>
      <c r="AB283" s="45"/>
      <c r="AC283" s="45"/>
    </row>
    <row r="284" spans="1:29" ht="15" customHeight="1" x14ac:dyDescent="0.2">
      <c r="A284" s="105" t="s">
        <v>161</v>
      </c>
      <c r="B284" s="44" t="s">
        <v>272</v>
      </c>
      <c r="C284" s="45" t="s">
        <v>273</v>
      </c>
      <c r="D284" s="45"/>
      <c r="E284" s="45"/>
      <c r="F284" s="45" t="s">
        <v>810</v>
      </c>
      <c r="G284" s="45">
        <v>2</v>
      </c>
      <c r="H284" s="45"/>
      <c r="J284" s="45" t="s">
        <v>166</v>
      </c>
      <c r="K284" s="45" t="s">
        <v>216</v>
      </c>
      <c r="L284" s="45"/>
      <c r="M284" s="106">
        <v>1</v>
      </c>
      <c r="N284" s="50">
        <v>8.26</v>
      </c>
      <c r="O284" s="110">
        <f>IF(OR(ISBLANK(BOM_table6[[#This Row],[SKU QTY]]),BOM_table6[[#This Row],[SKU Cost]]=0),0,BOM_table6[[#This Row],[SKU Cost]]/BOM_table6[[#This Row],[SKU QTY]])</f>
        <v>8.26</v>
      </c>
      <c r="P284" s="110">
        <f>IF(OR(ISBLANK(BOM_table6[[#This Row],[ASM QTY]]),ISBLANK(BOM_table6[[#This Row],[Unit Cost]])),0,BOM_table6[[#This Row],[ASM QTY]]*BOM_table6[[#This Row],[Unit Cost]])</f>
        <v>16.52</v>
      </c>
      <c r="Q284" s="45">
        <v>1</v>
      </c>
      <c r="R284" s="81"/>
      <c r="S284" s="111">
        <f>BOM_table6[[#This Row],[ASM QTY]]*$Q$2+BOM_table6[[#This Row],[Spare QTY Needed]]-BOM_table6[[#This Row],[QTY in Inventory]]</f>
        <v>3</v>
      </c>
      <c r="T284" s="111">
        <f>ROUNDUP((BOM_table6[[#This Row],[QTY to Order]]/BOM_table6[[#This Row],[SKU QTY]]),0)</f>
        <v>3</v>
      </c>
      <c r="U284" s="110">
        <f>BOM_table6[[#This Row],[SKU QTY to Order]]*BOM_table6[[#This Row],[SKU Cost]]</f>
        <v>24.78</v>
      </c>
      <c r="V284" s="62"/>
      <c r="W284" s="45" t="s">
        <v>2191</v>
      </c>
      <c r="X284" s="45" t="s">
        <v>2192</v>
      </c>
      <c r="Y284" s="54">
        <v>44923</v>
      </c>
      <c r="Z284" s="54"/>
      <c r="AA284" s="54">
        <v>44924</v>
      </c>
      <c r="AB284" s="45"/>
      <c r="AC284" s="45"/>
    </row>
    <row r="285" spans="1:29" ht="15" customHeight="1" x14ac:dyDescent="0.2">
      <c r="A285" s="105" t="s">
        <v>161</v>
      </c>
      <c r="B285" s="44" t="s">
        <v>261</v>
      </c>
      <c r="C285" s="45" t="s">
        <v>262</v>
      </c>
      <c r="D285" s="45"/>
      <c r="E285" s="45"/>
      <c r="F285" s="45" t="s">
        <v>810</v>
      </c>
      <c r="G285" s="45">
        <v>6</v>
      </c>
      <c r="H285" s="45"/>
      <c r="J285" s="45" t="s">
        <v>1321</v>
      </c>
      <c r="K285" s="45" t="s">
        <v>216</v>
      </c>
      <c r="L285" s="45"/>
      <c r="M285" s="106">
        <v>1</v>
      </c>
      <c r="N285" s="50">
        <f>3.51/10</f>
        <v>0.35099999999999998</v>
      </c>
      <c r="O285" s="110">
        <f>IF(OR(ISBLANK(BOM_table6[[#This Row],[SKU QTY]]),BOM_table6[[#This Row],[SKU Cost]]=0),0,BOM_table6[[#This Row],[SKU Cost]]/BOM_table6[[#This Row],[SKU QTY]])</f>
        <v>0.35099999999999998</v>
      </c>
      <c r="P285" s="110">
        <f>IF(OR(ISBLANK(BOM_table6[[#This Row],[ASM QTY]]),ISBLANK(BOM_table6[[#This Row],[Unit Cost]])),0,BOM_table6[[#This Row],[ASM QTY]]*BOM_table6[[#This Row],[Unit Cost]])</f>
        <v>2.1059999999999999</v>
      </c>
      <c r="Q285" s="45">
        <v>4</v>
      </c>
      <c r="R285" s="81"/>
      <c r="S285" s="111">
        <f>BOM_table6[[#This Row],[ASM QTY]]*$Q$2+BOM_table6[[#This Row],[Spare QTY Needed]]-BOM_table6[[#This Row],[QTY in Inventory]]</f>
        <v>10</v>
      </c>
      <c r="T285" s="111">
        <f>ROUNDUP((BOM_table6[[#This Row],[QTY to Order]]/BOM_table6[[#This Row],[SKU QTY]]),0)</f>
        <v>10</v>
      </c>
      <c r="U285" s="110">
        <f>BOM_table6[[#This Row],[SKU QTY to Order]]*BOM_table6[[#This Row],[SKU Cost]]</f>
        <v>3.51</v>
      </c>
      <c r="V285" s="62"/>
      <c r="W285" s="45" t="s">
        <v>2191</v>
      </c>
      <c r="X285" s="45" t="s">
        <v>2192</v>
      </c>
      <c r="Y285" s="54">
        <v>44923</v>
      </c>
      <c r="Z285" s="54"/>
      <c r="AA285" s="54">
        <v>44924</v>
      </c>
      <c r="AB285" s="45"/>
      <c r="AC285" s="45"/>
    </row>
    <row r="286" spans="1:29" ht="15" customHeight="1" x14ac:dyDescent="0.2">
      <c r="A286" s="105" t="s">
        <v>161</v>
      </c>
      <c r="B286" s="44" t="s">
        <v>263</v>
      </c>
      <c r="C286" s="45" t="s">
        <v>264</v>
      </c>
      <c r="D286" s="45"/>
      <c r="E286" s="45"/>
      <c r="F286" s="45" t="s">
        <v>810</v>
      </c>
      <c r="G286" s="45">
        <v>1</v>
      </c>
      <c r="H286" s="45"/>
      <c r="I286" s="43" t="s">
        <v>2305</v>
      </c>
      <c r="J286" s="45" t="s">
        <v>166</v>
      </c>
      <c r="K286" s="45" t="s">
        <v>216</v>
      </c>
      <c r="L286" s="45"/>
      <c r="M286" s="106">
        <v>1</v>
      </c>
      <c r="N286" s="50">
        <f>10.34/10</f>
        <v>1.034</v>
      </c>
      <c r="O286" s="110">
        <f>IF(OR(ISBLANK(BOM_table6[[#This Row],[SKU QTY]]),BOM_table6[[#This Row],[SKU Cost]]=0),0,BOM_table6[[#This Row],[SKU Cost]]/BOM_table6[[#This Row],[SKU QTY]])</f>
        <v>1.034</v>
      </c>
      <c r="P286" s="110">
        <f>IF(OR(ISBLANK(BOM_table6[[#This Row],[ASM QTY]]),ISBLANK(BOM_table6[[#This Row],[Unit Cost]])),0,BOM_table6[[#This Row],[ASM QTY]]*BOM_table6[[#This Row],[Unit Cost]])</f>
        <v>1.034</v>
      </c>
      <c r="Q286" s="45">
        <v>9</v>
      </c>
      <c r="R286" s="81"/>
      <c r="S286" s="111">
        <f>BOM_table6[[#This Row],[ASM QTY]]*$Q$2+BOM_table6[[#This Row],[Spare QTY Needed]]-BOM_table6[[#This Row],[QTY in Inventory]]</f>
        <v>10</v>
      </c>
      <c r="T286" s="111">
        <f>ROUNDUP((BOM_table6[[#This Row],[QTY to Order]]/BOM_table6[[#This Row],[SKU QTY]]),0)</f>
        <v>10</v>
      </c>
      <c r="U286" s="110">
        <f>BOM_table6[[#This Row],[SKU QTY to Order]]*BOM_table6[[#This Row],[SKU Cost]]</f>
        <v>10.34</v>
      </c>
      <c r="V286" s="62"/>
      <c r="W286" s="45" t="s">
        <v>2191</v>
      </c>
      <c r="X286" s="45" t="s">
        <v>2192</v>
      </c>
      <c r="Y286" s="54">
        <v>44923</v>
      </c>
      <c r="Z286" s="54"/>
      <c r="AA286" s="54">
        <v>44924</v>
      </c>
      <c r="AB286" s="45"/>
      <c r="AC286" s="45"/>
    </row>
    <row r="287" spans="1:29" ht="15" customHeight="1" x14ac:dyDescent="0.2">
      <c r="A287" s="105" t="s">
        <v>161</v>
      </c>
      <c r="B287" s="44" t="s">
        <v>274</v>
      </c>
      <c r="C287" s="45" t="s">
        <v>1650</v>
      </c>
      <c r="D287" s="45"/>
      <c r="E287" s="45"/>
      <c r="F287" s="45" t="s">
        <v>810</v>
      </c>
      <c r="G287" s="45">
        <v>1</v>
      </c>
      <c r="H287" s="45"/>
      <c r="I287" s="43" t="s">
        <v>1649</v>
      </c>
      <c r="J287" s="45" t="s">
        <v>166</v>
      </c>
      <c r="K287" s="45" t="s">
        <v>216</v>
      </c>
      <c r="L287" s="45"/>
      <c r="M287" s="106">
        <v>1</v>
      </c>
      <c r="N287" s="50">
        <v>18.510000000000002</v>
      </c>
      <c r="O287" s="110">
        <f>IF(OR(ISBLANK(BOM_table6[[#This Row],[SKU QTY]]),BOM_table6[[#This Row],[SKU Cost]]=0),0,BOM_table6[[#This Row],[SKU Cost]]/BOM_table6[[#This Row],[SKU QTY]])</f>
        <v>18.510000000000002</v>
      </c>
      <c r="P287" s="110">
        <f>IF(OR(ISBLANK(BOM_table6[[#This Row],[ASM QTY]]),ISBLANK(BOM_table6[[#This Row],[Unit Cost]])),0,BOM_table6[[#This Row],[ASM QTY]]*BOM_table6[[#This Row],[Unit Cost]])</f>
        <v>18.510000000000002</v>
      </c>
      <c r="Q287" s="45"/>
      <c r="R287" s="81"/>
      <c r="S287" s="111">
        <f>BOM_table6[[#This Row],[ASM QTY]]*$Q$2+BOM_table6[[#This Row],[Spare QTY Needed]]-BOM_table6[[#This Row],[QTY in Inventory]]</f>
        <v>1</v>
      </c>
      <c r="T287" s="111">
        <f>ROUNDUP((BOM_table6[[#This Row],[QTY to Order]]/BOM_table6[[#This Row],[SKU QTY]]),0)</f>
        <v>1</v>
      </c>
      <c r="U287" s="110">
        <f>BOM_table6[[#This Row],[SKU QTY to Order]]*BOM_table6[[#This Row],[SKU Cost]]</f>
        <v>18.510000000000002</v>
      </c>
      <c r="V287" s="62"/>
      <c r="W287" s="45" t="s">
        <v>2191</v>
      </c>
      <c r="X287" s="45" t="s">
        <v>2192</v>
      </c>
      <c r="Y287" s="54">
        <v>44923</v>
      </c>
      <c r="Z287" s="54"/>
      <c r="AA287" s="97">
        <v>44924</v>
      </c>
      <c r="AB287" s="45"/>
      <c r="AC287" s="45"/>
    </row>
    <row r="288" spans="1:29" ht="15" customHeight="1" x14ac:dyDescent="0.2">
      <c r="A288" s="105" t="s">
        <v>161</v>
      </c>
      <c r="B288" s="44" t="s">
        <v>260</v>
      </c>
      <c r="C288" s="45" t="s">
        <v>259</v>
      </c>
      <c r="D288" s="45"/>
      <c r="E288" s="45"/>
      <c r="F288" s="45" t="s">
        <v>810</v>
      </c>
      <c r="G288" s="45">
        <v>6</v>
      </c>
      <c r="H288" s="45"/>
      <c r="I288" s="43" t="s">
        <v>2306</v>
      </c>
      <c r="J288" s="45" t="s">
        <v>1321</v>
      </c>
      <c r="K288" s="45" t="s">
        <v>216</v>
      </c>
      <c r="L288" s="45"/>
      <c r="M288" s="106">
        <v>1</v>
      </c>
      <c r="N288" s="50">
        <f>7/25</f>
        <v>0.28000000000000003</v>
      </c>
      <c r="O288" s="110">
        <f>IF(OR(ISBLANK(BOM_table6[[#This Row],[SKU QTY]]),BOM_table6[[#This Row],[SKU Cost]]=0),0,BOM_table6[[#This Row],[SKU Cost]]/BOM_table6[[#This Row],[SKU QTY]])</f>
        <v>0.28000000000000003</v>
      </c>
      <c r="P288" s="110">
        <f>IF(OR(ISBLANK(BOM_table6[[#This Row],[ASM QTY]]),ISBLANK(BOM_table6[[#This Row],[Unit Cost]])),0,BOM_table6[[#This Row],[ASM QTY]]*BOM_table6[[#This Row],[Unit Cost]])</f>
        <v>1.6800000000000002</v>
      </c>
      <c r="Q288" s="45">
        <f>25-6</f>
        <v>19</v>
      </c>
      <c r="R288" s="81"/>
      <c r="S288" s="111">
        <f>BOM_table6[[#This Row],[ASM QTY]]*$Q$2+BOM_table6[[#This Row],[Spare QTY Needed]]-BOM_table6[[#This Row],[QTY in Inventory]]</f>
        <v>25</v>
      </c>
      <c r="T288" s="111">
        <f>ROUNDUP((BOM_table6[[#This Row],[QTY to Order]]/BOM_table6[[#This Row],[SKU QTY]]),0)</f>
        <v>25</v>
      </c>
      <c r="U288" s="110">
        <f>BOM_table6[[#This Row],[SKU QTY to Order]]*BOM_table6[[#This Row],[SKU Cost]]</f>
        <v>7.0000000000000009</v>
      </c>
      <c r="V288" s="62"/>
      <c r="W288" s="45" t="s">
        <v>2191</v>
      </c>
      <c r="X288" s="45" t="s">
        <v>2192</v>
      </c>
      <c r="Y288" s="54">
        <v>44923</v>
      </c>
      <c r="Z288" s="54"/>
      <c r="AA288" s="54">
        <v>44924</v>
      </c>
      <c r="AB288" s="45"/>
      <c r="AC288" s="45"/>
    </row>
    <row r="289" spans="1:29" ht="15" customHeight="1" x14ac:dyDescent="0.2">
      <c r="A289" s="105" t="s">
        <v>161</v>
      </c>
      <c r="B289" s="44" t="s">
        <v>268</v>
      </c>
      <c r="C289" s="45" t="s">
        <v>269</v>
      </c>
      <c r="D289" s="45"/>
      <c r="E289" s="45"/>
      <c r="F289" s="45" t="s">
        <v>810</v>
      </c>
      <c r="G289" s="45">
        <v>3</v>
      </c>
      <c r="H289" s="45"/>
      <c r="J289" s="45" t="s">
        <v>166</v>
      </c>
      <c r="K289" s="45" t="s">
        <v>216</v>
      </c>
      <c r="L289" s="45"/>
      <c r="M289" s="106">
        <v>1</v>
      </c>
      <c r="N289" s="50">
        <v>4.43</v>
      </c>
      <c r="O289" s="110">
        <f>IF(OR(ISBLANK(BOM_table6[[#This Row],[SKU QTY]]),BOM_table6[[#This Row],[SKU Cost]]=0),0,BOM_table6[[#This Row],[SKU Cost]]/BOM_table6[[#This Row],[SKU QTY]])</f>
        <v>4.43</v>
      </c>
      <c r="P289" s="110">
        <f>IF(OR(ISBLANK(BOM_table6[[#This Row],[ASM QTY]]),ISBLANK(BOM_table6[[#This Row],[Unit Cost]])),0,BOM_table6[[#This Row],[ASM QTY]]*BOM_table6[[#This Row],[Unit Cost]])</f>
        <v>13.29</v>
      </c>
      <c r="Q289" s="45">
        <v>1</v>
      </c>
      <c r="R289" s="81"/>
      <c r="S289" s="111">
        <f>BOM_table6[[#This Row],[ASM QTY]]*$Q$2+BOM_table6[[#This Row],[Spare QTY Needed]]-BOM_table6[[#This Row],[QTY in Inventory]]</f>
        <v>4</v>
      </c>
      <c r="T289" s="111">
        <f>ROUNDUP((BOM_table6[[#This Row],[QTY to Order]]/BOM_table6[[#This Row],[SKU QTY]]),0)</f>
        <v>4</v>
      </c>
      <c r="U289" s="110">
        <f>BOM_table6[[#This Row],[SKU QTY to Order]]*BOM_table6[[#This Row],[SKU Cost]]</f>
        <v>17.72</v>
      </c>
      <c r="V289" s="62"/>
      <c r="W289" s="45" t="s">
        <v>2191</v>
      </c>
      <c r="X289" s="45" t="s">
        <v>2192</v>
      </c>
      <c r="Y289" s="97">
        <v>44923</v>
      </c>
      <c r="Z289" s="54"/>
      <c r="AA289" s="97">
        <v>44924</v>
      </c>
      <c r="AB289" s="45"/>
      <c r="AC289" s="45"/>
    </row>
    <row r="290" spans="1:29" ht="15" customHeight="1" x14ac:dyDescent="0.2">
      <c r="A290" s="44" t="s">
        <v>161</v>
      </c>
      <c r="B290" s="44" t="s">
        <v>255</v>
      </c>
      <c r="C290" s="45" t="s">
        <v>256</v>
      </c>
      <c r="D290" s="45"/>
      <c r="E290" s="45" t="s">
        <v>250</v>
      </c>
      <c r="F290" s="45" t="s">
        <v>810</v>
      </c>
      <c r="G290" s="45">
        <v>1</v>
      </c>
      <c r="H290" s="45" t="s">
        <v>2175</v>
      </c>
      <c r="J290" s="45" t="s">
        <v>166</v>
      </c>
      <c r="K290" s="45" t="s">
        <v>250</v>
      </c>
      <c r="L290" s="45"/>
      <c r="M290" s="106">
        <v>1</v>
      </c>
      <c r="N290" s="50">
        <v>585</v>
      </c>
      <c r="O290" s="110">
        <f>IF(OR(ISBLANK(BOM_table6[[#This Row],[SKU QTY]]),BOM_table6[[#This Row],[SKU Cost]]=0),0,BOM_table6[[#This Row],[SKU Cost]]/BOM_table6[[#This Row],[SKU QTY]])</f>
        <v>585</v>
      </c>
      <c r="P290" s="110">
        <f>IF(OR(ISBLANK(BOM_table6[[#This Row],[ASM QTY]]),ISBLANK(BOM_table6[[#This Row],[Unit Cost]])),0,BOM_table6[[#This Row],[ASM QTY]]*BOM_table6[[#This Row],[Unit Cost]])</f>
        <v>585</v>
      </c>
      <c r="Q290" s="45"/>
      <c r="R290" s="81"/>
      <c r="S290" s="111">
        <f>BOM_table6[[#This Row],[ASM QTY]]*$Q$2+BOM_table6[[#This Row],[Spare QTY Needed]]-BOM_table6[[#This Row],[QTY in Inventory]]</f>
        <v>1</v>
      </c>
      <c r="T290" s="111">
        <f>ROUNDUP((BOM_table6[[#This Row],[QTY to Order]]/BOM_table6[[#This Row],[SKU QTY]]),0)</f>
        <v>1</v>
      </c>
      <c r="U290" s="110">
        <f>BOM_table6[[#This Row],[SKU QTY to Order]]*BOM_table6[[#This Row],[SKU Cost]]</f>
        <v>585</v>
      </c>
      <c r="V290" s="62"/>
      <c r="W290" s="45" t="s">
        <v>2191</v>
      </c>
      <c r="X290" s="45" t="s">
        <v>2192</v>
      </c>
      <c r="Y290" s="54">
        <v>44991</v>
      </c>
      <c r="Z290" s="54">
        <v>45026</v>
      </c>
      <c r="AA290" s="97"/>
      <c r="AB290" s="45"/>
      <c r="AC290" s="45"/>
    </row>
    <row r="291" spans="1:29" ht="15" customHeight="1" x14ac:dyDescent="0.2">
      <c r="A291" s="105" t="s">
        <v>161</v>
      </c>
      <c r="B291" s="44" t="s">
        <v>284</v>
      </c>
      <c r="C291" s="45" t="s">
        <v>285</v>
      </c>
      <c r="D291" s="45" t="s">
        <v>233</v>
      </c>
      <c r="E291" s="45" t="s">
        <v>1049</v>
      </c>
      <c r="F291" s="45" t="s">
        <v>810</v>
      </c>
      <c r="G291" s="45">
        <v>1</v>
      </c>
      <c r="H291" s="45" t="s">
        <v>2178</v>
      </c>
      <c r="I291" s="43" t="s">
        <v>2239</v>
      </c>
      <c r="J291" s="45" t="s">
        <v>169</v>
      </c>
      <c r="K291" s="45" t="s">
        <v>1439</v>
      </c>
      <c r="L291" s="45"/>
      <c r="M291" s="106">
        <v>1</v>
      </c>
      <c r="N291" s="50">
        <v>655.20000000000005</v>
      </c>
      <c r="O291" s="110">
        <f>IF(OR(ISBLANK(BOM_table6[[#This Row],[SKU QTY]]),BOM_table6[[#This Row],[SKU Cost]]=0),0,BOM_table6[[#This Row],[SKU Cost]]/BOM_table6[[#This Row],[SKU QTY]])</f>
        <v>655.20000000000005</v>
      </c>
      <c r="P291" s="110">
        <f>IF(OR(ISBLANK(BOM_table6[[#This Row],[ASM QTY]]),ISBLANK(BOM_table6[[#This Row],[Unit Cost]])),0,BOM_table6[[#This Row],[ASM QTY]]*BOM_table6[[#This Row],[Unit Cost]])</f>
        <v>655.20000000000005</v>
      </c>
      <c r="Q291" s="45"/>
      <c r="R291" s="81"/>
      <c r="S291" s="111">
        <f>BOM_table6[[#This Row],[ASM QTY]]*$Q$2+BOM_table6[[#This Row],[Spare QTY Needed]]-BOM_table6[[#This Row],[QTY in Inventory]]</f>
        <v>1</v>
      </c>
      <c r="T291" s="111">
        <f>ROUNDUP((BOM_table6[[#This Row],[QTY to Order]]/BOM_table6[[#This Row],[SKU QTY]]),0)</f>
        <v>1</v>
      </c>
      <c r="U291" s="110">
        <f>BOM_table6[[#This Row],[SKU QTY to Order]]*BOM_table6[[#This Row],[SKU Cost]]</f>
        <v>655.20000000000005</v>
      </c>
      <c r="V291" s="62"/>
      <c r="W291" s="45" t="s">
        <v>2191</v>
      </c>
      <c r="X291" s="45" t="s">
        <v>2216</v>
      </c>
      <c r="Y291" s="54">
        <v>44858</v>
      </c>
      <c r="Z291" s="54">
        <v>44893</v>
      </c>
      <c r="AA291" s="54">
        <v>44887</v>
      </c>
      <c r="AB291" s="45"/>
      <c r="AC291" s="45"/>
    </row>
    <row r="292" spans="1:29" ht="15" customHeight="1" x14ac:dyDescent="0.2">
      <c r="A292" s="105" t="s">
        <v>161</v>
      </c>
      <c r="B292" s="44" t="s">
        <v>279</v>
      </c>
      <c r="C292" s="45" t="s">
        <v>280</v>
      </c>
      <c r="D292" s="45"/>
      <c r="E292" s="45" t="s">
        <v>1049</v>
      </c>
      <c r="F292" s="45" t="s">
        <v>810</v>
      </c>
      <c r="G292" s="45">
        <v>1</v>
      </c>
      <c r="H292" s="45" t="s">
        <v>2178</v>
      </c>
      <c r="J292" s="45" t="s">
        <v>169</v>
      </c>
      <c r="K292" s="45" t="s">
        <v>1439</v>
      </c>
      <c r="L292" s="45"/>
      <c r="M292" s="106">
        <v>1</v>
      </c>
      <c r="N292" s="50">
        <v>245.7</v>
      </c>
      <c r="O292" s="110">
        <f>IF(OR(ISBLANK(BOM_table6[[#This Row],[SKU QTY]]),BOM_table6[[#This Row],[SKU Cost]]=0),0,BOM_table6[[#This Row],[SKU Cost]]/BOM_table6[[#This Row],[SKU QTY]])</f>
        <v>245.7</v>
      </c>
      <c r="P292" s="110">
        <f>IF(OR(ISBLANK(BOM_table6[[#This Row],[ASM QTY]]),ISBLANK(BOM_table6[[#This Row],[Unit Cost]])),0,BOM_table6[[#This Row],[ASM QTY]]*BOM_table6[[#This Row],[Unit Cost]])</f>
        <v>245.7</v>
      </c>
      <c r="Q292" s="45"/>
      <c r="R292" s="81"/>
      <c r="S292" s="111">
        <f>BOM_table6[[#This Row],[ASM QTY]]*$Q$2+BOM_table6[[#This Row],[Spare QTY Needed]]-BOM_table6[[#This Row],[QTY in Inventory]]</f>
        <v>1</v>
      </c>
      <c r="T292" s="111">
        <f>ROUNDUP((BOM_table6[[#This Row],[QTY to Order]]/BOM_table6[[#This Row],[SKU QTY]]),0)</f>
        <v>1</v>
      </c>
      <c r="U292" s="110">
        <f>BOM_table6[[#This Row],[SKU QTY to Order]]*BOM_table6[[#This Row],[SKU Cost]]</f>
        <v>245.7</v>
      </c>
      <c r="V292" s="62"/>
      <c r="W292" s="45" t="s">
        <v>2191</v>
      </c>
      <c r="X292" s="45" t="s">
        <v>2216</v>
      </c>
      <c r="Y292" s="54">
        <v>44858</v>
      </c>
      <c r="Z292" s="54">
        <v>44893</v>
      </c>
      <c r="AA292" s="45"/>
      <c r="AB292" s="45"/>
      <c r="AC292" s="45"/>
    </row>
    <row r="293" spans="1:29" ht="15" customHeight="1" x14ac:dyDescent="0.2">
      <c r="A293" s="105" t="s">
        <v>161</v>
      </c>
      <c r="B293" s="44" t="s">
        <v>275</v>
      </c>
      <c r="C293" s="45" t="s">
        <v>276</v>
      </c>
      <c r="D293" s="45" t="s">
        <v>152</v>
      </c>
      <c r="E293" s="45" t="s">
        <v>1049</v>
      </c>
      <c r="F293" s="45" t="s">
        <v>810</v>
      </c>
      <c r="G293" s="45">
        <v>1</v>
      </c>
      <c r="H293" s="45" t="s">
        <v>2178</v>
      </c>
      <c r="I293" s="43" t="s">
        <v>2239</v>
      </c>
      <c r="J293" s="45" t="s">
        <v>169</v>
      </c>
      <c r="K293" s="45" t="s">
        <v>1439</v>
      </c>
      <c r="L293" s="45"/>
      <c r="M293" s="106">
        <v>1</v>
      </c>
      <c r="N293" s="50">
        <v>445.2</v>
      </c>
      <c r="O293" s="110">
        <f>IF(OR(ISBLANK(BOM_table6[[#This Row],[SKU QTY]]),BOM_table6[[#This Row],[SKU Cost]]=0),0,BOM_table6[[#This Row],[SKU Cost]]/BOM_table6[[#This Row],[SKU QTY]])</f>
        <v>445.2</v>
      </c>
      <c r="P293" s="110">
        <f>IF(OR(ISBLANK(BOM_table6[[#This Row],[ASM QTY]]),ISBLANK(BOM_table6[[#This Row],[Unit Cost]])),0,BOM_table6[[#This Row],[ASM QTY]]*BOM_table6[[#This Row],[Unit Cost]])</f>
        <v>445.2</v>
      </c>
      <c r="Q293" s="45"/>
      <c r="R293" s="81"/>
      <c r="S293" s="111">
        <f>BOM_table6[[#This Row],[ASM QTY]]*$Q$2+BOM_table6[[#This Row],[Spare QTY Needed]]-BOM_table6[[#This Row],[QTY in Inventory]]</f>
        <v>1</v>
      </c>
      <c r="T293" s="111">
        <f>ROUNDUP((BOM_table6[[#This Row],[QTY to Order]]/BOM_table6[[#This Row],[SKU QTY]]),0)</f>
        <v>1</v>
      </c>
      <c r="U293" s="110">
        <f>BOM_table6[[#This Row],[SKU QTY to Order]]*BOM_table6[[#This Row],[SKU Cost]]</f>
        <v>445.2</v>
      </c>
      <c r="V293" s="62"/>
      <c r="W293" s="45" t="s">
        <v>2191</v>
      </c>
      <c r="X293" s="45" t="s">
        <v>2216</v>
      </c>
      <c r="Y293" s="54">
        <v>44858</v>
      </c>
      <c r="Z293" s="54">
        <v>44893</v>
      </c>
      <c r="AA293" s="45"/>
      <c r="AB293" s="45"/>
      <c r="AC293" s="45"/>
    </row>
    <row r="294" spans="1:29" ht="15" customHeight="1" x14ac:dyDescent="0.2">
      <c r="A294" s="105" t="s">
        <v>161</v>
      </c>
      <c r="B294" s="44" t="s">
        <v>282</v>
      </c>
      <c r="C294" s="45" t="s">
        <v>283</v>
      </c>
      <c r="D294" s="45"/>
      <c r="E294" s="45" t="s">
        <v>1049</v>
      </c>
      <c r="F294" s="45" t="s">
        <v>810</v>
      </c>
      <c r="G294" s="45">
        <v>6</v>
      </c>
      <c r="H294" s="45" t="s">
        <v>2178</v>
      </c>
      <c r="I294" s="43" t="s">
        <v>2239</v>
      </c>
      <c r="J294" s="45" t="s">
        <v>169</v>
      </c>
      <c r="K294" s="45" t="s">
        <v>1439</v>
      </c>
      <c r="L294" s="45"/>
      <c r="M294" s="106">
        <v>1</v>
      </c>
      <c r="N294" s="50">
        <v>42</v>
      </c>
      <c r="O294" s="110">
        <f>IF(OR(ISBLANK(BOM_table6[[#This Row],[SKU QTY]]),BOM_table6[[#This Row],[SKU Cost]]=0),0,BOM_table6[[#This Row],[SKU Cost]]/BOM_table6[[#This Row],[SKU QTY]])</f>
        <v>42</v>
      </c>
      <c r="P294" s="110">
        <f>IF(OR(ISBLANK(BOM_table6[[#This Row],[ASM QTY]]),ISBLANK(BOM_table6[[#This Row],[Unit Cost]])),0,BOM_table6[[#This Row],[ASM QTY]]*BOM_table6[[#This Row],[Unit Cost]])</f>
        <v>252</v>
      </c>
      <c r="Q294" s="45"/>
      <c r="R294" s="81"/>
      <c r="S294" s="111">
        <f>BOM_table6[[#This Row],[ASM QTY]]*$Q$2+BOM_table6[[#This Row],[Spare QTY Needed]]-BOM_table6[[#This Row],[QTY in Inventory]]</f>
        <v>6</v>
      </c>
      <c r="T294" s="111">
        <f>ROUNDUP((BOM_table6[[#This Row],[QTY to Order]]/BOM_table6[[#This Row],[SKU QTY]]),0)</f>
        <v>6</v>
      </c>
      <c r="U294" s="110">
        <f>BOM_table6[[#This Row],[SKU QTY to Order]]*BOM_table6[[#This Row],[SKU Cost]]</f>
        <v>252</v>
      </c>
      <c r="V294" s="62"/>
      <c r="W294" s="45" t="s">
        <v>2191</v>
      </c>
      <c r="X294" s="45" t="s">
        <v>2216</v>
      </c>
      <c r="Y294" s="54">
        <v>44858</v>
      </c>
      <c r="Z294" s="54">
        <v>44893</v>
      </c>
      <c r="AA294" s="45"/>
      <c r="AB294" s="45"/>
      <c r="AC294" s="45"/>
    </row>
    <row r="295" spans="1:29" ht="15" customHeight="1" x14ac:dyDescent="0.2">
      <c r="A295" s="105" t="s">
        <v>161</v>
      </c>
      <c r="B295" s="44" t="s">
        <v>270</v>
      </c>
      <c r="C295" s="45" t="s">
        <v>271</v>
      </c>
      <c r="D295" s="45" t="s">
        <v>152</v>
      </c>
      <c r="E295" s="45" t="s">
        <v>1049</v>
      </c>
      <c r="F295" s="45" t="s">
        <v>810</v>
      </c>
      <c r="G295" s="45">
        <v>1</v>
      </c>
      <c r="H295" s="45" t="s">
        <v>2178</v>
      </c>
      <c r="I295" s="43" t="s">
        <v>2239</v>
      </c>
      <c r="J295" s="45" t="s">
        <v>169</v>
      </c>
      <c r="K295" s="45" t="s">
        <v>1439</v>
      </c>
      <c r="L295" s="45"/>
      <c r="M295" s="106">
        <v>1</v>
      </c>
      <c r="N295" s="50">
        <v>567</v>
      </c>
      <c r="O295" s="110">
        <f>IF(OR(ISBLANK(BOM_table6[[#This Row],[SKU QTY]]),BOM_table6[[#This Row],[SKU Cost]]=0),0,BOM_table6[[#This Row],[SKU Cost]]/BOM_table6[[#This Row],[SKU QTY]])</f>
        <v>567</v>
      </c>
      <c r="P295" s="110">
        <f>IF(OR(ISBLANK(BOM_table6[[#This Row],[ASM QTY]]),ISBLANK(BOM_table6[[#This Row],[Unit Cost]])),0,BOM_table6[[#This Row],[ASM QTY]]*BOM_table6[[#This Row],[Unit Cost]])</f>
        <v>567</v>
      </c>
      <c r="Q295" s="45"/>
      <c r="R295" s="81"/>
      <c r="S295" s="111">
        <f>BOM_table6[[#This Row],[ASM QTY]]*$Q$2+BOM_table6[[#This Row],[Spare QTY Needed]]-BOM_table6[[#This Row],[QTY in Inventory]]</f>
        <v>1</v>
      </c>
      <c r="T295" s="111">
        <f>ROUNDUP((BOM_table6[[#This Row],[QTY to Order]]/BOM_table6[[#This Row],[SKU QTY]]),0)</f>
        <v>1</v>
      </c>
      <c r="U295" s="110">
        <f>BOM_table6[[#This Row],[SKU QTY to Order]]*BOM_table6[[#This Row],[SKU Cost]]</f>
        <v>567</v>
      </c>
      <c r="V295" s="62"/>
      <c r="W295" s="45" t="s">
        <v>2191</v>
      </c>
      <c r="X295" s="45" t="s">
        <v>2216</v>
      </c>
      <c r="Y295" s="54">
        <v>44858</v>
      </c>
      <c r="Z295" s="54">
        <v>44893</v>
      </c>
      <c r="AA295" s="54">
        <v>44887</v>
      </c>
      <c r="AB295" s="45"/>
      <c r="AC295" s="45"/>
    </row>
    <row r="296" spans="1:29" ht="15" customHeight="1" x14ac:dyDescent="0.2">
      <c r="A296" s="105" t="s">
        <v>1318</v>
      </c>
      <c r="B296" s="44" t="s">
        <v>1040</v>
      </c>
      <c r="C296" s="45" t="s">
        <v>1038</v>
      </c>
      <c r="D296" s="45"/>
      <c r="E296" s="45" t="s">
        <v>1039</v>
      </c>
      <c r="F296" s="45" t="s">
        <v>810</v>
      </c>
      <c r="G296" s="45">
        <v>1</v>
      </c>
      <c r="H296" s="45"/>
      <c r="J296" s="45" t="s">
        <v>166</v>
      </c>
      <c r="K296" s="45" t="s">
        <v>281</v>
      </c>
      <c r="L296" s="45"/>
      <c r="M296" s="106">
        <v>1</v>
      </c>
      <c r="N296" s="50"/>
      <c r="O296" s="110">
        <f>IF(OR(ISBLANK(BOM_table6[[#This Row],[SKU QTY]]),BOM_table6[[#This Row],[SKU Cost]]=0),0,BOM_table6[[#This Row],[SKU Cost]]/BOM_table6[[#This Row],[SKU QTY]])</f>
        <v>0</v>
      </c>
      <c r="P296" s="110">
        <f>IF(OR(ISBLANK(BOM_table6[[#This Row],[ASM QTY]]),ISBLANK(BOM_table6[[#This Row],[Unit Cost]])),0,BOM_table6[[#This Row],[ASM QTY]]*BOM_table6[[#This Row],[Unit Cost]])</f>
        <v>0</v>
      </c>
      <c r="Q296" s="45"/>
      <c r="R296" s="81"/>
      <c r="S296" s="111">
        <f>BOM_table6[[#This Row],[ASM QTY]]*$Q$2+BOM_table6[[#This Row],[Spare QTY Needed]]-BOM_table6[[#This Row],[QTY in Inventory]]</f>
        <v>1</v>
      </c>
      <c r="T296" s="111">
        <f>ROUNDUP((BOM_table6[[#This Row],[QTY to Order]]/BOM_table6[[#This Row],[SKU QTY]]),0)</f>
        <v>1</v>
      </c>
      <c r="U296" s="110">
        <f>BOM_table6[[#This Row],[SKU QTY to Order]]*BOM_table6[[#This Row],[SKU Cost]]</f>
        <v>0</v>
      </c>
      <c r="V296" s="62"/>
      <c r="W296" s="45"/>
      <c r="X296" s="45"/>
      <c r="Y296" s="54"/>
      <c r="Z296" s="54"/>
      <c r="AA296" s="54"/>
      <c r="AB296" s="45"/>
      <c r="AC296" s="45"/>
    </row>
    <row r="297" spans="1:29" ht="15" customHeight="1" x14ac:dyDescent="0.2">
      <c r="A297" s="105" t="s">
        <v>160</v>
      </c>
      <c r="B297" s="44" t="s">
        <v>265</v>
      </c>
      <c r="C297" s="45" t="s">
        <v>266</v>
      </c>
      <c r="D297" s="45"/>
      <c r="E297" s="45" t="s">
        <v>267</v>
      </c>
      <c r="F297" s="45" t="s">
        <v>810</v>
      </c>
      <c r="G297" s="45">
        <v>2</v>
      </c>
      <c r="H297" s="45"/>
      <c r="I297" s="43" t="s">
        <v>1322</v>
      </c>
      <c r="J297" s="45" t="s">
        <v>166</v>
      </c>
      <c r="K297" s="45" t="s">
        <v>267</v>
      </c>
      <c r="L297" s="45"/>
      <c r="M297" s="106">
        <v>1</v>
      </c>
      <c r="N297" s="50"/>
      <c r="O297" s="110">
        <f>IF(OR(ISBLANK(BOM_table6[[#This Row],[SKU QTY]]),BOM_table6[[#This Row],[SKU Cost]]=0),0,BOM_table6[[#This Row],[SKU Cost]]/BOM_table6[[#This Row],[SKU QTY]])</f>
        <v>0</v>
      </c>
      <c r="P297" s="110">
        <f>IF(OR(ISBLANK(BOM_table6[[#This Row],[ASM QTY]]),ISBLANK(BOM_table6[[#This Row],[Unit Cost]])),0,BOM_table6[[#This Row],[ASM QTY]]*BOM_table6[[#This Row],[Unit Cost]])</f>
        <v>0</v>
      </c>
      <c r="Q297" s="45"/>
      <c r="R297" s="81"/>
      <c r="S297" s="111">
        <f>BOM_table6[[#This Row],[ASM QTY]]*$Q$2+BOM_table6[[#This Row],[Spare QTY Needed]]-BOM_table6[[#This Row],[QTY in Inventory]]</f>
        <v>2</v>
      </c>
      <c r="T297" s="111">
        <f>ROUNDUP((BOM_table6[[#This Row],[QTY to Order]]/BOM_table6[[#This Row],[SKU QTY]]),0)</f>
        <v>2</v>
      </c>
      <c r="U297" s="110">
        <f>BOM_table6[[#This Row],[SKU QTY to Order]]*BOM_table6[[#This Row],[SKU Cost]]</f>
        <v>0</v>
      </c>
      <c r="V297" s="62"/>
      <c r="W297" s="45"/>
      <c r="X297" s="45"/>
      <c r="Y297" s="54"/>
      <c r="Z297" s="54"/>
      <c r="AA297" s="54"/>
      <c r="AB297" s="45"/>
      <c r="AC297" s="45"/>
    </row>
    <row r="298" spans="1:29" ht="15" customHeight="1" x14ac:dyDescent="0.2">
      <c r="A298" s="105" t="s">
        <v>160</v>
      </c>
      <c r="B298" s="44" t="s">
        <v>254</v>
      </c>
      <c r="C298" s="45" t="s">
        <v>253</v>
      </c>
      <c r="D298" s="45"/>
      <c r="E298" s="45"/>
      <c r="F298" s="45" t="s">
        <v>843</v>
      </c>
      <c r="G298" s="45">
        <v>20</v>
      </c>
      <c r="H298" s="45"/>
      <c r="I298" s="43" t="s">
        <v>844</v>
      </c>
      <c r="J298" s="45" t="s">
        <v>1321</v>
      </c>
      <c r="K298" s="45" t="s">
        <v>216</v>
      </c>
      <c r="L298" s="45"/>
      <c r="M298" s="106">
        <v>1</v>
      </c>
      <c r="N298" s="50"/>
      <c r="O298" s="110">
        <f>IF(OR(ISBLANK(BOM_table6[[#This Row],[SKU QTY]]),BOM_table6[[#This Row],[SKU Cost]]=0),0,BOM_table6[[#This Row],[SKU Cost]]/BOM_table6[[#This Row],[SKU QTY]])</f>
        <v>0</v>
      </c>
      <c r="P298" s="110">
        <f>IF(OR(ISBLANK(BOM_table6[[#This Row],[ASM QTY]]),ISBLANK(BOM_table6[[#This Row],[Unit Cost]])),0,BOM_table6[[#This Row],[ASM QTY]]*BOM_table6[[#This Row],[Unit Cost]])</f>
        <v>0</v>
      </c>
      <c r="Q298" s="45"/>
      <c r="R298" s="81"/>
      <c r="S298" s="111">
        <f>BOM_table6[[#This Row],[ASM QTY]]*$Q$2+BOM_table6[[#This Row],[Spare QTY Needed]]-BOM_table6[[#This Row],[QTY in Inventory]]</f>
        <v>20</v>
      </c>
      <c r="T298" s="111">
        <f>ROUNDUP((BOM_table6[[#This Row],[QTY to Order]]/BOM_table6[[#This Row],[SKU QTY]]),0)</f>
        <v>20</v>
      </c>
      <c r="U298" s="110">
        <f>BOM_table6[[#This Row],[SKU QTY to Order]]*BOM_table6[[#This Row],[SKU Cost]]</f>
        <v>0</v>
      </c>
      <c r="V298" s="62"/>
      <c r="W298" s="45"/>
      <c r="X298" s="45"/>
      <c r="Y298" s="54"/>
      <c r="Z298" s="54"/>
      <c r="AA298" s="54"/>
      <c r="AB298" s="45"/>
      <c r="AC298" s="45"/>
    </row>
    <row r="299" spans="1:29" ht="15" customHeight="1" x14ac:dyDescent="0.2">
      <c r="A299" s="105" t="s">
        <v>161</v>
      </c>
      <c r="B299" s="44" t="s">
        <v>621</v>
      </c>
      <c r="C299" s="45" t="s">
        <v>622</v>
      </c>
      <c r="D299" s="45"/>
      <c r="E299" s="45"/>
      <c r="F299" s="45" t="s">
        <v>830</v>
      </c>
      <c r="G299" s="45">
        <v>6</v>
      </c>
      <c r="H299" s="45"/>
      <c r="I299" s="43" t="s">
        <v>2326</v>
      </c>
      <c r="J299" s="45" t="s">
        <v>1321</v>
      </c>
      <c r="K299" s="45" t="s">
        <v>216</v>
      </c>
      <c r="L299" s="45"/>
      <c r="M299" s="106">
        <v>1</v>
      </c>
      <c r="N299" s="50">
        <f>2.31/250</f>
        <v>9.2399999999999999E-3</v>
      </c>
      <c r="O299" s="110">
        <f>IF(OR(ISBLANK(BOM_table6[[#This Row],[SKU QTY]]),BOM_table6[[#This Row],[SKU Cost]]=0),0,BOM_table6[[#This Row],[SKU Cost]]/BOM_table6[[#This Row],[SKU QTY]])</f>
        <v>9.2399999999999999E-3</v>
      </c>
      <c r="P299" s="110">
        <f>IF(OR(ISBLANK(BOM_table6[[#This Row],[ASM QTY]]),ISBLANK(BOM_table6[[#This Row],[Unit Cost]])),0,BOM_table6[[#This Row],[ASM QTY]]*BOM_table6[[#This Row],[Unit Cost]])</f>
        <v>5.5440000000000003E-2</v>
      </c>
      <c r="Q299" s="45">
        <f>250-6</f>
        <v>244</v>
      </c>
      <c r="R299" s="81"/>
      <c r="S299" s="111">
        <f>BOM_table6[[#This Row],[ASM QTY]]*$Q$2+BOM_table6[[#This Row],[Spare QTY Needed]]-BOM_table6[[#This Row],[QTY in Inventory]]</f>
        <v>250</v>
      </c>
      <c r="T299" s="111">
        <f>ROUNDUP((BOM_table6[[#This Row],[QTY to Order]]/BOM_table6[[#This Row],[SKU QTY]]),0)</f>
        <v>250</v>
      </c>
      <c r="U299" s="110">
        <f>BOM_table6[[#This Row],[SKU QTY to Order]]*BOM_table6[[#This Row],[SKU Cost]]</f>
        <v>2.31</v>
      </c>
      <c r="V299" s="62"/>
      <c r="W299" s="45" t="s">
        <v>2191</v>
      </c>
      <c r="X299" s="45" t="s">
        <v>2192</v>
      </c>
      <c r="Y299" s="54">
        <v>44923</v>
      </c>
      <c r="Z299" s="54"/>
      <c r="AA299" s="54">
        <v>44924</v>
      </c>
      <c r="AB299" s="45"/>
      <c r="AC299" s="45"/>
    </row>
    <row r="300" spans="1:29" ht="15" customHeight="1" x14ac:dyDescent="0.2">
      <c r="A300" s="105" t="s">
        <v>161</v>
      </c>
      <c r="B300" s="44" t="s">
        <v>623</v>
      </c>
      <c r="C300" s="45" t="s">
        <v>624</v>
      </c>
      <c r="D300" s="45" t="s">
        <v>233</v>
      </c>
      <c r="E300" s="45" t="s">
        <v>1049</v>
      </c>
      <c r="F300" s="45" t="s">
        <v>830</v>
      </c>
      <c r="G300" s="45">
        <v>1</v>
      </c>
      <c r="H300" s="45"/>
      <c r="J300" s="45" t="s">
        <v>169</v>
      </c>
      <c r="K300" s="45" t="s">
        <v>2347</v>
      </c>
      <c r="L300" s="45"/>
      <c r="M300" s="106">
        <v>1</v>
      </c>
      <c r="N300" s="50"/>
      <c r="O300" s="110">
        <f>IF(OR(ISBLANK(BOM_table6[[#This Row],[SKU QTY]]),BOM_table6[[#This Row],[SKU Cost]]=0),0,BOM_table6[[#This Row],[SKU Cost]]/BOM_table6[[#This Row],[SKU QTY]])</f>
        <v>0</v>
      </c>
      <c r="P300" s="110">
        <f>IF(OR(ISBLANK(BOM_table6[[#This Row],[ASM QTY]]),ISBLANK(BOM_table6[[#This Row],[Unit Cost]])),0,BOM_table6[[#This Row],[ASM QTY]]*BOM_table6[[#This Row],[Unit Cost]])</f>
        <v>0</v>
      </c>
      <c r="Q300" s="144"/>
      <c r="R300" s="151"/>
      <c r="S300" s="111">
        <f>BOM_table6[[#This Row],[ASM QTY]]*$Q$2+BOM_table6[[#This Row],[Spare QTY Needed]]-BOM_table6[[#This Row],[QTY in Inventory]]</f>
        <v>1</v>
      </c>
      <c r="T300" s="111">
        <f>ROUNDUP((BOM_table6[[#This Row],[QTY to Order]]/BOM_table6[[#This Row],[SKU QTY]]),0)</f>
        <v>1</v>
      </c>
      <c r="U300" s="110">
        <f>BOM_table6[[#This Row],[SKU QTY to Order]]*BOM_table6[[#This Row],[SKU Cost]]</f>
        <v>0</v>
      </c>
      <c r="V300" s="145"/>
      <c r="W300" s="45"/>
      <c r="X300" s="144"/>
      <c r="Y300" s="147"/>
      <c r="Z300" s="152"/>
      <c r="AA300" s="144"/>
      <c r="AB300" s="45"/>
      <c r="AC300" s="45"/>
    </row>
    <row r="301" spans="1:29" ht="15" customHeight="1" x14ac:dyDescent="0.2">
      <c r="A301" s="105" t="s">
        <v>161</v>
      </c>
      <c r="B301" s="44" t="s">
        <v>625</v>
      </c>
      <c r="C301" s="45" t="s">
        <v>626</v>
      </c>
      <c r="D301" s="45"/>
      <c r="E301" s="45" t="s">
        <v>1049</v>
      </c>
      <c r="F301" s="45" t="s">
        <v>830</v>
      </c>
      <c r="G301" s="45">
        <v>1</v>
      </c>
      <c r="H301" s="45"/>
      <c r="J301" s="45" t="s">
        <v>169</v>
      </c>
      <c r="K301" s="45" t="s">
        <v>2347</v>
      </c>
      <c r="L301" s="45"/>
      <c r="M301" s="106">
        <v>1</v>
      </c>
      <c r="N301" s="50"/>
      <c r="O301" s="110">
        <f>IF(OR(ISBLANK(BOM_table6[[#This Row],[SKU QTY]]),BOM_table6[[#This Row],[SKU Cost]]=0),0,BOM_table6[[#This Row],[SKU Cost]]/BOM_table6[[#This Row],[SKU QTY]])</f>
        <v>0</v>
      </c>
      <c r="P301" s="110">
        <f>IF(OR(ISBLANK(BOM_table6[[#This Row],[ASM QTY]]),ISBLANK(BOM_table6[[#This Row],[Unit Cost]])),0,BOM_table6[[#This Row],[ASM QTY]]*BOM_table6[[#This Row],[Unit Cost]])</f>
        <v>0</v>
      </c>
      <c r="Q301" s="45"/>
      <c r="R301" s="81"/>
      <c r="S301" s="111">
        <f>BOM_table6[[#This Row],[ASM QTY]]*$Q$2+BOM_table6[[#This Row],[Spare QTY Needed]]-BOM_table6[[#This Row],[QTY in Inventory]]</f>
        <v>1</v>
      </c>
      <c r="T301" s="111">
        <f>ROUNDUP((BOM_table6[[#This Row],[QTY to Order]]/BOM_table6[[#This Row],[SKU QTY]]),0)</f>
        <v>1</v>
      </c>
      <c r="U301" s="110">
        <f>BOM_table6[[#This Row],[SKU QTY to Order]]*BOM_table6[[#This Row],[SKU Cost]]</f>
        <v>0</v>
      </c>
      <c r="V301" s="62"/>
      <c r="W301" s="45"/>
      <c r="X301" s="45"/>
      <c r="Y301" s="54"/>
      <c r="Z301" s="54"/>
      <c r="AA301" s="45"/>
      <c r="AB301" s="45"/>
      <c r="AC301" s="45"/>
    </row>
    <row r="302" spans="1:29" ht="15" customHeight="1" x14ac:dyDescent="0.2">
      <c r="A302" s="105" t="s">
        <v>160</v>
      </c>
      <c r="B302" s="44" t="s">
        <v>432</v>
      </c>
      <c r="C302" s="45" t="s">
        <v>433</v>
      </c>
      <c r="D302" s="45"/>
      <c r="E302" s="45"/>
      <c r="F302" s="45" t="s">
        <v>817</v>
      </c>
      <c r="G302" s="45">
        <v>4</v>
      </c>
      <c r="H302" s="45"/>
      <c r="J302" s="45" t="s">
        <v>166</v>
      </c>
      <c r="K302" s="45" t="s">
        <v>216</v>
      </c>
      <c r="L302" s="45"/>
      <c r="M302" s="106">
        <v>1</v>
      </c>
      <c r="N302" s="50"/>
      <c r="O302" s="110">
        <f>IF(OR(ISBLANK(BOM_table6[[#This Row],[SKU QTY]]),BOM_table6[[#This Row],[SKU Cost]]=0),0,BOM_table6[[#This Row],[SKU Cost]]/BOM_table6[[#This Row],[SKU QTY]])</f>
        <v>0</v>
      </c>
      <c r="P302" s="110">
        <f>IF(OR(ISBLANK(BOM_table6[[#This Row],[ASM QTY]]),ISBLANK(BOM_table6[[#This Row],[Unit Cost]])),0,BOM_table6[[#This Row],[ASM QTY]]*BOM_table6[[#This Row],[Unit Cost]])</f>
        <v>0</v>
      </c>
      <c r="Q302" s="45"/>
      <c r="R302" s="81"/>
      <c r="S302" s="111">
        <f>BOM_table6[[#This Row],[ASM QTY]]*$Q$2+BOM_table6[[#This Row],[Spare QTY Needed]]-BOM_table6[[#This Row],[QTY in Inventory]]</f>
        <v>4</v>
      </c>
      <c r="T302" s="111">
        <f>ROUNDUP((BOM_table6[[#This Row],[QTY to Order]]/BOM_table6[[#This Row],[SKU QTY]]),0)</f>
        <v>4</v>
      </c>
      <c r="U302" s="110">
        <f>BOM_table6[[#This Row],[SKU QTY to Order]]*BOM_table6[[#This Row],[SKU Cost]]</f>
        <v>0</v>
      </c>
      <c r="V302" s="62"/>
      <c r="W302" s="45"/>
      <c r="X302" s="45"/>
      <c r="Y302" s="54"/>
      <c r="Z302" s="54"/>
      <c r="AA302" s="54"/>
      <c r="AB302" s="45"/>
      <c r="AC302" s="45"/>
    </row>
    <row r="303" spans="1:29" ht="15" customHeight="1" x14ac:dyDescent="0.2">
      <c r="A303" s="105" t="s">
        <v>160</v>
      </c>
      <c r="B303" s="44" t="s">
        <v>254</v>
      </c>
      <c r="C303" s="45" t="s">
        <v>253</v>
      </c>
      <c r="D303" s="45"/>
      <c r="E303" s="45"/>
      <c r="F303" s="45" t="s">
        <v>817</v>
      </c>
      <c r="G303" s="45">
        <v>16</v>
      </c>
      <c r="H303" s="45"/>
      <c r="J303" s="45" t="s">
        <v>166</v>
      </c>
      <c r="K303" s="45" t="s">
        <v>216</v>
      </c>
      <c r="L303" s="45"/>
      <c r="M303" s="106">
        <v>1</v>
      </c>
      <c r="N303" s="50"/>
      <c r="O303" s="110">
        <f>IF(OR(ISBLANK(BOM_table6[[#This Row],[SKU QTY]]),BOM_table6[[#This Row],[SKU Cost]]=0),0,BOM_table6[[#This Row],[SKU Cost]]/BOM_table6[[#This Row],[SKU QTY]])</f>
        <v>0</v>
      </c>
      <c r="P303" s="110">
        <f>IF(OR(ISBLANK(BOM_table6[[#This Row],[ASM QTY]]),ISBLANK(BOM_table6[[#This Row],[Unit Cost]])),0,BOM_table6[[#This Row],[ASM QTY]]*BOM_table6[[#This Row],[Unit Cost]])</f>
        <v>0</v>
      </c>
      <c r="Q303" s="45"/>
      <c r="R303" s="81"/>
      <c r="S303" s="111">
        <f>BOM_table6[[#This Row],[ASM QTY]]*$Q$2+BOM_table6[[#This Row],[Spare QTY Needed]]-BOM_table6[[#This Row],[QTY in Inventory]]</f>
        <v>16</v>
      </c>
      <c r="T303" s="111">
        <f>ROUNDUP((BOM_table6[[#This Row],[QTY to Order]]/BOM_table6[[#This Row],[SKU QTY]]),0)</f>
        <v>16</v>
      </c>
      <c r="U303" s="110">
        <f>BOM_table6[[#This Row],[SKU QTY to Order]]*BOM_table6[[#This Row],[SKU Cost]]</f>
        <v>0</v>
      </c>
      <c r="V303" s="62"/>
      <c r="W303" s="45"/>
      <c r="X303" s="45"/>
      <c r="Y303" s="45"/>
      <c r="Z303" s="54"/>
      <c r="AA303" s="45"/>
      <c r="AB303" s="45"/>
      <c r="AC303" s="45"/>
    </row>
    <row r="304" spans="1:29" ht="15" customHeight="1" x14ac:dyDescent="0.2">
      <c r="A304" s="105" t="s">
        <v>161</v>
      </c>
      <c r="B304" s="44" t="s">
        <v>434</v>
      </c>
      <c r="C304" s="45" t="s">
        <v>435</v>
      </c>
      <c r="D304" s="45" t="s">
        <v>233</v>
      </c>
      <c r="E304" s="45" t="s">
        <v>1049</v>
      </c>
      <c r="F304" s="45" t="s">
        <v>817</v>
      </c>
      <c r="G304" s="45">
        <v>4</v>
      </c>
      <c r="H304" s="45" t="s">
        <v>2175</v>
      </c>
      <c r="I304" s="43" t="s">
        <v>2280</v>
      </c>
      <c r="J304" s="45" t="s">
        <v>169</v>
      </c>
      <c r="K304" s="45" t="s">
        <v>1439</v>
      </c>
      <c r="L304" s="45"/>
      <c r="M304" s="106">
        <v>1</v>
      </c>
      <c r="N304" s="50">
        <v>42.46</v>
      </c>
      <c r="O304" s="110">
        <f>IF(OR(ISBLANK(BOM_table6[[#This Row],[SKU QTY]]),BOM_table6[[#This Row],[SKU Cost]]=0),0,BOM_table6[[#This Row],[SKU Cost]]/BOM_table6[[#This Row],[SKU QTY]])</f>
        <v>42.46</v>
      </c>
      <c r="P304" s="110">
        <f>IF(OR(ISBLANK(BOM_table6[[#This Row],[ASM QTY]]),ISBLANK(BOM_table6[[#This Row],[Unit Cost]])),0,BOM_table6[[#This Row],[ASM QTY]]*BOM_table6[[#This Row],[Unit Cost]])</f>
        <v>169.84</v>
      </c>
      <c r="Q304" s="45"/>
      <c r="R304" s="81"/>
      <c r="S304" s="111">
        <f>BOM_table6[[#This Row],[ASM QTY]]*$Q$2+BOM_table6[[#This Row],[Spare QTY Needed]]-BOM_table6[[#This Row],[QTY in Inventory]]</f>
        <v>4</v>
      </c>
      <c r="T304" s="111">
        <f>ROUNDUP((BOM_table6[[#This Row],[QTY to Order]]/BOM_table6[[#This Row],[SKU QTY]]),0)</f>
        <v>4</v>
      </c>
      <c r="U304" s="110">
        <f>BOM_table6[[#This Row],[SKU QTY to Order]]*BOM_table6[[#This Row],[SKU Cost]]</f>
        <v>169.84</v>
      </c>
      <c r="V304" s="50" t="s">
        <v>2201</v>
      </c>
      <c r="W304" s="45" t="s">
        <v>2191</v>
      </c>
      <c r="X304" s="45" t="s">
        <v>2247</v>
      </c>
      <c r="Y304" s="97">
        <v>44893</v>
      </c>
      <c r="Z304" s="54">
        <v>44928</v>
      </c>
      <c r="AA304" s="45"/>
      <c r="AB304" s="45"/>
      <c r="AC304" s="45"/>
    </row>
    <row r="305" spans="1:29" ht="15" customHeight="1" x14ac:dyDescent="0.2">
      <c r="A305" s="105" t="s">
        <v>160</v>
      </c>
      <c r="B305" s="44" t="s">
        <v>219</v>
      </c>
      <c r="C305" s="45" t="s">
        <v>750</v>
      </c>
      <c r="D305" s="45"/>
      <c r="E305" s="45"/>
      <c r="F305" s="45" t="s">
        <v>834</v>
      </c>
      <c r="G305" s="45">
        <v>1</v>
      </c>
      <c r="H305" s="45"/>
      <c r="J305" s="45" t="s">
        <v>166</v>
      </c>
      <c r="K305" s="45"/>
      <c r="L305" s="45"/>
      <c r="M305" s="106">
        <v>1</v>
      </c>
      <c r="N305" s="50"/>
      <c r="O305" s="110">
        <f>IF(OR(ISBLANK(BOM_table6[[#This Row],[SKU QTY]]),BOM_table6[[#This Row],[SKU Cost]]=0),0,BOM_table6[[#This Row],[SKU Cost]]/BOM_table6[[#This Row],[SKU QTY]])</f>
        <v>0</v>
      </c>
      <c r="P305" s="110">
        <f>IF(OR(ISBLANK(BOM_table6[[#This Row],[ASM QTY]]),ISBLANK(BOM_table6[[#This Row],[Unit Cost]])),0,BOM_table6[[#This Row],[ASM QTY]]*BOM_table6[[#This Row],[Unit Cost]])</f>
        <v>0</v>
      </c>
      <c r="Q305" s="45"/>
      <c r="R305" s="81"/>
      <c r="S305" s="111">
        <f>BOM_table6[[#This Row],[ASM QTY]]*$Q$2+BOM_table6[[#This Row],[Spare QTY Needed]]-BOM_table6[[#This Row],[QTY in Inventory]]</f>
        <v>1</v>
      </c>
      <c r="T305" s="111">
        <f>ROUNDUP((BOM_table6[[#This Row],[QTY to Order]]/BOM_table6[[#This Row],[SKU QTY]]),0)</f>
        <v>1</v>
      </c>
      <c r="U305" s="110">
        <f>BOM_table6[[#This Row],[SKU QTY to Order]]*BOM_table6[[#This Row],[SKU Cost]]</f>
        <v>0</v>
      </c>
      <c r="V305" s="62"/>
      <c r="W305" s="45"/>
      <c r="X305" s="45"/>
      <c r="Y305" s="45"/>
      <c r="Z305" s="54"/>
      <c r="AA305" s="45"/>
      <c r="AB305" s="45"/>
      <c r="AC305" s="45"/>
    </row>
    <row r="306" spans="1:29" ht="15" customHeight="1" x14ac:dyDescent="0.2">
      <c r="A306" s="105" t="s">
        <v>160</v>
      </c>
      <c r="B306" s="44" t="s">
        <v>219</v>
      </c>
      <c r="C306" s="45" t="s">
        <v>773</v>
      </c>
      <c r="D306" s="45"/>
      <c r="E306" s="45"/>
      <c r="F306" s="45" t="s">
        <v>834</v>
      </c>
      <c r="G306" s="45">
        <v>1</v>
      </c>
      <c r="H306" s="45"/>
      <c r="J306" s="45" t="s">
        <v>166</v>
      </c>
      <c r="K306" s="45" t="s">
        <v>216</v>
      </c>
      <c r="L306" s="45"/>
      <c r="M306" s="106">
        <v>1</v>
      </c>
      <c r="N306" s="50"/>
      <c r="O306" s="110">
        <f>IF(OR(ISBLANK(BOM_table6[[#This Row],[SKU QTY]]),BOM_table6[[#This Row],[SKU Cost]]=0),0,BOM_table6[[#This Row],[SKU Cost]]/BOM_table6[[#This Row],[SKU QTY]])</f>
        <v>0</v>
      </c>
      <c r="P306" s="110">
        <f>IF(OR(ISBLANK(BOM_table6[[#This Row],[ASM QTY]]),ISBLANK(BOM_table6[[#This Row],[Unit Cost]])),0,BOM_table6[[#This Row],[ASM QTY]]*BOM_table6[[#This Row],[Unit Cost]])</f>
        <v>0</v>
      </c>
      <c r="Q306" s="45"/>
      <c r="R306" s="81"/>
      <c r="S306" s="111">
        <f>BOM_table6[[#This Row],[ASM QTY]]*$Q$2+BOM_table6[[#This Row],[Spare QTY Needed]]-BOM_table6[[#This Row],[QTY in Inventory]]</f>
        <v>1</v>
      </c>
      <c r="T306" s="111">
        <f>ROUNDUP((BOM_table6[[#This Row],[QTY to Order]]/BOM_table6[[#This Row],[SKU QTY]]),0)</f>
        <v>1</v>
      </c>
      <c r="U306" s="110">
        <f>BOM_table6[[#This Row],[SKU QTY to Order]]*BOM_table6[[#This Row],[SKU Cost]]</f>
        <v>0</v>
      </c>
      <c r="V306" s="62"/>
      <c r="W306" s="45"/>
      <c r="X306" s="45"/>
      <c r="Y306" s="54"/>
      <c r="Z306" s="54"/>
      <c r="AA306" s="54"/>
      <c r="AB306" s="45"/>
      <c r="AC306" s="45"/>
    </row>
    <row r="307" spans="1:29" ht="15" customHeight="1" x14ac:dyDescent="0.2">
      <c r="A307" s="105" t="s">
        <v>160</v>
      </c>
      <c r="B307" s="44" t="s">
        <v>219</v>
      </c>
      <c r="C307" s="45" t="s">
        <v>749</v>
      </c>
      <c r="D307" s="45"/>
      <c r="E307" s="45"/>
      <c r="F307" s="45" t="s">
        <v>834</v>
      </c>
      <c r="G307" s="45">
        <v>2</v>
      </c>
      <c r="H307" s="45"/>
      <c r="J307" s="45" t="s">
        <v>166</v>
      </c>
      <c r="K307" s="45" t="s">
        <v>216</v>
      </c>
      <c r="L307" s="45"/>
      <c r="M307" s="106">
        <v>1</v>
      </c>
      <c r="N307" s="50"/>
      <c r="O307" s="110">
        <f>IF(OR(ISBLANK(BOM_table6[[#This Row],[SKU QTY]]),BOM_table6[[#This Row],[SKU Cost]]=0),0,BOM_table6[[#This Row],[SKU Cost]]/BOM_table6[[#This Row],[SKU QTY]])</f>
        <v>0</v>
      </c>
      <c r="P307" s="110">
        <f>IF(OR(ISBLANK(BOM_table6[[#This Row],[ASM QTY]]),ISBLANK(BOM_table6[[#This Row],[Unit Cost]])),0,BOM_table6[[#This Row],[ASM QTY]]*BOM_table6[[#This Row],[Unit Cost]])</f>
        <v>0</v>
      </c>
      <c r="Q307" s="45"/>
      <c r="R307" s="81"/>
      <c r="S307" s="111">
        <f>BOM_table6[[#This Row],[ASM QTY]]*$Q$2+BOM_table6[[#This Row],[Spare QTY Needed]]-BOM_table6[[#This Row],[QTY in Inventory]]</f>
        <v>2</v>
      </c>
      <c r="T307" s="111">
        <f>ROUNDUP((BOM_table6[[#This Row],[QTY to Order]]/BOM_table6[[#This Row],[SKU QTY]]),0)</f>
        <v>2</v>
      </c>
      <c r="U307" s="110">
        <f>BOM_table6[[#This Row],[SKU QTY to Order]]*BOM_table6[[#This Row],[SKU Cost]]</f>
        <v>0</v>
      </c>
      <c r="V307" s="62"/>
      <c r="W307" s="45"/>
      <c r="X307" s="45"/>
      <c r="Y307" s="54"/>
      <c r="Z307" s="54"/>
      <c r="AA307" s="54"/>
      <c r="AB307" s="45"/>
      <c r="AC307" s="45"/>
    </row>
    <row r="308" spans="1:29" ht="15" customHeight="1" x14ac:dyDescent="0.2">
      <c r="A308" s="105" t="s">
        <v>160</v>
      </c>
      <c r="B308" s="44" t="s">
        <v>219</v>
      </c>
      <c r="C308" s="45" t="s">
        <v>774</v>
      </c>
      <c r="D308" s="45"/>
      <c r="E308" s="45"/>
      <c r="F308" s="45" t="s">
        <v>834</v>
      </c>
      <c r="G308" s="45">
        <v>1</v>
      </c>
      <c r="H308" s="45"/>
      <c r="J308" s="45" t="s">
        <v>166</v>
      </c>
      <c r="K308" s="45" t="s">
        <v>216</v>
      </c>
      <c r="L308" s="45"/>
      <c r="M308" s="106">
        <v>1</v>
      </c>
      <c r="N308" s="50"/>
      <c r="O308" s="110">
        <f>IF(OR(ISBLANK(BOM_table6[[#This Row],[SKU QTY]]),BOM_table6[[#This Row],[SKU Cost]]=0),0,BOM_table6[[#This Row],[SKU Cost]]/BOM_table6[[#This Row],[SKU QTY]])</f>
        <v>0</v>
      </c>
      <c r="P308" s="110">
        <f>IF(OR(ISBLANK(BOM_table6[[#This Row],[ASM QTY]]),ISBLANK(BOM_table6[[#This Row],[Unit Cost]])),0,BOM_table6[[#This Row],[ASM QTY]]*BOM_table6[[#This Row],[Unit Cost]])</f>
        <v>0</v>
      </c>
      <c r="Q308" s="45"/>
      <c r="R308" s="81"/>
      <c r="S308" s="111">
        <f>BOM_table6[[#This Row],[ASM QTY]]*$Q$2+BOM_table6[[#This Row],[Spare QTY Needed]]-BOM_table6[[#This Row],[QTY in Inventory]]</f>
        <v>1</v>
      </c>
      <c r="T308" s="111">
        <f>ROUNDUP((BOM_table6[[#This Row],[QTY to Order]]/BOM_table6[[#This Row],[SKU QTY]]),0)</f>
        <v>1</v>
      </c>
      <c r="U308" s="110">
        <f>BOM_table6[[#This Row],[SKU QTY to Order]]*BOM_table6[[#This Row],[SKU Cost]]</f>
        <v>0</v>
      </c>
      <c r="V308" s="62"/>
      <c r="W308" s="45"/>
      <c r="X308" s="45"/>
      <c r="Y308" s="54"/>
      <c r="Z308" s="54"/>
      <c r="AA308" s="54"/>
      <c r="AB308" s="45"/>
      <c r="AC308" s="45"/>
    </row>
    <row r="309" spans="1:29" ht="15" customHeight="1" x14ac:dyDescent="0.2">
      <c r="A309" s="105" t="s">
        <v>160</v>
      </c>
      <c r="B309" s="44" t="s">
        <v>219</v>
      </c>
      <c r="C309" s="45" t="s">
        <v>775</v>
      </c>
      <c r="D309" s="45"/>
      <c r="E309" s="45"/>
      <c r="F309" s="45" t="s">
        <v>834</v>
      </c>
      <c r="G309" s="45">
        <v>1</v>
      </c>
      <c r="H309" s="45"/>
      <c r="J309" s="45" t="s">
        <v>166</v>
      </c>
      <c r="K309" s="45" t="s">
        <v>216</v>
      </c>
      <c r="L309" s="45"/>
      <c r="M309" s="106">
        <v>1</v>
      </c>
      <c r="N309" s="50"/>
      <c r="O309" s="110">
        <f>IF(OR(ISBLANK(BOM_table6[[#This Row],[SKU QTY]]),BOM_table6[[#This Row],[SKU Cost]]=0),0,BOM_table6[[#This Row],[SKU Cost]]/BOM_table6[[#This Row],[SKU QTY]])</f>
        <v>0</v>
      </c>
      <c r="P309" s="110">
        <f>IF(OR(ISBLANK(BOM_table6[[#This Row],[ASM QTY]]),ISBLANK(BOM_table6[[#This Row],[Unit Cost]])),0,BOM_table6[[#This Row],[ASM QTY]]*BOM_table6[[#This Row],[Unit Cost]])</f>
        <v>0</v>
      </c>
      <c r="Q309" s="45"/>
      <c r="R309" s="81"/>
      <c r="S309" s="111">
        <f>BOM_table6[[#This Row],[ASM QTY]]*$Q$2+BOM_table6[[#This Row],[Spare QTY Needed]]-BOM_table6[[#This Row],[QTY in Inventory]]</f>
        <v>1</v>
      </c>
      <c r="T309" s="111">
        <f>ROUNDUP((BOM_table6[[#This Row],[QTY to Order]]/BOM_table6[[#This Row],[SKU QTY]]),0)</f>
        <v>1</v>
      </c>
      <c r="U309" s="110">
        <f>BOM_table6[[#This Row],[SKU QTY to Order]]*BOM_table6[[#This Row],[SKU Cost]]</f>
        <v>0</v>
      </c>
      <c r="V309" s="62"/>
      <c r="W309" s="45"/>
      <c r="X309" s="45"/>
      <c r="Y309" s="54"/>
      <c r="Z309" s="54"/>
      <c r="AA309" s="54"/>
      <c r="AB309" s="45"/>
      <c r="AC309" s="45"/>
    </row>
    <row r="310" spans="1:29" ht="15" customHeight="1" x14ac:dyDescent="0.2">
      <c r="A310" s="105" t="s">
        <v>160</v>
      </c>
      <c r="B310" s="44" t="s">
        <v>2040</v>
      </c>
      <c r="C310" s="163" t="s">
        <v>2038</v>
      </c>
      <c r="D310" s="163"/>
      <c r="E310" s="45" t="s">
        <v>1380</v>
      </c>
      <c r="F310" s="45" t="s">
        <v>834</v>
      </c>
      <c r="G310" s="163">
        <v>1</v>
      </c>
      <c r="H310" s="163"/>
      <c r="I310" s="43" t="s">
        <v>2041</v>
      </c>
      <c r="J310" s="163"/>
      <c r="K310" s="163"/>
      <c r="L310" s="163"/>
      <c r="M310" s="106">
        <v>1</v>
      </c>
      <c r="N310" s="165"/>
      <c r="O310" s="110">
        <f>IF(OR(ISBLANK(BOM_table6[[#This Row],[SKU QTY]]),BOM_table6[[#This Row],[SKU Cost]]=0),0,BOM_table6[[#This Row],[SKU Cost]]/BOM_table6[[#This Row],[SKU QTY]])</f>
        <v>0</v>
      </c>
      <c r="P310" s="110">
        <f>IF(OR(ISBLANK(BOM_table6[[#This Row],[ASM QTY]]),ISBLANK(BOM_table6[[#This Row],[Unit Cost]])),0,BOM_table6[[#This Row],[ASM QTY]]*BOM_table6[[#This Row],[Unit Cost]])</f>
        <v>0</v>
      </c>
      <c r="Q310" s="163"/>
      <c r="R310" s="166"/>
      <c r="S310" s="111">
        <f>BOM_table6[[#This Row],[ASM QTY]]*$Q$2+BOM_table6[[#This Row],[Spare QTY Needed]]-BOM_table6[[#This Row],[QTY in Inventory]]</f>
        <v>1</v>
      </c>
      <c r="T310" s="111">
        <f>ROUNDUP((BOM_table6[[#This Row],[QTY to Order]]/BOM_table6[[#This Row],[SKU QTY]]),0)</f>
        <v>1</v>
      </c>
      <c r="U310" s="110">
        <f>BOM_table6[[#This Row],[SKU QTY to Order]]*BOM_table6[[#This Row],[SKU Cost]]</f>
        <v>0</v>
      </c>
      <c r="V310" s="165"/>
      <c r="W310" s="45"/>
      <c r="X310" s="45"/>
      <c r="Y310" s="168"/>
      <c r="Z310" s="167"/>
      <c r="AA310" s="160"/>
      <c r="AB310" s="163"/>
      <c r="AC310" s="45"/>
    </row>
    <row r="311" spans="1:29" ht="15" customHeight="1" x14ac:dyDescent="0.2">
      <c r="A311" s="105" t="s">
        <v>161</v>
      </c>
      <c r="B311" s="44" t="s">
        <v>778</v>
      </c>
      <c r="C311" s="45" t="s">
        <v>779</v>
      </c>
      <c r="D311" s="45"/>
      <c r="E311" s="45"/>
      <c r="F311" s="45" t="s">
        <v>834</v>
      </c>
      <c r="G311" s="45">
        <v>1</v>
      </c>
      <c r="H311" s="45"/>
      <c r="J311" s="45" t="s">
        <v>166</v>
      </c>
      <c r="K311" s="45" t="s">
        <v>216</v>
      </c>
      <c r="L311" s="45"/>
      <c r="M311" s="106">
        <v>1</v>
      </c>
      <c r="N311" s="50">
        <v>3.31</v>
      </c>
      <c r="O311" s="110">
        <f>IF(OR(ISBLANK(BOM_table6[[#This Row],[SKU QTY]]),BOM_table6[[#This Row],[SKU Cost]]=0),0,BOM_table6[[#This Row],[SKU Cost]]/BOM_table6[[#This Row],[SKU QTY]])</f>
        <v>3.31</v>
      </c>
      <c r="P311" s="110">
        <f>IF(OR(ISBLANK(BOM_table6[[#This Row],[ASM QTY]]),ISBLANK(BOM_table6[[#This Row],[Unit Cost]])),0,BOM_table6[[#This Row],[ASM QTY]]*BOM_table6[[#This Row],[Unit Cost]])</f>
        <v>3.31</v>
      </c>
      <c r="Q311" s="45">
        <v>1</v>
      </c>
      <c r="R311" s="81"/>
      <c r="S311" s="111">
        <f>BOM_table6[[#This Row],[ASM QTY]]*$Q$2+BOM_table6[[#This Row],[Spare QTY Needed]]-BOM_table6[[#This Row],[QTY in Inventory]]</f>
        <v>2</v>
      </c>
      <c r="T311" s="111">
        <f>ROUNDUP((BOM_table6[[#This Row],[QTY to Order]]/BOM_table6[[#This Row],[SKU QTY]]),0)</f>
        <v>2</v>
      </c>
      <c r="U311" s="110">
        <f>BOM_table6[[#This Row],[SKU QTY to Order]]*BOM_table6[[#This Row],[SKU Cost]]</f>
        <v>6.62</v>
      </c>
      <c r="V311" s="62"/>
      <c r="W311" s="45" t="s">
        <v>2191</v>
      </c>
      <c r="X311" s="45" t="s">
        <v>2192</v>
      </c>
      <c r="Y311" s="54">
        <v>44923</v>
      </c>
      <c r="Z311" s="54"/>
      <c r="AA311" s="54">
        <v>44924</v>
      </c>
      <c r="AB311" s="45"/>
      <c r="AC311" s="45"/>
    </row>
    <row r="312" spans="1:29" ht="15" customHeight="1" x14ac:dyDescent="0.2">
      <c r="A312" s="105" t="s">
        <v>160</v>
      </c>
      <c r="B312" s="44" t="s">
        <v>780</v>
      </c>
      <c r="C312" s="45" t="s">
        <v>781</v>
      </c>
      <c r="D312" s="45"/>
      <c r="E312" s="45" t="s">
        <v>782</v>
      </c>
      <c r="F312" s="45" t="s">
        <v>834</v>
      </c>
      <c r="G312" s="45">
        <v>1</v>
      </c>
      <c r="H312" s="45"/>
      <c r="J312" s="45" t="s">
        <v>166</v>
      </c>
      <c r="K312" s="45" t="s">
        <v>782</v>
      </c>
      <c r="L312" s="45"/>
      <c r="M312" s="106">
        <v>1</v>
      </c>
      <c r="N312" s="50"/>
      <c r="O312" s="110">
        <f>IF(OR(ISBLANK(BOM_table6[[#This Row],[SKU QTY]]),BOM_table6[[#This Row],[SKU Cost]]=0),0,BOM_table6[[#This Row],[SKU Cost]]/BOM_table6[[#This Row],[SKU QTY]])</f>
        <v>0</v>
      </c>
      <c r="P312" s="110">
        <f>IF(OR(ISBLANK(BOM_table6[[#This Row],[ASM QTY]]),ISBLANK(BOM_table6[[#This Row],[Unit Cost]])),0,BOM_table6[[#This Row],[ASM QTY]]*BOM_table6[[#This Row],[Unit Cost]])</f>
        <v>0</v>
      </c>
      <c r="Q312" s="45"/>
      <c r="R312" s="81"/>
      <c r="S312" s="111">
        <f>BOM_table6[[#This Row],[ASM QTY]]*$Q$2+BOM_table6[[#This Row],[Spare QTY Needed]]-BOM_table6[[#This Row],[QTY in Inventory]]</f>
        <v>1</v>
      </c>
      <c r="T312" s="111">
        <f>ROUNDUP((BOM_table6[[#This Row],[QTY to Order]]/BOM_table6[[#This Row],[SKU QTY]]),0)</f>
        <v>1</v>
      </c>
      <c r="U312" s="110">
        <f>BOM_table6[[#This Row],[SKU QTY to Order]]*BOM_table6[[#This Row],[SKU Cost]]</f>
        <v>0</v>
      </c>
      <c r="V312" s="62"/>
      <c r="W312" s="45"/>
      <c r="X312" s="45"/>
      <c r="Y312" s="45"/>
      <c r="Z312" s="54"/>
      <c r="AA312" s="45"/>
      <c r="AB312" s="45"/>
      <c r="AC312" s="45"/>
    </row>
    <row r="313" spans="1:29" ht="15" customHeight="1" x14ac:dyDescent="0.2">
      <c r="A313" s="105" t="s">
        <v>161</v>
      </c>
      <c r="B313" s="44" t="s">
        <v>759</v>
      </c>
      <c r="C313" s="45" t="s">
        <v>760</v>
      </c>
      <c r="D313" s="45"/>
      <c r="E313" s="45"/>
      <c r="F313" s="45" t="s">
        <v>834</v>
      </c>
      <c r="G313" s="45">
        <v>4</v>
      </c>
      <c r="H313" s="45"/>
      <c r="J313" s="45" t="s">
        <v>166</v>
      </c>
      <c r="K313" s="45" t="s">
        <v>216</v>
      </c>
      <c r="L313" s="45"/>
      <c r="M313" s="106">
        <v>1</v>
      </c>
      <c r="N313" s="50">
        <v>2.57</v>
      </c>
      <c r="O313" s="110">
        <f>IF(OR(ISBLANK(BOM_table6[[#This Row],[SKU QTY]]),BOM_table6[[#This Row],[SKU Cost]]=0),0,BOM_table6[[#This Row],[SKU Cost]]/BOM_table6[[#This Row],[SKU QTY]])</f>
        <v>2.57</v>
      </c>
      <c r="P313" s="110">
        <f>IF(OR(ISBLANK(BOM_table6[[#This Row],[ASM QTY]]),ISBLANK(BOM_table6[[#This Row],[Unit Cost]])),0,BOM_table6[[#This Row],[ASM QTY]]*BOM_table6[[#This Row],[Unit Cost]])</f>
        <v>10.28</v>
      </c>
      <c r="Q313" s="45">
        <v>2</v>
      </c>
      <c r="R313" s="81"/>
      <c r="S313" s="111">
        <f>BOM_table6[[#This Row],[ASM QTY]]*$Q$2+BOM_table6[[#This Row],[Spare QTY Needed]]-BOM_table6[[#This Row],[QTY in Inventory]]</f>
        <v>6</v>
      </c>
      <c r="T313" s="111">
        <f>ROUNDUP((BOM_table6[[#This Row],[QTY to Order]]/BOM_table6[[#This Row],[SKU QTY]]),0)</f>
        <v>6</v>
      </c>
      <c r="U313" s="110">
        <f>BOM_table6[[#This Row],[SKU QTY to Order]]*BOM_table6[[#This Row],[SKU Cost]]</f>
        <v>15.419999999999998</v>
      </c>
      <c r="V313" s="62"/>
      <c r="W313" s="45" t="s">
        <v>2191</v>
      </c>
      <c r="X313" s="45" t="s">
        <v>2192</v>
      </c>
      <c r="Y313" s="54">
        <v>44913</v>
      </c>
      <c r="Z313" s="54"/>
      <c r="AA313" s="54">
        <v>44924</v>
      </c>
      <c r="AB313" s="45"/>
      <c r="AC313" s="45"/>
    </row>
    <row r="314" spans="1:29" ht="15" customHeight="1" x14ac:dyDescent="0.2">
      <c r="A314" s="105" t="s">
        <v>161</v>
      </c>
      <c r="B314" s="44" t="s">
        <v>776</v>
      </c>
      <c r="C314" s="45" t="s">
        <v>777</v>
      </c>
      <c r="D314" s="45"/>
      <c r="E314" s="45"/>
      <c r="F314" s="45" t="s">
        <v>834</v>
      </c>
      <c r="G314" s="45">
        <v>1</v>
      </c>
      <c r="H314" s="45"/>
      <c r="J314" s="45" t="s">
        <v>1321</v>
      </c>
      <c r="K314" s="45" t="s">
        <v>216</v>
      </c>
      <c r="L314" s="45"/>
      <c r="M314" s="106">
        <v>1</v>
      </c>
      <c r="N314" s="50">
        <v>10.43</v>
      </c>
      <c r="O314" s="110">
        <f>IF(OR(ISBLANK(BOM_table6[[#This Row],[SKU QTY]]),BOM_table6[[#This Row],[SKU Cost]]=0),0,BOM_table6[[#This Row],[SKU Cost]]/BOM_table6[[#This Row],[SKU QTY]])</f>
        <v>10.43</v>
      </c>
      <c r="P314" s="110">
        <f>IF(OR(ISBLANK(BOM_table6[[#This Row],[ASM QTY]]),ISBLANK(BOM_table6[[#This Row],[Unit Cost]])),0,BOM_table6[[#This Row],[ASM QTY]]*BOM_table6[[#This Row],[Unit Cost]])</f>
        <v>10.43</v>
      </c>
      <c r="Q314" s="45"/>
      <c r="R314" s="81"/>
      <c r="S314" s="111">
        <f>BOM_table6[[#This Row],[ASM QTY]]*$Q$2+BOM_table6[[#This Row],[Spare QTY Needed]]-BOM_table6[[#This Row],[QTY in Inventory]]</f>
        <v>1</v>
      </c>
      <c r="T314" s="111">
        <f>ROUNDUP((BOM_table6[[#This Row],[QTY to Order]]/BOM_table6[[#This Row],[SKU QTY]]),0)</f>
        <v>1</v>
      </c>
      <c r="U314" s="110">
        <f>BOM_table6[[#This Row],[SKU QTY to Order]]*BOM_table6[[#This Row],[SKU Cost]]</f>
        <v>10.43</v>
      </c>
      <c r="V314" s="62"/>
      <c r="W314" s="45" t="s">
        <v>2191</v>
      </c>
      <c r="X314" s="45" t="s">
        <v>2192</v>
      </c>
      <c r="Y314" s="54">
        <v>44923</v>
      </c>
      <c r="Z314" s="54"/>
      <c r="AA314" s="54">
        <v>44924</v>
      </c>
      <c r="AB314" s="45"/>
      <c r="AC314" s="45"/>
    </row>
    <row r="315" spans="1:29" ht="15" customHeight="1" x14ac:dyDescent="0.2">
      <c r="A315" s="105" t="s">
        <v>161</v>
      </c>
      <c r="B315" s="44" t="s">
        <v>483</v>
      </c>
      <c r="C315" s="45" t="s">
        <v>484</v>
      </c>
      <c r="D315" s="45"/>
      <c r="E315" s="45"/>
      <c r="F315" s="45" t="s">
        <v>834</v>
      </c>
      <c r="G315" s="45">
        <v>2</v>
      </c>
      <c r="H315" s="45"/>
      <c r="J315" s="45" t="s">
        <v>166</v>
      </c>
      <c r="K315" s="45" t="s">
        <v>216</v>
      </c>
      <c r="L315" s="45"/>
      <c r="M315" s="106">
        <v>1</v>
      </c>
      <c r="N315" s="50">
        <f>4.43/25</f>
        <v>0.1772</v>
      </c>
      <c r="O315" s="110">
        <f>IF(OR(ISBLANK(BOM_table6[[#This Row],[SKU QTY]]),BOM_table6[[#This Row],[SKU Cost]]=0),0,BOM_table6[[#This Row],[SKU Cost]]/BOM_table6[[#This Row],[SKU QTY]])</f>
        <v>0.1772</v>
      </c>
      <c r="P315" s="110">
        <f>IF(OR(ISBLANK(BOM_table6[[#This Row],[ASM QTY]]),ISBLANK(BOM_table6[[#This Row],[Unit Cost]])),0,BOM_table6[[#This Row],[ASM QTY]]*BOM_table6[[#This Row],[Unit Cost]])</f>
        <v>0.35439999999999999</v>
      </c>
      <c r="Q315" s="45">
        <f>25-14</f>
        <v>11</v>
      </c>
      <c r="R315" s="81"/>
      <c r="S315" s="111">
        <f>BOM_table6[[#This Row],[ASM QTY]]*$Q$2+BOM_table6[[#This Row],[Spare QTY Needed]]-BOM_table6[[#This Row],[QTY in Inventory]]</f>
        <v>13</v>
      </c>
      <c r="T315" s="111">
        <f>ROUNDUP((BOM_table6[[#This Row],[QTY to Order]]/BOM_table6[[#This Row],[SKU QTY]]),0)</f>
        <v>13</v>
      </c>
      <c r="U315" s="110">
        <f>BOM_table6[[#This Row],[SKU QTY to Order]]*BOM_table6[[#This Row],[SKU Cost]]</f>
        <v>2.3035999999999999</v>
      </c>
      <c r="V315" s="62"/>
      <c r="W315" s="45" t="s">
        <v>2191</v>
      </c>
      <c r="X315" s="45" t="s">
        <v>2192</v>
      </c>
      <c r="Y315" s="97">
        <v>44923</v>
      </c>
      <c r="Z315" s="54"/>
      <c r="AA315" s="97">
        <v>44924</v>
      </c>
      <c r="AB315" s="45"/>
      <c r="AC315" s="45"/>
    </row>
    <row r="316" spans="1:29" ht="15" customHeight="1" x14ac:dyDescent="0.2">
      <c r="A316" s="105" t="s">
        <v>161</v>
      </c>
      <c r="B316" s="44" t="s">
        <v>785</v>
      </c>
      <c r="C316" s="45" t="s">
        <v>786</v>
      </c>
      <c r="D316" s="45"/>
      <c r="E316" s="45"/>
      <c r="F316" s="45" t="s">
        <v>834</v>
      </c>
      <c r="G316" s="45">
        <v>4</v>
      </c>
      <c r="H316" s="45"/>
      <c r="J316" s="45" t="s">
        <v>1321</v>
      </c>
      <c r="K316" s="45" t="s">
        <v>216</v>
      </c>
      <c r="L316" s="45"/>
      <c r="M316" s="106">
        <v>1</v>
      </c>
      <c r="N316" s="50">
        <f>6.96/25</f>
        <v>0.27839999999999998</v>
      </c>
      <c r="O316" s="110">
        <f>IF(OR(ISBLANK(BOM_table6[[#This Row],[SKU QTY]]),BOM_table6[[#This Row],[SKU Cost]]=0),0,BOM_table6[[#This Row],[SKU Cost]]/BOM_table6[[#This Row],[SKU QTY]])</f>
        <v>0.27839999999999998</v>
      </c>
      <c r="P316" s="110">
        <f>IF(OR(ISBLANK(BOM_table6[[#This Row],[ASM QTY]]),ISBLANK(BOM_table6[[#This Row],[Unit Cost]])),0,BOM_table6[[#This Row],[ASM QTY]]*BOM_table6[[#This Row],[Unit Cost]])</f>
        <v>1.1135999999999999</v>
      </c>
      <c r="Q316" s="45">
        <f>25-4</f>
        <v>21</v>
      </c>
      <c r="R316" s="81"/>
      <c r="S316" s="111">
        <f>BOM_table6[[#This Row],[ASM QTY]]*$Q$2+BOM_table6[[#This Row],[Spare QTY Needed]]-BOM_table6[[#This Row],[QTY in Inventory]]</f>
        <v>25</v>
      </c>
      <c r="T316" s="111">
        <f>ROUNDUP((BOM_table6[[#This Row],[QTY to Order]]/BOM_table6[[#This Row],[SKU QTY]]),0)</f>
        <v>25</v>
      </c>
      <c r="U316" s="110">
        <f>BOM_table6[[#This Row],[SKU QTY to Order]]*BOM_table6[[#This Row],[SKU Cost]]</f>
        <v>6.9599999999999991</v>
      </c>
      <c r="V316" s="62"/>
      <c r="W316" s="45" t="s">
        <v>2191</v>
      </c>
      <c r="X316" s="45" t="s">
        <v>2192</v>
      </c>
      <c r="Y316" s="54">
        <v>44923</v>
      </c>
      <c r="Z316" s="54"/>
      <c r="AA316" s="54">
        <v>44924</v>
      </c>
      <c r="AB316" s="45"/>
      <c r="AC316" s="45"/>
    </row>
    <row r="317" spans="1:29" ht="15" customHeight="1" x14ac:dyDescent="0.2">
      <c r="A317" s="105" t="s">
        <v>161</v>
      </c>
      <c r="B317" s="44" t="s">
        <v>769</v>
      </c>
      <c r="C317" s="45" t="s">
        <v>766</v>
      </c>
      <c r="D317" s="45"/>
      <c r="E317" s="45"/>
      <c r="F317" s="45" t="s">
        <v>834</v>
      </c>
      <c r="G317" s="45">
        <v>2</v>
      </c>
      <c r="H317" s="45"/>
      <c r="J317" s="45" t="s">
        <v>1321</v>
      </c>
      <c r="K317" s="45" t="s">
        <v>216</v>
      </c>
      <c r="L317" s="45"/>
      <c r="M317" s="106">
        <v>1</v>
      </c>
      <c r="N317" s="50">
        <v>4.47</v>
      </c>
      <c r="O317" s="110">
        <f>IF(OR(ISBLANK(BOM_table6[[#This Row],[SKU QTY]]),BOM_table6[[#This Row],[SKU Cost]]=0),0,BOM_table6[[#This Row],[SKU Cost]]/BOM_table6[[#This Row],[SKU QTY]])</f>
        <v>4.47</v>
      </c>
      <c r="P317" s="110">
        <f>IF(OR(ISBLANK(BOM_table6[[#This Row],[ASM QTY]]),ISBLANK(BOM_table6[[#This Row],[Unit Cost]])),0,BOM_table6[[#This Row],[ASM QTY]]*BOM_table6[[#This Row],[Unit Cost]])</f>
        <v>8.94</v>
      </c>
      <c r="Q317" s="45">
        <v>1</v>
      </c>
      <c r="R317" s="81"/>
      <c r="S317" s="111">
        <f>BOM_table6[[#This Row],[ASM QTY]]*$Q$2+BOM_table6[[#This Row],[Spare QTY Needed]]-BOM_table6[[#This Row],[QTY in Inventory]]</f>
        <v>3</v>
      </c>
      <c r="T317" s="111">
        <f>ROUNDUP((BOM_table6[[#This Row],[QTY to Order]]/BOM_table6[[#This Row],[SKU QTY]]),0)</f>
        <v>3</v>
      </c>
      <c r="U317" s="110">
        <f>BOM_table6[[#This Row],[SKU QTY to Order]]*BOM_table6[[#This Row],[SKU Cost]]</f>
        <v>13.41</v>
      </c>
      <c r="V317" s="62"/>
      <c r="W317" s="45" t="s">
        <v>2191</v>
      </c>
      <c r="X317" s="45" t="s">
        <v>2192</v>
      </c>
      <c r="Y317" s="54">
        <v>44923</v>
      </c>
      <c r="Z317" s="54"/>
      <c r="AA317" s="54">
        <v>44924</v>
      </c>
      <c r="AB317" s="45"/>
      <c r="AC317" s="45"/>
    </row>
    <row r="318" spans="1:29" ht="15" customHeight="1" x14ac:dyDescent="0.2">
      <c r="A318" s="105" t="s">
        <v>161</v>
      </c>
      <c r="B318" s="44" t="s">
        <v>764</v>
      </c>
      <c r="C318" s="45" t="s">
        <v>765</v>
      </c>
      <c r="D318" s="45"/>
      <c r="E318" s="45"/>
      <c r="F318" s="45" t="s">
        <v>834</v>
      </c>
      <c r="G318" s="45">
        <v>4</v>
      </c>
      <c r="H318" s="45"/>
      <c r="J318" s="45" t="s">
        <v>1321</v>
      </c>
      <c r="K318" s="45" t="s">
        <v>216</v>
      </c>
      <c r="L318" s="45"/>
      <c r="M318" s="106">
        <v>1</v>
      </c>
      <c r="N318" s="50">
        <v>1.57</v>
      </c>
      <c r="O318" s="110">
        <f>IF(OR(ISBLANK(BOM_table6[[#This Row],[SKU QTY]]),BOM_table6[[#This Row],[SKU Cost]]=0),0,BOM_table6[[#This Row],[SKU Cost]]/BOM_table6[[#This Row],[SKU QTY]])</f>
        <v>1.57</v>
      </c>
      <c r="P318" s="110">
        <f>IF(OR(ISBLANK(BOM_table6[[#This Row],[ASM QTY]]),ISBLANK(BOM_table6[[#This Row],[Unit Cost]])),0,BOM_table6[[#This Row],[ASM QTY]]*BOM_table6[[#This Row],[Unit Cost]])</f>
        <v>6.28</v>
      </c>
      <c r="Q318" s="45">
        <v>1</v>
      </c>
      <c r="R318" s="81"/>
      <c r="S318" s="111">
        <f>BOM_table6[[#This Row],[ASM QTY]]*$Q$2+BOM_table6[[#This Row],[Spare QTY Needed]]-BOM_table6[[#This Row],[QTY in Inventory]]</f>
        <v>5</v>
      </c>
      <c r="T318" s="111">
        <f>ROUNDUP((BOM_table6[[#This Row],[QTY to Order]]/BOM_table6[[#This Row],[SKU QTY]]),0)</f>
        <v>5</v>
      </c>
      <c r="U318" s="110">
        <f>BOM_table6[[#This Row],[SKU QTY to Order]]*BOM_table6[[#This Row],[SKU Cost]]</f>
        <v>7.8500000000000005</v>
      </c>
      <c r="V318" s="62"/>
      <c r="W318" s="45" t="s">
        <v>2191</v>
      </c>
      <c r="X318" s="45" t="s">
        <v>2192</v>
      </c>
      <c r="Y318" s="97">
        <v>44923</v>
      </c>
      <c r="Z318" s="54"/>
      <c r="AA318" s="97">
        <v>44924</v>
      </c>
      <c r="AB318" s="45"/>
      <c r="AC318" s="45"/>
    </row>
    <row r="319" spans="1:29" ht="15" customHeight="1" x14ac:dyDescent="0.2">
      <c r="A319" s="105" t="s">
        <v>160</v>
      </c>
      <c r="B319" s="44" t="s">
        <v>1519</v>
      </c>
      <c r="C319" s="45" t="s">
        <v>1518</v>
      </c>
      <c r="D319" s="45"/>
      <c r="E319" s="45"/>
      <c r="F319" s="45" t="s">
        <v>834</v>
      </c>
      <c r="G319" s="45">
        <v>2</v>
      </c>
      <c r="H319" s="45"/>
      <c r="J319" s="45" t="s">
        <v>166</v>
      </c>
      <c r="K319" s="45" t="s">
        <v>216</v>
      </c>
      <c r="L319" s="45"/>
      <c r="M319" s="106">
        <v>1</v>
      </c>
      <c r="N319" s="50"/>
      <c r="O319" s="110">
        <f>IF(OR(ISBLANK(BOM_table6[[#This Row],[SKU QTY]]),BOM_table6[[#This Row],[SKU Cost]]=0),0,BOM_table6[[#This Row],[SKU Cost]]/BOM_table6[[#This Row],[SKU QTY]])</f>
        <v>0</v>
      </c>
      <c r="P319" s="110">
        <f>IF(OR(ISBLANK(BOM_table6[[#This Row],[ASM QTY]]),ISBLANK(BOM_table6[[#This Row],[Unit Cost]])),0,BOM_table6[[#This Row],[ASM QTY]]*BOM_table6[[#This Row],[Unit Cost]])</f>
        <v>0</v>
      </c>
      <c r="Q319" s="45"/>
      <c r="R319" s="81"/>
      <c r="S319" s="111">
        <f>BOM_table6[[#This Row],[ASM QTY]]*$Q$2+BOM_table6[[#This Row],[Spare QTY Needed]]-BOM_table6[[#This Row],[QTY in Inventory]]</f>
        <v>2</v>
      </c>
      <c r="T319" s="111">
        <f>ROUNDUP((BOM_table6[[#This Row],[QTY to Order]]/BOM_table6[[#This Row],[SKU QTY]]),0)</f>
        <v>2</v>
      </c>
      <c r="U319" s="110">
        <f>BOM_table6[[#This Row],[SKU QTY to Order]]*BOM_table6[[#This Row],[SKU Cost]]</f>
        <v>0</v>
      </c>
      <c r="V319" s="62"/>
      <c r="W319" s="45"/>
      <c r="X319" s="45"/>
      <c r="Y319" s="54"/>
      <c r="Z319" s="54"/>
      <c r="AA319" s="45"/>
      <c r="AB319" s="45"/>
      <c r="AC319" s="45"/>
    </row>
    <row r="320" spans="1:29" ht="15" customHeight="1" x14ac:dyDescent="0.2">
      <c r="A320" s="105" t="s">
        <v>160</v>
      </c>
      <c r="B320" s="44" t="s">
        <v>1521</v>
      </c>
      <c r="C320" s="45" t="s">
        <v>1520</v>
      </c>
      <c r="D320" s="45"/>
      <c r="E320" s="45"/>
      <c r="F320" s="45" t="s">
        <v>834</v>
      </c>
      <c r="G320" s="45">
        <v>2</v>
      </c>
      <c r="H320" s="45"/>
      <c r="J320" s="45" t="s">
        <v>166</v>
      </c>
      <c r="K320" s="45" t="s">
        <v>216</v>
      </c>
      <c r="L320" s="45"/>
      <c r="M320" s="106">
        <v>1</v>
      </c>
      <c r="N320" s="50"/>
      <c r="O320" s="110">
        <f>IF(OR(ISBLANK(BOM_table6[[#This Row],[SKU QTY]]),BOM_table6[[#This Row],[SKU Cost]]=0),0,BOM_table6[[#This Row],[SKU Cost]]/BOM_table6[[#This Row],[SKU QTY]])</f>
        <v>0</v>
      </c>
      <c r="P320" s="110">
        <f>IF(OR(ISBLANK(BOM_table6[[#This Row],[ASM QTY]]),ISBLANK(BOM_table6[[#This Row],[Unit Cost]])),0,BOM_table6[[#This Row],[ASM QTY]]*BOM_table6[[#This Row],[Unit Cost]])</f>
        <v>0</v>
      </c>
      <c r="Q320" s="45"/>
      <c r="R320" s="81"/>
      <c r="S320" s="111">
        <f>BOM_table6[[#This Row],[ASM QTY]]*$Q$2+BOM_table6[[#This Row],[Spare QTY Needed]]-BOM_table6[[#This Row],[QTY in Inventory]]</f>
        <v>2</v>
      </c>
      <c r="T320" s="111">
        <f>ROUNDUP((BOM_table6[[#This Row],[QTY to Order]]/BOM_table6[[#This Row],[SKU QTY]]),0)</f>
        <v>2</v>
      </c>
      <c r="U320" s="110">
        <f>BOM_table6[[#This Row],[SKU QTY to Order]]*BOM_table6[[#This Row],[SKU Cost]]</f>
        <v>0</v>
      </c>
      <c r="V320" s="62"/>
      <c r="W320" s="45"/>
      <c r="X320" s="45"/>
      <c r="Y320" s="54"/>
      <c r="Z320" s="54"/>
      <c r="AA320" s="45"/>
      <c r="AB320" s="45"/>
      <c r="AC320" s="45"/>
    </row>
    <row r="321" spans="1:29" ht="15" customHeight="1" x14ac:dyDescent="0.2">
      <c r="A321" s="105" t="s">
        <v>160</v>
      </c>
      <c r="B321" s="44" t="s">
        <v>719</v>
      </c>
      <c r="C321" s="45" t="s">
        <v>720</v>
      </c>
      <c r="D321" s="45" t="s">
        <v>373</v>
      </c>
      <c r="E321" s="45" t="s">
        <v>1049</v>
      </c>
      <c r="F321" s="45" t="s">
        <v>834</v>
      </c>
      <c r="G321" s="45">
        <v>1</v>
      </c>
      <c r="H321" s="45"/>
      <c r="J321" s="45" t="s">
        <v>171</v>
      </c>
      <c r="K321" s="45" t="s">
        <v>1439</v>
      </c>
      <c r="L321" s="45"/>
      <c r="M321" s="106">
        <v>1</v>
      </c>
      <c r="N321" s="50"/>
      <c r="O321" s="110">
        <f>IF(OR(ISBLANK(BOM_table6[[#This Row],[SKU QTY]]),BOM_table6[[#This Row],[SKU Cost]]=0),0,BOM_table6[[#This Row],[SKU Cost]]/BOM_table6[[#This Row],[SKU QTY]])</f>
        <v>0</v>
      </c>
      <c r="P321" s="110">
        <f>IF(OR(ISBLANK(BOM_table6[[#This Row],[ASM QTY]]),ISBLANK(BOM_table6[[#This Row],[Unit Cost]])),0,BOM_table6[[#This Row],[ASM QTY]]*BOM_table6[[#This Row],[Unit Cost]])</f>
        <v>0</v>
      </c>
      <c r="Q321" s="45"/>
      <c r="R321" s="81"/>
      <c r="S321" s="111">
        <f>BOM_table6[[#This Row],[ASM QTY]]*$Q$2+BOM_table6[[#This Row],[Spare QTY Needed]]-BOM_table6[[#This Row],[QTY in Inventory]]</f>
        <v>1</v>
      </c>
      <c r="T321" s="111">
        <f>ROUNDUP((BOM_table6[[#This Row],[QTY to Order]]/BOM_table6[[#This Row],[SKU QTY]]),0)</f>
        <v>1</v>
      </c>
      <c r="U321" s="110">
        <f>BOM_table6[[#This Row],[SKU QTY to Order]]*BOM_table6[[#This Row],[SKU Cost]]</f>
        <v>0</v>
      </c>
      <c r="V321" s="62"/>
      <c r="W321" s="45"/>
      <c r="X321" s="45"/>
      <c r="Y321" s="97"/>
      <c r="Z321" s="54"/>
      <c r="AA321" s="45"/>
      <c r="AB321" s="45"/>
      <c r="AC321" s="45"/>
    </row>
    <row r="322" spans="1:29" ht="15" customHeight="1" x14ac:dyDescent="0.2">
      <c r="A322" s="105" t="s">
        <v>160</v>
      </c>
      <c r="B322" s="44" t="s">
        <v>783</v>
      </c>
      <c r="C322" s="45" t="s">
        <v>784</v>
      </c>
      <c r="D322" s="45"/>
      <c r="E322" s="45" t="s">
        <v>1049</v>
      </c>
      <c r="F322" s="45" t="s">
        <v>834</v>
      </c>
      <c r="G322" s="45">
        <v>16</v>
      </c>
      <c r="H322" s="45"/>
      <c r="J322" s="45" t="s">
        <v>1320</v>
      </c>
      <c r="K322" s="45"/>
      <c r="L322" s="45"/>
      <c r="M322" s="106">
        <v>1</v>
      </c>
      <c r="N322" s="50"/>
      <c r="O322" s="110">
        <f>IF(OR(ISBLANK(BOM_table6[[#This Row],[SKU QTY]]),BOM_table6[[#This Row],[SKU Cost]]=0),0,BOM_table6[[#This Row],[SKU Cost]]/BOM_table6[[#This Row],[SKU QTY]])</f>
        <v>0</v>
      </c>
      <c r="P322" s="110">
        <f>IF(OR(ISBLANK(BOM_table6[[#This Row],[ASM QTY]]),ISBLANK(BOM_table6[[#This Row],[Unit Cost]])),0,BOM_table6[[#This Row],[ASM QTY]]*BOM_table6[[#This Row],[Unit Cost]])</f>
        <v>0</v>
      </c>
      <c r="Q322" s="45"/>
      <c r="R322" s="81"/>
      <c r="S322" s="111">
        <f>BOM_table6[[#This Row],[ASM QTY]]*$Q$2+BOM_table6[[#This Row],[Spare QTY Needed]]-BOM_table6[[#This Row],[QTY in Inventory]]</f>
        <v>16</v>
      </c>
      <c r="T322" s="111">
        <f>ROUNDUP((BOM_table6[[#This Row],[QTY to Order]]/BOM_table6[[#This Row],[SKU QTY]]),0)</f>
        <v>16</v>
      </c>
      <c r="U322" s="110">
        <f>BOM_table6[[#This Row],[SKU QTY to Order]]*BOM_table6[[#This Row],[SKU Cost]]</f>
        <v>0</v>
      </c>
      <c r="V322" s="62"/>
      <c r="W322" s="45"/>
      <c r="X322" s="45"/>
      <c r="Y322" s="45"/>
      <c r="Z322" s="54"/>
      <c r="AA322" s="45"/>
      <c r="AB322" s="45"/>
      <c r="AC322" s="45"/>
    </row>
    <row r="323" spans="1:29" ht="15" customHeight="1" x14ac:dyDescent="0.2">
      <c r="A323" s="105" t="s">
        <v>160</v>
      </c>
      <c r="B323" s="44" t="s">
        <v>761</v>
      </c>
      <c r="C323" s="45" t="s">
        <v>839</v>
      </c>
      <c r="D323" s="45"/>
      <c r="E323" s="45" t="s">
        <v>838</v>
      </c>
      <c r="F323" s="45" t="s">
        <v>834</v>
      </c>
      <c r="G323" s="45">
        <v>8</v>
      </c>
      <c r="H323" s="45"/>
      <c r="J323" s="45" t="s">
        <v>166</v>
      </c>
      <c r="K323" s="45" t="s">
        <v>838</v>
      </c>
      <c r="L323" s="45"/>
      <c r="M323" s="106">
        <v>1</v>
      </c>
      <c r="N323" s="50"/>
      <c r="O323" s="110">
        <f>IF(OR(ISBLANK(BOM_table6[[#This Row],[SKU QTY]]),BOM_table6[[#This Row],[SKU Cost]]=0),0,BOM_table6[[#This Row],[SKU Cost]]/BOM_table6[[#This Row],[SKU QTY]])</f>
        <v>0</v>
      </c>
      <c r="P323" s="110">
        <f>IF(OR(ISBLANK(BOM_table6[[#This Row],[ASM QTY]]),ISBLANK(BOM_table6[[#This Row],[Unit Cost]])),0,BOM_table6[[#This Row],[ASM QTY]]*BOM_table6[[#This Row],[Unit Cost]])</f>
        <v>0</v>
      </c>
      <c r="Q323" s="45"/>
      <c r="R323" s="81"/>
      <c r="S323" s="111">
        <f>BOM_table6[[#This Row],[ASM QTY]]*$Q$2+BOM_table6[[#This Row],[Spare QTY Needed]]-BOM_table6[[#This Row],[QTY in Inventory]]</f>
        <v>8</v>
      </c>
      <c r="T323" s="111">
        <f>ROUNDUP((BOM_table6[[#This Row],[QTY to Order]]/BOM_table6[[#This Row],[SKU QTY]]),0)</f>
        <v>8</v>
      </c>
      <c r="U323" s="110">
        <f>BOM_table6[[#This Row],[SKU QTY to Order]]*BOM_table6[[#This Row],[SKU Cost]]</f>
        <v>0</v>
      </c>
      <c r="V323" s="62"/>
      <c r="W323" s="45"/>
      <c r="X323" s="45"/>
      <c r="Y323" s="45"/>
      <c r="Z323" s="54"/>
      <c r="AA323" s="45"/>
      <c r="AB323" s="45"/>
      <c r="AC323" s="45"/>
    </row>
    <row r="324" spans="1:29" ht="15" customHeight="1" x14ac:dyDescent="0.2">
      <c r="A324" s="105" t="s">
        <v>160</v>
      </c>
      <c r="B324" s="44" t="s">
        <v>762</v>
      </c>
      <c r="C324" s="45" t="s">
        <v>763</v>
      </c>
      <c r="D324" s="45"/>
      <c r="E324" s="45" t="s">
        <v>838</v>
      </c>
      <c r="F324" s="45" t="s">
        <v>834</v>
      </c>
      <c r="G324" s="45">
        <v>4</v>
      </c>
      <c r="H324" s="45"/>
      <c r="J324" s="45" t="s">
        <v>166</v>
      </c>
      <c r="K324" s="45" t="s">
        <v>838</v>
      </c>
      <c r="L324" s="45"/>
      <c r="M324" s="106">
        <v>1</v>
      </c>
      <c r="N324" s="50"/>
      <c r="O324" s="110">
        <f>IF(OR(ISBLANK(BOM_table6[[#This Row],[SKU QTY]]),BOM_table6[[#This Row],[SKU Cost]]=0),0,BOM_table6[[#This Row],[SKU Cost]]/BOM_table6[[#This Row],[SKU QTY]])</f>
        <v>0</v>
      </c>
      <c r="P324" s="110">
        <f>IF(OR(ISBLANK(BOM_table6[[#This Row],[ASM QTY]]),ISBLANK(BOM_table6[[#This Row],[Unit Cost]])),0,BOM_table6[[#This Row],[ASM QTY]]*BOM_table6[[#This Row],[Unit Cost]])</f>
        <v>0</v>
      </c>
      <c r="Q324" s="45"/>
      <c r="R324" s="81"/>
      <c r="S324" s="111">
        <f>BOM_table6[[#This Row],[ASM QTY]]*$Q$2+BOM_table6[[#This Row],[Spare QTY Needed]]-BOM_table6[[#This Row],[QTY in Inventory]]</f>
        <v>4</v>
      </c>
      <c r="T324" s="111">
        <f>ROUNDUP((BOM_table6[[#This Row],[QTY to Order]]/BOM_table6[[#This Row],[SKU QTY]]),0)</f>
        <v>4</v>
      </c>
      <c r="U324" s="110">
        <f>BOM_table6[[#This Row],[SKU QTY to Order]]*BOM_table6[[#This Row],[SKU Cost]]</f>
        <v>0</v>
      </c>
      <c r="V324" s="62"/>
      <c r="W324" s="45"/>
      <c r="X324" s="45"/>
      <c r="Y324" s="45"/>
      <c r="Z324" s="54"/>
      <c r="AA324" s="45"/>
      <c r="AB324" s="45"/>
      <c r="AC324" s="45"/>
    </row>
    <row r="325" spans="1:29" ht="15" customHeight="1" x14ac:dyDescent="0.2">
      <c r="A325" s="105" t="s">
        <v>161</v>
      </c>
      <c r="B325" s="44" t="s">
        <v>736</v>
      </c>
      <c r="C325" s="45" t="s">
        <v>737</v>
      </c>
      <c r="D325" s="45" t="s">
        <v>364</v>
      </c>
      <c r="E325" s="45" t="s">
        <v>1049</v>
      </c>
      <c r="F325" s="45" t="s">
        <v>834</v>
      </c>
      <c r="G325" s="45">
        <v>1</v>
      </c>
      <c r="H325" s="45" t="s">
        <v>2175</v>
      </c>
      <c r="I325" s="190"/>
      <c r="J325" s="45" t="s">
        <v>169</v>
      </c>
      <c r="K325" s="45" t="s">
        <v>1422</v>
      </c>
      <c r="L325" s="45"/>
      <c r="M325" s="106">
        <v>1</v>
      </c>
      <c r="N325" s="50">
        <v>2765</v>
      </c>
      <c r="O325" s="110">
        <f>IF(OR(ISBLANK(BOM_table6[[#This Row],[SKU QTY]]),BOM_table6[[#This Row],[SKU Cost]]=0),0,BOM_table6[[#This Row],[SKU Cost]]/BOM_table6[[#This Row],[SKU QTY]])</f>
        <v>2765</v>
      </c>
      <c r="P325" s="110">
        <f>IF(OR(ISBLANK(BOM_table6[[#This Row],[ASM QTY]]),ISBLANK(BOM_table6[[#This Row],[Unit Cost]])),0,BOM_table6[[#This Row],[ASM QTY]]*BOM_table6[[#This Row],[Unit Cost]])</f>
        <v>2765</v>
      </c>
      <c r="Q325" s="45">
        <v>0</v>
      </c>
      <c r="R325" s="81">
        <v>0</v>
      </c>
      <c r="S325" s="111">
        <f>BOM_table6[[#This Row],[ASM QTY]]*$Q$2+BOM_table6[[#This Row],[Spare QTY Needed]]-BOM_table6[[#This Row],[QTY in Inventory]]</f>
        <v>1</v>
      </c>
      <c r="T325" s="111">
        <f>ROUNDUP((BOM_table6[[#This Row],[QTY to Order]]/BOM_table6[[#This Row],[SKU QTY]]),0)</f>
        <v>1</v>
      </c>
      <c r="U325" s="110">
        <f>BOM_table6[[#This Row],[SKU QTY to Order]]*BOM_table6[[#This Row],[SKU Cost]]</f>
        <v>2765</v>
      </c>
      <c r="V325" s="62"/>
      <c r="W325" s="45" t="s">
        <v>2180</v>
      </c>
      <c r="X325" s="45" t="s">
        <v>2217</v>
      </c>
      <c r="Y325" s="54">
        <v>44858</v>
      </c>
      <c r="Z325" s="54">
        <v>44907</v>
      </c>
      <c r="AA325" s="54"/>
      <c r="AB325" s="45"/>
      <c r="AC325" s="45"/>
    </row>
    <row r="326" spans="1:29" ht="15" customHeight="1" x14ac:dyDescent="0.2">
      <c r="A326" s="105" t="s">
        <v>161</v>
      </c>
      <c r="B326" s="44" t="s">
        <v>738</v>
      </c>
      <c r="C326" s="45" t="s">
        <v>739</v>
      </c>
      <c r="D326" s="45" t="s">
        <v>2204</v>
      </c>
      <c r="E326" s="45" t="s">
        <v>1049</v>
      </c>
      <c r="F326" s="45" t="s">
        <v>834</v>
      </c>
      <c r="G326" s="45">
        <v>1</v>
      </c>
      <c r="H326" s="45" t="s">
        <v>2175</v>
      </c>
      <c r="I326" s="43" t="s">
        <v>2205</v>
      </c>
      <c r="J326" s="45" t="s">
        <v>169</v>
      </c>
      <c r="K326" s="45" t="s">
        <v>1422</v>
      </c>
      <c r="L326" s="45"/>
      <c r="M326" s="106">
        <v>1</v>
      </c>
      <c r="N326" s="50">
        <v>3845</v>
      </c>
      <c r="O326" s="110">
        <f>IF(OR(ISBLANK(BOM_table6[[#This Row],[SKU QTY]]),BOM_table6[[#This Row],[SKU Cost]]=0),0,BOM_table6[[#This Row],[SKU Cost]]/BOM_table6[[#This Row],[SKU QTY]])</f>
        <v>3845</v>
      </c>
      <c r="P326" s="110">
        <f>IF(OR(ISBLANK(BOM_table6[[#This Row],[ASM QTY]]),ISBLANK(BOM_table6[[#This Row],[Unit Cost]])),0,BOM_table6[[#This Row],[ASM QTY]]*BOM_table6[[#This Row],[Unit Cost]])</f>
        <v>3845</v>
      </c>
      <c r="Q326" s="45">
        <v>0</v>
      </c>
      <c r="R326" s="81">
        <v>0</v>
      </c>
      <c r="S326" s="111">
        <f>BOM_table6[[#This Row],[ASM QTY]]*$Q$2+BOM_table6[[#This Row],[Spare QTY Needed]]-BOM_table6[[#This Row],[QTY in Inventory]]</f>
        <v>1</v>
      </c>
      <c r="T326" s="111">
        <f>ROUNDUP((BOM_table6[[#This Row],[QTY to Order]]/BOM_table6[[#This Row],[SKU QTY]]),0)</f>
        <v>1</v>
      </c>
      <c r="U326" s="110">
        <f>BOM_table6[[#This Row],[SKU QTY to Order]]*BOM_table6[[#This Row],[SKU Cost]]</f>
        <v>3845</v>
      </c>
      <c r="V326" s="62"/>
      <c r="W326" s="45" t="s">
        <v>2180</v>
      </c>
      <c r="X326" s="45" t="s">
        <v>2217</v>
      </c>
      <c r="Y326" s="54">
        <v>44858</v>
      </c>
      <c r="Z326" s="54">
        <v>44907</v>
      </c>
      <c r="AA326" s="54"/>
      <c r="AB326" s="45"/>
      <c r="AC326" s="45"/>
    </row>
    <row r="327" spans="1:29" ht="15" customHeight="1" x14ac:dyDescent="0.2">
      <c r="A327" s="105" t="s">
        <v>161</v>
      </c>
      <c r="B327" s="44" t="s">
        <v>734</v>
      </c>
      <c r="C327" s="45" t="s">
        <v>735</v>
      </c>
      <c r="D327" s="45" t="s">
        <v>239</v>
      </c>
      <c r="E327" s="45" t="s">
        <v>1049</v>
      </c>
      <c r="F327" s="45" t="s">
        <v>834</v>
      </c>
      <c r="G327" s="45">
        <v>1</v>
      </c>
      <c r="H327" s="45"/>
      <c r="J327" s="45" t="s">
        <v>169</v>
      </c>
      <c r="K327" s="45" t="s">
        <v>1483</v>
      </c>
      <c r="L327" s="45"/>
      <c r="M327" s="106">
        <v>1</v>
      </c>
      <c r="N327" s="50"/>
      <c r="O327" s="110">
        <f>IF(OR(ISBLANK(BOM_table6[[#This Row],[SKU QTY]]),BOM_table6[[#This Row],[SKU Cost]]=0),0,BOM_table6[[#This Row],[SKU Cost]]/BOM_table6[[#This Row],[SKU QTY]])</f>
        <v>0</v>
      </c>
      <c r="P327" s="110">
        <f>IF(OR(ISBLANK(BOM_table6[[#This Row],[ASM QTY]]),ISBLANK(BOM_table6[[#This Row],[Unit Cost]])),0,BOM_table6[[#This Row],[ASM QTY]]*BOM_table6[[#This Row],[Unit Cost]])</f>
        <v>0</v>
      </c>
      <c r="Q327" s="45"/>
      <c r="R327" s="81"/>
      <c r="S327" s="111">
        <f>BOM_table6[[#This Row],[ASM QTY]]*$Q$2+BOM_table6[[#This Row],[Spare QTY Needed]]-BOM_table6[[#This Row],[QTY in Inventory]]</f>
        <v>1</v>
      </c>
      <c r="T327" s="111">
        <f>ROUNDUP((BOM_table6[[#This Row],[QTY to Order]]/BOM_table6[[#This Row],[SKU QTY]]),0)</f>
        <v>1</v>
      </c>
      <c r="U327" s="110">
        <f>BOM_table6[[#This Row],[SKU QTY to Order]]*BOM_table6[[#This Row],[SKU Cost]]</f>
        <v>0</v>
      </c>
      <c r="V327" s="62"/>
      <c r="W327" s="45"/>
      <c r="X327" s="45"/>
      <c r="Y327" s="97"/>
      <c r="Z327" s="54"/>
      <c r="AA327" s="45"/>
      <c r="AB327" s="45"/>
      <c r="AC327" s="45"/>
    </row>
    <row r="328" spans="1:29" ht="15" customHeight="1" x14ac:dyDescent="0.2">
      <c r="A328" s="105" t="s">
        <v>172</v>
      </c>
      <c r="B328" s="44" t="s">
        <v>747</v>
      </c>
      <c r="C328" s="45" t="s">
        <v>748</v>
      </c>
      <c r="D328" s="45" t="s">
        <v>152</v>
      </c>
      <c r="E328" s="45" t="s">
        <v>1049</v>
      </c>
      <c r="F328" s="45" t="s">
        <v>834</v>
      </c>
      <c r="G328" s="45">
        <v>1</v>
      </c>
      <c r="H328" s="45"/>
      <c r="I328" s="43" t="s">
        <v>2220</v>
      </c>
      <c r="J328" s="45" t="s">
        <v>169</v>
      </c>
      <c r="K328" s="45"/>
      <c r="L328" s="45"/>
      <c r="M328" s="106">
        <v>1</v>
      </c>
      <c r="N328" s="50"/>
      <c r="O328" s="110">
        <f>IF(OR(ISBLANK(BOM_table6[[#This Row],[SKU QTY]]),BOM_table6[[#This Row],[SKU Cost]]=0),0,BOM_table6[[#This Row],[SKU Cost]]/BOM_table6[[#This Row],[SKU QTY]])</f>
        <v>0</v>
      </c>
      <c r="P328" s="110">
        <f>IF(OR(ISBLANK(BOM_table6[[#This Row],[ASM QTY]]),ISBLANK(BOM_table6[[#This Row],[Unit Cost]])),0,BOM_table6[[#This Row],[ASM QTY]]*BOM_table6[[#This Row],[Unit Cost]])</f>
        <v>0</v>
      </c>
      <c r="Q328" s="45"/>
      <c r="R328" s="81"/>
      <c r="S328" s="111">
        <f>BOM_table6[[#This Row],[ASM QTY]]*$Q$2+BOM_table6[[#This Row],[Spare QTY Needed]]-BOM_table6[[#This Row],[QTY in Inventory]]</f>
        <v>1</v>
      </c>
      <c r="T328" s="111">
        <f>ROUNDUP((BOM_table6[[#This Row],[QTY to Order]]/BOM_table6[[#This Row],[SKU QTY]]),0)</f>
        <v>1</v>
      </c>
      <c r="U328" s="110">
        <f>BOM_table6[[#This Row],[SKU QTY to Order]]*BOM_table6[[#This Row],[SKU Cost]]</f>
        <v>0</v>
      </c>
      <c r="V328" s="62"/>
      <c r="W328" s="45"/>
      <c r="X328" s="45"/>
      <c r="Y328" s="45"/>
      <c r="Z328" s="54"/>
      <c r="AA328" s="45"/>
      <c r="AB328" s="45"/>
      <c r="AC328" s="45"/>
    </row>
    <row r="329" spans="1:29" ht="15" customHeight="1" x14ac:dyDescent="0.2">
      <c r="A329" s="105" t="s">
        <v>161</v>
      </c>
      <c r="B329" s="44" t="s">
        <v>771</v>
      </c>
      <c r="C329" s="45" t="s">
        <v>772</v>
      </c>
      <c r="D329" s="45" t="s">
        <v>152</v>
      </c>
      <c r="E329" s="45" t="s">
        <v>1049</v>
      </c>
      <c r="F329" s="45" t="s">
        <v>834</v>
      </c>
      <c r="G329" s="45">
        <v>1</v>
      </c>
      <c r="H329" s="45" t="s">
        <v>2175</v>
      </c>
      <c r="J329" s="45" t="s">
        <v>169</v>
      </c>
      <c r="K329" s="45" t="s">
        <v>1422</v>
      </c>
      <c r="L329" s="45"/>
      <c r="M329" s="106">
        <v>1</v>
      </c>
      <c r="N329" s="50">
        <v>620</v>
      </c>
      <c r="O329" s="110">
        <f>IF(OR(ISBLANK(BOM_table6[[#This Row],[SKU QTY]]),BOM_table6[[#This Row],[SKU Cost]]=0),0,BOM_table6[[#This Row],[SKU Cost]]/BOM_table6[[#This Row],[SKU QTY]])</f>
        <v>620</v>
      </c>
      <c r="P329" s="110">
        <f>IF(OR(ISBLANK(BOM_table6[[#This Row],[ASM QTY]]),ISBLANK(BOM_table6[[#This Row],[Unit Cost]])),0,BOM_table6[[#This Row],[ASM QTY]]*BOM_table6[[#This Row],[Unit Cost]])</f>
        <v>620</v>
      </c>
      <c r="Q329" s="45">
        <v>0</v>
      </c>
      <c r="R329" s="81">
        <v>0</v>
      </c>
      <c r="S329" s="111">
        <f>BOM_table6[[#This Row],[ASM QTY]]*$Q$2+BOM_table6[[#This Row],[Spare QTY Needed]]-BOM_table6[[#This Row],[QTY in Inventory]]</f>
        <v>1</v>
      </c>
      <c r="T329" s="111">
        <f>ROUNDUP((BOM_table6[[#This Row],[QTY to Order]]/BOM_table6[[#This Row],[SKU QTY]]),0)</f>
        <v>1</v>
      </c>
      <c r="U329" s="110">
        <f>BOM_table6[[#This Row],[SKU QTY to Order]]*BOM_table6[[#This Row],[SKU Cost]]</f>
        <v>620</v>
      </c>
      <c r="V329" s="62"/>
      <c r="W329" s="45" t="s">
        <v>2180</v>
      </c>
      <c r="X329" s="45" t="s">
        <v>2217</v>
      </c>
      <c r="Y329" s="54">
        <v>44858</v>
      </c>
      <c r="Z329" s="54">
        <v>44907</v>
      </c>
      <c r="AA329" s="54"/>
      <c r="AB329" s="45"/>
      <c r="AC329" s="45"/>
    </row>
    <row r="330" spans="1:29" ht="15" customHeight="1" x14ac:dyDescent="0.2">
      <c r="A330" s="105" t="s">
        <v>1318</v>
      </c>
      <c r="B330" s="44" t="s">
        <v>767</v>
      </c>
      <c r="C330" s="45" t="s">
        <v>768</v>
      </c>
      <c r="D330" s="45"/>
      <c r="E330" s="45" t="s">
        <v>1049</v>
      </c>
      <c r="F330" s="45" t="s">
        <v>834</v>
      </c>
      <c r="G330" s="45">
        <v>2</v>
      </c>
      <c r="H330" s="45" t="s">
        <v>2175</v>
      </c>
      <c r="I330" s="43" t="s">
        <v>2348</v>
      </c>
      <c r="J330" s="45" t="s">
        <v>169</v>
      </c>
      <c r="K330" s="45"/>
      <c r="L330" s="45"/>
      <c r="M330" s="106">
        <v>1</v>
      </c>
      <c r="N330" s="50"/>
      <c r="O330" s="110">
        <f>IF(OR(ISBLANK(BOM_table6[[#This Row],[SKU QTY]]),BOM_table6[[#This Row],[SKU Cost]]=0),0,BOM_table6[[#This Row],[SKU Cost]]/BOM_table6[[#This Row],[SKU QTY]])</f>
        <v>0</v>
      </c>
      <c r="P330" s="110">
        <f>IF(OR(ISBLANK(BOM_table6[[#This Row],[ASM QTY]]),ISBLANK(BOM_table6[[#This Row],[Unit Cost]])),0,BOM_table6[[#This Row],[ASM QTY]]*BOM_table6[[#This Row],[Unit Cost]])</f>
        <v>0</v>
      </c>
      <c r="Q330" s="45"/>
      <c r="R330" s="81"/>
      <c r="S330" s="111">
        <f>BOM_table6[[#This Row],[ASM QTY]]*$Q$2+BOM_table6[[#This Row],[Spare QTY Needed]]-BOM_table6[[#This Row],[QTY in Inventory]]</f>
        <v>2</v>
      </c>
      <c r="T330" s="111">
        <f>ROUNDUP((BOM_table6[[#This Row],[QTY to Order]]/BOM_table6[[#This Row],[SKU QTY]]),0)</f>
        <v>2</v>
      </c>
      <c r="U330" s="110">
        <f>BOM_table6[[#This Row],[SKU QTY to Order]]*BOM_table6[[#This Row],[SKU Cost]]</f>
        <v>0</v>
      </c>
      <c r="V330" s="62"/>
      <c r="W330" s="45"/>
      <c r="X330" s="45"/>
      <c r="Y330" s="54"/>
      <c r="Z330" s="54"/>
      <c r="AA330" s="45"/>
      <c r="AB330" s="45"/>
      <c r="AC330" s="45"/>
    </row>
    <row r="331" spans="1:29" ht="15" customHeight="1" x14ac:dyDescent="0.2">
      <c r="A331" s="44" t="s">
        <v>172</v>
      </c>
      <c r="B331" s="44" t="s">
        <v>746</v>
      </c>
      <c r="C331" s="45" t="s">
        <v>791</v>
      </c>
      <c r="D331" s="45"/>
      <c r="E331" s="45"/>
      <c r="F331" s="45" t="s">
        <v>834</v>
      </c>
      <c r="G331" s="45">
        <v>1</v>
      </c>
      <c r="H331" s="45"/>
      <c r="I331" s="43" t="s">
        <v>840</v>
      </c>
      <c r="J331" s="45" t="s">
        <v>166</v>
      </c>
      <c r="K331" s="45"/>
      <c r="L331" s="45"/>
      <c r="M331" s="106">
        <v>1</v>
      </c>
      <c r="N331" s="50"/>
      <c r="O331" s="110">
        <f>IF(OR(ISBLANK(BOM_table6[[#This Row],[SKU QTY]]),BOM_table6[[#This Row],[SKU Cost]]=0),0,BOM_table6[[#This Row],[SKU Cost]]/BOM_table6[[#This Row],[SKU QTY]])</f>
        <v>0</v>
      </c>
      <c r="P331" s="110">
        <f>IF(OR(ISBLANK(BOM_table6[[#This Row],[ASM QTY]]),ISBLANK(BOM_table6[[#This Row],[Unit Cost]])),0,BOM_table6[[#This Row],[ASM QTY]]*BOM_table6[[#This Row],[Unit Cost]])</f>
        <v>0</v>
      </c>
      <c r="Q331" s="45"/>
      <c r="R331" s="81"/>
      <c r="S331" s="111">
        <f>BOM_table6[[#This Row],[ASM QTY]]*$Q$2+BOM_table6[[#This Row],[Spare QTY Needed]]-BOM_table6[[#This Row],[QTY in Inventory]]</f>
        <v>1</v>
      </c>
      <c r="T331" s="111">
        <f>ROUNDUP((BOM_table6[[#This Row],[QTY to Order]]/BOM_table6[[#This Row],[SKU QTY]]),0)</f>
        <v>1</v>
      </c>
      <c r="U331" s="110">
        <f>BOM_table6[[#This Row],[SKU QTY to Order]]*BOM_table6[[#This Row],[SKU Cost]]</f>
        <v>0</v>
      </c>
      <c r="V331" s="62"/>
      <c r="W331" s="45"/>
      <c r="X331" s="45"/>
      <c r="Y331" s="45"/>
      <c r="Z331" s="54"/>
      <c r="AA331" s="45"/>
      <c r="AB331" s="45"/>
      <c r="AC331" s="45"/>
    </row>
    <row r="332" spans="1:29" ht="15" customHeight="1" x14ac:dyDescent="0.2">
      <c r="A332" s="105" t="s">
        <v>161</v>
      </c>
      <c r="B332" s="44" t="s">
        <v>742</v>
      </c>
      <c r="C332" s="45" t="s">
        <v>743</v>
      </c>
      <c r="D332" s="45"/>
      <c r="E332" s="45" t="s">
        <v>1049</v>
      </c>
      <c r="F332" s="45" t="s">
        <v>834</v>
      </c>
      <c r="G332" s="45">
        <v>2</v>
      </c>
      <c r="H332" s="45" t="s">
        <v>2175</v>
      </c>
      <c r="I332" s="43" t="s">
        <v>2280</v>
      </c>
      <c r="J332" s="45" t="s">
        <v>169</v>
      </c>
      <c r="K332" s="45" t="s">
        <v>1439</v>
      </c>
      <c r="L332" s="45"/>
      <c r="M332" s="106">
        <v>1</v>
      </c>
      <c r="N332" s="50">
        <v>198.79</v>
      </c>
      <c r="O332" s="110">
        <f>IF(OR(ISBLANK(BOM_table6[[#This Row],[SKU QTY]]),BOM_table6[[#This Row],[SKU Cost]]=0),0,BOM_table6[[#This Row],[SKU Cost]]/BOM_table6[[#This Row],[SKU QTY]])</f>
        <v>198.79</v>
      </c>
      <c r="P332" s="110">
        <f>IF(OR(ISBLANK(BOM_table6[[#This Row],[ASM QTY]]),ISBLANK(BOM_table6[[#This Row],[Unit Cost]])),0,BOM_table6[[#This Row],[ASM QTY]]*BOM_table6[[#This Row],[Unit Cost]])</f>
        <v>397.58</v>
      </c>
      <c r="Q332" s="45"/>
      <c r="R332" s="81"/>
      <c r="S332" s="111">
        <f>BOM_table6[[#This Row],[ASM QTY]]*$Q$2+BOM_table6[[#This Row],[Spare QTY Needed]]-BOM_table6[[#This Row],[QTY in Inventory]]</f>
        <v>2</v>
      </c>
      <c r="T332" s="111">
        <f>ROUNDUP((BOM_table6[[#This Row],[QTY to Order]]/BOM_table6[[#This Row],[SKU QTY]]),0)</f>
        <v>2</v>
      </c>
      <c r="U332" s="110">
        <f>BOM_table6[[#This Row],[SKU QTY to Order]]*BOM_table6[[#This Row],[SKU Cost]]</f>
        <v>397.58</v>
      </c>
      <c r="V332" s="50" t="s">
        <v>2201</v>
      </c>
      <c r="W332" s="45" t="s">
        <v>2191</v>
      </c>
      <c r="X332" s="45" t="s">
        <v>2247</v>
      </c>
      <c r="Y332" s="54">
        <v>44893</v>
      </c>
      <c r="Z332" s="54">
        <v>44928</v>
      </c>
      <c r="AA332" s="45"/>
      <c r="AB332" s="45"/>
      <c r="AC332" s="45"/>
    </row>
    <row r="333" spans="1:29" ht="15" customHeight="1" x14ac:dyDescent="0.2">
      <c r="A333" s="105" t="s">
        <v>160</v>
      </c>
      <c r="B333" s="44" t="s">
        <v>1045</v>
      </c>
      <c r="C333" s="45" t="s">
        <v>1046</v>
      </c>
      <c r="D333" s="65"/>
      <c r="E333" s="65" t="s">
        <v>1047</v>
      </c>
      <c r="F333" s="65" t="s">
        <v>834</v>
      </c>
      <c r="G333" s="65">
        <v>1</v>
      </c>
      <c r="H333" s="45"/>
      <c r="I333" s="43" t="s">
        <v>2152</v>
      </c>
      <c r="J333" s="45" t="s">
        <v>166</v>
      </c>
      <c r="K333" s="45" t="s">
        <v>1317</v>
      </c>
      <c r="L333" s="45"/>
      <c r="M333" s="106">
        <v>1</v>
      </c>
      <c r="N333" s="67"/>
      <c r="O333" s="110">
        <f>IF(OR(ISBLANK(BOM_table6[[#This Row],[SKU QTY]]),BOM_table6[[#This Row],[SKU Cost]]=0),0,BOM_table6[[#This Row],[SKU Cost]]/BOM_table6[[#This Row],[SKU QTY]])</f>
        <v>0</v>
      </c>
      <c r="P333" s="110">
        <f>IF(OR(ISBLANK(BOM_table6[[#This Row],[ASM QTY]]),ISBLANK(BOM_table6[[#This Row],[Unit Cost]])),0,BOM_table6[[#This Row],[ASM QTY]]*BOM_table6[[#This Row],[Unit Cost]])</f>
        <v>0</v>
      </c>
      <c r="Q333" s="65"/>
      <c r="R333" s="80"/>
      <c r="S333" s="111">
        <f>BOM_table6[[#This Row],[ASM QTY]]*$Q$2+BOM_table6[[#This Row],[Spare QTY Needed]]-BOM_table6[[#This Row],[QTY in Inventory]]</f>
        <v>1</v>
      </c>
      <c r="T333" s="111">
        <f>ROUNDUP((BOM_table6[[#This Row],[QTY to Order]]/BOM_table6[[#This Row],[SKU QTY]]),0)</f>
        <v>1</v>
      </c>
      <c r="U333" s="110">
        <f>BOM_table6[[#This Row],[SKU QTY to Order]]*BOM_table6[[#This Row],[SKU Cost]]</f>
        <v>0</v>
      </c>
      <c r="V333" s="50"/>
      <c r="W333" s="45"/>
      <c r="X333" s="45"/>
      <c r="Y333" s="71"/>
      <c r="Z333" s="71"/>
      <c r="AA333" s="71"/>
      <c r="AB333" s="45"/>
      <c r="AC333" s="45"/>
    </row>
    <row r="334" spans="1:29" ht="15" customHeight="1" x14ac:dyDescent="0.2">
      <c r="A334" s="105" t="s">
        <v>160</v>
      </c>
      <c r="B334" s="44" t="s">
        <v>744</v>
      </c>
      <c r="C334" s="45" t="s">
        <v>745</v>
      </c>
      <c r="D334" s="45"/>
      <c r="E334" s="45" t="s">
        <v>316</v>
      </c>
      <c r="F334" s="45" t="s">
        <v>834</v>
      </c>
      <c r="G334" s="45">
        <v>1</v>
      </c>
      <c r="H334" s="45"/>
      <c r="J334" s="45" t="s">
        <v>166</v>
      </c>
      <c r="K334" s="45"/>
      <c r="L334" s="45"/>
      <c r="M334" s="106">
        <v>1</v>
      </c>
      <c r="N334" s="50"/>
      <c r="O334" s="110">
        <f>IF(OR(ISBLANK(BOM_table6[[#This Row],[SKU QTY]]),BOM_table6[[#This Row],[SKU Cost]]=0),0,BOM_table6[[#This Row],[SKU Cost]]/BOM_table6[[#This Row],[SKU QTY]])</f>
        <v>0</v>
      </c>
      <c r="P334" s="110">
        <f>IF(OR(ISBLANK(BOM_table6[[#This Row],[ASM QTY]]),ISBLANK(BOM_table6[[#This Row],[Unit Cost]])),0,BOM_table6[[#This Row],[ASM QTY]]*BOM_table6[[#This Row],[Unit Cost]])</f>
        <v>0</v>
      </c>
      <c r="Q334" s="45"/>
      <c r="R334" s="81"/>
      <c r="S334" s="111">
        <f>BOM_table6[[#This Row],[ASM QTY]]*$Q$2+BOM_table6[[#This Row],[Spare QTY Needed]]-BOM_table6[[#This Row],[QTY in Inventory]]</f>
        <v>1</v>
      </c>
      <c r="T334" s="111">
        <f>ROUNDUP((BOM_table6[[#This Row],[QTY to Order]]/BOM_table6[[#This Row],[SKU QTY]]),0)</f>
        <v>1</v>
      </c>
      <c r="U334" s="110">
        <f>BOM_table6[[#This Row],[SKU QTY to Order]]*BOM_table6[[#This Row],[SKU Cost]]</f>
        <v>0</v>
      </c>
      <c r="V334" s="62"/>
      <c r="W334" s="45"/>
      <c r="X334" s="45"/>
      <c r="Y334" s="45"/>
      <c r="Z334" s="54"/>
      <c r="AA334" s="45"/>
      <c r="AB334" s="45"/>
      <c r="AC334" s="45"/>
    </row>
    <row r="335" spans="1:29" ht="15" customHeight="1" x14ac:dyDescent="0.2">
      <c r="A335" s="105" t="s">
        <v>161</v>
      </c>
      <c r="B335" s="44" t="s">
        <v>752</v>
      </c>
      <c r="C335" s="45" t="s">
        <v>753</v>
      </c>
      <c r="D335" s="45"/>
      <c r="E335" s="45" t="s">
        <v>316</v>
      </c>
      <c r="F335" s="45" t="s">
        <v>834</v>
      </c>
      <c r="G335" s="45">
        <v>1</v>
      </c>
      <c r="H335" s="45" t="s">
        <v>2175</v>
      </c>
      <c r="J335" s="45" t="s">
        <v>166</v>
      </c>
      <c r="K335" s="45" t="s">
        <v>316</v>
      </c>
      <c r="L335" s="45"/>
      <c r="M335" s="106">
        <v>1</v>
      </c>
      <c r="N335" s="50">
        <v>31.09</v>
      </c>
      <c r="O335" s="110">
        <f>IF(OR(ISBLANK(BOM_table6[[#This Row],[SKU QTY]]),BOM_table6[[#This Row],[SKU Cost]]=0),0,BOM_table6[[#This Row],[SKU Cost]]/BOM_table6[[#This Row],[SKU QTY]])</f>
        <v>31.09</v>
      </c>
      <c r="P335" s="110">
        <f>IF(OR(ISBLANK(BOM_table6[[#This Row],[ASM QTY]]),ISBLANK(BOM_table6[[#This Row],[Unit Cost]])),0,BOM_table6[[#This Row],[ASM QTY]]*BOM_table6[[#This Row],[Unit Cost]])</f>
        <v>31.09</v>
      </c>
      <c r="Q335" s="45"/>
      <c r="R335" s="81"/>
      <c r="S335" s="111">
        <f>BOM_table6[[#This Row],[ASM QTY]]*$Q$2+BOM_table6[[#This Row],[Spare QTY Needed]]-BOM_table6[[#This Row],[QTY in Inventory]]</f>
        <v>1</v>
      </c>
      <c r="T335" s="111">
        <f>ROUNDUP((BOM_table6[[#This Row],[QTY to Order]]/BOM_table6[[#This Row],[SKU QTY]]),0)</f>
        <v>1</v>
      </c>
      <c r="U335" s="110">
        <f>BOM_table6[[#This Row],[SKU QTY to Order]]*BOM_table6[[#This Row],[SKU Cost]]</f>
        <v>31.09</v>
      </c>
      <c r="V335" s="50" t="s">
        <v>2190</v>
      </c>
      <c r="W335" s="45" t="s">
        <v>2180</v>
      </c>
      <c r="X335" s="45" t="s">
        <v>2192</v>
      </c>
      <c r="Y335" s="54">
        <v>44845</v>
      </c>
      <c r="Z335" s="54"/>
      <c r="AA335" s="54"/>
      <c r="AB335" s="45"/>
      <c r="AC335" s="45"/>
    </row>
    <row r="336" spans="1:29" ht="15" customHeight="1" x14ac:dyDescent="0.2">
      <c r="A336" s="105" t="s">
        <v>161</v>
      </c>
      <c r="B336" s="44" t="s">
        <v>757</v>
      </c>
      <c r="C336" s="45" t="s">
        <v>758</v>
      </c>
      <c r="D336" s="45"/>
      <c r="E336" s="45" t="s">
        <v>316</v>
      </c>
      <c r="F336" s="45" t="s">
        <v>834</v>
      </c>
      <c r="G336" s="45">
        <v>1</v>
      </c>
      <c r="H336" s="45" t="s">
        <v>2175</v>
      </c>
      <c r="J336" s="45" t="s">
        <v>166</v>
      </c>
      <c r="K336" s="45" t="s">
        <v>316</v>
      </c>
      <c r="L336" s="45"/>
      <c r="M336" s="106">
        <v>1</v>
      </c>
      <c r="N336" s="50">
        <v>7.66</v>
      </c>
      <c r="O336" s="110">
        <f>IF(OR(ISBLANK(BOM_table6[[#This Row],[SKU QTY]]),BOM_table6[[#This Row],[SKU Cost]]=0),0,BOM_table6[[#This Row],[SKU Cost]]/BOM_table6[[#This Row],[SKU QTY]])</f>
        <v>7.66</v>
      </c>
      <c r="P336" s="110">
        <f>IF(OR(ISBLANK(BOM_table6[[#This Row],[ASM QTY]]),ISBLANK(BOM_table6[[#This Row],[Unit Cost]])),0,BOM_table6[[#This Row],[ASM QTY]]*BOM_table6[[#This Row],[Unit Cost]])</f>
        <v>7.66</v>
      </c>
      <c r="Q336" s="45"/>
      <c r="R336" s="81"/>
      <c r="S336" s="111">
        <f>BOM_table6[[#This Row],[ASM QTY]]*$Q$2+BOM_table6[[#This Row],[Spare QTY Needed]]-BOM_table6[[#This Row],[QTY in Inventory]]</f>
        <v>1</v>
      </c>
      <c r="T336" s="111">
        <f>ROUNDUP((BOM_table6[[#This Row],[QTY to Order]]/BOM_table6[[#This Row],[SKU QTY]]),0)</f>
        <v>1</v>
      </c>
      <c r="U336" s="110">
        <f>BOM_table6[[#This Row],[SKU QTY to Order]]*BOM_table6[[#This Row],[SKU Cost]]</f>
        <v>7.66</v>
      </c>
      <c r="V336" s="50" t="s">
        <v>2190</v>
      </c>
      <c r="W336" s="45" t="s">
        <v>2180</v>
      </c>
      <c r="X336" s="45" t="s">
        <v>2192</v>
      </c>
      <c r="Y336" s="54">
        <v>44845</v>
      </c>
      <c r="Z336" s="54"/>
      <c r="AA336" s="54"/>
      <c r="AB336" s="45"/>
      <c r="AC336" s="45"/>
    </row>
    <row r="337" spans="1:29" ht="15" customHeight="1" x14ac:dyDescent="0.2">
      <c r="A337" s="105" t="s">
        <v>161</v>
      </c>
      <c r="B337" s="44" t="s">
        <v>751</v>
      </c>
      <c r="C337" s="45" t="s">
        <v>756</v>
      </c>
      <c r="D337" s="45"/>
      <c r="E337" s="45" t="s">
        <v>316</v>
      </c>
      <c r="F337" s="45" t="s">
        <v>834</v>
      </c>
      <c r="G337" s="45">
        <v>1</v>
      </c>
      <c r="H337" s="45" t="s">
        <v>2175</v>
      </c>
      <c r="J337" s="45" t="s">
        <v>166</v>
      </c>
      <c r="K337" s="45" t="s">
        <v>316</v>
      </c>
      <c r="L337" s="45"/>
      <c r="M337" s="106">
        <v>1</v>
      </c>
      <c r="N337" s="50">
        <v>11</v>
      </c>
      <c r="O337" s="110">
        <f>IF(OR(ISBLANK(BOM_table6[[#This Row],[SKU QTY]]),BOM_table6[[#This Row],[SKU Cost]]=0),0,BOM_table6[[#This Row],[SKU Cost]]/BOM_table6[[#This Row],[SKU QTY]])</f>
        <v>11</v>
      </c>
      <c r="P337" s="110">
        <f>IF(OR(ISBLANK(BOM_table6[[#This Row],[ASM QTY]]),ISBLANK(BOM_table6[[#This Row],[Unit Cost]])),0,BOM_table6[[#This Row],[ASM QTY]]*BOM_table6[[#This Row],[Unit Cost]])</f>
        <v>11</v>
      </c>
      <c r="Q337" s="45"/>
      <c r="R337" s="81"/>
      <c r="S337" s="111">
        <f>BOM_table6[[#This Row],[ASM QTY]]*$Q$2+BOM_table6[[#This Row],[Spare QTY Needed]]-BOM_table6[[#This Row],[QTY in Inventory]]</f>
        <v>1</v>
      </c>
      <c r="T337" s="111">
        <f>ROUNDUP((BOM_table6[[#This Row],[QTY to Order]]/BOM_table6[[#This Row],[SKU QTY]]),0)</f>
        <v>1</v>
      </c>
      <c r="U337" s="110">
        <f>BOM_table6[[#This Row],[SKU QTY to Order]]*BOM_table6[[#This Row],[SKU Cost]]</f>
        <v>11</v>
      </c>
      <c r="V337" s="50" t="s">
        <v>2190</v>
      </c>
      <c r="W337" s="45" t="s">
        <v>2180</v>
      </c>
      <c r="X337" s="45" t="s">
        <v>2192</v>
      </c>
      <c r="Y337" s="54">
        <v>37540</v>
      </c>
      <c r="Z337" s="54"/>
      <c r="AA337" s="54"/>
      <c r="AB337" s="45"/>
      <c r="AC337" s="45"/>
    </row>
    <row r="338" spans="1:29" ht="15" customHeight="1" x14ac:dyDescent="0.2">
      <c r="A338" s="105" t="s">
        <v>161</v>
      </c>
      <c r="B338" s="44" t="s">
        <v>754</v>
      </c>
      <c r="C338" s="45" t="s">
        <v>755</v>
      </c>
      <c r="D338" s="45"/>
      <c r="E338" s="45" t="s">
        <v>316</v>
      </c>
      <c r="F338" s="45" t="s">
        <v>834</v>
      </c>
      <c r="G338" s="45">
        <v>1</v>
      </c>
      <c r="H338" s="45" t="s">
        <v>2175</v>
      </c>
      <c r="J338" s="45" t="s">
        <v>166</v>
      </c>
      <c r="K338" s="45" t="s">
        <v>316</v>
      </c>
      <c r="L338" s="45"/>
      <c r="M338" s="106">
        <v>1</v>
      </c>
      <c r="N338" s="50">
        <v>23.11</v>
      </c>
      <c r="O338" s="110">
        <f>IF(OR(ISBLANK(BOM_table6[[#This Row],[SKU QTY]]),BOM_table6[[#This Row],[SKU Cost]]=0),0,BOM_table6[[#This Row],[SKU Cost]]/BOM_table6[[#This Row],[SKU QTY]])</f>
        <v>23.11</v>
      </c>
      <c r="P338" s="110">
        <f>IF(OR(ISBLANK(BOM_table6[[#This Row],[ASM QTY]]),ISBLANK(BOM_table6[[#This Row],[Unit Cost]])),0,BOM_table6[[#This Row],[ASM QTY]]*BOM_table6[[#This Row],[Unit Cost]])</f>
        <v>23.11</v>
      </c>
      <c r="Q338" s="45"/>
      <c r="R338" s="81"/>
      <c r="S338" s="111">
        <f>BOM_table6[[#This Row],[ASM QTY]]*$Q$2+BOM_table6[[#This Row],[Spare QTY Needed]]-BOM_table6[[#This Row],[QTY in Inventory]]</f>
        <v>1</v>
      </c>
      <c r="T338" s="111">
        <f>ROUNDUP((BOM_table6[[#This Row],[QTY to Order]]/BOM_table6[[#This Row],[SKU QTY]]),0)</f>
        <v>1</v>
      </c>
      <c r="U338" s="110">
        <f>BOM_table6[[#This Row],[SKU QTY to Order]]*BOM_table6[[#This Row],[SKU Cost]]</f>
        <v>23.11</v>
      </c>
      <c r="V338" s="50" t="s">
        <v>2193</v>
      </c>
      <c r="W338" s="45" t="s">
        <v>2180</v>
      </c>
      <c r="X338" s="45" t="s">
        <v>2192</v>
      </c>
      <c r="Y338" s="54">
        <v>44845</v>
      </c>
      <c r="Z338" s="54">
        <v>44852</v>
      </c>
      <c r="AA338" s="54"/>
      <c r="AB338" s="45"/>
      <c r="AC338" s="45"/>
    </row>
    <row r="339" spans="1:29" ht="15" customHeight="1" x14ac:dyDescent="0.2">
      <c r="A339" s="105" t="s">
        <v>160</v>
      </c>
      <c r="B339" s="162" t="s">
        <v>2037</v>
      </c>
      <c r="C339" s="163">
        <v>233305.2231</v>
      </c>
      <c r="D339" s="163"/>
      <c r="E339" s="163" t="s">
        <v>1047</v>
      </c>
      <c r="F339" s="45" t="s">
        <v>2039</v>
      </c>
      <c r="G339" s="163">
        <v>1</v>
      </c>
      <c r="H339" s="163"/>
      <c r="I339" s="164"/>
      <c r="J339" s="163" t="s">
        <v>166</v>
      </c>
      <c r="K339" s="45" t="s">
        <v>1317</v>
      </c>
      <c r="L339" s="45"/>
      <c r="M339" s="106">
        <v>1</v>
      </c>
      <c r="N339" s="165"/>
      <c r="O339" s="110">
        <f>IF(OR(ISBLANK(BOM_table6[[#This Row],[SKU QTY]]),BOM_table6[[#This Row],[SKU Cost]]=0),0,BOM_table6[[#This Row],[SKU Cost]]/BOM_table6[[#This Row],[SKU QTY]])</f>
        <v>0</v>
      </c>
      <c r="P339" s="110">
        <f>IF(OR(ISBLANK(BOM_table6[[#This Row],[ASM QTY]]),ISBLANK(BOM_table6[[#This Row],[Unit Cost]])),0,BOM_table6[[#This Row],[ASM QTY]]*BOM_table6[[#This Row],[Unit Cost]])</f>
        <v>0</v>
      </c>
      <c r="Q339" s="163"/>
      <c r="R339" s="166"/>
      <c r="S339" s="111">
        <f>BOM_table6[[#This Row],[ASM QTY]]*$Q$2+BOM_table6[[#This Row],[Spare QTY Needed]]-BOM_table6[[#This Row],[QTY in Inventory]]</f>
        <v>1</v>
      </c>
      <c r="T339" s="111">
        <f>ROUNDUP((BOM_table6[[#This Row],[QTY to Order]]/BOM_table6[[#This Row],[SKU QTY]]),0)</f>
        <v>1</v>
      </c>
      <c r="U339" s="110">
        <f>BOM_table6[[#This Row],[SKU QTY to Order]]*BOM_table6[[#This Row],[SKU Cost]]</f>
        <v>0</v>
      </c>
      <c r="V339" s="165"/>
      <c r="W339" s="163"/>
      <c r="X339" s="163"/>
      <c r="Y339" s="160"/>
      <c r="Z339" s="167"/>
      <c r="AA339" s="160"/>
      <c r="AB339" s="163"/>
      <c r="AC339" s="45"/>
    </row>
    <row r="340" spans="1:29" ht="15" customHeight="1" x14ac:dyDescent="0.2">
      <c r="A340" s="105" t="s">
        <v>160</v>
      </c>
      <c r="B340" s="44" t="s">
        <v>1480</v>
      </c>
      <c r="C340" s="45" t="s">
        <v>1482</v>
      </c>
      <c r="D340" s="74" t="s">
        <v>1481</v>
      </c>
      <c r="E340" s="74"/>
      <c r="F340" s="45" t="s">
        <v>821</v>
      </c>
      <c r="G340" s="74">
        <v>4</v>
      </c>
      <c r="H340" s="45"/>
      <c r="J340" s="74" t="s">
        <v>166</v>
      </c>
      <c r="K340" s="74"/>
      <c r="L340" s="74"/>
      <c r="M340" s="106">
        <v>1</v>
      </c>
      <c r="N340" s="76"/>
      <c r="O340" s="110">
        <f>IF(OR(ISBLANK(BOM_table6[[#This Row],[SKU QTY]]),BOM_table6[[#This Row],[SKU Cost]]=0),0,BOM_table6[[#This Row],[SKU Cost]]/BOM_table6[[#This Row],[SKU QTY]])</f>
        <v>0</v>
      </c>
      <c r="P340" s="110">
        <f>IF(OR(ISBLANK(BOM_table6[[#This Row],[ASM QTY]]),ISBLANK(BOM_table6[[#This Row],[Unit Cost]])),0,BOM_table6[[#This Row],[ASM QTY]]*BOM_table6[[#This Row],[Unit Cost]])</f>
        <v>0</v>
      </c>
      <c r="Q340" s="74"/>
      <c r="R340" s="82"/>
      <c r="S340" s="111">
        <f>BOM_table6[[#This Row],[ASM QTY]]*$Q$2+BOM_table6[[#This Row],[Spare QTY Needed]]-BOM_table6[[#This Row],[QTY in Inventory]]</f>
        <v>4</v>
      </c>
      <c r="T340" s="111">
        <f>ROUNDUP((BOM_table6[[#This Row],[QTY to Order]]/BOM_table6[[#This Row],[SKU QTY]]),0)</f>
        <v>4</v>
      </c>
      <c r="U340" s="110">
        <f>BOM_table6[[#This Row],[SKU QTY to Order]]*BOM_table6[[#This Row],[SKU Cost]]</f>
        <v>0</v>
      </c>
      <c r="V340" s="76"/>
      <c r="W340" s="45"/>
      <c r="X340" s="45"/>
      <c r="Y340" s="84"/>
      <c r="Z340" s="78"/>
      <c r="AA340" s="74"/>
      <c r="AB340" s="74"/>
      <c r="AC340" s="45"/>
    </row>
    <row r="341" spans="1:29" ht="15" customHeight="1" x14ac:dyDescent="0.2">
      <c r="A341" s="105" t="s">
        <v>160</v>
      </c>
      <c r="B341" s="73" t="s">
        <v>1358</v>
      </c>
      <c r="C341" s="74" t="s">
        <v>1359</v>
      </c>
      <c r="D341" s="74"/>
      <c r="E341" s="74" t="s">
        <v>1049</v>
      </c>
      <c r="F341" s="45" t="s">
        <v>821</v>
      </c>
      <c r="G341" s="74">
        <v>1</v>
      </c>
      <c r="H341" s="74"/>
      <c r="J341" s="74" t="s">
        <v>167</v>
      </c>
      <c r="K341" s="74"/>
      <c r="L341" s="74"/>
      <c r="M341" s="106">
        <v>1</v>
      </c>
      <c r="N341" s="76"/>
      <c r="O341" s="110">
        <f>IF(OR(ISBLANK(BOM_table6[[#This Row],[SKU QTY]]),BOM_table6[[#This Row],[SKU Cost]]=0),0,BOM_table6[[#This Row],[SKU Cost]]/BOM_table6[[#This Row],[SKU QTY]])</f>
        <v>0</v>
      </c>
      <c r="P341" s="110">
        <f>IF(OR(ISBLANK(BOM_table6[[#This Row],[ASM QTY]]),ISBLANK(BOM_table6[[#This Row],[Unit Cost]])),0,BOM_table6[[#This Row],[ASM QTY]]*BOM_table6[[#This Row],[Unit Cost]])</f>
        <v>0</v>
      </c>
      <c r="Q341" s="74"/>
      <c r="R341" s="82"/>
      <c r="S341" s="111">
        <f>BOM_table6[[#This Row],[ASM QTY]]*$Q$2+BOM_table6[[#This Row],[Spare QTY Needed]]-BOM_table6[[#This Row],[QTY in Inventory]]</f>
        <v>1</v>
      </c>
      <c r="T341" s="111">
        <f>ROUNDUP((BOM_table6[[#This Row],[QTY to Order]]/BOM_table6[[#This Row],[SKU QTY]]),0)</f>
        <v>1</v>
      </c>
      <c r="U341" s="110">
        <f>BOM_table6[[#This Row],[SKU QTY to Order]]*BOM_table6[[#This Row],[SKU Cost]]</f>
        <v>0</v>
      </c>
      <c r="V341" s="76"/>
      <c r="W341" s="74"/>
      <c r="X341" s="74"/>
      <c r="Y341" s="77"/>
      <c r="Z341" s="78"/>
      <c r="AA341" s="74"/>
      <c r="AB341" s="74"/>
      <c r="AC341" s="45"/>
    </row>
    <row r="342" spans="1:29" ht="15" customHeight="1" x14ac:dyDescent="0.2">
      <c r="A342" s="105" t="s">
        <v>160</v>
      </c>
      <c r="B342" s="73" t="s">
        <v>1362</v>
      </c>
      <c r="C342" s="74" t="s">
        <v>1364</v>
      </c>
      <c r="D342" s="74"/>
      <c r="E342" s="74" t="s">
        <v>1365</v>
      </c>
      <c r="F342" s="45" t="s">
        <v>821</v>
      </c>
      <c r="G342" s="74">
        <v>1</v>
      </c>
      <c r="H342" s="74"/>
      <c r="I342" s="75"/>
      <c r="J342" s="74" t="s">
        <v>168</v>
      </c>
      <c r="K342" s="74"/>
      <c r="L342" s="74"/>
      <c r="M342" s="106">
        <v>1</v>
      </c>
      <c r="N342" s="76"/>
      <c r="O342" s="110">
        <f>IF(OR(ISBLANK(BOM_table6[[#This Row],[SKU QTY]]),BOM_table6[[#This Row],[SKU Cost]]=0),0,BOM_table6[[#This Row],[SKU Cost]]/BOM_table6[[#This Row],[SKU QTY]])</f>
        <v>0</v>
      </c>
      <c r="P342" s="110">
        <f>IF(OR(ISBLANK(BOM_table6[[#This Row],[ASM QTY]]),ISBLANK(BOM_table6[[#This Row],[Unit Cost]])),0,BOM_table6[[#This Row],[ASM QTY]]*BOM_table6[[#This Row],[Unit Cost]])</f>
        <v>0</v>
      </c>
      <c r="Q342" s="74"/>
      <c r="R342" s="82"/>
      <c r="S342" s="111">
        <f>BOM_table6[[#This Row],[ASM QTY]]*$Q$2+BOM_table6[[#This Row],[Spare QTY Needed]]-BOM_table6[[#This Row],[QTY in Inventory]]</f>
        <v>1</v>
      </c>
      <c r="T342" s="111">
        <f>ROUNDUP((BOM_table6[[#This Row],[QTY to Order]]/BOM_table6[[#This Row],[SKU QTY]]),0)</f>
        <v>1</v>
      </c>
      <c r="U342" s="110">
        <f>BOM_table6[[#This Row],[SKU QTY to Order]]*BOM_table6[[#This Row],[SKU Cost]]</f>
        <v>0</v>
      </c>
      <c r="V342" s="76"/>
      <c r="W342" s="74"/>
      <c r="X342" s="74"/>
      <c r="Y342" s="77"/>
      <c r="Z342" s="78"/>
      <c r="AA342" s="74"/>
      <c r="AB342" s="74"/>
      <c r="AC342" s="45"/>
    </row>
    <row r="343" spans="1:29" ht="15" customHeight="1" x14ac:dyDescent="0.2">
      <c r="A343" s="105" t="s">
        <v>161</v>
      </c>
      <c r="B343" s="73" t="s">
        <v>656</v>
      </c>
      <c r="C343" s="74" t="s">
        <v>657</v>
      </c>
      <c r="D343" s="74"/>
      <c r="E343" s="74"/>
      <c r="F343" s="45" t="s">
        <v>821</v>
      </c>
      <c r="G343" s="74">
        <v>3</v>
      </c>
      <c r="H343" s="74"/>
      <c r="I343" s="75"/>
      <c r="J343" s="74" t="s">
        <v>166</v>
      </c>
      <c r="K343" s="74" t="s">
        <v>216</v>
      </c>
      <c r="L343" s="74"/>
      <c r="M343" s="106">
        <v>1</v>
      </c>
      <c r="N343" s="76">
        <v>0.14000000000000001</v>
      </c>
      <c r="O343" s="110">
        <f>IF(OR(ISBLANK(BOM_table6[[#This Row],[SKU QTY]]),BOM_table6[[#This Row],[SKU Cost]]=0),0,BOM_table6[[#This Row],[SKU Cost]]/BOM_table6[[#This Row],[SKU QTY]])</f>
        <v>0.14000000000000001</v>
      </c>
      <c r="P343" s="110">
        <f>IF(OR(ISBLANK(BOM_table6[[#This Row],[ASM QTY]]),ISBLANK(BOM_table6[[#This Row],[Unit Cost]])),0,BOM_table6[[#This Row],[ASM QTY]]*BOM_table6[[#This Row],[Unit Cost]])</f>
        <v>0.42000000000000004</v>
      </c>
      <c r="Q343" s="74"/>
      <c r="R343" s="82"/>
      <c r="S343" s="111">
        <f>BOM_table6[[#This Row],[ASM QTY]]*$Q$2+BOM_table6[[#This Row],[Spare QTY Needed]]-BOM_table6[[#This Row],[QTY in Inventory]]</f>
        <v>3</v>
      </c>
      <c r="T343" s="111">
        <f>ROUNDUP((BOM_table6[[#This Row],[QTY to Order]]/BOM_table6[[#This Row],[SKU QTY]]),0)</f>
        <v>3</v>
      </c>
      <c r="U343" s="110">
        <f>BOM_table6[[#This Row],[SKU QTY to Order]]*BOM_table6[[#This Row],[SKU Cost]]</f>
        <v>0.42000000000000004</v>
      </c>
      <c r="V343" s="76"/>
      <c r="W343" s="45" t="s">
        <v>2191</v>
      </c>
      <c r="X343" s="45" t="s">
        <v>2192</v>
      </c>
      <c r="Y343" s="54">
        <v>44923</v>
      </c>
      <c r="Z343" s="78"/>
      <c r="AA343" s="54">
        <v>44924</v>
      </c>
      <c r="AB343" s="74"/>
      <c r="AC343" s="45"/>
    </row>
    <row r="344" spans="1:29" ht="15" customHeight="1" x14ac:dyDescent="0.2">
      <c r="A344" s="105" t="s">
        <v>161</v>
      </c>
      <c r="B344" s="73" t="s">
        <v>1350</v>
      </c>
      <c r="C344" s="74" t="s">
        <v>1352</v>
      </c>
      <c r="D344" s="74"/>
      <c r="E344" s="74"/>
      <c r="F344" s="45" t="s">
        <v>821</v>
      </c>
      <c r="G344" s="74">
        <v>2</v>
      </c>
      <c r="H344" s="74"/>
      <c r="I344" s="43" t="s">
        <v>2331</v>
      </c>
      <c r="J344" s="74" t="s">
        <v>166</v>
      </c>
      <c r="K344" s="74" t="s">
        <v>216</v>
      </c>
      <c r="L344" s="74"/>
      <c r="M344" s="106">
        <v>1</v>
      </c>
      <c r="N344" s="76">
        <f>5.88/25</f>
        <v>0.23519999999999999</v>
      </c>
      <c r="O344" s="110">
        <f>IF(OR(ISBLANK(BOM_table6[[#This Row],[SKU QTY]]),BOM_table6[[#This Row],[SKU Cost]]=0),0,BOM_table6[[#This Row],[SKU Cost]]/BOM_table6[[#This Row],[SKU QTY]])</f>
        <v>0.23519999999999999</v>
      </c>
      <c r="P344" s="110">
        <f>IF(OR(ISBLANK(BOM_table6[[#This Row],[ASM QTY]]),ISBLANK(BOM_table6[[#This Row],[Unit Cost]])),0,BOM_table6[[#This Row],[ASM QTY]]*BOM_table6[[#This Row],[Unit Cost]])</f>
        <v>0.47039999999999998</v>
      </c>
      <c r="Q344" s="74">
        <v>23</v>
      </c>
      <c r="R344" s="82"/>
      <c r="S344" s="111">
        <f>BOM_table6[[#This Row],[ASM QTY]]*$Q$2+BOM_table6[[#This Row],[Spare QTY Needed]]-BOM_table6[[#This Row],[QTY in Inventory]]</f>
        <v>25</v>
      </c>
      <c r="T344" s="111">
        <f>ROUNDUP((BOM_table6[[#This Row],[QTY to Order]]/BOM_table6[[#This Row],[SKU QTY]]),0)</f>
        <v>25</v>
      </c>
      <c r="U344" s="110">
        <f>BOM_table6[[#This Row],[SKU QTY to Order]]*BOM_table6[[#This Row],[SKU Cost]]</f>
        <v>5.88</v>
      </c>
      <c r="V344" s="76"/>
      <c r="W344" s="45" t="s">
        <v>2191</v>
      </c>
      <c r="X344" s="45" t="s">
        <v>2192</v>
      </c>
      <c r="Y344" s="84">
        <v>44923</v>
      </c>
      <c r="Z344" s="78"/>
      <c r="AA344" s="54">
        <v>44924</v>
      </c>
      <c r="AB344" s="74"/>
      <c r="AC344" s="45"/>
    </row>
    <row r="345" spans="1:29" ht="15" customHeight="1" x14ac:dyDescent="0.2">
      <c r="A345" s="105" t="s">
        <v>161</v>
      </c>
      <c r="B345" s="73" t="s">
        <v>1351</v>
      </c>
      <c r="C345" s="74" t="s">
        <v>1353</v>
      </c>
      <c r="D345" s="74"/>
      <c r="E345" s="74"/>
      <c r="F345" s="45" t="s">
        <v>821</v>
      </c>
      <c r="G345" s="74">
        <v>4</v>
      </c>
      <c r="H345" s="74"/>
      <c r="I345" s="43" t="s">
        <v>2329</v>
      </c>
      <c r="J345" s="74" t="s">
        <v>166</v>
      </c>
      <c r="K345" s="74" t="s">
        <v>216</v>
      </c>
      <c r="L345" s="74"/>
      <c r="M345" s="106">
        <v>1</v>
      </c>
      <c r="N345" s="76">
        <f>5.9/10</f>
        <v>0.59000000000000008</v>
      </c>
      <c r="O345" s="110">
        <f>IF(OR(ISBLANK(BOM_table6[[#This Row],[SKU QTY]]),BOM_table6[[#This Row],[SKU Cost]]=0),0,BOM_table6[[#This Row],[SKU Cost]]/BOM_table6[[#This Row],[SKU QTY]])</f>
        <v>0.59000000000000008</v>
      </c>
      <c r="P345" s="110">
        <f>IF(OR(ISBLANK(BOM_table6[[#This Row],[ASM QTY]]),ISBLANK(BOM_table6[[#This Row],[Unit Cost]])),0,BOM_table6[[#This Row],[ASM QTY]]*BOM_table6[[#This Row],[Unit Cost]])</f>
        <v>2.3600000000000003</v>
      </c>
      <c r="Q345" s="74">
        <v>6</v>
      </c>
      <c r="R345" s="82"/>
      <c r="S345" s="111">
        <f>BOM_table6[[#This Row],[ASM QTY]]*$Q$2+BOM_table6[[#This Row],[Spare QTY Needed]]-BOM_table6[[#This Row],[QTY in Inventory]]</f>
        <v>10</v>
      </c>
      <c r="T345" s="111">
        <f>ROUNDUP((BOM_table6[[#This Row],[QTY to Order]]/BOM_table6[[#This Row],[SKU QTY]]),0)</f>
        <v>10</v>
      </c>
      <c r="U345" s="110">
        <f>BOM_table6[[#This Row],[SKU QTY to Order]]*BOM_table6[[#This Row],[SKU Cost]]</f>
        <v>5.9</v>
      </c>
      <c r="V345" s="76"/>
      <c r="W345" s="45" t="s">
        <v>2191</v>
      </c>
      <c r="X345" s="45" t="s">
        <v>2192</v>
      </c>
      <c r="Y345" s="84">
        <v>44923</v>
      </c>
      <c r="Z345" s="78"/>
      <c r="AA345" s="54">
        <v>44924</v>
      </c>
      <c r="AB345" s="74"/>
      <c r="AC345" s="45"/>
    </row>
    <row r="346" spans="1:29" ht="15" customHeight="1" x14ac:dyDescent="0.2">
      <c r="A346" s="105" t="s">
        <v>161</v>
      </c>
      <c r="B346" s="73" t="s">
        <v>1355</v>
      </c>
      <c r="C346" s="74" t="s">
        <v>484</v>
      </c>
      <c r="D346" s="74"/>
      <c r="E346" s="74"/>
      <c r="F346" s="45" t="s">
        <v>821</v>
      </c>
      <c r="G346" s="74">
        <v>4</v>
      </c>
      <c r="H346" s="74"/>
      <c r="I346" s="75"/>
      <c r="J346" s="74" t="s">
        <v>166</v>
      </c>
      <c r="K346" s="74" t="s">
        <v>216</v>
      </c>
      <c r="L346" s="74"/>
      <c r="M346" s="106">
        <v>1</v>
      </c>
      <c r="N346" s="76">
        <v>0.18</v>
      </c>
      <c r="O346" s="110">
        <f>IF(OR(ISBLANK(BOM_table6[[#This Row],[SKU QTY]]),BOM_table6[[#This Row],[SKU Cost]]=0),0,BOM_table6[[#This Row],[SKU Cost]]/BOM_table6[[#This Row],[SKU QTY]])</f>
        <v>0.18</v>
      </c>
      <c r="P346" s="110">
        <f>IF(OR(ISBLANK(BOM_table6[[#This Row],[ASM QTY]]),ISBLANK(BOM_table6[[#This Row],[Unit Cost]])),0,BOM_table6[[#This Row],[ASM QTY]]*BOM_table6[[#This Row],[Unit Cost]])</f>
        <v>0.72</v>
      </c>
      <c r="Q346" s="74"/>
      <c r="R346" s="82"/>
      <c r="S346" s="111">
        <f>BOM_table6[[#This Row],[ASM QTY]]*$Q$2+BOM_table6[[#This Row],[Spare QTY Needed]]-BOM_table6[[#This Row],[QTY in Inventory]]</f>
        <v>4</v>
      </c>
      <c r="T346" s="111">
        <f>ROUNDUP((BOM_table6[[#This Row],[QTY to Order]]/BOM_table6[[#This Row],[SKU QTY]]),0)</f>
        <v>4</v>
      </c>
      <c r="U346" s="110">
        <f>BOM_table6[[#This Row],[SKU QTY to Order]]*BOM_table6[[#This Row],[SKU Cost]]</f>
        <v>0.72</v>
      </c>
      <c r="V346" s="76"/>
      <c r="W346" s="45" t="s">
        <v>2191</v>
      </c>
      <c r="X346" s="45" t="s">
        <v>2192</v>
      </c>
      <c r="Y346" s="84">
        <v>44923</v>
      </c>
      <c r="Z346" s="78"/>
      <c r="AA346" s="54">
        <v>44924</v>
      </c>
      <c r="AB346" s="74"/>
      <c r="AC346" s="45"/>
    </row>
    <row r="347" spans="1:29" ht="15" customHeight="1" x14ac:dyDescent="0.2">
      <c r="A347" s="105" t="s">
        <v>161</v>
      </c>
      <c r="B347" s="73" t="s">
        <v>1325</v>
      </c>
      <c r="C347" s="74" t="s">
        <v>1326</v>
      </c>
      <c r="D347" s="74"/>
      <c r="E347" s="74"/>
      <c r="F347" s="45" t="s">
        <v>821</v>
      </c>
      <c r="G347" s="74">
        <v>2</v>
      </c>
      <c r="H347" s="74"/>
      <c r="I347" s="43" t="s">
        <v>2332</v>
      </c>
      <c r="J347" s="74" t="s">
        <v>166</v>
      </c>
      <c r="K347" s="74" t="s">
        <v>216</v>
      </c>
      <c r="L347" s="74"/>
      <c r="M347" s="106">
        <v>1</v>
      </c>
      <c r="N347" s="76">
        <f>3.38/10</f>
        <v>0.33799999999999997</v>
      </c>
      <c r="O347" s="110">
        <f>IF(OR(ISBLANK(BOM_table6[[#This Row],[SKU QTY]]),BOM_table6[[#This Row],[SKU Cost]]=0),0,BOM_table6[[#This Row],[SKU Cost]]/BOM_table6[[#This Row],[SKU QTY]])</f>
        <v>0.33799999999999997</v>
      </c>
      <c r="P347" s="110">
        <f>IF(OR(ISBLANK(BOM_table6[[#This Row],[ASM QTY]]),ISBLANK(BOM_table6[[#This Row],[Unit Cost]])),0,BOM_table6[[#This Row],[ASM QTY]]*BOM_table6[[#This Row],[Unit Cost]])</f>
        <v>0.67599999999999993</v>
      </c>
      <c r="Q347" s="74">
        <v>8</v>
      </c>
      <c r="R347" s="82"/>
      <c r="S347" s="111">
        <f>BOM_table6[[#This Row],[ASM QTY]]*$Q$2+BOM_table6[[#This Row],[Spare QTY Needed]]-BOM_table6[[#This Row],[QTY in Inventory]]</f>
        <v>10</v>
      </c>
      <c r="T347" s="111">
        <f>ROUNDUP((BOM_table6[[#This Row],[QTY to Order]]/BOM_table6[[#This Row],[SKU QTY]]),0)</f>
        <v>10</v>
      </c>
      <c r="U347" s="110">
        <f>BOM_table6[[#This Row],[SKU QTY to Order]]*BOM_table6[[#This Row],[SKU Cost]]</f>
        <v>3.38</v>
      </c>
      <c r="V347" s="76"/>
      <c r="W347" s="45" t="s">
        <v>2191</v>
      </c>
      <c r="X347" s="45" t="s">
        <v>2192</v>
      </c>
      <c r="Y347" s="84">
        <v>44923</v>
      </c>
      <c r="Z347" s="78"/>
      <c r="AA347" s="218">
        <v>44924</v>
      </c>
      <c r="AB347" s="74"/>
      <c r="AC347" s="45"/>
    </row>
    <row r="348" spans="1:29" ht="15" customHeight="1" x14ac:dyDescent="0.2">
      <c r="A348" s="105" t="s">
        <v>160</v>
      </c>
      <c r="B348" s="73" t="s">
        <v>1327</v>
      </c>
      <c r="C348" s="74" t="s">
        <v>1328</v>
      </c>
      <c r="D348" s="74"/>
      <c r="E348" s="74"/>
      <c r="F348" s="45" t="s">
        <v>821</v>
      </c>
      <c r="G348" s="74">
        <v>2</v>
      </c>
      <c r="H348" s="74"/>
      <c r="I348" s="75"/>
      <c r="J348" s="74" t="s">
        <v>166</v>
      </c>
      <c r="K348" s="74" t="s">
        <v>216</v>
      </c>
      <c r="L348" s="74"/>
      <c r="M348" s="106">
        <v>1</v>
      </c>
      <c r="N348" s="76"/>
      <c r="O348" s="110">
        <f>IF(OR(ISBLANK(BOM_table6[[#This Row],[SKU QTY]]),BOM_table6[[#This Row],[SKU Cost]]=0),0,BOM_table6[[#This Row],[SKU Cost]]/BOM_table6[[#This Row],[SKU QTY]])</f>
        <v>0</v>
      </c>
      <c r="P348" s="110">
        <f>IF(OR(ISBLANK(BOM_table6[[#This Row],[ASM QTY]]),ISBLANK(BOM_table6[[#This Row],[Unit Cost]])),0,BOM_table6[[#This Row],[ASM QTY]]*BOM_table6[[#This Row],[Unit Cost]])</f>
        <v>0</v>
      </c>
      <c r="Q348" s="74"/>
      <c r="R348" s="82"/>
      <c r="S348" s="111">
        <f>BOM_table6[[#This Row],[ASM QTY]]*$Q$2+BOM_table6[[#This Row],[Spare QTY Needed]]-BOM_table6[[#This Row],[QTY in Inventory]]</f>
        <v>2</v>
      </c>
      <c r="T348" s="111">
        <f>ROUNDUP((BOM_table6[[#This Row],[QTY to Order]]/BOM_table6[[#This Row],[SKU QTY]]),0)</f>
        <v>2</v>
      </c>
      <c r="U348" s="110">
        <f>BOM_table6[[#This Row],[SKU QTY to Order]]*BOM_table6[[#This Row],[SKU Cost]]</f>
        <v>0</v>
      </c>
      <c r="V348" s="76"/>
      <c r="W348" s="74"/>
      <c r="X348" s="74"/>
      <c r="Y348" s="84"/>
      <c r="Z348" s="78"/>
      <c r="AA348" s="54"/>
      <c r="AB348" s="74"/>
      <c r="AC348" s="45"/>
    </row>
    <row r="349" spans="1:29" ht="15" customHeight="1" x14ac:dyDescent="0.2">
      <c r="A349" s="105" t="s">
        <v>161</v>
      </c>
      <c r="B349" s="73" t="s">
        <v>1348</v>
      </c>
      <c r="C349" s="74" t="s">
        <v>1349</v>
      </c>
      <c r="D349" s="74"/>
      <c r="E349" s="74"/>
      <c r="F349" s="45" t="s">
        <v>821</v>
      </c>
      <c r="G349" s="74">
        <v>4</v>
      </c>
      <c r="H349" s="74"/>
      <c r="I349" s="43" t="s">
        <v>2333</v>
      </c>
      <c r="J349" s="74" t="s">
        <v>166</v>
      </c>
      <c r="K349" s="74" t="s">
        <v>216</v>
      </c>
      <c r="L349" s="74"/>
      <c r="M349" s="106">
        <v>1</v>
      </c>
      <c r="N349" s="76">
        <f>11.29/50</f>
        <v>0.22579999999999997</v>
      </c>
      <c r="O349" s="110">
        <f>IF(OR(ISBLANK(BOM_table6[[#This Row],[SKU QTY]]),BOM_table6[[#This Row],[SKU Cost]]=0),0,BOM_table6[[#This Row],[SKU Cost]]/BOM_table6[[#This Row],[SKU QTY]])</f>
        <v>0.22579999999999997</v>
      </c>
      <c r="P349" s="110">
        <f>IF(OR(ISBLANK(BOM_table6[[#This Row],[ASM QTY]]),ISBLANK(BOM_table6[[#This Row],[Unit Cost]])),0,BOM_table6[[#This Row],[ASM QTY]]*BOM_table6[[#This Row],[Unit Cost]])</f>
        <v>0.90319999999999989</v>
      </c>
      <c r="Q349" s="74">
        <f>50-4</f>
        <v>46</v>
      </c>
      <c r="R349" s="82"/>
      <c r="S349" s="111">
        <f>BOM_table6[[#This Row],[ASM QTY]]*$Q$2+BOM_table6[[#This Row],[Spare QTY Needed]]-BOM_table6[[#This Row],[QTY in Inventory]]</f>
        <v>50</v>
      </c>
      <c r="T349" s="111">
        <f>ROUNDUP((BOM_table6[[#This Row],[QTY to Order]]/BOM_table6[[#This Row],[SKU QTY]]),0)</f>
        <v>50</v>
      </c>
      <c r="U349" s="110">
        <f>BOM_table6[[#This Row],[SKU QTY to Order]]*BOM_table6[[#This Row],[SKU Cost]]</f>
        <v>11.29</v>
      </c>
      <c r="V349" s="76"/>
      <c r="W349" s="45" t="s">
        <v>2191</v>
      </c>
      <c r="X349" s="45" t="s">
        <v>2192</v>
      </c>
      <c r="Y349" s="84">
        <v>44923</v>
      </c>
      <c r="Z349" s="78"/>
      <c r="AA349" s="54">
        <v>44924</v>
      </c>
      <c r="AB349" s="74"/>
      <c r="AC349" s="45"/>
    </row>
    <row r="350" spans="1:29" ht="15" customHeight="1" x14ac:dyDescent="0.2">
      <c r="A350" s="105" t="s">
        <v>160</v>
      </c>
      <c r="B350" s="73" t="s">
        <v>1329</v>
      </c>
      <c r="C350" s="74" t="s">
        <v>1462</v>
      </c>
      <c r="D350" s="74"/>
      <c r="E350" s="74"/>
      <c r="F350" s="45" t="s">
        <v>821</v>
      </c>
      <c r="G350" s="74">
        <v>2</v>
      </c>
      <c r="H350" s="45"/>
      <c r="J350" s="74" t="s">
        <v>166</v>
      </c>
      <c r="K350" s="45" t="s">
        <v>216</v>
      </c>
      <c r="L350" s="45"/>
      <c r="M350" s="106">
        <v>1</v>
      </c>
      <c r="N350" s="76"/>
      <c r="O350" s="110">
        <f>IF(OR(ISBLANK(BOM_table6[[#This Row],[SKU QTY]]),BOM_table6[[#This Row],[SKU Cost]]=0),0,BOM_table6[[#This Row],[SKU Cost]]/BOM_table6[[#This Row],[SKU QTY]])</f>
        <v>0</v>
      </c>
      <c r="P350" s="110">
        <f>IF(OR(ISBLANK(BOM_table6[[#This Row],[ASM QTY]]),ISBLANK(BOM_table6[[#This Row],[Unit Cost]])),0,BOM_table6[[#This Row],[ASM QTY]]*BOM_table6[[#This Row],[Unit Cost]])</f>
        <v>0</v>
      </c>
      <c r="Q350" s="74"/>
      <c r="R350" s="82"/>
      <c r="S350" s="111">
        <f>BOM_table6[[#This Row],[ASM QTY]]*$Q$2+BOM_table6[[#This Row],[Spare QTY Needed]]-BOM_table6[[#This Row],[QTY in Inventory]]</f>
        <v>2</v>
      </c>
      <c r="T350" s="111">
        <f>ROUNDUP((BOM_table6[[#This Row],[QTY to Order]]/BOM_table6[[#This Row],[SKU QTY]]),0)</f>
        <v>2</v>
      </c>
      <c r="U350" s="110">
        <f>BOM_table6[[#This Row],[SKU QTY to Order]]*BOM_table6[[#This Row],[SKU Cost]]</f>
        <v>0</v>
      </c>
      <c r="V350" s="76"/>
      <c r="W350" s="45"/>
      <c r="X350" s="45"/>
      <c r="Y350" s="84"/>
      <c r="Z350" s="78"/>
      <c r="AA350" s="74"/>
      <c r="AB350" s="45"/>
      <c r="AC350" s="45"/>
    </row>
    <row r="351" spans="1:29" ht="15" customHeight="1" x14ac:dyDescent="0.2">
      <c r="A351" s="105" t="s">
        <v>161</v>
      </c>
      <c r="B351" s="44" t="s">
        <v>716</v>
      </c>
      <c r="C351" s="45" t="s">
        <v>715</v>
      </c>
      <c r="D351" s="45" t="s">
        <v>371</v>
      </c>
      <c r="E351" s="45" t="s">
        <v>1049</v>
      </c>
      <c r="F351" s="45" t="s">
        <v>821</v>
      </c>
      <c r="G351" s="45">
        <v>1</v>
      </c>
      <c r="H351" s="45" t="s">
        <v>2175</v>
      </c>
      <c r="I351" s="43" t="s">
        <v>714</v>
      </c>
      <c r="J351" s="45" t="s">
        <v>865</v>
      </c>
      <c r="K351" s="45" t="s">
        <v>1422</v>
      </c>
      <c r="L351" s="45"/>
      <c r="M351" s="106">
        <v>1</v>
      </c>
      <c r="N351" s="50">
        <v>2060</v>
      </c>
      <c r="O351" s="110">
        <f>IF(OR(ISBLANK(BOM_table6[[#This Row],[SKU QTY]]),BOM_table6[[#This Row],[SKU Cost]]=0),0,BOM_table6[[#This Row],[SKU Cost]]/BOM_table6[[#This Row],[SKU QTY]])</f>
        <v>2060</v>
      </c>
      <c r="P351" s="110">
        <f>IF(OR(ISBLANK(BOM_table6[[#This Row],[ASM QTY]]),ISBLANK(BOM_table6[[#This Row],[Unit Cost]])),0,BOM_table6[[#This Row],[ASM QTY]]*BOM_table6[[#This Row],[Unit Cost]])</f>
        <v>2060</v>
      </c>
      <c r="Q351" s="45">
        <v>0</v>
      </c>
      <c r="R351" s="81">
        <v>0</v>
      </c>
      <c r="S351" s="111">
        <f>BOM_table6[[#This Row],[ASM QTY]]*$Q$2+BOM_table6[[#This Row],[Spare QTY Needed]]-BOM_table6[[#This Row],[QTY in Inventory]]</f>
        <v>1</v>
      </c>
      <c r="T351" s="111">
        <f>ROUNDUP((BOM_table6[[#This Row],[QTY to Order]]/BOM_table6[[#This Row],[SKU QTY]]),0)</f>
        <v>1</v>
      </c>
      <c r="U351" s="110">
        <f>BOM_table6[[#This Row],[SKU QTY to Order]]*BOM_table6[[#This Row],[SKU Cost]]</f>
        <v>2060</v>
      </c>
      <c r="V351" s="62"/>
      <c r="W351" s="45" t="s">
        <v>2180</v>
      </c>
      <c r="X351" s="45" t="s">
        <v>2217</v>
      </c>
      <c r="Y351" s="54">
        <v>44858</v>
      </c>
      <c r="Z351" s="54">
        <v>44907</v>
      </c>
      <c r="AA351" s="54"/>
      <c r="AB351" s="45"/>
      <c r="AC351" s="45"/>
    </row>
    <row r="352" spans="1:29" ht="15" customHeight="1" x14ac:dyDescent="0.2">
      <c r="A352" s="105" t="s">
        <v>160</v>
      </c>
      <c r="B352" s="44" t="s">
        <v>1479</v>
      </c>
      <c r="C352" s="74" t="s">
        <v>1478</v>
      </c>
      <c r="D352" s="74"/>
      <c r="E352" s="74"/>
      <c r="F352" s="45" t="s">
        <v>821</v>
      </c>
      <c r="G352" s="74">
        <v>4</v>
      </c>
      <c r="H352" s="45"/>
      <c r="J352" s="74" t="s">
        <v>166</v>
      </c>
      <c r="K352" s="74"/>
      <c r="L352" s="74"/>
      <c r="M352" s="106">
        <v>1</v>
      </c>
      <c r="N352" s="76"/>
      <c r="O352" s="110">
        <f>IF(OR(ISBLANK(BOM_table6[[#This Row],[SKU QTY]]),BOM_table6[[#This Row],[SKU Cost]]=0),0,BOM_table6[[#This Row],[SKU Cost]]/BOM_table6[[#This Row],[SKU QTY]])</f>
        <v>0</v>
      </c>
      <c r="P352" s="110">
        <f>IF(OR(ISBLANK(BOM_table6[[#This Row],[ASM QTY]]),ISBLANK(BOM_table6[[#This Row],[Unit Cost]])),0,BOM_table6[[#This Row],[ASM QTY]]*BOM_table6[[#This Row],[Unit Cost]])</f>
        <v>0</v>
      </c>
      <c r="Q352" s="74"/>
      <c r="R352" s="82"/>
      <c r="S352" s="111">
        <f>BOM_table6[[#This Row],[ASM QTY]]*$Q$2+BOM_table6[[#This Row],[Spare QTY Needed]]-BOM_table6[[#This Row],[QTY in Inventory]]</f>
        <v>4</v>
      </c>
      <c r="T352" s="111">
        <f>ROUNDUP((BOM_table6[[#This Row],[QTY to Order]]/BOM_table6[[#This Row],[SKU QTY]]),0)</f>
        <v>4</v>
      </c>
      <c r="U352" s="110">
        <f>BOM_table6[[#This Row],[SKU QTY to Order]]*BOM_table6[[#This Row],[SKU Cost]]</f>
        <v>0</v>
      </c>
      <c r="V352" s="76"/>
      <c r="W352" s="45"/>
      <c r="X352" s="45"/>
      <c r="Y352" s="84"/>
      <c r="Z352" s="78"/>
      <c r="AA352" s="74"/>
      <c r="AB352" s="74"/>
      <c r="AC352" s="45"/>
    </row>
    <row r="353" spans="1:29" ht="15" customHeight="1" x14ac:dyDescent="0.2">
      <c r="A353" s="105" t="s">
        <v>160</v>
      </c>
      <c r="B353" s="73" t="s">
        <v>1330</v>
      </c>
      <c r="C353" s="74" t="s">
        <v>1477</v>
      </c>
      <c r="D353" s="74"/>
      <c r="E353" s="74"/>
      <c r="F353" s="45" t="s">
        <v>821</v>
      </c>
      <c r="G353" s="74">
        <v>4</v>
      </c>
      <c r="H353" s="45"/>
      <c r="J353" s="74" t="s">
        <v>166</v>
      </c>
      <c r="K353" s="45" t="s">
        <v>216</v>
      </c>
      <c r="L353" s="45"/>
      <c r="M353" s="106">
        <v>1</v>
      </c>
      <c r="N353" s="76"/>
      <c r="O353" s="110">
        <f>IF(OR(ISBLANK(BOM_table6[[#This Row],[SKU QTY]]),BOM_table6[[#This Row],[SKU Cost]]=0),0,BOM_table6[[#This Row],[SKU Cost]]/BOM_table6[[#This Row],[SKU QTY]])</f>
        <v>0</v>
      </c>
      <c r="P353" s="110">
        <f>IF(OR(ISBLANK(BOM_table6[[#This Row],[ASM QTY]]),ISBLANK(BOM_table6[[#This Row],[Unit Cost]])),0,BOM_table6[[#This Row],[ASM QTY]]*BOM_table6[[#This Row],[Unit Cost]])</f>
        <v>0</v>
      </c>
      <c r="Q353" s="74"/>
      <c r="R353" s="82"/>
      <c r="S353" s="111">
        <f>BOM_table6[[#This Row],[ASM QTY]]*$Q$2+BOM_table6[[#This Row],[Spare QTY Needed]]-BOM_table6[[#This Row],[QTY in Inventory]]</f>
        <v>4</v>
      </c>
      <c r="T353" s="111">
        <f>ROUNDUP((BOM_table6[[#This Row],[QTY to Order]]/BOM_table6[[#This Row],[SKU QTY]]),0)</f>
        <v>4</v>
      </c>
      <c r="U353" s="110">
        <f>BOM_table6[[#This Row],[SKU QTY to Order]]*BOM_table6[[#This Row],[SKU Cost]]</f>
        <v>0</v>
      </c>
      <c r="V353" s="76"/>
      <c r="W353" s="45"/>
      <c r="X353" s="45"/>
      <c r="Y353" s="84"/>
      <c r="Z353" s="78"/>
      <c r="AA353" s="74"/>
      <c r="AB353" s="74"/>
      <c r="AC353" s="45"/>
    </row>
    <row r="354" spans="1:29" ht="15" customHeight="1" x14ac:dyDescent="0.2">
      <c r="A354" s="105" t="s">
        <v>161</v>
      </c>
      <c r="B354" s="73" t="s">
        <v>1356</v>
      </c>
      <c r="C354" s="74" t="s">
        <v>1357</v>
      </c>
      <c r="D354" s="74"/>
      <c r="E354" s="74"/>
      <c r="F354" s="45" t="s">
        <v>821</v>
      </c>
      <c r="G354" s="74">
        <v>3</v>
      </c>
      <c r="H354" s="74"/>
      <c r="I354" s="43" t="s">
        <v>2330</v>
      </c>
      <c r="J354" s="74" t="s">
        <v>166</v>
      </c>
      <c r="K354" s="74" t="s">
        <v>216</v>
      </c>
      <c r="L354" s="74"/>
      <c r="M354" s="106">
        <v>1</v>
      </c>
      <c r="N354" s="76">
        <f>9.72/100</f>
        <v>9.7200000000000009E-2</v>
      </c>
      <c r="O354" s="110">
        <f>IF(OR(ISBLANK(BOM_table6[[#This Row],[SKU QTY]]),BOM_table6[[#This Row],[SKU Cost]]=0),0,BOM_table6[[#This Row],[SKU Cost]]/BOM_table6[[#This Row],[SKU QTY]])</f>
        <v>9.7200000000000009E-2</v>
      </c>
      <c r="P354" s="110">
        <f>IF(OR(ISBLANK(BOM_table6[[#This Row],[ASM QTY]]),ISBLANK(BOM_table6[[#This Row],[Unit Cost]])),0,BOM_table6[[#This Row],[ASM QTY]]*BOM_table6[[#This Row],[Unit Cost]])</f>
        <v>0.29160000000000003</v>
      </c>
      <c r="Q354" s="74">
        <f>100-3</f>
        <v>97</v>
      </c>
      <c r="R354" s="82"/>
      <c r="S354" s="111">
        <f>BOM_table6[[#This Row],[ASM QTY]]*$Q$2+BOM_table6[[#This Row],[Spare QTY Needed]]-BOM_table6[[#This Row],[QTY in Inventory]]</f>
        <v>100</v>
      </c>
      <c r="T354" s="111">
        <f>ROUNDUP((BOM_table6[[#This Row],[QTY to Order]]/BOM_table6[[#This Row],[SKU QTY]]),0)</f>
        <v>100</v>
      </c>
      <c r="U354" s="110">
        <f>BOM_table6[[#This Row],[SKU QTY to Order]]*BOM_table6[[#This Row],[SKU Cost]]</f>
        <v>9.7200000000000006</v>
      </c>
      <c r="V354" s="76"/>
      <c r="W354" s="45" t="s">
        <v>2191</v>
      </c>
      <c r="X354" s="45" t="s">
        <v>2192</v>
      </c>
      <c r="Y354" s="84">
        <v>44923</v>
      </c>
      <c r="Z354" s="78"/>
      <c r="AA354" s="54">
        <v>44924</v>
      </c>
      <c r="AB354" s="74"/>
      <c r="AC354" s="45"/>
    </row>
    <row r="355" spans="1:29" ht="15" customHeight="1" x14ac:dyDescent="0.2">
      <c r="A355" s="105" t="s">
        <v>160</v>
      </c>
      <c r="B355" s="44" t="s">
        <v>717</v>
      </c>
      <c r="C355" s="45" t="s">
        <v>718</v>
      </c>
      <c r="D355" s="45"/>
      <c r="E355" s="45" t="s">
        <v>1049</v>
      </c>
      <c r="F355" s="45" t="s">
        <v>821</v>
      </c>
      <c r="G355" s="45">
        <v>1</v>
      </c>
      <c r="H355" s="45"/>
      <c r="J355" s="45" t="s">
        <v>1320</v>
      </c>
      <c r="K355" s="45"/>
      <c r="L355" s="45"/>
      <c r="M355" s="106">
        <v>1</v>
      </c>
      <c r="N355" s="50"/>
      <c r="O355" s="110">
        <f>IF(OR(ISBLANK(BOM_table6[[#This Row],[SKU QTY]]),BOM_table6[[#This Row],[SKU Cost]]=0),0,BOM_table6[[#This Row],[SKU Cost]]/BOM_table6[[#This Row],[SKU QTY]])</f>
        <v>0</v>
      </c>
      <c r="P355" s="110">
        <f>IF(OR(ISBLANK(BOM_table6[[#This Row],[ASM QTY]]),ISBLANK(BOM_table6[[#This Row],[Unit Cost]])),0,BOM_table6[[#This Row],[ASM QTY]]*BOM_table6[[#This Row],[Unit Cost]])</f>
        <v>0</v>
      </c>
      <c r="Q355" s="45"/>
      <c r="R355" s="81"/>
      <c r="S355" s="111">
        <f>BOM_table6[[#This Row],[ASM QTY]]*$Q$2+BOM_table6[[#This Row],[Spare QTY Needed]]-BOM_table6[[#This Row],[QTY in Inventory]]</f>
        <v>1</v>
      </c>
      <c r="T355" s="111">
        <f>ROUNDUP((BOM_table6[[#This Row],[QTY to Order]]/BOM_table6[[#This Row],[SKU QTY]]),0)</f>
        <v>1</v>
      </c>
      <c r="U355" s="110">
        <f>BOM_table6[[#This Row],[SKU QTY to Order]]*BOM_table6[[#This Row],[SKU Cost]]</f>
        <v>0</v>
      </c>
      <c r="V355" s="62"/>
      <c r="W355" s="45"/>
      <c r="X355" s="45"/>
      <c r="Y355" s="45"/>
      <c r="Z355" s="54"/>
      <c r="AA355" s="45"/>
      <c r="AB355" s="45"/>
      <c r="AC355" s="45"/>
    </row>
    <row r="356" spans="1:29" ht="15" customHeight="1" x14ac:dyDescent="0.2">
      <c r="A356" s="105" t="s">
        <v>160</v>
      </c>
      <c r="B356" s="44" t="s">
        <v>459</v>
      </c>
      <c r="C356" s="45" t="s">
        <v>460</v>
      </c>
      <c r="D356" s="45"/>
      <c r="E356" s="45" t="s">
        <v>1049</v>
      </c>
      <c r="F356" s="45" t="s">
        <v>821</v>
      </c>
      <c r="G356" s="45">
        <v>1</v>
      </c>
      <c r="H356" s="45"/>
      <c r="J356" s="45" t="s">
        <v>1320</v>
      </c>
      <c r="K356" s="45"/>
      <c r="L356" s="45"/>
      <c r="M356" s="106">
        <v>1</v>
      </c>
      <c r="N356" s="50"/>
      <c r="O356" s="110">
        <f>IF(OR(ISBLANK(BOM_table6[[#This Row],[SKU QTY]]),BOM_table6[[#This Row],[SKU Cost]]=0),0,BOM_table6[[#This Row],[SKU Cost]]/BOM_table6[[#This Row],[SKU QTY]])</f>
        <v>0</v>
      </c>
      <c r="P356" s="110">
        <f>IF(OR(ISBLANK(BOM_table6[[#This Row],[ASM QTY]]),ISBLANK(BOM_table6[[#This Row],[Unit Cost]])),0,BOM_table6[[#This Row],[ASM QTY]]*BOM_table6[[#This Row],[Unit Cost]])</f>
        <v>0</v>
      </c>
      <c r="Q356" s="45"/>
      <c r="R356" s="81"/>
      <c r="S356" s="111">
        <f>BOM_table6[[#This Row],[ASM QTY]]*$Q$2+BOM_table6[[#This Row],[Spare QTY Needed]]-BOM_table6[[#This Row],[QTY in Inventory]]</f>
        <v>1</v>
      </c>
      <c r="T356" s="111">
        <f>ROUNDUP((BOM_table6[[#This Row],[QTY to Order]]/BOM_table6[[#This Row],[SKU QTY]]),0)</f>
        <v>1</v>
      </c>
      <c r="U356" s="110">
        <f>BOM_table6[[#This Row],[SKU QTY to Order]]*BOM_table6[[#This Row],[SKU Cost]]</f>
        <v>0</v>
      </c>
      <c r="V356" s="62"/>
      <c r="W356" s="45"/>
      <c r="X356" s="45"/>
      <c r="Y356" s="45"/>
      <c r="Z356" s="54"/>
      <c r="AA356" s="45"/>
      <c r="AB356" s="45"/>
      <c r="AC356" s="45"/>
    </row>
    <row r="357" spans="1:29" ht="15" customHeight="1" x14ac:dyDescent="0.2">
      <c r="A357" s="105" t="s">
        <v>160</v>
      </c>
      <c r="B357" s="44" t="s">
        <v>870</v>
      </c>
      <c r="C357" s="45" t="s">
        <v>871</v>
      </c>
      <c r="D357" s="45"/>
      <c r="E357" s="45" t="s">
        <v>1049</v>
      </c>
      <c r="F357" s="45" t="s">
        <v>821</v>
      </c>
      <c r="G357" s="45">
        <v>1</v>
      </c>
      <c r="H357" s="45"/>
      <c r="J357" s="45" t="s">
        <v>1320</v>
      </c>
      <c r="K357" s="45"/>
      <c r="L357" s="45"/>
      <c r="M357" s="106">
        <v>1</v>
      </c>
      <c r="N357" s="50"/>
      <c r="O357" s="110">
        <f>IF(OR(ISBLANK(BOM_table6[[#This Row],[SKU QTY]]),BOM_table6[[#This Row],[SKU Cost]]=0),0,BOM_table6[[#This Row],[SKU Cost]]/BOM_table6[[#This Row],[SKU QTY]])</f>
        <v>0</v>
      </c>
      <c r="P357" s="110">
        <f>IF(OR(ISBLANK(BOM_table6[[#This Row],[ASM QTY]]),ISBLANK(BOM_table6[[#This Row],[Unit Cost]])),0,BOM_table6[[#This Row],[ASM QTY]]*BOM_table6[[#This Row],[Unit Cost]])</f>
        <v>0</v>
      </c>
      <c r="Q357" s="45"/>
      <c r="R357" s="81"/>
      <c r="S357" s="111">
        <f>BOM_table6[[#This Row],[ASM QTY]]*$Q$2+BOM_table6[[#This Row],[Spare QTY Needed]]-BOM_table6[[#This Row],[QTY in Inventory]]</f>
        <v>1</v>
      </c>
      <c r="T357" s="111">
        <f>ROUNDUP((BOM_table6[[#This Row],[QTY to Order]]/BOM_table6[[#This Row],[SKU QTY]]),0)</f>
        <v>1</v>
      </c>
      <c r="U357" s="110">
        <f>BOM_table6[[#This Row],[SKU QTY to Order]]*BOM_table6[[#This Row],[SKU Cost]]</f>
        <v>0</v>
      </c>
      <c r="V357" s="62"/>
      <c r="W357" s="45"/>
      <c r="X357" s="45"/>
      <c r="Y357" s="45"/>
      <c r="Z357" s="54"/>
      <c r="AA357" s="45"/>
      <c r="AB357" s="45"/>
      <c r="AC357" s="45"/>
    </row>
    <row r="358" spans="1:29" ht="15" customHeight="1" x14ac:dyDescent="0.2">
      <c r="A358" s="105" t="s">
        <v>161</v>
      </c>
      <c r="B358" s="44" t="s">
        <v>571</v>
      </c>
      <c r="C358" s="45" t="s">
        <v>572</v>
      </c>
      <c r="D358" s="45" t="s">
        <v>152</v>
      </c>
      <c r="E358" s="45" t="s">
        <v>1049</v>
      </c>
      <c r="F358" s="45" t="s">
        <v>821</v>
      </c>
      <c r="G358" s="45">
        <v>1</v>
      </c>
      <c r="H358" s="45"/>
      <c r="J358" s="45" t="s">
        <v>1320</v>
      </c>
      <c r="K358" s="45" t="s">
        <v>1483</v>
      </c>
      <c r="L358" s="45"/>
      <c r="M358" s="106">
        <v>1</v>
      </c>
      <c r="N358" s="50"/>
      <c r="O358" s="110">
        <f>IF(OR(ISBLANK(BOM_table6[[#This Row],[SKU QTY]]),BOM_table6[[#This Row],[SKU Cost]]=0),0,BOM_table6[[#This Row],[SKU Cost]]/BOM_table6[[#This Row],[SKU QTY]])</f>
        <v>0</v>
      </c>
      <c r="P358" s="110">
        <f>IF(OR(ISBLANK(BOM_table6[[#This Row],[ASM QTY]]),ISBLANK(BOM_table6[[#This Row],[Unit Cost]])),0,BOM_table6[[#This Row],[ASM QTY]]*BOM_table6[[#This Row],[Unit Cost]])</f>
        <v>0</v>
      </c>
      <c r="Q358" s="45"/>
      <c r="R358" s="81">
        <v>8</v>
      </c>
      <c r="S358" s="111">
        <f>BOM_table6[[#This Row],[ASM QTY]]*$Q$2+BOM_table6[[#This Row],[Spare QTY Needed]]-BOM_table6[[#This Row],[QTY in Inventory]]</f>
        <v>-7</v>
      </c>
      <c r="T358" s="111">
        <f>ROUNDUP((BOM_table6[[#This Row],[QTY to Order]]/BOM_table6[[#This Row],[SKU QTY]]),0)</f>
        <v>-7</v>
      </c>
      <c r="U358" s="110">
        <f>BOM_table6[[#This Row],[SKU QTY to Order]]*BOM_table6[[#This Row],[SKU Cost]]</f>
        <v>0</v>
      </c>
      <c r="V358" s="62"/>
      <c r="W358" s="45"/>
      <c r="X358" s="45"/>
      <c r="Y358" s="97"/>
      <c r="Z358" s="54"/>
      <c r="AA358" s="45"/>
      <c r="AB358" s="45"/>
      <c r="AC358" s="45"/>
    </row>
    <row r="359" spans="1:29" ht="15" customHeight="1" x14ac:dyDescent="0.2">
      <c r="A359" s="105" t="s">
        <v>160</v>
      </c>
      <c r="B359" s="44" t="s">
        <v>592</v>
      </c>
      <c r="C359" s="45" t="s">
        <v>593</v>
      </c>
      <c r="D359" s="45"/>
      <c r="E359" s="45" t="s">
        <v>1049</v>
      </c>
      <c r="F359" s="45" t="s">
        <v>821</v>
      </c>
      <c r="G359" s="45">
        <v>1</v>
      </c>
      <c r="H359" s="45"/>
      <c r="J359" s="45" t="s">
        <v>1320</v>
      </c>
      <c r="K359" s="45" t="s">
        <v>1483</v>
      </c>
      <c r="L359" s="45"/>
      <c r="M359" s="106">
        <v>1</v>
      </c>
      <c r="N359" s="50"/>
      <c r="O359" s="110">
        <f>IF(OR(ISBLANK(BOM_table6[[#This Row],[SKU QTY]]),BOM_table6[[#This Row],[SKU Cost]]=0),0,BOM_table6[[#This Row],[SKU Cost]]/BOM_table6[[#This Row],[SKU QTY]])</f>
        <v>0</v>
      </c>
      <c r="P359" s="110">
        <f>IF(OR(ISBLANK(BOM_table6[[#This Row],[ASM QTY]]),ISBLANK(BOM_table6[[#This Row],[Unit Cost]])),0,BOM_table6[[#This Row],[ASM QTY]]*BOM_table6[[#This Row],[Unit Cost]])</f>
        <v>0</v>
      </c>
      <c r="Q359" s="45"/>
      <c r="R359" s="81"/>
      <c r="S359" s="111">
        <f>BOM_table6[[#This Row],[ASM QTY]]*$Q$2+BOM_table6[[#This Row],[Spare QTY Needed]]-BOM_table6[[#This Row],[QTY in Inventory]]</f>
        <v>1</v>
      </c>
      <c r="T359" s="111">
        <f>ROUNDUP((BOM_table6[[#This Row],[QTY to Order]]/BOM_table6[[#This Row],[SKU QTY]]),0)</f>
        <v>1</v>
      </c>
      <c r="U359" s="110">
        <f>BOM_table6[[#This Row],[SKU QTY to Order]]*BOM_table6[[#This Row],[SKU Cost]]</f>
        <v>0</v>
      </c>
      <c r="V359" s="62"/>
      <c r="W359" s="45"/>
      <c r="X359" s="45"/>
      <c r="Y359" s="97"/>
      <c r="Z359" s="54"/>
      <c r="AA359" s="45"/>
      <c r="AB359" s="45"/>
      <c r="AC359" s="45"/>
    </row>
    <row r="360" spans="1:29" ht="15" customHeight="1" x14ac:dyDescent="0.2">
      <c r="A360" s="105" t="s">
        <v>160</v>
      </c>
      <c r="B360" s="44" t="s">
        <v>698</v>
      </c>
      <c r="C360" s="45" t="s">
        <v>699</v>
      </c>
      <c r="D360" s="45"/>
      <c r="E360" s="45" t="s">
        <v>1049</v>
      </c>
      <c r="F360" s="45" t="s">
        <v>821</v>
      </c>
      <c r="G360" s="45">
        <v>1</v>
      </c>
      <c r="H360" s="45"/>
      <c r="J360" s="45" t="s">
        <v>1320</v>
      </c>
      <c r="K360" s="45" t="s">
        <v>1483</v>
      </c>
      <c r="L360" s="45"/>
      <c r="M360" s="106">
        <v>1</v>
      </c>
      <c r="N360" s="50"/>
      <c r="O360" s="110">
        <f>IF(OR(ISBLANK(BOM_table6[[#This Row],[SKU QTY]]),BOM_table6[[#This Row],[SKU Cost]]=0),0,BOM_table6[[#This Row],[SKU Cost]]/BOM_table6[[#This Row],[SKU QTY]])</f>
        <v>0</v>
      </c>
      <c r="P360" s="110">
        <f>IF(OR(ISBLANK(BOM_table6[[#This Row],[ASM QTY]]),ISBLANK(BOM_table6[[#This Row],[Unit Cost]])),0,BOM_table6[[#This Row],[ASM QTY]]*BOM_table6[[#This Row],[Unit Cost]])</f>
        <v>0</v>
      </c>
      <c r="Q360" s="45"/>
      <c r="R360" s="81"/>
      <c r="S360" s="111">
        <f>BOM_table6[[#This Row],[ASM QTY]]*$Q$2+BOM_table6[[#This Row],[Spare QTY Needed]]-BOM_table6[[#This Row],[QTY in Inventory]]</f>
        <v>1</v>
      </c>
      <c r="T360" s="111">
        <f>ROUNDUP((BOM_table6[[#This Row],[QTY to Order]]/BOM_table6[[#This Row],[SKU QTY]]),0)</f>
        <v>1</v>
      </c>
      <c r="U360" s="110">
        <f>BOM_table6[[#This Row],[SKU QTY to Order]]*BOM_table6[[#This Row],[SKU Cost]]</f>
        <v>0</v>
      </c>
      <c r="V360" s="62"/>
      <c r="W360" s="45"/>
      <c r="X360" s="45"/>
      <c r="Y360" s="97"/>
      <c r="Z360" s="54"/>
      <c r="AA360" s="45"/>
      <c r="AB360" s="45"/>
      <c r="AC360" s="45"/>
    </row>
    <row r="361" spans="1:29" ht="15" customHeight="1" x14ac:dyDescent="0.2">
      <c r="A361" s="105" t="s">
        <v>160</v>
      </c>
      <c r="B361" s="44" t="s">
        <v>560</v>
      </c>
      <c r="C361" s="45" t="s">
        <v>561</v>
      </c>
      <c r="D361" s="45" t="s">
        <v>152</v>
      </c>
      <c r="E361" s="45" t="s">
        <v>1049</v>
      </c>
      <c r="F361" s="45" t="s">
        <v>821</v>
      </c>
      <c r="G361" s="45">
        <v>1</v>
      </c>
      <c r="H361" s="45"/>
      <c r="J361" s="45" t="s">
        <v>1320</v>
      </c>
      <c r="K361" s="45" t="s">
        <v>1483</v>
      </c>
      <c r="L361" s="45"/>
      <c r="M361" s="106">
        <v>1</v>
      </c>
      <c r="N361" s="50"/>
      <c r="O361" s="110">
        <f>IF(OR(ISBLANK(BOM_table6[[#This Row],[SKU QTY]]),BOM_table6[[#This Row],[SKU Cost]]=0),0,BOM_table6[[#This Row],[SKU Cost]]/BOM_table6[[#This Row],[SKU QTY]])</f>
        <v>0</v>
      </c>
      <c r="P361" s="110">
        <f>IF(OR(ISBLANK(BOM_table6[[#This Row],[ASM QTY]]),ISBLANK(BOM_table6[[#This Row],[Unit Cost]])),0,BOM_table6[[#This Row],[ASM QTY]]*BOM_table6[[#This Row],[Unit Cost]])</f>
        <v>0</v>
      </c>
      <c r="Q361" s="45"/>
      <c r="R361" s="81"/>
      <c r="S361" s="111">
        <f>BOM_table6[[#This Row],[ASM QTY]]*$Q$2+BOM_table6[[#This Row],[Spare QTY Needed]]-BOM_table6[[#This Row],[QTY in Inventory]]</f>
        <v>1</v>
      </c>
      <c r="T361" s="111">
        <f>ROUNDUP((BOM_table6[[#This Row],[QTY to Order]]/BOM_table6[[#This Row],[SKU QTY]]),0)</f>
        <v>1</v>
      </c>
      <c r="U361" s="110">
        <f>BOM_table6[[#This Row],[SKU QTY to Order]]*BOM_table6[[#This Row],[SKU Cost]]</f>
        <v>0</v>
      </c>
      <c r="V361" s="62"/>
      <c r="W361" s="45"/>
      <c r="X361" s="45"/>
      <c r="Y361" s="97"/>
      <c r="Z361" s="54"/>
      <c r="AA361" s="45"/>
      <c r="AB361" s="45"/>
      <c r="AC361" s="45"/>
    </row>
    <row r="362" spans="1:29" ht="15" customHeight="1" x14ac:dyDescent="0.2">
      <c r="A362" s="105" t="s">
        <v>160</v>
      </c>
      <c r="B362" s="44" t="s">
        <v>564</v>
      </c>
      <c r="C362" s="45" t="s">
        <v>561</v>
      </c>
      <c r="D362" s="45"/>
      <c r="E362" s="45" t="s">
        <v>1049</v>
      </c>
      <c r="F362" s="45" t="s">
        <v>821</v>
      </c>
      <c r="G362" s="45">
        <v>1</v>
      </c>
      <c r="H362" s="45"/>
      <c r="J362" s="45" t="s">
        <v>1320</v>
      </c>
      <c r="K362" s="45" t="s">
        <v>1483</v>
      </c>
      <c r="L362" s="45"/>
      <c r="M362" s="106">
        <v>1</v>
      </c>
      <c r="N362" s="50"/>
      <c r="O362" s="110">
        <f>IF(OR(ISBLANK(BOM_table6[[#This Row],[SKU QTY]]),BOM_table6[[#This Row],[SKU Cost]]=0),0,BOM_table6[[#This Row],[SKU Cost]]/BOM_table6[[#This Row],[SKU QTY]])</f>
        <v>0</v>
      </c>
      <c r="P362" s="110">
        <f>IF(OR(ISBLANK(BOM_table6[[#This Row],[ASM QTY]]),ISBLANK(BOM_table6[[#This Row],[Unit Cost]])),0,BOM_table6[[#This Row],[ASM QTY]]*BOM_table6[[#This Row],[Unit Cost]])</f>
        <v>0</v>
      </c>
      <c r="Q362" s="45"/>
      <c r="R362" s="81"/>
      <c r="S362" s="111">
        <f>BOM_table6[[#This Row],[ASM QTY]]*$Q$2+BOM_table6[[#This Row],[Spare QTY Needed]]-BOM_table6[[#This Row],[QTY in Inventory]]</f>
        <v>1</v>
      </c>
      <c r="T362" s="111">
        <f>ROUNDUP((BOM_table6[[#This Row],[QTY to Order]]/BOM_table6[[#This Row],[SKU QTY]]),0)</f>
        <v>1</v>
      </c>
      <c r="U362" s="110">
        <f>BOM_table6[[#This Row],[SKU QTY to Order]]*BOM_table6[[#This Row],[SKU Cost]]</f>
        <v>0</v>
      </c>
      <c r="V362" s="62"/>
      <c r="W362" s="45"/>
      <c r="X362" s="45"/>
      <c r="Y362" s="97"/>
      <c r="Z362" s="54"/>
      <c r="AA362" s="45"/>
      <c r="AB362" s="45"/>
      <c r="AC362" s="45"/>
    </row>
    <row r="363" spans="1:29" ht="15" customHeight="1" x14ac:dyDescent="0.2">
      <c r="A363" s="105" t="s">
        <v>160</v>
      </c>
      <c r="B363" s="75" t="s">
        <v>1361</v>
      </c>
      <c r="C363" s="74" t="s">
        <v>1363</v>
      </c>
      <c r="D363" s="74"/>
      <c r="E363" s="74" t="s">
        <v>199</v>
      </c>
      <c r="F363" s="45" t="s">
        <v>821</v>
      </c>
      <c r="G363" s="74">
        <v>3</v>
      </c>
      <c r="H363" s="74"/>
      <c r="I363" s="75"/>
      <c r="J363" s="74" t="s">
        <v>168</v>
      </c>
      <c r="K363" s="74"/>
      <c r="L363" s="74"/>
      <c r="M363" s="106">
        <v>1</v>
      </c>
      <c r="N363" s="76"/>
      <c r="O363" s="110">
        <f>IF(OR(ISBLANK(BOM_table6[[#This Row],[SKU QTY]]),BOM_table6[[#This Row],[SKU Cost]]=0),0,BOM_table6[[#This Row],[SKU Cost]]/BOM_table6[[#This Row],[SKU QTY]])</f>
        <v>0</v>
      </c>
      <c r="P363" s="110">
        <f>IF(OR(ISBLANK(BOM_table6[[#This Row],[ASM QTY]]),ISBLANK(BOM_table6[[#This Row],[Unit Cost]])),0,BOM_table6[[#This Row],[ASM QTY]]*BOM_table6[[#This Row],[Unit Cost]])</f>
        <v>0</v>
      </c>
      <c r="Q363" s="74"/>
      <c r="R363" s="82"/>
      <c r="S363" s="111">
        <f>BOM_table6[[#This Row],[ASM QTY]]*$Q$2+BOM_table6[[#This Row],[Spare QTY Needed]]-BOM_table6[[#This Row],[QTY in Inventory]]</f>
        <v>3</v>
      </c>
      <c r="T363" s="111">
        <f>ROUNDUP((BOM_table6[[#This Row],[QTY to Order]]/BOM_table6[[#This Row],[SKU QTY]]),0)</f>
        <v>3</v>
      </c>
      <c r="U363" s="110">
        <f>BOM_table6[[#This Row],[SKU QTY to Order]]*BOM_table6[[#This Row],[SKU Cost]]</f>
        <v>0</v>
      </c>
      <c r="V363" s="76"/>
      <c r="W363" s="74"/>
      <c r="X363" s="74"/>
      <c r="Y363" s="77"/>
      <c r="Z363" s="78"/>
      <c r="AA363" s="74"/>
      <c r="AB363" s="74"/>
      <c r="AC363" s="45"/>
    </row>
    <row r="364" spans="1:29" ht="15" customHeight="1" x14ac:dyDescent="0.2">
      <c r="A364" s="105" t="s">
        <v>160</v>
      </c>
      <c r="B364" s="44" t="s">
        <v>1341</v>
      </c>
      <c r="C364" s="45" t="s">
        <v>1340</v>
      </c>
      <c r="D364" s="74"/>
      <c r="E364" s="74" t="s">
        <v>1264</v>
      </c>
      <c r="F364" s="45" t="s">
        <v>821</v>
      </c>
      <c r="G364" s="74">
        <v>1</v>
      </c>
      <c r="H364" s="74"/>
      <c r="J364" s="74" t="s">
        <v>166</v>
      </c>
      <c r="K364" s="74"/>
      <c r="L364" s="74"/>
      <c r="M364" s="106">
        <v>1</v>
      </c>
      <c r="N364" s="76"/>
      <c r="O364" s="110">
        <f>IF(OR(ISBLANK(BOM_table6[[#This Row],[SKU QTY]]),BOM_table6[[#This Row],[SKU Cost]]=0),0,BOM_table6[[#This Row],[SKU Cost]]/BOM_table6[[#This Row],[SKU QTY]])</f>
        <v>0</v>
      </c>
      <c r="P364" s="110">
        <f>IF(OR(ISBLANK(BOM_table6[[#This Row],[ASM QTY]]),ISBLANK(BOM_table6[[#This Row],[Unit Cost]])),0,BOM_table6[[#This Row],[ASM QTY]]*BOM_table6[[#This Row],[Unit Cost]])</f>
        <v>0</v>
      </c>
      <c r="Q364" s="74"/>
      <c r="R364" s="82"/>
      <c r="S364" s="111">
        <f>BOM_table6[[#This Row],[ASM QTY]]*$Q$2+BOM_table6[[#This Row],[Spare QTY Needed]]-BOM_table6[[#This Row],[QTY in Inventory]]</f>
        <v>1</v>
      </c>
      <c r="T364" s="111">
        <f>ROUNDUP((BOM_table6[[#This Row],[QTY to Order]]/BOM_table6[[#This Row],[SKU QTY]]),0)</f>
        <v>1</v>
      </c>
      <c r="U364" s="110">
        <f>BOM_table6[[#This Row],[SKU QTY to Order]]*BOM_table6[[#This Row],[SKU Cost]]</f>
        <v>0</v>
      </c>
      <c r="V364" s="76"/>
      <c r="W364" s="74"/>
      <c r="X364" s="74"/>
      <c r="Y364" s="77"/>
      <c r="Z364" s="78"/>
      <c r="AA364" s="74"/>
      <c r="AB364" s="74"/>
      <c r="AC364" s="45"/>
    </row>
    <row r="365" spans="1:29" ht="15" customHeight="1" x14ac:dyDescent="0.2">
      <c r="A365" s="105" t="s">
        <v>1318</v>
      </c>
      <c r="B365" s="73" t="s">
        <v>1335</v>
      </c>
      <c r="C365" s="45" t="s">
        <v>1336</v>
      </c>
      <c r="D365" s="74"/>
      <c r="E365" s="74" t="s">
        <v>1337</v>
      </c>
      <c r="F365" s="45" t="s">
        <v>821</v>
      </c>
      <c r="G365" s="74">
        <v>1</v>
      </c>
      <c r="H365" s="45" t="s">
        <v>2175</v>
      </c>
      <c r="I365" s="75"/>
      <c r="J365" s="74" t="s">
        <v>166</v>
      </c>
      <c r="K365" s="45" t="s">
        <v>1495</v>
      </c>
      <c r="L365" s="45"/>
      <c r="M365" s="106">
        <v>1</v>
      </c>
      <c r="N365" s="76"/>
      <c r="O365" s="110">
        <f>IF(OR(ISBLANK(BOM_table6[[#This Row],[SKU QTY]]),BOM_table6[[#This Row],[SKU Cost]]=0),0,BOM_table6[[#This Row],[SKU Cost]]/BOM_table6[[#This Row],[SKU QTY]])</f>
        <v>0</v>
      </c>
      <c r="P365" s="110">
        <f>IF(OR(ISBLANK(BOM_table6[[#This Row],[ASM QTY]]),ISBLANK(BOM_table6[[#This Row],[Unit Cost]])),0,BOM_table6[[#This Row],[ASM QTY]]*BOM_table6[[#This Row],[Unit Cost]])</f>
        <v>0</v>
      </c>
      <c r="Q365" s="74"/>
      <c r="R365" s="82"/>
      <c r="S365" s="111">
        <f>BOM_table6[[#This Row],[ASM QTY]]*$Q$2+BOM_table6[[#This Row],[Spare QTY Needed]]-BOM_table6[[#This Row],[QTY in Inventory]]</f>
        <v>1</v>
      </c>
      <c r="T365" s="111">
        <f>ROUNDUP((BOM_table6[[#This Row],[QTY to Order]]/BOM_table6[[#This Row],[SKU QTY]]),0)</f>
        <v>1</v>
      </c>
      <c r="U365" s="110">
        <f>BOM_table6[[#This Row],[SKU QTY to Order]]*BOM_table6[[#This Row],[SKU Cost]]</f>
        <v>0</v>
      </c>
      <c r="V365" s="76"/>
      <c r="W365" s="74"/>
      <c r="X365" s="74"/>
      <c r="Y365" s="77"/>
      <c r="Z365" s="78"/>
      <c r="AA365" s="74"/>
      <c r="AB365" s="74"/>
      <c r="AC365" s="45"/>
    </row>
    <row r="366" spans="1:29" ht="15" customHeight="1" x14ac:dyDescent="0.2">
      <c r="A366" s="105" t="s">
        <v>161</v>
      </c>
      <c r="B366" s="73" t="s">
        <v>1324</v>
      </c>
      <c r="C366" s="74" t="s">
        <v>1323</v>
      </c>
      <c r="D366" s="74"/>
      <c r="E366" s="74" t="s">
        <v>1049</v>
      </c>
      <c r="F366" s="45" t="s">
        <v>821</v>
      </c>
      <c r="G366" s="74">
        <v>2</v>
      </c>
      <c r="H366" s="45" t="s">
        <v>2175</v>
      </c>
      <c r="I366" s="43" t="s">
        <v>2280</v>
      </c>
      <c r="J366" s="74" t="s">
        <v>169</v>
      </c>
      <c r="K366" s="45" t="s">
        <v>1439</v>
      </c>
      <c r="L366" s="45"/>
      <c r="M366" s="106">
        <v>1</v>
      </c>
      <c r="N366" s="76">
        <v>102.29</v>
      </c>
      <c r="O366" s="110">
        <f>IF(OR(ISBLANK(BOM_table6[[#This Row],[SKU QTY]]),BOM_table6[[#This Row],[SKU Cost]]=0),0,BOM_table6[[#This Row],[SKU Cost]]/BOM_table6[[#This Row],[SKU QTY]])</f>
        <v>102.29</v>
      </c>
      <c r="P366" s="110">
        <f>IF(OR(ISBLANK(BOM_table6[[#This Row],[ASM QTY]]),ISBLANK(BOM_table6[[#This Row],[Unit Cost]])),0,BOM_table6[[#This Row],[ASM QTY]]*BOM_table6[[#This Row],[Unit Cost]])</f>
        <v>204.58</v>
      </c>
      <c r="Q366" s="74"/>
      <c r="R366" s="82"/>
      <c r="S366" s="111">
        <f>BOM_table6[[#This Row],[ASM QTY]]*$Q$2+BOM_table6[[#This Row],[Spare QTY Needed]]-BOM_table6[[#This Row],[QTY in Inventory]]</f>
        <v>2</v>
      </c>
      <c r="T366" s="111">
        <f>ROUNDUP((BOM_table6[[#This Row],[QTY to Order]]/BOM_table6[[#This Row],[SKU QTY]]),0)</f>
        <v>2</v>
      </c>
      <c r="U366" s="110">
        <f>BOM_table6[[#This Row],[SKU QTY to Order]]*BOM_table6[[#This Row],[SKU Cost]]</f>
        <v>204.58</v>
      </c>
      <c r="V366" s="50" t="s">
        <v>2201</v>
      </c>
      <c r="W366" s="45" t="s">
        <v>2180</v>
      </c>
      <c r="X366" s="45" t="s">
        <v>2247</v>
      </c>
      <c r="Y366" s="84">
        <v>44893</v>
      </c>
      <c r="Z366" s="78">
        <v>44928</v>
      </c>
      <c r="AA366" s="74"/>
      <c r="AB366" s="45"/>
      <c r="AC366" s="45"/>
    </row>
    <row r="367" spans="1:29" ht="15" customHeight="1" x14ac:dyDescent="0.2">
      <c r="A367" s="105" t="s">
        <v>161</v>
      </c>
      <c r="B367" s="73" t="s">
        <v>1333</v>
      </c>
      <c r="C367" s="74" t="s">
        <v>1334</v>
      </c>
      <c r="D367" s="74" t="s">
        <v>233</v>
      </c>
      <c r="E367" s="74" t="s">
        <v>1049</v>
      </c>
      <c r="F367" s="45" t="s">
        <v>821</v>
      </c>
      <c r="G367" s="74">
        <v>1</v>
      </c>
      <c r="H367" s="45" t="s">
        <v>2175</v>
      </c>
      <c r="I367" s="43" t="s">
        <v>2280</v>
      </c>
      <c r="J367" s="74" t="s">
        <v>169</v>
      </c>
      <c r="K367" s="45" t="s">
        <v>1439</v>
      </c>
      <c r="L367" s="45"/>
      <c r="M367" s="106">
        <v>1</v>
      </c>
      <c r="N367" s="76">
        <v>142.82</v>
      </c>
      <c r="O367" s="110">
        <f>IF(OR(ISBLANK(BOM_table6[[#This Row],[SKU QTY]]),BOM_table6[[#This Row],[SKU Cost]]=0),0,BOM_table6[[#This Row],[SKU Cost]]/BOM_table6[[#This Row],[SKU QTY]])</f>
        <v>142.82</v>
      </c>
      <c r="P367" s="110">
        <f>IF(OR(ISBLANK(BOM_table6[[#This Row],[ASM QTY]]),ISBLANK(BOM_table6[[#This Row],[Unit Cost]])),0,BOM_table6[[#This Row],[ASM QTY]]*BOM_table6[[#This Row],[Unit Cost]])</f>
        <v>142.82</v>
      </c>
      <c r="Q367" s="74"/>
      <c r="R367" s="82"/>
      <c r="S367" s="111">
        <f>BOM_table6[[#This Row],[ASM QTY]]*$Q$2+BOM_table6[[#This Row],[Spare QTY Needed]]-BOM_table6[[#This Row],[QTY in Inventory]]</f>
        <v>1</v>
      </c>
      <c r="T367" s="111">
        <f>ROUNDUP((BOM_table6[[#This Row],[QTY to Order]]/BOM_table6[[#This Row],[SKU QTY]]),0)</f>
        <v>1</v>
      </c>
      <c r="U367" s="110">
        <f>BOM_table6[[#This Row],[SKU QTY to Order]]*BOM_table6[[#This Row],[SKU Cost]]</f>
        <v>142.82</v>
      </c>
      <c r="V367" s="50" t="s">
        <v>2201</v>
      </c>
      <c r="W367" s="45" t="s">
        <v>2180</v>
      </c>
      <c r="X367" s="45" t="s">
        <v>2247</v>
      </c>
      <c r="Y367" s="84">
        <v>44893</v>
      </c>
      <c r="Z367" s="78">
        <v>44928</v>
      </c>
      <c r="AA367" s="74"/>
      <c r="AB367" s="45"/>
      <c r="AC367" s="45"/>
    </row>
    <row r="368" spans="1:29" ht="15" customHeight="1" x14ac:dyDescent="0.2">
      <c r="A368" s="105" t="s">
        <v>172</v>
      </c>
      <c r="B368" s="73" t="s">
        <v>1338</v>
      </c>
      <c r="C368" s="74" t="s">
        <v>1339</v>
      </c>
      <c r="D368" s="74"/>
      <c r="E368" s="74" t="s">
        <v>1049</v>
      </c>
      <c r="F368" s="45" t="s">
        <v>821</v>
      </c>
      <c r="G368" s="74">
        <v>1</v>
      </c>
      <c r="H368" s="45" t="s">
        <v>2175</v>
      </c>
      <c r="I368" s="43" t="s">
        <v>2221</v>
      </c>
      <c r="J368" s="74" t="s">
        <v>169</v>
      </c>
      <c r="K368" s="45" t="s">
        <v>1483</v>
      </c>
      <c r="L368" s="45"/>
      <c r="M368" s="106">
        <v>1</v>
      </c>
      <c r="N368" s="76"/>
      <c r="O368" s="110">
        <f>IF(OR(ISBLANK(BOM_table6[[#This Row],[SKU QTY]]),BOM_table6[[#This Row],[SKU Cost]]=0),0,BOM_table6[[#This Row],[SKU Cost]]/BOM_table6[[#This Row],[SKU QTY]])</f>
        <v>0</v>
      </c>
      <c r="P368" s="110">
        <f>IF(OR(ISBLANK(BOM_table6[[#This Row],[ASM QTY]]),ISBLANK(BOM_table6[[#This Row],[Unit Cost]])),0,BOM_table6[[#This Row],[ASM QTY]]*BOM_table6[[#This Row],[Unit Cost]])</f>
        <v>0</v>
      </c>
      <c r="Q368" s="74"/>
      <c r="R368" s="82"/>
      <c r="S368" s="111">
        <f>BOM_table6[[#This Row],[ASM QTY]]*$Q$2+BOM_table6[[#This Row],[Spare QTY Needed]]-BOM_table6[[#This Row],[QTY in Inventory]]</f>
        <v>1</v>
      </c>
      <c r="T368" s="111">
        <f>ROUNDUP((BOM_table6[[#This Row],[QTY to Order]]/BOM_table6[[#This Row],[SKU QTY]]),0)</f>
        <v>1</v>
      </c>
      <c r="U368" s="110">
        <f>BOM_table6[[#This Row],[SKU QTY to Order]]*BOM_table6[[#This Row],[SKU Cost]]</f>
        <v>0</v>
      </c>
      <c r="V368" s="76"/>
      <c r="W368" s="45"/>
      <c r="X368" s="45"/>
      <c r="Y368" s="84"/>
      <c r="Z368" s="78"/>
      <c r="AA368" s="84"/>
      <c r="AB368" s="45"/>
      <c r="AC368" s="45"/>
    </row>
    <row r="369" spans="1:29" ht="15" customHeight="1" x14ac:dyDescent="0.2">
      <c r="A369" s="105" t="s">
        <v>161</v>
      </c>
      <c r="B369" s="73" t="s">
        <v>1344</v>
      </c>
      <c r="C369" s="74" t="s">
        <v>1346</v>
      </c>
      <c r="D369" s="74"/>
      <c r="E369" s="74" t="s">
        <v>1049</v>
      </c>
      <c r="F369" s="45" t="s">
        <v>821</v>
      </c>
      <c r="G369" s="74">
        <v>1</v>
      </c>
      <c r="H369" s="74"/>
      <c r="I369" s="75" t="s">
        <v>650</v>
      </c>
      <c r="J369" s="74" t="s">
        <v>867</v>
      </c>
      <c r="K369" s="45" t="s">
        <v>1483</v>
      </c>
      <c r="L369" s="45"/>
      <c r="M369" s="106">
        <v>1</v>
      </c>
      <c r="N369" s="76"/>
      <c r="O369" s="110">
        <f>IF(OR(ISBLANK(BOM_table6[[#This Row],[SKU QTY]]),BOM_table6[[#This Row],[SKU Cost]]=0),0,BOM_table6[[#This Row],[SKU Cost]]/BOM_table6[[#This Row],[SKU QTY]])</f>
        <v>0</v>
      </c>
      <c r="P369" s="110">
        <f>IF(OR(ISBLANK(BOM_table6[[#This Row],[ASM QTY]]),ISBLANK(BOM_table6[[#This Row],[Unit Cost]])),0,BOM_table6[[#This Row],[ASM QTY]]*BOM_table6[[#This Row],[Unit Cost]])</f>
        <v>0</v>
      </c>
      <c r="Q369" s="74"/>
      <c r="R369" s="82">
        <v>1</v>
      </c>
      <c r="S369" s="111">
        <f>BOM_table6[[#This Row],[ASM QTY]]*$Q$2+BOM_table6[[#This Row],[Spare QTY Needed]]-BOM_table6[[#This Row],[QTY in Inventory]]</f>
        <v>0</v>
      </c>
      <c r="T369" s="111">
        <f>ROUNDUP((BOM_table6[[#This Row],[QTY to Order]]/BOM_table6[[#This Row],[SKU QTY]]),0)</f>
        <v>0</v>
      </c>
      <c r="U369" s="110">
        <f>BOM_table6[[#This Row],[SKU QTY to Order]]*BOM_table6[[#This Row],[SKU Cost]]</f>
        <v>0</v>
      </c>
      <c r="V369" s="76"/>
      <c r="W369" s="45"/>
      <c r="X369" s="45"/>
      <c r="Y369" s="84"/>
      <c r="Z369" s="78"/>
      <c r="AA369" s="84"/>
      <c r="AB369" s="45"/>
      <c r="AC369" s="45"/>
    </row>
    <row r="370" spans="1:29" ht="15" customHeight="1" x14ac:dyDescent="0.2">
      <c r="A370" s="105" t="s">
        <v>161</v>
      </c>
      <c r="B370" s="73" t="s">
        <v>1345</v>
      </c>
      <c r="C370" s="74" t="s">
        <v>1347</v>
      </c>
      <c r="D370" s="74"/>
      <c r="E370" s="74" t="s">
        <v>1049</v>
      </c>
      <c r="F370" s="45" t="s">
        <v>821</v>
      </c>
      <c r="G370" s="74">
        <v>1</v>
      </c>
      <c r="H370" s="74"/>
      <c r="I370" s="75" t="s">
        <v>650</v>
      </c>
      <c r="J370" s="74" t="s">
        <v>867</v>
      </c>
      <c r="K370" s="74"/>
      <c r="L370" s="74"/>
      <c r="M370" s="106">
        <v>1</v>
      </c>
      <c r="N370" s="76"/>
      <c r="O370" s="110">
        <f>IF(OR(ISBLANK(BOM_table6[[#This Row],[SKU QTY]]),BOM_table6[[#This Row],[SKU Cost]]=0),0,BOM_table6[[#This Row],[SKU Cost]]/BOM_table6[[#This Row],[SKU QTY]])</f>
        <v>0</v>
      </c>
      <c r="P370" s="110">
        <f>IF(OR(ISBLANK(BOM_table6[[#This Row],[ASM QTY]]),ISBLANK(BOM_table6[[#This Row],[Unit Cost]])),0,BOM_table6[[#This Row],[ASM QTY]]*BOM_table6[[#This Row],[Unit Cost]])</f>
        <v>0</v>
      </c>
      <c r="Q370" s="74"/>
      <c r="R370" s="82">
        <v>1</v>
      </c>
      <c r="S370" s="111">
        <f>BOM_table6[[#This Row],[ASM QTY]]*$Q$2+BOM_table6[[#This Row],[Spare QTY Needed]]-BOM_table6[[#This Row],[QTY in Inventory]]</f>
        <v>0</v>
      </c>
      <c r="T370" s="111">
        <f>ROUNDUP((BOM_table6[[#This Row],[QTY to Order]]/BOM_table6[[#This Row],[SKU QTY]]),0)</f>
        <v>0</v>
      </c>
      <c r="U370" s="110">
        <f>BOM_table6[[#This Row],[SKU QTY to Order]]*BOM_table6[[#This Row],[SKU Cost]]</f>
        <v>0</v>
      </c>
      <c r="V370" s="76"/>
      <c r="W370" s="74"/>
      <c r="X370" s="74"/>
      <c r="Y370" s="77"/>
      <c r="Z370" s="78"/>
      <c r="AA370" s="74"/>
      <c r="AB370" s="45"/>
      <c r="AC370" s="45"/>
    </row>
    <row r="371" spans="1:29" ht="15" customHeight="1" x14ac:dyDescent="0.2">
      <c r="A371" s="105" t="s">
        <v>160</v>
      </c>
      <c r="B371" s="44" t="s">
        <v>1954</v>
      </c>
      <c r="C371" s="74" t="s">
        <v>1332</v>
      </c>
      <c r="D371" s="74"/>
      <c r="E371" s="74" t="s">
        <v>1049</v>
      </c>
      <c r="F371" s="45" t="s">
        <v>821</v>
      </c>
      <c r="G371" s="74">
        <v>1</v>
      </c>
      <c r="H371" s="74"/>
      <c r="I371" s="43" t="s">
        <v>2153</v>
      </c>
      <c r="J371" s="74" t="s">
        <v>169</v>
      </c>
      <c r="K371" s="74"/>
      <c r="L371" s="74"/>
      <c r="M371" s="106">
        <v>1</v>
      </c>
      <c r="N371" s="76"/>
      <c r="O371" s="110">
        <f>IF(OR(ISBLANK(BOM_table6[[#This Row],[SKU QTY]]),BOM_table6[[#This Row],[SKU Cost]]=0),0,BOM_table6[[#This Row],[SKU Cost]]/BOM_table6[[#This Row],[SKU QTY]])</f>
        <v>0</v>
      </c>
      <c r="P371" s="110">
        <f>IF(OR(ISBLANK(BOM_table6[[#This Row],[ASM QTY]]),ISBLANK(BOM_table6[[#This Row],[Unit Cost]])),0,BOM_table6[[#This Row],[ASM QTY]]*BOM_table6[[#This Row],[Unit Cost]])</f>
        <v>0</v>
      </c>
      <c r="Q371" s="74"/>
      <c r="R371" s="82"/>
      <c r="S371" s="111">
        <f>BOM_table6[[#This Row],[ASM QTY]]*$Q$2+BOM_table6[[#This Row],[Spare QTY Needed]]-BOM_table6[[#This Row],[QTY in Inventory]]</f>
        <v>1</v>
      </c>
      <c r="T371" s="111">
        <f>ROUNDUP((BOM_table6[[#This Row],[QTY to Order]]/BOM_table6[[#This Row],[SKU QTY]]),0)</f>
        <v>1</v>
      </c>
      <c r="U371" s="110">
        <f>BOM_table6[[#This Row],[SKU QTY to Order]]*BOM_table6[[#This Row],[SKU Cost]]</f>
        <v>0</v>
      </c>
      <c r="V371" s="76"/>
      <c r="W371" s="74"/>
      <c r="X371" s="74"/>
      <c r="Y371" s="77"/>
      <c r="Z371" s="78"/>
      <c r="AA371" s="74"/>
      <c r="AB371" s="74"/>
      <c r="AC371" s="45"/>
    </row>
    <row r="372" spans="1:29" ht="15" customHeight="1" x14ac:dyDescent="0.2">
      <c r="A372" s="105" t="s">
        <v>160</v>
      </c>
      <c r="B372" s="44" t="s">
        <v>1342</v>
      </c>
      <c r="C372" s="74" t="s">
        <v>1343</v>
      </c>
      <c r="D372" s="74"/>
      <c r="E372" s="74" t="s">
        <v>1264</v>
      </c>
      <c r="F372" s="45" t="s">
        <v>821</v>
      </c>
      <c r="G372" s="74">
        <v>1</v>
      </c>
      <c r="H372" s="74"/>
      <c r="I372" s="75"/>
      <c r="J372" s="74" t="s">
        <v>166</v>
      </c>
      <c r="K372" s="74"/>
      <c r="L372" s="74"/>
      <c r="M372" s="106">
        <v>1</v>
      </c>
      <c r="N372" s="76"/>
      <c r="O372" s="110">
        <f>IF(OR(ISBLANK(BOM_table6[[#This Row],[SKU QTY]]),BOM_table6[[#This Row],[SKU Cost]]=0),0,BOM_table6[[#This Row],[SKU Cost]]/BOM_table6[[#This Row],[SKU QTY]])</f>
        <v>0</v>
      </c>
      <c r="P372" s="110">
        <f>IF(OR(ISBLANK(BOM_table6[[#This Row],[ASM QTY]]),ISBLANK(BOM_table6[[#This Row],[Unit Cost]])),0,BOM_table6[[#This Row],[ASM QTY]]*BOM_table6[[#This Row],[Unit Cost]])</f>
        <v>0</v>
      </c>
      <c r="Q372" s="74"/>
      <c r="R372" s="82"/>
      <c r="S372" s="111">
        <f>BOM_table6[[#This Row],[ASM QTY]]*$Q$2+BOM_table6[[#This Row],[Spare QTY Needed]]-BOM_table6[[#This Row],[QTY in Inventory]]</f>
        <v>1</v>
      </c>
      <c r="T372" s="111">
        <f>ROUNDUP((BOM_table6[[#This Row],[QTY to Order]]/BOM_table6[[#This Row],[SKU QTY]]),0)</f>
        <v>1</v>
      </c>
      <c r="U372" s="110">
        <f>BOM_table6[[#This Row],[SKU QTY to Order]]*BOM_table6[[#This Row],[SKU Cost]]</f>
        <v>0</v>
      </c>
      <c r="V372" s="76"/>
      <c r="W372" s="74"/>
      <c r="X372" s="74"/>
      <c r="Y372" s="77"/>
      <c r="Z372" s="78"/>
      <c r="AA372" s="74"/>
      <c r="AB372" s="74"/>
      <c r="AC372" s="45"/>
    </row>
    <row r="373" spans="1:29" ht="15" customHeight="1" x14ac:dyDescent="0.2">
      <c r="A373" s="105" t="s">
        <v>160</v>
      </c>
      <c r="B373" s="73" t="s">
        <v>1360</v>
      </c>
      <c r="C373" s="74"/>
      <c r="D373" s="74"/>
      <c r="E373" s="74"/>
      <c r="F373" s="45" t="s">
        <v>821</v>
      </c>
      <c r="G373" s="74">
        <v>1</v>
      </c>
      <c r="H373" s="74"/>
      <c r="I373" s="75"/>
      <c r="J373" s="74" t="s">
        <v>168</v>
      </c>
      <c r="K373" s="74"/>
      <c r="L373" s="74"/>
      <c r="M373" s="106">
        <v>1</v>
      </c>
      <c r="N373" s="76"/>
      <c r="O373" s="110">
        <f>IF(OR(ISBLANK(BOM_table6[[#This Row],[SKU QTY]]),BOM_table6[[#This Row],[SKU Cost]]=0),0,BOM_table6[[#This Row],[SKU Cost]]/BOM_table6[[#This Row],[SKU QTY]])</f>
        <v>0</v>
      </c>
      <c r="P373" s="110">
        <f>IF(OR(ISBLANK(BOM_table6[[#This Row],[ASM QTY]]),ISBLANK(BOM_table6[[#This Row],[Unit Cost]])),0,BOM_table6[[#This Row],[ASM QTY]]*BOM_table6[[#This Row],[Unit Cost]])</f>
        <v>0</v>
      </c>
      <c r="Q373" s="74"/>
      <c r="R373" s="82"/>
      <c r="S373" s="111">
        <f>BOM_table6[[#This Row],[ASM QTY]]*$Q$2+BOM_table6[[#This Row],[Spare QTY Needed]]-BOM_table6[[#This Row],[QTY in Inventory]]</f>
        <v>1</v>
      </c>
      <c r="T373" s="111">
        <f>ROUNDUP((BOM_table6[[#This Row],[QTY to Order]]/BOM_table6[[#This Row],[SKU QTY]]),0)</f>
        <v>1</v>
      </c>
      <c r="U373" s="110">
        <f>BOM_table6[[#This Row],[SKU QTY to Order]]*BOM_table6[[#This Row],[SKU Cost]]</f>
        <v>0</v>
      </c>
      <c r="V373" s="76"/>
      <c r="W373" s="74"/>
      <c r="X373" s="74"/>
      <c r="Y373" s="77"/>
      <c r="Z373" s="78"/>
      <c r="AA373" s="74"/>
      <c r="AB373" s="74"/>
      <c r="AC373" s="45"/>
    </row>
    <row r="374" spans="1:29" ht="15" customHeight="1" x14ac:dyDescent="0.2">
      <c r="A374" s="105" t="s">
        <v>160</v>
      </c>
      <c r="B374" s="44" t="s">
        <v>242</v>
      </c>
      <c r="C374" s="45" t="s">
        <v>243</v>
      </c>
      <c r="D374" s="45"/>
      <c r="E374" s="45"/>
      <c r="F374" s="45" t="s">
        <v>809</v>
      </c>
      <c r="G374" s="45">
        <v>1</v>
      </c>
      <c r="H374" s="45"/>
      <c r="J374" s="45" t="s">
        <v>166</v>
      </c>
      <c r="K374" s="45" t="s">
        <v>216</v>
      </c>
      <c r="L374" s="45"/>
      <c r="M374" s="106">
        <v>1</v>
      </c>
      <c r="N374" s="50"/>
      <c r="O374" s="110">
        <f>IF(OR(ISBLANK(BOM_table6[[#This Row],[SKU QTY]]),BOM_table6[[#This Row],[SKU Cost]]=0),0,BOM_table6[[#This Row],[SKU Cost]]/BOM_table6[[#This Row],[SKU QTY]])</f>
        <v>0</v>
      </c>
      <c r="P374" s="110">
        <f>IF(OR(ISBLANK(BOM_table6[[#This Row],[ASM QTY]]),ISBLANK(BOM_table6[[#This Row],[Unit Cost]])),0,BOM_table6[[#This Row],[ASM QTY]]*BOM_table6[[#This Row],[Unit Cost]])</f>
        <v>0</v>
      </c>
      <c r="Q374" s="45"/>
      <c r="R374" s="81"/>
      <c r="S374" s="111">
        <f>BOM_table6[[#This Row],[ASM QTY]]*$Q$2+BOM_table6[[#This Row],[Spare QTY Needed]]-BOM_table6[[#This Row],[QTY in Inventory]]</f>
        <v>1</v>
      </c>
      <c r="T374" s="111">
        <f>ROUNDUP((BOM_table6[[#This Row],[QTY to Order]]/BOM_table6[[#This Row],[SKU QTY]]),0)</f>
        <v>1</v>
      </c>
      <c r="U374" s="110">
        <f>BOM_table6[[#This Row],[SKU QTY to Order]]*BOM_table6[[#This Row],[SKU Cost]]</f>
        <v>0</v>
      </c>
      <c r="V374" s="62"/>
      <c r="W374" s="45"/>
      <c r="X374" s="45"/>
      <c r="Y374" s="54"/>
      <c r="Z374" s="54"/>
      <c r="AA374" s="54"/>
      <c r="AB374" s="45"/>
      <c r="AC374" s="45"/>
    </row>
    <row r="375" spans="1:29" ht="15" customHeight="1" x14ac:dyDescent="0.2">
      <c r="A375" s="105" t="s">
        <v>161</v>
      </c>
      <c r="B375" s="44" t="s">
        <v>238</v>
      </c>
      <c r="C375" s="45" t="s">
        <v>237</v>
      </c>
      <c r="D375" s="45" t="s">
        <v>239</v>
      </c>
      <c r="E375" s="45" t="s">
        <v>1049</v>
      </c>
      <c r="F375" s="45" t="s">
        <v>809</v>
      </c>
      <c r="G375" s="45">
        <v>1</v>
      </c>
      <c r="H375" s="45" t="s">
        <v>2175</v>
      </c>
      <c r="I375" s="43" t="s">
        <v>2296</v>
      </c>
      <c r="J375" s="45" t="s">
        <v>169</v>
      </c>
      <c r="K375" s="45" t="s">
        <v>1430</v>
      </c>
      <c r="L375" s="45"/>
      <c r="M375" s="106">
        <v>1</v>
      </c>
      <c r="N375" s="50"/>
      <c r="O375" s="110">
        <f>IF(OR(ISBLANK(BOM_table6[[#This Row],[SKU QTY]]),BOM_table6[[#This Row],[SKU Cost]]=0),0,BOM_table6[[#This Row],[SKU Cost]]/BOM_table6[[#This Row],[SKU QTY]])</f>
        <v>0</v>
      </c>
      <c r="P375" s="110">
        <f>IF(OR(ISBLANK(BOM_table6[[#This Row],[ASM QTY]]),ISBLANK(BOM_table6[[#This Row],[Unit Cost]])),0,BOM_table6[[#This Row],[ASM QTY]]*BOM_table6[[#This Row],[Unit Cost]])</f>
        <v>0</v>
      </c>
      <c r="Q375" s="45"/>
      <c r="R375" s="81"/>
      <c r="S375" s="111">
        <f>BOM_table6[[#This Row],[ASM QTY]]*$Q$2+BOM_table6[[#This Row],[Spare QTY Needed]]-BOM_table6[[#This Row],[QTY in Inventory]]</f>
        <v>1</v>
      </c>
      <c r="T375" s="111">
        <f>ROUNDUP((BOM_table6[[#This Row],[QTY to Order]]/BOM_table6[[#This Row],[SKU QTY]]),0)</f>
        <v>1</v>
      </c>
      <c r="U375" s="110">
        <f>BOM_table6[[#This Row],[SKU QTY to Order]]*BOM_table6[[#This Row],[SKU Cost]]</f>
        <v>0</v>
      </c>
      <c r="V375" s="62"/>
      <c r="W375" s="45"/>
      <c r="X375" s="45"/>
      <c r="Y375" s="97"/>
      <c r="Z375" s="54"/>
      <c r="AA375" s="45"/>
      <c r="AB375" s="45"/>
      <c r="AC375" s="45"/>
    </row>
    <row r="376" spans="1:29" ht="15" customHeight="1" x14ac:dyDescent="0.2">
      <c r="A376" s="105" t="s">
        <v>161</v>
      </c>
      <c r="B376" s="44" t="s">
        <v>240</v>
      </c>
      <c r="C376" s="45" t="s">
        <v>241</v>
      </c>
      <c r="D376" s="45" t="s">
        <v>233</v>
      </c>
      <c r="E376" s="45" t="s">
        <v>1049</v>
      </c>
      <c r="F376" s="45" t="s">
        <v>809</v>
      </c>
      <c r="G376" s="45">
        <v>1</v>
      </c>
      <c r="H376" s="45" t="s">
        <v>2244</v>
      </c>
      <c r="I376" s="43" t="s">
        <v>2296</v>
      </c>
      <c r="J376" s="45" t="s">
        <v>169</v>
      </c>
      <c r="K376" s="45" t="s">
        <v>1430</v>
      </c>
      <c r="L376" s="45"/>
      <c r="M376" s="106">
        <v>1</v>
      </c>
      <c r="N376" s="50"/>
      <c r="O376" s="110">
        <f>IF(OR(ISBLANK(BOM_table6[[#This Row],[SKU QTY]]),BOM_table6[[#This Row],[SKU Cost]]=0),0,BOM_table6[[#This Row],[SKU Cost]]/BOM_table6[[#This Row],[SKU QTY]])</f>
        <v>0</v>
      </c>
      <c r="P376" s="110">
        <f>IF(OR(ISBLANK(BOM_table6[[#This Row],[ASM QTY]]),ISBLANK(BOM_table6[[#This Row],[Unit Cost]])),0,BOM_table6[[#This Row],[ASM QTY]]*BOM_table6[[#This Row],[Unit Cost]])</f>
        <v>0</v>
      </c>
      <c r="Q376" s="45"/>
      <c r="R376" s="81"/>
      <c r="S376" s="111">
        <f>BOM_table6[[#This Row],[ASM QTY]]*$Q$2+BOM_table6[[#This Row],[Spare QTY Needed]]-BOM_table6[[#This Row],[QTY in Inventory]]</f>
        <v>1</v>
      </c>
      <c r="T376" s="111">
        <f>ROUNDUP((BOM_table6[[#This Row],[QTY to Order]]/BOM_table6[[#This Row],[SKU QTY]]),0)</f>
        <v>1</v>
      </c>
      <c r="U376" s="110">
        <f>BOM_table6[[#This Row],[SKU QTY to Order]]*BOM_table6[[#This Row],[SKU Cost]]</f>
        <v>0</v>
      </c>
      <c r="V376" s="62"/>
      <c r="W376" s="45"/>
      <c r="X376" s="45"/>
      <c r="Y376" s="97"/>
      <c r="Z376" s="54"/>
      <c r="AA376" s="45"/>
      <c r="AB376" s="45"/>
      <c r="AC376" s="45"/>
    </row>
    <row r="377" spans="1:29" ht="15" customHeight="1" x14ac:dyDescent="0.2">
      <c r="A377" s="105" t="s">
        <v>172</v>
      </c>
      <c r="B377" s="44" t="s">
        <v>244</v>
      </c>
      <c r="C377" s="45" t="s">
        <v>245</v>
      </c>
      <c r="D377" s="45" t="s">
        <v>152</v>
      </c>
      <c r="E377" s="45" t="s">
        <v>1049</v>
      </c>
      <c r="F377" s="45" t="s">
        <v>809</v>
      </c>
      <c r="G377" s="45">
        <v>1</v>
      </c>
      <c r="H377" s="45" t="s">
        <v>2175</v>
      </c>
      <c r="I377" s="43" t="s">
        <v>2222</v>
      </c>
      <c r="J377" s="45" t="s">
        <v>169</v>
      </c>
      <c r="K377" s="45"/>
      <c r="L377" s="45"/>
      <c r="M377" s="106">
        <v>1</v>
      </c>
      <c r="N377" s="50"/>
      <c r="O377" s="110">
        <f>IF(OR(ISBLANK(BOM_table6[[#This Row],[SKU QTY]]),BOM_table6[[#This Row],[SKU Cost]]=0),0,BOM_table6[[#This Row],[SKU Cost]]/BOM_table6[[#This Row],[SKU QTY]])</f>
        <v>0</v>
      </c>
      <c r="P377" s="110">
        <f>IF(OR(ISBLANK(BOM_table6[[#This Row],[ASM QTY]]),ISBLANK(BOM_table6[[#This Row],[Unit Cost]])),0,BOM_table6[[#This Row],[ASM QTY]]*BOM_table6[[#This Row],[Unit Cost]])</f>
        <v>0</v>
      </c>
      <c r="Q377" s="45"/>
      <c r="R377" s="81"/>
      <c r="S377" s="111">
        <f>BOM_table6[[#This Row],[ASM QTY]]*$Q$2+BOM_table6[[#This Row],[Spare QTY Needed]]-BOM_table6[[#This Row],[QTY in Inventory]]</f>
        <v>1</v>
      </c>
      <c r="T377" s="111">
        <f>ROUNDUP((BOM_table6[[#This Row],[QTY to Order]]/BOM_table6[[#This Row],[SKU QTY]]),0)</f>
        <v>1</v>
      </c>
      <c r="U377" s="110">
        <f>BOM_table6[[#This Row],[SKU QTY to Order]]*BOM_table6[[#This Row],[SKU Cost]]</f>
        <v>0</v>
      </c>
      <c r="V377" s="62"/>
      <c r="W377" s="45"/>
      <c r="X377" s="45"/>
      <c r="Y377" s="45"/>
      <c r="Z377" s="54"/>
      <c r="AA377" s="45"/>
      <c r="AB377" s="45"/>
      <c r="AC377" s="45"/>
    </row>
    <row r="378" spans="1:29" ht="15" customHeight="1" x14ac:dyDescent="0.2">
      <c r="A378" s="105" t="s">
        <v>161</v>
      </c>
      <c r="B378" s="44" t="s">
        <v>236</v>
      </c>
      <c r="C378" s="45" t="s">
        <v>1736</v>
      </c>
      <c r="D378" s="45"/>
      <c r="E378" s="45"/>
      <c r="F378" s="45" t="s">
        <v>809</v>
      </c>
      <c r="G378" s="45">
        <v>1</v>
      </c>
      <c r="H378" s="45"/>
      <c r="I378" s="43" t="s">
        <v>1737</v>
      </c>
      <c r="J378" s="45" t="s">
        <v>166</v>
      </c>
      <c r="K378" s="45" t="s">
        <v>1708</v>
      </c>
      <c r="L378" s="45"/>
      <c r="M378" s="106">
        <v>1</v>
      </c>
      <c r="N378" s="50"/>
      <c r="O378" s="110">
        <f>IF(OR(ISBLANK(BOM_table6[[#This Row],[SKU QTY]]),BOM_table6[[#This Row],[SKU Cost]]=0),0,BOM_table6[[#This Row],[SKU Cost]]/BOM_table6[[#This Row],[SKU QTY]])</f>
        <v>0</v>
      </c>
      <c r="P378" s="110">
        <f>IF(OR(ISBLANK(BOM_table6[[#This Row],[ASM QTY]]),ISBLANK(BOM_table6[[#This Row],[Unit Cost]])),0,BOM_table6[[#This Row],[ASM QTY]]*BOM_table6[[#This Row],[Unit Cost]])</f>
        <v>0</v>
      </c>
      <c r="Q378" s="45"/>
      <c r="R378" s="81"/>
      <c r="S378" s="111">
        <f>BOM_table6[[#This Row],[ASM QTY]]*$Q$2+BOM_table6[[#This Row],[Spare QTY Needed]]-BOM_table6[[#This Row],[QTY in Inventory]]</f>
        <v>1</v>
      </c>
      <c r="T378" s="111">
        <f>ROUNDUP((BOM_table6[[#This Row],[QTY to Order]]/BOM_table6[[#This Row],[SKU QTY]]),0)</f>
        <v>1</v>
      </c>
      <c r="U378" s="110">
        <f>BOM_table6[[#This Row],[SKU QTY to Order]]*BOM_table6[[#This Row],[SKU Cost]]</f>
        <v>0</v>
      </c>
      <c r="V378" s="62"/>
      <c r="W378" s="45"/>
      <c r="X378" s="45"/>
      <c r="Y378" s="54"/>
      <c r="Z378" s="54"/>
      <c r="AA378" s="54"/>
      <c r="AB378" s="45"/>
      <c r="AC378" s="45"/>
    </row>
    <row r="379" spans="1:29" ht="15" customHeight="1" x14ac:dyDescent="0.25">
      <c r="A379" s="105" t="s">
        <v>157</v>
      </c>
      <c r="B379" s="44" t="s">
        <v>1625</v>
      </c>
      <c r="C379" s="92" t="s">
        <v>1623</v>
      </c>
      <c r="D379" s="106"/>
      <c r="E379" s="106" t="s">
        <v>1624</v>
      </c>
      <c r="F379" s="106" t="s">
        <v>1626</v>
      </c>
      <c r="G379" s="106">
        <v>4</v>
      </c>
      <c r="H379" s="45" t="s">
        <v>2175</v>
      </c>
      <c r="I379" s="43" t="s">
        <v>2343</v>
      </c>
      <c r="J379" s="106" t="s">
        <v>166</v>
      </c>
      <c r="K379" s="106" t="s">
        <v>1624</v>
      </c>
      <c r="L379" s="106"/>
      <c r="M379" s="106">
        <v>1</v>
      </c>
      <c r="N379" s="108"/>
      <c r="O379" s="110">
        <f>IF(OR(ISBLANK(BOM_table6[[#This Row],[SKU QTY]]),BOM_table6[[#This Row],[SKU Cost]]=0),0,BOM_table6[[#This Row],[SKU Cost]]/BOM_table6[[#This Row],[SKU QTY]])</f>
        <v>0</v>
      </c>
      <c r="P379" s="110">
        <f>IF(OR(ISBLANK(BOM_table6[[#This Row],[ASM QTY]]),ISBLANK(BOM_table6[[#This Row],[Unit Cost]])),0,BOM_table6[[#This Row],[ASM QTY]]*BOM_table6[[#This Row],[Unit Cost]])</f>
        <v>0</v>
      </c>
      <c r="Q379" s="106"/>
      <c r="R379" s="109"/>
      <c r="S379" s="111">
        <f>BOM_table6[[#This Row],[ASM QTY]]*$Q$2+BOM_table6[[#This Row],[Spare QTY Needed]]-BOM_table6[[#This Row],[QTY in Inventory]]</f>
        <v>4</v>
      </c>
      <c r="T379" s="111">
        <f>ROUNDUP((BOM_table6[[#This Row],[QTY to Order]]/BOM_table6[[#This Row],[SKU QTY]]),0)</f>
        <v>4</v>
      </c>
      <c r="U379" s="110">
        <f>BOM_table6[[#This Row],[SKU QTY to Order]]*BOM_table6[[#This Row],[SKU Cost]]</f>
        <v>0</v>
      </c>
      <c r="V379" s="108"/>
      <c r="W379" s="106"/>
      <c r="X379" s="106"/>
      <c r="Y379" s="113"/>
      <c r="Z379" s="112"/>
      <c r="AA379" s="106"/>
      <c r="AB379" s="106"/>
      <c r="AC379" s="45"/>
    </row>
    <row r="380" spans="1:29" ht="15" customHeight="1" x14ac:dyDescent="0.25">
      <c r="A380" s="105" t="s">
        <v>160</v>
      </c>
      <c r="B380" s="105" t="s">
        <v>1629</v>
      </c>
      <c r="C380" s="92" t="s">
        <v>1622</v>
      </c>
      <c r="D380" s="106"/>
      <c r="E380" s="106" t="s">
        <v>1628</v>
      </c>
      <c r="F380" s="106" t="s">
        <v>1627</v>
      </c>
      <c r="G380" s="106">
        <v>2</v>
      </c>
      <c r="H380" s="45"/>
      <c r="J380" s="106" t="s">
        <v>166</v>
      </c>
      <c r="K380" s="106" t="s">
        <v>1628</v>
      </c>
      <c r="L380" s="106"/>
      <c r="M380" s="106">
        <v>1</v>
      </c>
      <c r="N380" s="108"/>
      <c r="O380" s="110">
        <f>IF(OR(ISBLANK(BOM_table6[[#This Row],[SKU QTY]]),BOM_table6[[#This Row],[SKU Cost]]=0),0,BOM_table6[[#This Row],[SKU Cost]]/BOM_table6[[#This Row],[SKU QTY]])</f>
        <v>0</v>
      </c>
      <c r="P380" s="110">
        <f>IF(OR(ISBLANK(BOM_table6[[#This Row],[ASM QTY]]),ISBLANK(BOM_table6[[#This Row],[Unit Cost]])),0,BOM_table6[[#This Row],[ASM QTY]]*BOM_table6[[#This Row],[Unit Cost]])</f>
        <v>0</v>
      </c>
      <c r="Q380" s="106"/>
      <c r="R380" s="109"/>
      <c r="S380" s="111">
        <f>BOM_table6[[#This Row],[ASM QTY]]*$Q$2+BOM_table6[[#This Row],[Spare QTY Needed]]-BOM_table6[[#This Row],[QTY in Inventory]]</f>
        <v>2</v>
      </c>
      <c r="T380" s="111">
        <f>ROUNDUP((BOM_table6[[#This Row],[QTY to Order]]/BOM_table6[[#This Row],[SKU QTY]]),0)</f>
        <v>2</v>
      </c>
      <c r="U380" s="110">
        <f>BOM_table6[[#This Row],[SKU QTY to Order]]*BOM_table6[[#This Row],[SKU Cost]]</f>
        <v>0</v>
      </c>
      <c r="V380" s="108"/>
      <c r="W380" s="106"/>
      <c r="X380" s="106"/>
      <c r="Y380" s="113"/>
      <c r="Z380" s="112"/>
      <c r="AA380" s="106"/>
      <c r="AB380" s="106"/>
      <c r="AC380" s="45"/>
    </row>
    <row r="381" spans="1:29" ht="15" customHeight="1" x14ac:dyDescent="0.2">
      <c r="A381" s="105" t="s">
        <v>161</v>
      </c>
      <c r="B381" s="44" t="s">
        <v>660</v>
      </c>
      <c r="C381" s="45" t="s">
        <v>661</v>
      </c>
      <c r="D381" s="45"/>
      <c r="E381" s="45" t="s">
        <v>1049</v>
      </c>
      <c r="F381" s="45" t="s">
        <v>831</v>
      </c>
      <c r="G381" s="45">
        <v>1</v>
      </c>
      <c r="H381" s="45" t="s">
        <v>2178</v>
      </c>
      <c r="I381" s="43" t="s">
        <v>2239</v>
      </c>
      <c r="J381" s="45" t="s">
        <v>169</v>
      </c>
      <c r="K381" s="45" t="s">
        <v>1439</v>
      </c>
      <c r="L381" s="45"/>
      <c r="M381" s="106">
        <v>1</v>
      </c>
      <c r="N381" s="50">
        <f>BOM_table6[[#This Row],[Unit Cost]]</f>
        <v>205</v>
      </c>
      <c r="O381" s="110">
        <v>205</v>
      </c>
      <c r="P381" s="110">
        <f>IF(OR(ISBLANK(BOM_table6[[#This Row],[ASM QTY]]),ISBLANK(BOM_table6[[#This Row],[Unit Cost]])),0,BOM_table6[[#This Row],[ASM QTY]]*BOM_table6[[#This Row],[Unit Cost]])</f>
        <v>205</v>
      </c>
      <c r="Q381" s="45"/>
      <c r="R381" s="81"/>
      <c r="S381" s="111">
        <f>BOM_table6[[#This Row],[ASM QTY]]*$Q$2+BOM_table6[[#This Row],[Spare QTY Needed]]-BOM_table6[[#This Row],[QTY in Inventory]]</f>
        <v>1</v>
      </c>
      <c r="T381" s="111">
        <f>ROUNDUP((BOM_table6[[#This Row],[QTY to Order]]/BOM_table6[[#This Row],[SKU QTY]]),0)</f>
        <v>1</v>
      </c>
      <c r="U381" s="110">
        <f>BOM_table6[[#This Row],[SKU QTY to Order]]*BOM_table6[[#This Row],[SKU Cost]]</f>
        <v>205</v>
      </c>
      <c r="V381" s="50" t="s">
        <v>2199</v>
      </c>
      <c r="W381" s="45" t="s">
        <v>2180</v>
      </c>
      <c r="X381" s="45" t="s">
        <v>2200</v>
      </c>
      <c r="Y381" s="97">
        <v>44845</v>
      </c>
      <c r="Z381" s="54">
        <v>44879</v>
      </c>
      <c r="AA381" s="45"/>
      <c r="AB381" s="45"/>
      <c r="AC381" s="45"/>
    </row>
    <row r="382" spans="1:29" ht="15" customHeight="1" x14ac:dyDescent="0.2">
      <c r="A382" s="105" t="s">
        <v>161</v>
      </c>
      <c r="B382" s="44" t="s">
        <v>658</v>
      </c>
      <c r="C382" s="45" t="s">
        <v>659</v>
      </c>
      <c r="D382" s="45"/>
      <c r="E382" s="45" t="s">
        <v>1049</v>
      </c>
      <c r="F382" s="45" t="s">
        <v>831</v>
      </c>
      <c r="G382" s="45">
        <v>1</v>
      </c>
      <c r="H382" s="45" t="s">
        <v>2178</v>
      </c>
      <c r="I382" s="43" t="s">
        <v>2239</v>
      </c>
      <c r="J382" s="45" t="s">
        <v>169</v>
      </c>
      <c r="K382" s="45" t="s">
        <v>1439</v>
      </c>
      <c r="L382" s="45"/>
      <c r="M382" s="106">
        <v>1</v>
      </c>
      <c r="N382" s="50">
        <f>BOM_table6[[#This Row],[Unit Cost]]</f>
        <v>225</v>
      </c>
      <c r="O382" s="110">
        <v>225</v>
      </c>
      <c r="P382" s="110">
        <f>IF(OR(ISBLANK(BOM_table6[[#This Row],[ASM QTY]]),ISBLANK(BOM_table6[[#This Row],[Unit Cost]])),0,BOM_table6[[#This Row],[ASM QTY]]*BOM_table6[[#This Row],[Unit Cost]])</f>
        <v>225</v>
      </c>
      <c r="Q382" s="45"/>
      <c r="R382" s="81"/>
      <c r="S382" s="111">
        <f>BOM_table6[[#This Row],[ASM QTY]]*$Q$2+BOM_table6[[#This Row],[Spare QTY Needed]]-BOM_table6[[#This Row],[QTY in Inventory]]</f>
        <v>1</v>
      </c>
      <c r="T382" s="111">
        <f>ROUNDUP((BOM_table6[[#This Row],[QTY to Order]]/BOM_table6[[#This Row],[SKU QTY]]),0)</f>
        <v>1</v>
      </c>
      <c r="U382" s="110">
        <f>BOM_table6[[#This Row],[SKU QTY to Order]]*BOM_table6[[#This Row],[SKU Cost]]</f>
        <v>225</v>
      </c>
      <c r="V382" s="50" t="s">
        <v>2199</v>
      </c>
      <c r="W382" s="45" t="s">
        <v>2180</v>
      </c>
      <c r="X382" s="45" t="s">
        <v>2200</v>
      </c>
      <c r="Y382" s="97">
        <v>44845</v>
      </c>
      <c r="Z382" s="54">
        <v>44879</v>
      </c>
      <c r="AA382" s="54"/>
      <c r="AB382" s="45"/>
      <c r="AC382" s="45"/>
    </row>
    <row r="383" spans="1:29" ht="15" customHeight="1" x14ac:dyDescent="0.2">
      <c r="A383" s="105" t="s">
        <v>161</v>
      </c>
      <c r="B383" s="44" t="s">
        <v>662</v>
      </c>
      <c r="C383" s="45" t="s">
        <v>663</v>
      </c>
      <c r="D383" s="45" t="s">
        <v>364</v>
      </c>
      <c r="E383" s="45" t="s">
        <v>1049</v>
      </c>
      <c r="F383" s="45" t="s">
        <v>831</v>
      </c>
      <c r="G383" s="45">
        <v>1</v>
      </c>
      <c r="H383" s="45" t="s">
        <v>2178</v>
      </c>
      <c r="I383" s="43" t="s">
        <v>2276</v>
      </c>
      <c r="J383" s="45" t="s">
        <v>169</v>
      </c>
      <c r="K383" s="45" t="s">
        <v>1439</v>
      </c>
      <c r="L383" s="45"/>
      <c r="M383" s="106">
        <v>1</v>
      </c>
      <c r="N383" s="50">
        <v>266.5</v>
      </c>
      <c r="O383" s="110">
        <f>IF(OR(ISBLANK(BOM_table6[[#This Row],[SKU QTY]]),BOM_table6[[#This Row],[SKU Cost]]=0),0,BOM_table6[[#This Row],[SKU Cost]]/BOM_table6[[#This Row],[SKU QTY]])</f>
        <v>266.5</v>
      </c>
      <c r="P383" s="110">
        <f>IF(OR(ISBLANK(BOM_table6[[#This Row],[ASM QTY]]),ISBLANK(BOM_table6[[#This Row],[Unit Cost]])),0,BOM_table6[[#This Row],[ASM QTY]]*BOM_table6[[#This Row],[Unit Cost]])</f>
        <v>266.5</v>
      </c>
      <c r="Q383" s="45"/>
      <c r="R383" s="81"/>
      <c r="S383" s="111">
        <f>BOM_table6[[#This Row],[ASM QTY]]*$Q$2+BOM_table6[[#This Row],[Spare QTY Needed]]-BOM_table6[[#This Row],[QTY in Inventory]]</f>
        <v>1</v>
      </c>
      <c r="T383" s="111">
        <f>ROUNDUP((BOM_table6[[#This Row],[QTY to Order]]/BOM_table6[[#This Row],[SKU QTY]]),0)</f>
        <v>1</v>
      </c>
      <c r="U383" s="110">
        <f>BOM_table6[[#This Row],[SKU QTY to Order]]*BOM_table6[[#This Row],[SKU Cost]]</f>
        <v>266.5</v>
      </c>
      <c r="V383" s="50" t="s">
        <v>2199</v>
      </c>
      <c r="W383" s="45" t="s">
        <v>2180</v>
      </c>
      <c r="X383" s="45" t="s">
        <v>2200</v>
      </c>
      <c r="Y383" s="54">
        <v>44845</v>
      </c>
      <c r="Z383" s="54">
        <v>44879</v>
      </c>
      <c r="AA383" s="45"/>
      <c r="AB383" s="45"/>
      <c r="AC383" s="45"/>
    </row>
    <row r="384" spans="1:29" ht="15" customHeight="1" x14ac:dyDescent="0.2">
      <c r="A384" s="105" t="s">
        <v>161</v>
      </c>
      <c r="B384" s="44" t="s">
        <v>648</v>
      </c>
      <c r="C384" s="45" t="s">
        <v>649</v>
      </c>
      <c r="D384" s="45" t="s">
        <v>152</v>
      </c>
      <c r="E384" s="45" t="s">
        <v>1049</v>
      </c>
      <c r="F384" s="45" t="s">
        <v>831</v>
      </c>
      <c r="G384" s="45">
        <v>1</v>
      </c>
      <c r="H384" s="45" t="s">
        <v>2178</v>
      </c>
      <c r="I384" s="43" t="s">
        <v>650</v>
      </c>
      <c r="J384" s="45" t="s">
        <v>867</v>
      </c>
      <c r="K384" s="45" t="s">
        <v>1430</v>
      </c>
      <c r="L384" s="45"/>
      <c r="M384" s="106">
        <v>1</v>
      </c>
      <c r="N384" s="50"/>
      <c r="O384" s="110">
        <f>IF(OR(ISBLANK(BOM_table6[[#This Row],[SKU QTY]]),BOM_table6[[#This Row],[SKU Cost]]=0),0,BOM_table6[[#This Row],[SKU Cost]]/BOM_table6[[#This Row],[SKU QTY]])</f>
        <v>0</v>
      </c>
      <c r="P384" s="110">
        <f>IF(OR(ISBLANK(BOM_table6[[#This Row],[ASM QTY]]),ISBLANK(BOM_table6[[#This Row],[Unit Cost]])),0,BOM_table6[[#This Row],[ASM QTY]]*BOM_table6[[#This Row],[Unit Cost]])</f>
        <v>0</v>
      </c>
      <c r="Q384" s="45"/>
      <c r="R384" s="81"/>
      <c r="S384" s="111">
        <f>BOM_table6[[#This Row],[ASM QTY]]*$Q$2+BOM_table6[[#This Row],[Spare QTY Needed]]-BOM_table6[[#This Row],[QTY in Inventory]]</f>
        <v>1</v>
      </c>
      <c r="T384" s="111">
        <f>ROUNDUP((BOM_table6[[#This Row],[QTY to Order]]/BOM_table6[[#This Row],[SKU QTY]]),0)</f>
        <v>1</v>
      </c>
      <c r="U384" s="110">
        <f>BOM_table6[[#This Row],[SKU QTY to Order]]*BOM_table6[[#This Row],[SKU Cost]]</f>
        <v>0</v>
      </c>
      <c r="V384" s="62"/>
      <c r="W384" s="45"/>
      <c r="X384" s="45"/>
      <c r="Y384" s="54"/>
      <c r="Z384" s="54"/>
      <c r="AA384" s="45"/>
      <c r="AB384" s="45"/>
      <c r="AC384" s="45"/>
    </row>
    <row r="385" spans="1:29" ht="15" customHeight="1" x14ac:dyDescent="0.2">
      <c r="A385" s="105" t="s">
        <v>161</v>
      </c>
      <c r="B385" s="44" t="s">
        <v>730</v>
      </c>
      <c r="C385" s="45" t="s">
        <v>731</v>
      </c>
      <c r="D385" s="45" t="s">
        <v>152</v>
      </c>
      <c r="E385" s="45" t="s">
        <v>1049</v>
      </c>
      <c r="F385" s="45" t="s">
        <v>835</v>
      </c>
      <c r="G385" s="45">
        <v>4</v>
      </c>
      <c r="H385" s="45" t="s">
        <v>2178</v>
      </c>
      <c r="J385" s="45" t="s">
        <v>169</v>
      </c>
      <c r="K385" s="45" t="s">
        <v>1439</v>
      </c>
      <c r="L385" s="45"/>
      <c r="M385" s="106">
        <v>1</v>
      </c>
      <c r="N385" s="50">
        <f>BOM_table6[[#This Row],[Unit Cost]]</f>
        <v>170.15</v>
      </c>
      <c r="O385" s="110">
        <v>170.15</v>
      </c>
      <c r="P385" s="110">
        <f>IF(OR(ISBLANK(BOM_table6[[#This Row],[ASM QTY]]),ISBLANK(BOM_table6[[#This Row],[Unit Cost]])),0,BOM_table6[[#This Row],[ASM QTY]]*BOM_table6[[#This Row],[Unit Cost]])</f>
        <v>680.6</v>
      </c>
      <c r="Q385" s="45"/>
      <c r="R385" s="81"/>
      <c r="S385" s="111">
        <f>BOM_table6[[#This Row],[ASM QTY]]*$Q$2+BOM_table6[[#This Row],[Spare QTY Needed]]-BOM_table6[[#This Row],[QTY in Inventory]]</f>
        <v>4</v>
      </c>
      <c r="T385" s="111">
        <f>ROUNDUP((BOM_table6[[#This Row],[QTY to Order]]/BOM_table6[[#This Row],[SKU QTY]]),0)</f>
        <v>4</v>
      </c>
      <c r="U385" s="110">
        <f>BOM_table6[[#This Row],[SKU QTY to Order]]*BOM_table6[[#This Row],[SKU Cost]]</f>
        <v>680.6</v>
      </c>
      <c r="V385" s="50" t="s">
        <v>2199</v>
      </c>
      <c r="W385" s="45" t="s">
        <v>2180</v>
      </c>
      <c r="X385" s="45" t="s">
        <v>2200</v>
      </c>
      <c r="Y385" s="97">
        <v>44845</v>
      </c>
      <c r="Z385" s="54">
        <v>44879</v>
      </c>
      <c r="AA385" s="54"/>
      <c r="AB385" s="45"/>
      <c r="AC385" s="45"/>
    </row>
    <row r="386" spans="1:29" ht="15" customHeight="1" x14ac:dyDescent="0.2">
      <c r="A386" s="105" t="s">
        <v>161</v>
      </c>
      <c r="B386" s="44" t="s">
        <v>457</v>
      </c>
      <c r="C386" s="45" t="s">
        <v>458</v>
      </c>
      <c r="D386" s="45"/>
      <c r="E386" s="45" t="s">
        <v>1049</v>
      </c>
      <c r="F386" s="45" t="s">
        <v>818</v>
      </c>
      <c r="G386" s="45">
        <v>2</v>
      </c>
      <c r="H386" s="45" t="s">
        <v>2178</v>
      </c>
      <c r="I386" s="75"/>
      <c r="J386" s="45" t="s">
        <v>169</v>
      </c>
      <c r="K386" s="45" t="s">
        <v>1528</v>
      </c>
      <c r="L386" s="45"/>
      <c r="M386" s="106">
        <v>1</v>
      </c>
      <c r="N386" s="50"/>
      <c r="O386" s="110">
        <f>IF(OR(ISBLANK(BOM_table6[[#This Row],[SKU QTY]]),BOM_table6[[#This Row],[SKU Cost]]=0),0,BOM_table6[[#This Row],[SKU Cost]]/BOM_table6[[#This Row],[SKU QTY]])</f>
        <v>0</v>
      </c>
      <c r="P386" s="110">
        <f>IF(OR(ISBLANK(BOM_table6[[#This Row],[ASM QTY]]),ISBLANK(BOM_table6[[#This Row],[Unit Cost]])),0,BOM_table6[[#This Row],[ASM QTY]]*BOM_table6[[#This Row],[Unit Cost]])</f>
        <v>0</v>
      </c>
      <c r="Q386" s="45"/>
      <c r="R386" s="81"/>
      <c r="S386" s="111">
        <f>BOM_table6[[#This Row],[ASM QTY]]*$Q$2+BOM_table6[[#This Row],[Spare QTY Needed]]-BOM_table6[[#This Row],[QTY in Inventory]]</f>
        <v>2</v>
      </c>
      <c r="T386" s="111">
        <f>ROUNDUP((BOM_table6[[#This Row],[QTY to Order]]/BOM_table6[[#This Row],[SKU QTY]]),0)</f>
        <v>2</v>
      </c>
      <c r="U386" s="110">
        <f>BOM_table6[[#This Row],[SKU QTY to Order]]*BOM_table6[[#This Row],[SKU Cost]]</f>
        <v>0</v>
      </c>
      <c r="V386" s="62"/>
      <c r="W386" s="45"/>
      <c r="X386" s="45"/>
      <c r="Y386" s="97"/>
      <c r="Z386" s="54"/>
      <c r="AA386" s="54"/>
      <c r="AB386" s="45"/>
      <c r="AC386" s="45"/>
    </row>
    <row r="387" spans="1:29" ht="15" customHeight="1" x14ac:dyDescent="0.2">
      <c r="A387" s="105" t="s">
        <v>161</v>
      </c>
      <c r="B387" s="44" t="s">
        <v>721</v>
      </c>
      <c r="C387" s="45" t="s">
        <v>722</v>
      </c>
      <c r="D387" s="45"/>
      <c r="E387" s="45" t="s">
        <v>1049</v>
      </c>
      <c r="F387" s="45" t="s">
        <v>835</v>
      </c>
      <c r="G387" s="45">
        <v>4</v>
      </c>
      <c r="H387" s="45" t="s">
        <v>2178</v>
      </c>
      <c r="I387" s="43" t="s">
        <v>2239</v>
      </c>
      <c r="J387" s="45" t="s">
        <v>169</v>
      </c>
      <c r="K387" s="45" t="s">
        <v>1439</v>
      </c>
      <c r="L387" s="45"/>
      <c r="M387" s="106">
        <v>1</v>
      </c>
      <c r="N387" s="50">
        <f>BOM_table6[[#This Row],[Unit Cost]]</f>
        <v>116.85</v>
      </c>
      <c r="O387" s="110">
        <v>116.85</v>
      </c>
      <c r="P387" s="110">
        <f>IF(OR(ISBLANK(BOM_table6[[#This Row],[ASM QTY]]),ISBLANK(BOM_table6[[#This Row],[Unit Cost]])),0,BOM_table6[[#This Row],[ASM QTY]]*BOM_table6[[#This Row],[Unit Cost]])</f>
        <v>467.4</v>
      </c>
      <c r="Q387" s="45"/>
      <c r="R387" s="81"/>
      <c r="S387" s="111">
        <f>BOM_table6[[#This Row],[ASM QTY]]*$Q$2+BOM_table6[[#This Row],[Spare QTY Needed]]-BOM_table6[[#This Row],[QTY in Inventory]]</f>
        <v>4</v>
      </c>
      <c r="T387" s="111">
        <f>ROUNDUP((BOM_table6[[#This Row],[QTY to Order]]/BOM_table6[[#This Row],[SKU QTY]]),0)</f>
        <v>4</v>
      </c>
      <c r="U387" s="110">
        <f>BOM_table6[[#This Row],[SKU QTY to Order]]*BOM_table6[[#This Row],[SKU Cost]]</f>
        <v>467.4</v>
      </c>
      <c r="V387" s="50" t="s">
        <v>2199</v>
      </c>
      <c r="W387" s="45" t="s">
        <v>2180</v>
      </c>
      <c r="X387" s="45" t="s">
        <v>2200</v>
      </c>
      <c r="Y387" s="97">
        <v>44845</v>
      </c>
      <c r="Z387" s="54">
        <v>44879</v>
      </c>
      <c r="AA387" s="54"/>
      <c r="AB387" s="45"/>
      <c r="AC387" s="45"/>
    </row>
    <row r="388" spans="1:29" ht="15" customHeight="1" x14ac:dyDescent="0.2">
      <c r="A388" s="105" t="s">
        <v>161</v>
      </c>
      <c r="B388" s="44" t="s">
        <v>685</v>
      </c>
      <c r="C388" s="45" t="s">
        <v>686</v>
      </c>
      <c r="D388" s="45"/>
      <c r="E388" s="45" t="s">
        <v>1049</v>
      </c>
      <c r="F388" s="45" t="s">
        <v>831</v>
      </c>
      <c r="G388" s="45">
        <v>1</v>
      </c>
      <c r="H388" s="45" t="s">
        <v>2178</v>
      </c>
      <c r="J388" s="45" t="s">
        <v>169</v>
      </c>
      <c r="K388" s="45" t="s">
        <v>1439</v>
      </c>
      <c r="L388" s="45"/>
      <c r="M388" s="106">
        <v>1</v>
      </c>
      <c r="N388" s="50">
        <f>BOM_table6[[#This Row],[Unit Cost]]</f>
        <v>184.5</v>
      </c>
      <c r="O388" s="110">
        <v>184.5</v>
      </c>
      <c r="P388" s="110">
        <f>IF(OR(ISBLANK(BOM_table6[[#This Row],[ASM QTY]]),ISBLANK(BOM_table6[[#This Row],[Unit Cost]])),0,BOM_table6[[#This Row],[ASM QTY]]*BOM_table6[[#This Row],[Unit Cost]])</f>
        <v>184.5</v>
      </c>
      <c r="Q388" s="45"/>
      <c r="R388" s="81"/>
      <c r="S388" s="111">
        <f>BOM_table6[[#This Row],[ASM QTY]]*$Q$2+BOM_table6[[#This Row],[Spare QTY Needed]]-BOM_table6[[#This Row],[QTY in Inventory]]</f>
        <v>1</v>
      </c>
      <c r="T388" s="111">
        <f>ROUNDUP((BOM_table6[[#This Row],[QTY to Order]]/BOM_table6[[#This Row],[SKU QTY]]),0)</f>
        <v>1</v>
      </c>
      <c r="U388" s="110">
        <f>BOM_table6[[#This Row],[SKU QTY to Order]]*BOM_table6[[#This Row],[SKU Cost]]</f>
        <v>184.5</v>
      </c>
      <c r="V388" s="50" t="s">
        <v>2199</v>
      </c>
      <c r="W388" s="45" t="s">
        <v>2180</v>
      </c>
      <c r="X388" s="45" t="s">
        <v>2200</v>
      </c>
      <c r="Y388" s="97">
        <v>44845</v>
      </c>
      <c r="Z388" s="54">
        <v>44879</v>
      </c>
      <c r="AA388" s="54"/>
      <c r="AB388" s="45"/>
      <c r="AC388" s="45"/>
    </row>
    <row r="389" spans="1:29" ht="15" customHeight="1" x14ac:dyDescent="0.2">
      <c r="A389" s="105" t="s">
        <v>161</v>
      </c>
      <c r="B389" s="44" t="s">
        <v>645</v>
      </c>
      <c r="C389" s="45" t="s">
        <v>646</v>
      </c>
      <c r="D389" s="45"/>
      <c r="E389" s="45" t="s">
        <v>199</v>
      </c>
      <c r="F389" s="45" t="s">
        <v>831</v>
      </c>
      <c r="G389" s="45">
        <v>1</v>
      </c>
      <c r="H389" s="45" t="s">
        <v>2178</v>
      </c>
      <c r="J389" s="45" t="s">
        <v>166</v>
      </c>
      <c r="K389" s="45" t="s">
        <v>200</v>
      </c>
      <c r="L389" s="45"/>
      <c r="M389" s="106">
        <v>1</v>
      </c>
      <c r="N389" s="50">
        <v>118.72</v>
      </c>
      <c r="O389" s="110">
        <f>IF(OR(ISBLANK(BOM_table6[[#This Row],[SKU QTY]]),BOM_table6[[#This Row],[SKU Cost]]=0),0,BOM_table6[[#This Row],[SKU Cost]]/BOM_table6[[#This Row],[SKU QTY]])</f>
        <v>118.72</v>
      </c>
      <c r="P389" s="110">
        <f>IF(OR(ISBLANK(BOM_table6[[#This Row],[ASM QTY]]),ISBLANK(BOM_table6[[#This Row],[Unit Cost]])),0,BOM_table6[[#This Row],[ASM QTY]]*BOM_table6[[#This Row],[Unit Cost]])</f>
        <v>118.72</v>
      </c>
      <c r="Q389" s="45"/>
      <c r="R389" s="81"/>
      <c r="S389" s="111">
        <f>BOM_table6[[#This Row],[ASM QTY]]*$Q$2+BOM_table6[[#This Row],[Spare QTY Needed]]-BOM_table6[[#This Row],[QTY in Inventory]]</f>
        <v>1</v>
      </c>
      <c r="T389" s="111">
        <f>ROUNDUP((BOM_table6[[#This Row],[QTY to Order]]/BOM_table6[[#This Row],[SKU QTY]]),0)</f>
        <v>1</v>
      </c>
      <c r="U389" s="110">
        <f>BOM_table6[[#This Row],[SKU QTY to Order]]*BOM_table6[[#This Row],[SKU Cost]]</f>
        <v>118.72</v>
      </c>
      <c r="V389" s="50" t="s">
        <v>2237</v>
      </c>
      <c r="W389" s="45" t="s">
        <v>2180</v>
      </c>
      <c r="X389" s="45" t="s">
        <v>2192</v>
      </c>
      <c r="Y389" s="54">
        <v>44887</v>
      </c>
      <c r="Z389" s="54">
        <v>44957</v>
      </c>
      <c r="AA389" s="45"/>
      <c r="AB389" s="45"/>
      <c r="AC389" s="45"/>
    </row>
    <row r="390" spans="1:29" ht="15" customHeight="1" x14ac:dyDescent="0.25">
      <c r="A390" s="105" t="s">
        <v>1318</v>
      </c>
      <c r="B390" s="64" t="s">
        <v>1033</v>
      </c>
      <c r="C390" s="65">
        <v>8400</v>
      </c>
      <c r="D390" s="65"/>
      <c r="E390" s="45" t="s">
        <v>1523</v>
      </c>
      <c r="F390" s="45" t="s">
        <v>1024</v>
      </c>
      <c r="G390" s="65">
        <v>12</v>
      </c>
      <c r="H390" s="45" t="s">
        <v>2175</v>
      </c>
      <c r="I390" s="104" t="s">
        <v>1500</v>
      </c>
      <c r="J390" s="65" t="s">
        <v>166</v>
      </c>
      <c r="K390" s="45" t="s">
        <v>1524</v>
      </c>
      <c r="L390" s="45"/>
      <c r="M390" s="106">
        <v>1</v>
      </c>
      <c r="N390" s="67"/>
      <c r="O390" s="110">
        <f>IF(OR(ISBLANK(BOM_table6[[#This Row],[SKU QTY]]),BOM_table6[[#This Row],[SKU Cost]]=0),0,BOM_table6[[#This Row],[SKU Cost]]/BOM_table6[[#This Row],[SKU QTY]])</f>
        <v>0</v>
      </c>
      <c r="P390" s="110">
        <f>IF(OR(ISBLANK(BOM_table6[[#This Row],[ASM QTY]]),ISBLANK(BOM_table6[[#This Row],[Unit Cost]])),0,BOM_table6[[#This Row],[ASM QTY]]*BOM_table6[[#This Row],[Unit Cost]])</f>
        <v>0</v>
      </c>
      <c r="Q390" s="65"/>
      <c r="R390" s="80"/>
      <c r="S390" s="111">
        <f>BOM_table6[[#This Row],[ASM QTY]]*$Q$2+BOM_table6[[#This Row],[Spare QTY Needed]]-BOM_table6[[#This Row],[QTY in Inventory]]</f>
        <v>12</v>
      </c>
      <c r="T390" s="111">
        <f>ROUNDUP((BOM_table6[[#This Row],[QTY to Order]]/BOM_table6[[#This Row],[SKU QTY]]),0)</f>
        <v>12</v>
      </c>
      <c r="U390" s="110">
        <f>BOM_table6[[#This Row],[SKU QTY to Order]]*BOM_table6[[#This Row],[SKU Cost]]</f>
        <v>0</v>
      </c>
      <c r="V390" s="67"/>
      <c r="W390" s="45"/>
      <c r="X390" s="45"/>
      <c r="Y390" s="71"/>
      <c r="Z390" s="71"/>
      <c r="AA390" s="71"/>
      <c r="AB390" s="65"/>
      <c r="AC390" s="45"/>
    </row>
    <row r="391" spans="1:29" ht="15" customHeight="1" x14ac:dyDescent="0.2">
      <c r="A391" s="105" t="s">
        <v>160</v>
      </c>
      <c r="B391" s="44" t="s">
        <v>1501</v>
      </c>
      <c r="C391" s="65" t="s">
        <v>1028</v>
      </c>
      <c r="D391" s="65"/>
      <c r="E391" s="65"/>
      <c r="F391" s="45" t="s">
        <v>1024</v>
      </c>
      <c r="G391" s="65">
        <v>1</v>
      </c>
      <c r="H391" s="65"/>
      <c r="I391" s="43" t="s">
        <v>1502</v>
      </c>
      <c r="J391" s="65" t="s">
        <v>166</v>
      </c>
      <c r="K391" s="45" t="s">
        <v>216</v>
      </c>
      <c r="L391" s="45"/>
      <c r="M391" s="106">
        <v>1</v>
      </c>
      <c r="N391" s="67"/>
      <c r="O391" s="110">
        <f>IF(OR(ISBLANK(BOM_table6[[#This Row],[SKU QTY]]),BOM_table6[[#This Row],[SKU Cost]]=0),0,BOM_table6[[#This Row],[SKU Cost]]/BOM_table6[[#This Row],[SKU QTY]])</f>
        <v>0</v>
      </c>
      <c r="P391" s="110">
        <f>IF(OR(ISBLANK(BOM_table6[[#This Row],[ASM QTY]]),ISBLANK(BOM_table6[[#This Row],[Unit Cost]])),0,BOM_table6[[#This Row],[ASM QTY]]*BOM_table6[[#This Row],[Unit Cost]])</f>
        <v>0</v>
      </c>
      <c r="Q391" s="65"/>
      <c r="R391" s="80"/>
      <c r="S391" s="111">
        <f>BOM_table6[[#This Row],[ASM QTY]]*$Q$2+BOM_table6[[#This Row],[Spare QTY Needed]]-BOM_table6[[#This Row],[QTY in Inventory]]</f>
        <v>1</v>
      </c>
      <c r="T391" s="111">
        <f>ROUNDUP((BOM_table6[[#This Row],[QTY to Order]]/BOM_table6[[#This Row],[SKU QTY]]),0)</f>
        <v>1</v>
      </c>
      <c r="U391" s="110">
        <f>BOM_table6[[#This Row],[SKU QTY to Order]]*BOM_table6[[#This Row],[SKU Cost]]</f>
        <v>0</v>
      </c>
      <c r="V391" s="67"/>
      <c r="W391" s="45"/>
      <c r="X391" s="45"/>
      <c r="Y391" s="71"/>
      <c r="Z391" s="71"/>
      <c r="AA391" s="65"/>
      <c r="AB391" s="65"/>
      <c r="AC391" s="45"/>
    </row>
    <row r="392" spans="1:29" ht="15" customHeight="1" x14ac:dyDescent="0.2">
      <c r="A392" s="105" t="s">
        <v>161</v>
      </c>
      <c r="B392" s="64" t="s">
        <v>656</v>
      </c>
      <c r="C392" s="65" t="s">
        <v>657</v>
      </c>
      <c r="D392" s="65"/>
      <c r="E392" s="65"/>
      <c r="F392" s="45" t="s">
        <v>1024</v>
      </c>
      <c r="G392" s="65">
        <v>8</v>
      </c>
      <c r="H392" s="65"/>
      <c r="I392" s="43" t="s">
        <v>2317</v>
      </c>
      <c r="J392" s="65" t="s">
        <v>166</v>
      </c>
      <c r="K392" s="74" t="s">
        <v>216</v>
      </c>
      <c r="L392" s="74"/>
      <c r="M392" s="106">
        <v>1</v>
      </c>
      <c r="N392" s="67">
        <v>0.14000000000000001</v>
      </c>
      <c r="O392" s="110">
        <f>IF(OR(ISBLANK(BOM_table6[[#This Row],[SKU QTY]]),BOM_table6[[#This Row],[SKU Cost]]=0),0,BOM_table6[[#This Row],[SKU Cost]]/BOM_table6[[#This Row],[SKU QTY]])</f>
        <v>0.14000000000000001</v>
      </c>
      <c r="P392" s="110">
        <f>IF(OR(ISBLANK(BOM_table6[[#This Row],[ASM QTY]]),ISBLANK(BOM_table6[[#This Row],[Unit Cost]])),0,BOM_table6[[#This Row],[ASM QTY]]*BOM_table6[[#This Row],[Unit Cost]])</f>
        <v>1.1200000000000001</v>
      </c>
      <c r="Q392" s="65">
        <f>50-12</f>
        <v>38</v>
      </c>
      <c r="R392" s="80"/>
      <c r="S392" s="111">
        <f>BOM_table6[[#This Row],[ASM QTY]]*$Q$2+BOM_table6[[#This Row],[Spare QTY Needed]]-BOM_table6[[#This Row],[QTY in Inventory]]</f>
        <v>46</v>
      </c>
      <c r="T392" s="111">
        <f>ROUNDUP((BOM_table6[[#This Row],[QTY to Order]]/BOM_table6[[#This Row],[SKU QTY]]),0)</f>
        <v>46</v>
      </c>
      <c r="U392" s="110">
        <f>BOM_table6[[#This Row],[SKU QTY to Order]]*BOM_table6[[#This Row],[SKU Cost]]</f>
        <v>6.44</v>
      </c>
      <c r="V392" s="67"/>
      <c r="W392" s="45" t="s">
        <v>2191</v>
      </c>
      <c r="X392" s="45" t="s">
        <v>2192</v>
      </c>
      <c r="Y392" s="71">
        <v>44923</v>
      </c>
      <c r="Z392" s="71"/>
      <c r="AA392" s="217">
        <v>44924</v>
      </c>
      <c r="AB392" s="65"/>
      <c r="AC392" s="45"/>
    </row>
    <row r="393" spans="1:29" ht="15" customHeight="1" x14ac:dyDescent="0.2">
      <c r="A393" s="105" t="s">
        <v>160</v>
      </c>
      <c r="B393" s="64" t="s">
        <v>1025</v>
      </c>
      <c r="C393" s="55" t="s">
        <v>1503</v>
      </c>
      <c r="D393" s="65"/>
      <c r="E393" s="65"/>
      <c r="F393" s="45" t="s">
        <v>1024</v>
      </c>
      <c r="G393" s="65">
        <v>8</v>
      </c>
      <c r="H393" s="65"/>
      <c r="I393" s="75"/>
      <c r="J393" s="65" t="s">
        <v>166</v>
      </c>
      <c r="K393" s="45" t="s">
        <v>216</v>
      </c>
      <c r="L393" s="45"/>
      <c r="M393" s="106">
        <v>1</v>
      </c>
      <c r="N393" s="67"/>
      <c r="O393" s="110">
        <f>IF(OR(ISBLANK(BOM_table6[[#This Row],[SKU QTY]]),BOM_table6[[#This Row],[SKU Cost]]=0),0,BOM_table6[[#This Row],[SKU Cost]]/BOM_table6[[#This Row],[SKU QTY]])</f>
        <v>0</v>
      </c>
      <c r="P393" s="110">
        <f>IF(OR(ISBLANK(BOM_table6[[#This Row],[ASM QTY]]),ISBLANK(BOM_table6[[#This Row],[Unit Cost]])),0,BOM_table6[[#This Row],[ASM QTY]]*BOM_table6[[#This Row],[Unit Cost]])</f>
        <v>0</v>
      </c>
      <c r="Q393" s="65"/>
      <c r="R393" s="80"/>
      <c r="S393" s="111">
        <f>BOM_table6[[#This Row],[ASM QTY]]*$Q$2+BOM_table6[[#This Row],[Spare QTY Needed]]-BOM_table6[[#This Row],[QTY in Inventory]]</f>
        <v>8</v>
      </c>
      <c r="T393" s="111">
        <f>ROUNDUP((BOM_table6[[#This Row],[QTY to Order]]/BOM_table6[[#This Row],[SKU QTY]]),0)</f>
        <v>8</v>
      </c>
      <c r="U393" s="110">
        <f>BOM_table6[[#This Row],[SKU QTY to Order]]*BOM_table6[[#This Row],[SKU Cost]]</f>
        <v>0</v>
      </c>
      <c r="V393" s="67"/>
      <c r="W393" s="45"/>
      <c r="X393" s="45"/>
      <c r="Y393" s="71"/>
      <c r="Z393" s="71"/>
      <c r="AA393" s="65"/>
      <c r="AB393" s="65"/>
      <c r="AC393" s="45"/>
    </row>
    <row r="394" spans="1:29" ht="15" customHeight="1" x14ac:dyDescent="0.2">
      <c r="A394" s="105" t="s">
        <v>161</v>
      </c>
      <c r="B394" s="64" t="s">
        <v>338</v>
      </c>
      <c r="C394" s="65" t="s">
        <v>342</v>
      </c>
      <c r="D394" s="65"/>
      <c r="E394" s="65"/>
      <c r="F394" s="45" t="s">
        <v>1024</v>
      </c>
      <c r="G394" s="65">
        <v>24</v>
      </c>
      <c r="H394" s="65"/>
      <c r="I394" s="43" t="s">
        <v>2310</v>
      </c>
      <c r="J394" s="65" t="s">
        <v>166</v>
      </c>
      <c r="K394" s="45" t="s">
        <v>216</v>
      </c>
      <c r="L394" s="45"/>
      <c r="M394" s="106">
        <v>1</v>
      </c>
      <c r="N394" s="67">
        <v>0.09</v>
      </c>
      <c r="O394" s="110">
        <f>IF(OR(ISBLANK(BOM_table6[[#This Row],[SKU QTY]]),BOM_table6[[#This Row],[SKU Cost]]=0),0,BOM_table6[[#This Row],[SKU Cost]]/BOM_table6[[#This Row],[SKU QTY]])</f>
        <v>0.09</v>
      </c>
      <c r="P394" s="110">
        <f>IF(OR(ISBLANK(BOM_table6[[#This Row],[ASM QTY]]),ISBLANK(BOM_table6[[#This Row],[Unit Cost]])),0,BOM_table6[[#This Row],[ASM QTY]]*BOM_table6[[#This Row],[Unit Cost]])</f>
        <v>2.16</v>
      </c>
      <c r="Q394" s="65">
        <f>50-32</f>
        <v>18</v>
      </c>
      <c r="R394" s="80"/>
      <c r="S394" s="111">
        <f>BOM_table6[[#This Row],[ASM QTY]]*$Q$2+BOM_table6[[#This Row],[Spare QTY Needed]]-BOM_table6[[#This Row],[QTY in Inventory]]</f>
        <v>42</v>
      </c>
      <c r="T394" s="111">
        <f>ROUNDUP((BOM_table6[[#This Row],[QTY to Order]]/BOM_table6[[#This Row],[SKU QTY]]),0)</f>
        <v>42</v>
      </c>
      <c r="U394" s="110">
        <f>BOM_table6[[#This Row],[SKU QTY to Order]]*BOM_table6[[#This Row],[SKU Cost]]</f>
        <v>3.78</v>
      </c>
      <c r="V394" s="67"/>
      <c r="W394" s="45" t="s">
        <v>2191</v>
      </c>
      <c r="X394" s="45" t="s">
        <v>2192</v>
      </c>
      <c r="Y394" s="71">
        <v>44923</v>
      </c>
      <c r="Z394" s="71"/>
      <c r="AA394" s="217">
        <v>44924</v>
      </c>
      <c r="AB394" s="65"/>
      <c r="AC394" s="45"/>
    </row>
    <row r="395" spans="1:29" ht="15" customHeight="1" x14ac:dyDescent="0.2">
      <c r="A395" s="105" t="s">
        <v>161</v>
      </c>
      <c r="B395" s="64" t="s">
        <v>1035</v>
      </c>
      <c r="C395" s="65" t="s">
        <v>1034</v>
      </c>
      <c r="D395" s="65"/>
      <c r="E395" s="65"/>
      <c r="F395" s="45" t="s">
        <v>1024</v>
      </c>
      <c r="G395" s="65">
        <v>8</v>
      </c>
      <c r="H395" s="65"/>
      <c r="I395" s="43" t="s">
        <v>2322</v>
      </c>
      <c r="J395" s="65" t="s">
        <v>166</v>
      </c>
      <c r="K395" s="45" t="s">
        <v>216</v>
      </c>
      <c r="L395" s="45"/>
      <c r="M395" s="106">
        <v>1</v>
      </c>
      <c r="N395" s="67">
        <f>3.376/25</f>
        <v>0.13503999999999999</v>
      </c>
      <c r="O395" s="110">
        <f>IF(OR(ISBLANK(BOM_table6[[#This Row],[SKU QTY]]),BOM_table6[[#This Row],[SKU Cost]]=0),0,BOM_table6[[#This Row],[SKU Cost]]/BOM_table6[[#This Row],[SKU QTY]])</f>
        <v>0.13503999999999999</v>
      </c>
      <c r="P395" s="110">
        <f>IF(OR(ISBLANK(BOM_table6[[#This Row],[ASM QTY]]),ISBLANK(BOM_table6[[#This Row],[Unit Cost]])),0,BOM_table6[[#This Row],[ASM QTY]]*BOM_table6[[#This Row],[Unit Cost]])</f>
        <v>1.0803199999999999</v>
      </c>
      <c r="Q395" s="65">
        <f>25-8</f>
        <v>17</v>
      </c>
      <c r="R395" s="80"/>
      <c r="S395" s="111">
        <f>BOM_table6[[#This Row],[ASM QTY]]*$Q$2+BOM_table6[[#This Row],[Spare QTY Needed]]-BOM_table6[[#This Row],[QTY in Inventory]]</f>
        <v>25</v>
      </c>
      <c r="T395" s="111">
        <f>ROUNDUP((BOM_table6[[#This Row],[QTY to Order]]/BOM_table6[[#This Row],[SKU QTY]]),0)</f>
        <v>25</v>
      </c>
      <c r="U395" s="110">
        <f>BOM_table6[[#This Row],[SKU QTY to Order]]*BOM_table6[[#This Row],[SKU Cost]]</f>
        <v>3.3759999999999999</v>
      </c>
      <c r="V395" s="67"/>
      <c r="W395" s="45" t="s">
        <v>2191</v>
      </c>
      <c r="X395" s="45" t="s">
        <v>2192</v>
      </c>
      <c r="Y395" s="71">
        <v>44923</v>
      </c>
      <c r="Z395" s="71"/>
      <c r="AA395" s="217">
        <v>44924</v>
      </c>
      <c r="AB395" s="65"/>
      <c r="AC395" s="45"/>
    </row>
    <row r="396" spans="1:29" ht="15" customHeight="1" x14ac:dyDescent="0.2">
      <c r="A396" s="105" t="s">
        <v>161</v>
      </c>
      <c r="B396" s="44" t="s">
        <v>1017</v>
      </c>
      <c r="C396" s="65" t="s">
        <v>1016</v>
      </c>
      <c r="D396" s="65"/>
      <c r="E396" s="65"/>
      <c r="F396" s="45" t="s">
        <v>1024</v>
      </c>
      <c r="G396" s="65">
        <v>6</v>
      </c>
      <c r="H396" s="65"/>
      <c r="I396" s="75"/>
      <c r="J396" s="65" t="s">
        <v>166</v>
      </c>
      <c r="K396" s="45" t="s">
        <v>216</v>
      </c>
      <c r="L396" s="45"/>
      <c r="M396" s="106">
        <v>1</v>
      </c>
      <c r="N396" s="67">
        <v>0.26</v>
      </c>
      <c r="O396" s="110">
        <f>IF(OR(ISBLANK(BOM_table6[[#This Row],[SKU QTY]]),BOM_table6[[#This Row],[SKU Cost]]=0),0,BOM_table6[[#This Row],[SKU Cost]]/BOM_table6[[#This Row],[SKU QTY]])</f>
        <v>0.26</v>
      </c>
      <c r="P396" s="110">
        <f>IF(OR(ISBLANK(BOM_table6[[#This Row],[ASM QTY]]),ISBLANK(BOM_table6[[#This Row],[Unit Cost]])),0,BOM_table6[[#This Row],[ASM QTY]]*BOM_table6[[#This Row],[Unit Cost]])</f>
        <v>1.56</v>
      </c>
      <c r="Q396" s="65"/>
      <c r="R396" s="80"/>
      <c r="S396" s="111">
        <f>BOM_table6[[#This Row],[ASM QTY]]*$Q$2+BOM_table6[[#This Row],[Spare QTY Needed]]-BOM_table6[[#This Row],[QTY in Inventory]]</f>
        <v>6</v>
      </c>
      <c r="T396" s="111">
        <f>ROUNDUP((BOM_table6[[#This Row],[QTY to Order]]/BOM_table6[[#This Row],[SKU QTY]]),0)</f>
        <v>6</v>
      </c>
      <c r="U396" s="110">
        <f>BOM_table6[[#This Row],[SKU QTY to Order]]*BOM_table6[[#This Row],[SKU Cost]]</f>
        <v>1.56</v>
      </c>
      <c r="V396" s="67"/>
      <c r="W396" s="45" t="s">
        <v>2191</v>
      </c>
      <c r="X396" s="45" t="s">
        <v>2192</v>
      </c>
      <c r="Y396" s="71">
        <v>44923</v>
      </c>
      <c r="Z396" s="71"/>
      <c r="AA396" s="217">
        <v>44924</v>
      </c>
      <c r="AB396" s="45"/>
      <c r="AC396" s="45"/>
    </row>
    <row r="397" spans="1:29" ht="15" customHeight="1" x14ac:dyDescent="0.2">
      <c r="A397" s="105" t="s">
        <v>161</v>
      </c>
      <c r="B397" s="64" t="s">
        <v>1027</v>
      </c>
      <c r="C397" s="65" t="s">
        <v>1026</v>
      </c>
      <c r="D397" s="65"/>
      <c r="E397" s="65"/>
      <c r="F397" s="45" t="s">
        <v>1024</v>
      </c>
      <c r="G397" s="65">
        <v>4</v>
      </c>
      <c r="H397" s="65"/>
      <c r="I397" s="75"/>
      <c r="J397" s="65" t="s">
        <v>166</v>
      </c>
      <c r="K397" s="45" t="s">
        <v>216</v>
      </c>
      <c r="L397" s="45"/>
      <c r="M397" s="106">
        <v>1</v>
      </c>
      <c r="N397" s="67">
        <v>4.8499999999999996</v>
      </c>
      <c r="O397" s="110">
        <f>IF(OR(ISBLANK(BOM_table6[[#This Row],[SKU QTY]]),BOM_table6[[#This Row],[SKU Cost]]=0),0,BOM_table6[[#This Row],[SKU Cost]]/BOM_table6[[#This Row],[SKU QTY]])</f>
        <v>4.8499999999999996</v>
      </c>
      <c r="P397" s="110">
        <f>IF(OR(ISBLANK(BOM_table6[[#This Row],[ASM QTY]]),ISBLANK(BOM_table6[[#This Row],[Unit Cost]])),0,BOM_table6[[#This Row],[ASM QTY]]*BOM_table6[[#This Row],[Unit Cost]])</f>
        <v>19.399999999999999</v>
      </c>
      <c r="Q397" s="65"/>
      <c r="R397" s="80"/>
      <c r="S397" s="111">
        <f>BOM_table6[[#This Row],[ASM QTY]]*$Q$2+BOM_table6[[#This Row],[Spare QTY Needed]]-BOM_table6[[#This Row],[QTY in Inventory]]</f>
        <v>4</v>
      </c>
      <c r="T397" s="111">
        <f>ROUNDUP((BOM_table6[[#This Row],[QTY to Order]]/BOM_table6[[#This Row],[SKU QTY]]),0)</f>
        <v>4</v>
      </c>
      <c r="U397" s="110">
        <f>BOM_table6[[#This Row],[SKU QTY to Order]]*BOM_table6[[#This Row],[SKU Cost]]</f>
        <v>19.399999999999999</v>
      </c>
      <c r="V397" s="67"/>
      <c r="W397" s="45" t="s">
        <v>2180</v>
      </c>
      <c r="X397" s="45" t="s">
        <v>2192</v>
      </c>
      <c r="Y397" s="71">
        <v>44923</v>
      </c>
      <c r="Z397" s="71"/>
      <c r="AA397" s="71">
        <v>44924</v>
      </c>
      <c r="AB397" s="65"/>
      <c r="AC397" s="45"/>
    </row>
    <row r="398" spans="1:29" ht="15" customHeight="1" x14ac:dyDescent="0.2">
      <c r="A398" s="105" t="s">
        <v>160</v>
      </c>
      <c r="B398" s="64" t="s">
        <v>996</v>
      </c>
      <c r="C398" s="65" t="s">
        <v>968</v>
      </c>
      <c r="D398" s="65"/>
      <c r="E398" s="45" t="s">
        <v>1049</v>
      </c>
      <c r="F398" s="45" t="s">
        <v>1024</v>
      </c>
      <c r="G398" s="65">
        <v>2</v>
      </c>
      <c r="H398" s="65"/>
      <c r="I398" s="75"/>
      <c r="J398" s="65" t="s">
        <v>1320</v>
      </c>
      <c r="K398" s="65"/>
      <c r="L398" s="65"/>
      <c r="M398" s="106">
        <v>1</v>
      </c>
      <c r="N398" s="67"/>
      <c r="O398" s="110">
        <f>IF(OR(ISBLANK(BOM_table6[[#This Row],[SKU QTY]]),BOM_table6[[#This Row],[SKU Cost]]=0),0,BOM_table6[[#This Row],[SKU Cost]]/BOM_table6[[#This Row],[SKU QTY]])</f>
        <v>0</v>
      </c>
      <c r="P398" s="110">
        <f>IF(OR(ISBLANK(BOM_table6[[#This Row],[ASM QTY]]),ISBLANK(BOM_table6[[#This Row],[Unit Cost]])),0,BOM_table6[[#This Row],[ASM QTY]]*BOM_table6[[#This Row],[Unit Cost]])</f>
        <v>0</v>
      </c>
      <c r="Q398" s="65"/>
      <c r="R398" s="80"/>
      <c r="S398" s="111">
        <f>BOM_table6[[#This Row],[ASM QTY]]*$Q$2+BOM_table6[[#This Row],[Spare QTY Needed]]-BOM_table6[[#This Row],[QTY in Inventory]]</f>
        <v>2</v>
      </c>
      <c r="T398" s="111">
        <f>ROUNDUP((BOM_table6[[#This Row],[QTY to Order]]/BOM_table6[[#This Row],[SKU QTY]]),0)</f>
        <v>2</v>
      </c>
      <c r="U398" s="110">
        <f>BOM_table6[[#This Row],[SKU QTY to Order]]*BOM_table6[[#This Row],[SKU Cost]]</f>
        <v>0</v>
      </c>
      <c r="V398" s="67"/>
      <c r="W398" s="65"/>
      <c r="X398" s="65"/>
      <c r="Y398" s="69"/>
      <c r="Z398" s="71"/>
      <c r="AA398" s="65"/>
      <c r="AB398" s="65"/>
      <c r="AC398" s="45"/>
    </row>
    <row r="399" spans="1:29" ht="15" customHeight="1" x14ac:dyDescent="0.2">
      <c r="A399" s="105" t="s">
        <v>160</v>
      </c>
      <c r="B399" s="64" t="s">
        <v>966</v>
      </c>
      <c r="C399" s="65" t="s">
        <v>967</v>
      </c>
      <c r="D399" s="65"/>
      <c r="E399" s="45" t="s">
        <v>1049</v>
      </c>
      <c r="F399" s="45" t="s">
        <v>1024</v>
      </c>
      <c r="G399" s="65">
        <v>1</v>
      </c>
      <c r="H399" s="45"/>
      <c r="I399" s="75"/>
      <c r="J399" s="65" t="s">
        <v>1320</v>
      </c>
      <c r="K399" s="65"/>
      <c r="L399" s="65"/>
      <c r="M399" s="106">
        <v>1</v>
      </c>
      <c r="N399" s="67"/>
      <c r="O399" s="110">
        <f>IF(OR(ISBLANK(BOM_table6[[#This Row],[SKU QTY]]),BOM_table6[[#This Row],[SKU Cost]]=0),0,BOM_table6[[#This Row],[SKU Cost]]/BOM_table6[[#This Row],[SKU QTY]])</f>
        <v>0</v>
      </c>
      <c r="P399" s="110">
        <f>IF(OR(ISBLANK(BOM_table6[[#This Row],[ASM QTY]]),ISBLANK(BOM_table6[[#This Row],[Unit Cost]])),0,BOM_table6[[#This Row],[ASM QTY]]*BOM_table6[[#This Row],[Unit Cost]])</f>
        <v>0</v>
      </c>
      <c r="Q399" s="65"/>
      <c r="R399" s="80"/>
      <c r="S399" s="111">
        <f>BOM_table6[[#This Row],[ASM QTY]]*$Q$2+BOM_table6[[#This Row],[Spare QTY Needed]]-BOM_table6[[#This Row],[QTY in Inventory]]</f>
        <v>1</v>
      </c>
      <c r="T399" s="111">
        <f>ROUNDUP((BOM_table6[[#This Row],[QTY to Order]]/BOM_table6[[#This Row],[SKU QTY]]),0)</f>
        <v>1</v>
      </c>
      <c r="U399" s="110">
        <f>BOM_table6[[#This Row],[SKU QTY to Order]]*BOM_table6[[#This Row],[SKU Cost]]</f>
        <v>0</v>
      </c>
      <c r="V399" s="67"/>
      <c r="W399" s="65"/>
      <c r="X399" s="65"/>
      <c r="Y399" s="69"/>
      <c r="Z399" s="71"/>
      <c r="AA399" s="65"/>
      <c r="AB399" s="65"/>
      <c r="AC399" s="45"/>
    </row>
    <row r="400" spans="1:29" ht="15" customHeight="1" x14ac:dyDescent="0.2">
      <c r="A400" s="105" t="s">
        <v>161</v>
      </c>
      <c r="B400" s="64" t="s">
        <v>1030</v>
      </c>
      <c r="C400" s="65" t="s">
        <v>1029</v>
      </c>
      <c r="D400" s="65"/>
      <c r="E400" s="45" t="s">
        <v>1049</v>
      </c>
      <c r="F400" s="45" t="s">
        <v>1024</v>
      </c>
      <c r="G400" s="65">
        <v>2</v>
      </c>
      <c r="H400" s="45" t="s">
        <v>2175</v>
      </c>
      <c r="I400" s="66"/>
      <c r="J400" s="65" t="s">
        <v>169</v>
      </c>
      <c r="K400" s="45" t="s">
        <v>1395</v>
      </c>
      <c r="L400" s="45"/>
      <c r="M400" s="106">
        <v>1</v>
      </c>
      <c r="N400" s="67"/>
      <c r="O400" s="110">
        <f>IF(OR(ISBLANK(BOM_table6[[#This Row],[SKU QTY]]),BOM_table6[[#This Row],[SKU Cost]]=0),0,BOM_table6[[#This Row],[SKU Cost]]/BOM_table6[[#This Row],[SKU QTY]])</f>
        <v>0</v>
      </c>
      <c r="P400" s="110">
        <f>IF(OR(ISBLANK(BOM_table6[[#This Row],[ASM QTY]]),ISBLANK(BOM_table6[[#This Row],[Unit Cost]])),0,BOM_table6[[#This Row],[ASM QTY]]*BOM_table6[[#This Row],[Unit Cost]])</f>
        <v>0</v>
      </c>
      <c r="Q400" s="65"/>
      <c r="R400" s="80">
        <v>0</v>
      </c>
      <c r="S400" s="111">
        <f>BOM_table6[[#This Row],[ASM QTY]]*$Q$2+BOM_table6[[#This Row],[Spare QTY Needed]]-BOM_table6[[#This Row],[QTY in Inventory]]</f>
        <v>2</v>
      </c>
      <c r="T400" s="111">
        <f>ROUNDUP((BOM_table6[[#This Row],[QTY to Order]]/BOM_table6[[#This Row],[SKU QTY]]),0)</f>
        <v>2</v>
      </c>
      <c r="U400" s="110">
        <f>BOM_table6[[#This Row],[SKU QTY to Order]]*BOM_table6[[#This Row],[SKU Cost]]</f>
        <v>0</v>
      </c>
      <c r="V400" s="50"/>
      <c r="W400" s="45"/>
      <c r="X400" s="45"/>
      <c r="Y400" s="71"/>
      <c r="Z400" s="71"/>
      <c r="AA400" s="71"/>
      <c r="AB400" s="65"/>
      <c r="AC400" s="45"/>
    </row>
    <row r="401" spans="1:29" ht="15" customHeight="1" x14ac:dyDescent="0.2">
      <c r="A401" s="105" t="s">
        <v>160</v>
      </c>
      <c r="B401" s="64" t="s">
        <v>1022</v>
      </c>
      <c r="C401" s="65" t="s">
        <v>1023</v>
      </c>
      <c r="D401" s="65" t="s">
        <v>233</v>
      </c>
      <c r="E401" s="45" t="s">
        <v>1049</v>
      </c>
      <c r="F401" s="45" t="s">
        <v>1024</v>
      </c>
      <c r="G401" s="65">
        <v>1</v>
      </c>
      <c r="H401" s="45"/>
      <c r="I401" s="66"/>
      <c r="J401" s="65" t="s">
        <v>867</v>
      </c>
      <c r="K401" s="65"/>
      <c r="L401" s="65"/>
      <c r="M401" s="106">
        <v>1</v>
      </c>
      <c r="N401" s="67"/>
      <c r="O401" s="110">
        <f>IF(OR(ISBLANK(BOM_table6[[#This Row],[SKU QTY]]),BOM_table6[[#This Row],[SKU Cost]]=0),0,BOM_table6[[#This Row],[SKU Cost]]/BOM_table6[[#This Row],[SKU QTY]])</f>
        <v>0</v>
      </c>
      <c r="P401" s="110">
        <f>IF(OR(ISBLANK(BOM_table6[[#This Row],[ASM QTY]]),ISBLANK(BOM_table6[[#This Row],[Unit Cost]])),0,BOM_table6[[#This Row],[ASM QTY]]*BOM_table6[[#This Row],[Unit Cost]])</f>
        <v>0</v>
      </c>
      <c r="Q401" s="65"/>
      <c r="R401" s="80"/>
      <c r="S401" s="111">
        <f>BOM_table6[[#This Row],[ASM QTY]]*$Q$2+BOM_table6[[#This Row],[Spare QTY Needed]]-BOM_table6[[#This Row],[QTY in Inventory]]</f>
        <v>1</v>
      </c>
      <c r="T401" s="111">
        <f>ROUNDUP((BOM_table6[[#This Row],[QTY to Order]]/BOM_table6[[#This Row],[SKU QTY]]),0)</f>
        <v>1</v>
      </c>
      <c r="U401" s="110">
        <f>BOM_table6[[#This Row],[SKU QTY to Order]]*BOM_table6[[#This Row],[SKU Cost]]</f>
        <v>0</v>
      </c>
      <c r="V401" s="67"/>
      <c r="W401" s="65"/>
      <c r="X401" s="65"/>
      <c r="Y401" s="69"/>
      <c r="Z401" s="71"/>
      <c r="AA401" s="65"/>
      <c r="AB401" s="65"/>
      <c r="AC401" s="45"/>
    </row>
    <row r="402" spans="1:29" ht="15" customHeight="1" x14ac:dyDescent="0.2">
      <c r="A402" s="105" t="s">
        <v>161</v>
      </c>
      <c r="B402" s="44" t="s">
        <v>1032</v>
      </c>
      <c r="C402" s="45" t="s">
        <v>1031</v>
      </c>
      <c r="D402" s="65" t="s">
        <v>233</v>
      </c>
      <c r="E402" s="45" t="s">
        <v>1049</v>
      </c>
      <c r="F402" s="45" t="s">
        <v>1024</v>
      </c>
      <c r="G402" s="65">
        <v>2</v>
      </c>
      <c r="H402" s="45" t="s">
        <v>2175</v>
      </c>
      <c r="I402" s="75"/>
      <c r="J402" s="65" t="s">
        <v>169</v>
      </c>
      <c r="K402" s="45" t="s">
        <v>2059</v>
      </c>
      <c r="L402" s="45"/>
      <c r="M402" s="106">
        <v>1</v>
      </c>
      <c r="N402" s="67"/>
      <c r="O402" s="110">
        <f>IF(OR(ISBLANK(BOM_table6[[#This Row],[SKU QTY]]),BOM_table6[[#This Row],[SKU Cost]]=0),0,BOM_table6[[#This Row],[SKU Cost]]/BOM_table6[[#This Row],[SKU QTY]])</f>
        <v>0</v>
      </c>
      <c r="P402" s="110">
        <f>IF(OR(ISBLANK(BOM_table6[[#This Row],[ASM QTY]]),ISBLANK(BOM_table6[[#This Row],[Unit Cost]])),0,BOM_table6[[#This Row],[ASM QTY]]*BOM_table6[[#This Row],[Unit Cost]])</f>
        <v>0</v>
      </c>
      <c r="Q402" s="65"/>
      <c r="R402" s="80"/>
      <c r="S402" s="111">
        <f>BOM_table6[[#This Row],[ASM QTY]]*$Q$2+BOM_table6[[#This Row],[Spare QTY Needed]]-BOM_table6[[#This Row],[QTY in Inventory]]</f>
        <v>2</v>
      </c>
      <c r="T402" s="111">
        <f>ROUNDUP((BOM_table6[[#This Row],[QTY to Order]]/BOM_table6[[#This Row],[SKU QTY]]),0)</f>
        <v>2</v>
      </c>
      <c r="U402" s="110">
        <f>BOM_table6[[#This Row],[SKU QTY to Order]]*BOM_table6[[#This Row],[SKU Cost]]</f>
        <v>0</v>
      </c>
      <c r="V402" s="50"/>
      <c r="W402" s="45"/>
      <c r="X402" s="45"/>
      <c r="Y402" s="71"/>
      <c r="Z402" s="71"/>
      <c r="AA402" s="65"/>
      <c r="AB402" s="65"/>
      <c r="AC402" s="45"/>
    </row>
    <row r="403" spans="1:29" ht="15" customHeight="1" x14ac:dyDescent="0.2">
      <c r="A403" s="105" t="s">
        <v>160</v>
      </c>
      <c r="B403" s="64" t="s">
        <v>1037</v>
      </c>
      <c r="C403" s="65" t="s">
        <v>1036</v>
      </c>
      <c r="D403" s="65"/>
      <c r="E403" s="45" t="s">
        <v>1049</v>
      </c>
      <c r="F403" s="45" t="s">
        <v>1024</v>
      </c>
      <c r="G403" s="65">
        <v>1</v>
      </c>
      <c r="H403" s="45"/>
      <c r="I403" s="66"/>
      <c r="J403" s="65" t="s">
        <v>867</v>
      </c>
      <c r="K403" s="65"/>
      <c r="L403" s="65"/>
      <c r="M403" s="106">
        <v>1</v>
      </c>
      <c r="N403" s="67"/>
      <c r="O403" s="110">
        <f>IF(OR(ISBLANK(BOM_table6[[#This Row],[SKU QTY]]),BOM_table6[[#This Row],[SKU Cost]]=0),0,BOM_table6[[#This Row],[SKU Cost]]/BOM_table6[[#This Row],[SKU QTY]])</f>
        <v>0</v>
      </c>
      <c r="P403" s="110">
        <f>IF(OR(ISBLANK(BOM_table6[[#This Row],[ASM QTY]]),ISBLANK(BOM_table6[[#This Row],[Unit Cost]])),0,BOM_table6[[#This Row],[ASM QTY]]*BOM_table6[[#This Row],[Unit Cost]])</f>
        <v>0</v>
      </c>
      <c r="Q403" s="65"/>
      <c r="R403" s="80"/>
      <c r="S403" s="111">
        <f>BOM_table6[[#This Row],[ASM QTY]]*$Q$2+BOM_table6[[#This Row],[Spare QTY Needed]]-BOM_table6[[#This Row],[QTY in Inventory]]</f>
        <v>1</v>
      </c>
      <c r="T403" s="111">
        <f>ROUNDUP((BOM_table6[[#This Row],[QTY to Order]]/BOM_table6[[#This Row],[SKU QTY]]),0)</f>
        <v>1</v>
      </c>
      <c r="U403" s="110">
        <f>BOM_table6[[#This Row],[SKU QTY to Order]]*BOM_table6[[#This Row],[SKU Cost]]</f>
        <v>0</v>
      </c>
      <c r="V403" s="67"/>
      <c r="W403" s="65"/>
      <c r="X403" s="65"/>
      <c r="Y403" s="69"/>
      <c r="Z403" s="71"/>
      <c r="AA403" s="65"/>
      <c r="AB403" s="65"/>
      <c r="AC403" s="45"/>
    </row>
    <row r="404" spans="1:29" ht="15" customHeight="1" x14ac:dyDescent="0.2">
      <c r="A404" s="105" t="s">
        <v>159</v>
      </c>
      <c r="B404" s="105" t="s">
        <v>1525</v>
      </c>
      <c r="C404" s="106"/>
      <c r="D404" s="106"/>
      <c r="E404" s="106" t="s">
        <v>1049</v>
      </c>
      <c r="F404" s="106" t="s">
        <v>1526</v>
      </c>
      <c r="G404" s="106">
        <v>1</v>
      </c>
      <c r="H404" s="45" t="s">
        <v>2175</v>
      </c>
      <c r="I404" s="107"/>
      <c r="J404" s="45" t="s">
        <v>171</v>
      </c>
      <c r="K404" s="106" t="s">
        <v>1527</v>
      </c>
      <c r="L404" s="106"/>
      <c r="M404" s="106">
        <v>1</v>
      </c>
      <c r="N404" s="108">
        <v>5500</v>
      </c>
      <c r="O404" s="110">
        <f>IF(OR(ISBLANK(BOM_table6[[#This Row],[SKU QTY]]),BOM_table6[[#This Row],[SKU Cost]]=0),0,BOM_table6[[#This Row],[SKU Cost]]/BOM_table6[[#This Row],[SKU QTY]])</f>
        <v>5500</v>
      </c>
      <c r="P404" s="110">
        <f>IF(OR(ISBLANK(BOM_table6[[#This Row],[ASM QTY]]),ISBLANK(BOM_table6[[#This Row],[Unit Cost]])),0,BOM_table6[[#This Row],[ASM QTY]]*BOM_table6[[#This Row],[Unit Cost]])</f>
        <v>5500</v>
      </c>
      <c r="Q404" s="106"/>
      <c r="R404" s="109"/>
      <c r="S404" s="111">
        <f>BOM_table6[[#This Row],[ASM QTY]]*$Q$2+BOM_table6[[#This Row],[Spare QTY Needed]]-BOM_table6[[#This Row],[QTY in Inventory]]</f>
        <v>1</v>
      </c>
      <c r="T404" s="111">
        <f>ROUNDUP((BOM_table6[[#This Row],[QTY to Order]]/BOM_table6[[#This Row],[SKU QTY]]),0)</f>
        <v>1</v>
      </c>
      <c r="U404" s="110">
        <f>BOM_table6[[#This Row],[SKU QTY to Order]]*BOM_table6[[#This Row],[SKU Cost]]</f>
        <v>5500</v>
      </c>
      <c r="V404" s="108"/>
      <c r="W404" s="45" t="s">
        <v>2191</v>
      </c>
      <c r="X404" s="45" t="s">
        <v>2344</v>
      </c>
      <c r="Y404" s="113">
        <v>44987</v>
      </c>
      <c r="Z404" s="112">
        <v>45058</v>
      </c>
      <c r="AA404" s="106"/>
      <c r="AB404" s="106"/>
      <c r="AC404" s="45"/>
    </row>
    <row r="405" spans="1:29" ht="15" customHeight="1" x14ac:dyDescent="0.2">
      <c r="A405" s="105" t="s">
        <v>161</v>
      </c>
      <c r="B405" s="44" t="s">
        <v>956</v>
      </c>
      <c r="C405" s="45" t="s">
        <v>957</v>
      </c>
      <c r="D405" s="45"/>
      <c r="E405" s="45" t="s">
        <v>230</v>
      </c>
      <c r="F405" s="45" t="s">
        <v>812</v>
      </c>
      <c r="G405" s="45">
        <v>4</v>
      </c>
      <c r="H405" s="45"/>
      <c r="I405" s="75"/>
      <c r="J405" s="45" t="s">
        <v>166</v>
      </c>
      <c r="K405" s="45"/>
      <c r="L405" s="45"/>
      <c r="M405" s="106">
        <v>1</v>
      </c>
      <c r="N405" s="50"/>
      <c r="O405" s="110">
        <f>IF(OR(ISBLANK(BOM_table6[[#This Row],[SKU QTY]]),BOM_table6[[#This Row],[SKU Cost]]=0),0,BOM_table6[[#This Row],[SKU Cost]]/BOM_table6[[#This Row],[SKU QTY]])</f>
        <v>0</v>
      </c>
      <c r="P405" s="110">
        <f>IF(OR(ISBLANK(BOM_table6[[#This Row],[ASM QTY]]),ISBLANK(BOM_table6[[#This Row],[Unit Cost]])),0,BOM_table6[[#This Row],[ASM QTY]]*BOM_table6[[#This Row],[Unit Cost]])</f>
        <v>0</v>
      </c>
      <c r="Q405" s="45"/>
      <c r="R405" s="81"/>
      <c r="S405" s="111">
        <f>BOM_table6[[#This Row],[ASM QTY]]*$Q$2+BOM_table6[[#This Row],[Spare QTY Needed]]-BOM_table6[[#This Row],[QTY in Inventory]]</f>
        <v>4</v>
      </c>
      <c r="T405" s="111">
        <f>ROUNDUP((BOM_table6[[#This Row],[QTY to Order]]/BOM_table6[[#This Row],[SKU QTY]]),0)</f>
        <v>4</v>
      </c>
      <c r="U405" s="110">
        <f>BOM_table6[[#This Row],[SKU QTY to Order]]*BOM_table6[[#This Row],[SKU Cost]]</f>
        <v>0</v>
      </c>
      <c r="V405" s="50"/>
      <c r="W405" s="45"/>
      <c r="X405" s="45"/>
      <c r="Y405" s="54"/>
      <c r="Z405" s="54"/>
      <c r="AA405" s="54"/>
      <c r="AB405" s="45"/>
      <c r="AC405" s="45"/>
    </row>
    <row r="406" spans="1:29" ht="15" customHeight="1" x14ac:dyDescent="0.2">
      <c r="A406" s="105" t="s">
        <v>161</v>
      </c>
      <c r="B406" s="44" t="s">
        <v>939</v>
      </c>
      <c r="C406" s="45" t="s">
        <v>940</v>
      </c>
      <c r="D406" s="45"/>
      <c r="E406" s="45"/>
      <c r="F406" s="45" t="s">
        <v>812</v>
      </c>
      <c r="G406" s="45">
        <v>6</v>
      </c>
      <c r="H406" s="45"/>
      <c r="I406" s="75"/>
      <c r="J406" s="45" t="s">
        <v>166</v>
      </c>
      <c r="K406" s="45" t="s">
        <v>216</v>
      </c>
      <c r="L406" s="45"/>
      <c r="M406" s="106">
        <v>1</v>
      </c>
      <c r="N406" s="50">
        <f>4.36/10</f>
        <v>0.43600000000000005</v>
      </c>
      <c r="O406" s="110">
        <f>IF(OR(ISBLANK(BOM_table6[[#This Row],[SKU QTY]]),BOM_table6[[#This Row],[SKU Cost]]=0),0,BOM_table6[[#This Row],[SKU Cost]]/BOM_table6[[#This Row],[SKU QTY]])</f>
        <v>0.43600000000000005</v>
      </c>
      <c r="P406" s="110">
        <f>IF(OR(ISBLANK(BOM_table6[[#This Row],[ASM QTY]]),ISBLANK(BOM_table6[[#This Row],[Unit Cost]])),0,BOM_table6[[#This Row],[ASM QTY]]*BOM_table6[[#This Row],[Unit Cost]])</f>
        <v>2.6160000000000005</v>
      </c>
      <c r="Q406" s="45">
        <v>4</v>
      </c>
      <c r="R406" s="81"/>
      <c r="S406" s="111">
        <f>BOM_table6[[#This Row],[ASM QTY]]*$Q$2+BOM_table6[[#This Row],[Spare QTY Needed]]-BOM_table6[[#This Row],[QTY in Inventory]]</f>
        <v>10</v>
      </c>
      <c r="T406" s="111">
        <f>ROUNDUP((BOM_table6[[#This Row],[QTY to Order]]/BOM_table6[[#This Row],[SKU QTY]]),0)</f>
        <v>10</v>
      </c>
      <c r="U406" s="110">
        <f>BOM_table6[[#This Row],[SKU QTY to Order]]*BOM_table6[[#This Row],[SKU Cost]]</f>
        <v>4.3600000000000003</v>
      </c>
      <c r="V406" s="50"/>
      <c r="W406" s="45" t="s">
        <v>2180</v>
      </c>
      <c r="X406" s="45" t="s">
        <v>2192</v>
      </c>
      <c r="Y406" s="54">
        <v>44923</v>
      </c>
      <c r="Z406" s="54"/>
      <c r="AA406" s="54">
        <v>44924</v>
      </c>
      <c r="AB406" s="45"/>
      <c r="AC406" s="45"/>
    </row>
    <row r="407" spans="1:29" ht="15" customHeight="1" x14ac:dyDescent="0.2">
      <c r="A407" s="105" t="s">
        <v>161</v>
      </c>
      <c r="B407" s="44" t="s">
        <v>945</v>
      </c>
      <c r="C407" s="45" t="s">
        <v>946</v>
      </c>
      <c r="D407" s="45"/>
      <c r="E407" s="45"/>
      <c r="F407" s="45" t="s">
        <v>812</v>
      </c>
      <c r="G407" s="45">
        <v>4</v>
      </c>
      <c r="H407" s="45"/>
      <c r="I407" s="75"/>
      <c r="J407" s="45" t="s">
        <v>166</v>
      </c>
      <c r="K407" s="45" t="s">
        <v>216</v>
      </c>
      <c r="L407" s="45"/>
      <c r="M407" s="106">
        <v>1</v>
      </c>
      <c r="N407" s="50">
        <f>6.43/25</f>
        <v>0.25719999999999998</v>
      </c>
      <c r="O407" s="110">
        <f>IF(OR(ISBLANK(BOM_table6[[#This Row],[SKU QTY]]),BOM_table6[[#This Row],[SKU Cost]]=0),0,BOM_table6[[#This Row],[SKU Cost]]/BOM_table6[[#This Row],[SKU QTY]])</f>
        <v>0.25719999999999998</v>
      </c>
      <c r="P407" s="110">
        <f>IF(OR(ISBLANK(BOM_table6[[#This Row],[ASM QTY]]),ISBLANK(BOM_table6[[#This Row],[Unit Cost]])),0,BOM_table6[[#This Row],[ASM QTY]]*BOM_table6[[#This Row],[Unit Cost]])</f>
        <v>1.0287999999999999</v>
      </c>
      <c r="Q407" s="45">
        <f>25-4</f>
        <v>21</v>
      </c>
      <c r="R407" s="81"/>
      <c r="S407" s="111">
        <f>BOM_table6[[#This Row],[ASM QTY]]*$Q$2+BOM_table6[[#This Row],[Spare QTY Needed]]-BOM_table6[[#This Row],[QTY in Inventory]]</f>
        <v>25</v>
      </c>
      <c r="T407" s="111">
        <f>ROUNDUP((BOM_table6[[#This Row],[QTY to Order]]/BOM_table6[[#This Row],[SKU QTY]]),0)</f>
        <v>25</v>
      </c>
      <c r="U407" s="110">
        <f>BOM_table6[[#This Row],[SKU QTY to Order]]*BOM_table6[[#This Row],[SKU Cost]]</f>
        <v>6.43</v>
      </c>
      <c r="V407" s="50"/>
      <c r="W407" s="45" t="s">
        <v>2180</v>
      </c>
      <c r="X407" s="45" t="s">
        <v>2192</v>
      </c>
      <c r="Y407" s="54">
        <v>44923</v>
      </c>
      <c r="Z407" s="54"/>
      <c r="AA407" s="54">
        <v>44924</v>
      </c>
      <c r="AB407" s="45"/>
      <c r="AC407" s="45"/>
    </row>
    <row r="408" spans="1:29" ht="15" customHeight="1" x14ac:dyDescent="0.2">
      <c r="A408" s="105" t="s">
        <v>161</v>
      </c>
      <c r="B408" s="44" t="s">
        <v>941</v>
      </c>
      <c r="C408" s="45" t="s">
        <v>942</v>
      </c>
      <c r="D408" s="45"/>
      <c r="E408" s="45"/>
      <c r="F408" s="45" t="s">
        <v>812</v>
      </c>
      <c r="G408" s="45">
        <v>8</v>
      </c>
      <c r="H408" s="45"/>
      <c r="I408" s="75"/>
      <c r="J408" s="45" t="s">
        <v>166</v>
      </c>
      <c r="K408" s="45" t="s">
        <v>216</v>
      </c>
      <c r="L408" s="45"/>
      <c r="M408" s="106">
        <v>1</v>
      </c>
      <c r="N408" s="50">
        <f>3.56/10</f>
        <v>0.35599999999999998</v>
      </c>
      <c r="O408" s="110">
        <f>IF(OR(ISBLANK(BOM_table6[[#This Row],[SKU QTY]]),BOM_table6[[#This Row],[SKU Cost]]=0),0,BOM_table6[[#This Row],[SKU Cost]]/BOM_table6[[#This Row],[SKU QTY]])</f>
        <v>0.35599999999999998</v>
      </c>
      <c r="P408" s="110">
        <f>IF(OR(ISBLANK(BOM_table6[[#This Row],[ASM QTY]]),ISBLANK(BOM_table6[[#This Row],[Unit Cost]])),0,BOM_table6[[#This Row],[ASM QTY]]*BOM_table6[[#This Row],[Unit Cost]])</f>
        <v>2.8479999999999999</v>
      </c>
      <c r="Q408" s="45">
        <v>2</v>
      </c>
      <c r="R408" s="81"/>
      <c r="S408" s="111">
        <f>BOM_table6[[#This Row],[ASM QTY]]*$Q$2+BOM_table6[[#This Row],[Spare QTY Needed]]-BOM_table6[[#This Row],[QTY in Inventory]]</f>
        <v>10</v>
      </c>
      <c r="T408" s="111">
        <f>ROUNDUP((BOM_table6[[#This Row],[QTY to Order]]/BOM_table6[[#This Row],[SKU QTY]]),0)</f>
        <v>10</v>
      </c>
      <c r="U408" s="110">
        <f>BOM_table6[[#This Row],[SKU QTY to Order]]*BOM_table6[[#This Row],[SKU Cost]]</f>
        <v>3.5599999999999996</v>
      </c>
      <c r="V408" s="50"/>
      <c r="W408" s="45" t="s">
        <v>2180</v>
      </c>
      <c r="X408" s="45" t="s">
        <v>2192</v>
      </c>
      <c r="Y408" s="54">
        <v>44923</v>
      </c>
      <c r="Z408" s="54"/>
      <c r="AA408" s="54">
        <v>44924</v>
      </c>
      <c r="AB408" s="45"/>
      <c r="AC408" s="45"/>
    </row>
    <row r="409" spans="1:29" ht="15" customHeight="1" x14ac:dyDescent="0.2">
      <c r="A409" s="105" t="s">
        <v>161</v>
      </c>
      <c r="B409" s="44" t="s">
        <v>954</v>
      </c>
      <c r="C409" s="45" t="s">
        <v>955</v>
      </c>
      <c r="D409" s="45"/>
      <c r="E409" s="45"/>
      <c r="F409" s="45" t="s">
        <v>812</v>
      </c>
      <c r="G409" s="45">
        <v>4</v>
      </c>
      <c r="H409" s="45"/>
      <c r="I409" s="75"/>
      <c r="J409" s="45" t="s">
        <v>166</v>
      </c>
      <c r="K409" s="45" t="s">
        <v>216</v>
      </c>
      <c r="L409" s="45"/>
      <c r="M409" s="106">
        <v>1</v>
      </c>
      <c r="N409" s="50">
        <f>4.75/10</f>
        <v>0.47499999999999998</v>
      </c>
      <c r="O409" s="110">
        <f>IF(OR(ISBLANK(BOM_table6[[#This Row],[SKU QTY]]),BOM_table6[[#This Row],[SKU Cost]]=0),0,BOM_table6[[#This Row],[SKU Cost]]/BOM_table6[[#This Row],[SKU QTY]])</f>
        <v>0.47499999999999998</v>
      </c>
      <c r="P409" s="110">
        <f>IF(OR(ISBLANK(BOM_table6[[#This Row],[ASM QTY]]),ISBLANK(BOM_table6[[#This Row],[Unit Cost]])),0,BOM_table6[[#This Row],[ASM QTY]]*BOM_table6[[#This Row],[Unit Cost]])</f>
        <v>1.9</v>
      </c>
      <c r="Q409" s="45">
        <v>6</v>
      </c>
      <c r="R409" s="81"/>
      <c r="S409" s="111">
        <f>BOM_table6[[#This Row],[ASM QTY]]*$Q$2+BOM_table6[[#This Row],[Spare QTY Needed]]-BOM_table6[[#This Row],[QTY in Inventory]]</f>
        <v>10</v>
      </c>
      <c r="T409" s="111">
        <f>ROUNDUP((BOM_table6[[#This Row],[QTY to Order]]/BOM_table6[[#This Row],[SKU QTY]]),0)</f>
        <v>10</v>
      </c>
      <c r="U409" s="110">
        <f>BOM_table6[[#This Row],[SKU QTY to Order]]*BOM_table6[[#This Row],[SKU Cost]]</f>
        <v>4.75</v>
      </c>
      <c r="V409" s="50"/>
      <c r="W409" s="45" t="s">
        <v>2180</v>
      </c>
      <c r="X409" s="45" t="s">
        <v>2192</v>
      </c>
      <c r="Y409" s="54">
        <v>44923</v>
      </c>
      <c r="Z409" s="54"/>
      <c r="AA409" s="54">
        <v>44924</v>
      </c>
      <c r="AB409" s="45"/>
      <c r="AC409" s="45"/>
    </row>
    <row r="410" spans="1:29" ht="15" customHeight="1" x14ac:dyDescent="0.2">
      <c r="A410" s="105" t="s">
        <v>161</v>
      </c>
      <c r="B410" s="44" t="s">
        <v>935</v>
      </c>
      <c r="C410" s="45" t="s">
        <v>936</v>
      </c>
      <c r="D410" s="45"/>
      <c r="E410" s="45"/>
      <c r="F410" s="45" t="s">
        <v>812</v>
      </c>
      <c r="G410" s="45">
        <v>1</v>
      </c>
      <c r="H410" s="45"/>
      <c r="I410" s="43" t="s">
        <v>2298</v>
      </c>
      <c r="J410" s="45" t="s">
        <v>166</v>
      </c>
      <c r="K410" s="74" t="s">
        <v>216</v>
      </c>
      <c r="L410" s="74"/>
      <c r="M410" s="106">
        <v>1</v>
      </c>
      <c r="N410" s="50">
        <f>11.46/50</f>
        <v>0.22920000000000001</v>
      </c>
      <c r="O410" s="110">
        <f>IF(OR(ISBLANK(BOM_table6[[#This Row],[SKU QTY]]),BOM_table6[[#This Row],[SKU Cost]]=0),0,BOM_table6[[#This Row],[SKU Cost]]/BOM_table6[[#This Row],[SKU QTY]])</f>
        <v>0.22920000000000001</v>
      </c>
      <c r="P410" s="110">
        <f>IF(OR(ISBLANK(BOM_table6[[#This Row],[ASM QTY]]),ISBLANK(BOM_table6[[#This Row],[Unit Cost]])),0,BOM_table6[[#This Row],[ASM QTY]]*BOM_table6[[#This Row],[Unit Cost]])</f>
        <v>0.22920000000000001</v>
      </c>
      <c r="Q410" s="45">
        <v>49</v>
      </c>
      <c r="R410" s="81"/>
      <c r="S410" s="111">
        <f>BOM_table6[[#This Row],[ASM QTY]]*$Q$2+BOM_table6[[#This Row],[Spare QTY Needed]]-BOM_table6[[#This Row],[QTY in Inventory]]</f>
        <v>50</v>
      </c>
      <c r="T410" s="111">
        <f>ROUNDUP((BOM_table6[[#This Row],[QTY to Order]]/BOM_table6[[#This Row],[SKU QTY]]),0)</f>
        <v>50</v>
      </c>
      <c r="U410" s="110">
        <f>BOM_table6[[#This Row],[SKU QTY to Order]]*BOM_table6[[#This Row],[SKU Cost]]</f>
        <v>11.46</v>
      </c>
      <c r="V410" s="50"/>
      <c r="W410" s="45" t="s">
        <v>2180</v>
      </c>
      <c r="X410" s="45" t="s">
        <v>2192</v>
      </c>
      <c r="Y410" s="54">
        <v>44923</v>
      </c>
      <c r="Z410" s="54"/>
      <c r="AA410" s="54">
        <v>44924</v>
      </c>
      <c r="AB410" s="45"/>
      <c r="AC410" s="45"/>
    </row>
    <row r="411" spans="1:29" ht="15" customHeight="1" x14ac:dyDescent="0.2">
      <c r="A411" s="105" t="s">
        <v>160</v>
      </c>
      <c r="B411" s="44" t="s">
        <v>963</v>
      </c>
      <c r="C411" s="45" t="s">
        <v>964</v>
      </c>
      <c r="D411" s="45"/>
      <c r="E411" s="45"/>
      <c r="F411" s="45" t="s">
        <v>812</v>
      </c>
      <c r="G411" s="45">
        <v>4</v>
      </c>
      <c r="H411" s="45"/>
      <c r="I411" s="75"/>
      <c r="J411" s="45" t="s">
        <v>166</v>
      </c>
      <c r="K411" s="45" t="s">
        <v>216</v>
      </c>
      <c r="L411" s="45"/>
      <c r="M411" s="106">
        <v>1</v>
      </c>
      <c r="N411" s="50"/>
      <c r="O411" s="110">
        <f>IF(OR(ISBLANK(BOM_table6[[#This Row],[SKU QTY]]),BOM_table6[[#This Row],[SKU Cost]]=0),0,BOM_table6[[#This Row],[SKU Cost]]/BOM_table6[[#This Row],[SKU QTY]])</f>
        <v>0</v>
      </c>
      <c r="P411" s="110">
        <f>IF(OR(ISBLANK(BOM_table6[[#This Row],[ASM QTY]]),ISBLANK(BOM_table6[[#This Row],[Unit Cost]])),0,BOM_table6[[#This Row],[ASM QTY]]*BOM_table6[[#This Row],[Unit Cost]])</f>
        <v>0</v>
      </c>
      <c r="Q411" s="45"/>
      <c r="R411" s="81"/>
      <c r="S411" s="111">
        <f>BOM_table6[[#This Row],[ASM QTY]]*$Q$2+BOM_table6[[#This Row],[Spare QTY Needed]]-BOM_table6[[#This Row],[QTY in Inventory]]</f>
        <v>4</v>
      </c>
      <c r="T411" s="111">
        <f>ROUNDUP((BOM_table6[[#This Row],[QTY to Order]]/BOM_table6[[#This Row],[SKU QTY]]),0)</f>
        <v>4</v>
      </c>
      <c r="U411" s="110">
        <f>BOM_table6[[#This Row],[SKU QTY to Order]]*BOM_table6[[#This Row],[SKU Cost]]</f>
        <v>0</v>
      </c>
      <c r="V411" s="50"/>
      <c r="W411" s="45"/>
      <c r="X411" s="45"/>
      <c r="Y411" s="54"/>
      <c r="Z411" s="54"/>
      <c r="AA411" s="54"/>
      <c r="AB411" s="45"/>
      <c r="AC411" s="45"/>
    </row>
    <row r="412" spans="1:29" ht="15" customHeight="1" x14ac:dyDescent="0.2">
      <c r="A412" s="105" t="s">
        <v>161</v>
      </c>
      <c r="B412" s="44" t="s">
        <v>933</v>
      </c>
      <c r="C412" s="45" t="s">
        <v>934</v>
      </c>
      <c r="D412" s="45"/>
      <c r="E412" s="45"/>
      <c r="F412" s="45" t="s">
        <v>812</v>
      </c>
      <c r="G412" s="45">
        <v>1</v>
      </c>
      <c r="H412" s="45"/>
      <c r="I412" s="43" t="s">
        <v>2299</v>
      </c>
      <c r="J412" s="45" t="s">
        <v>166</v>
      </c>
      <c r="K412" s="45" t="s">
        <v>216</v>
      </c>
      <c r="L412" s="45"/>
      <c r="M412" s="106">
        <v>1</v>
      </c>
      <c r="N412" s="50">
        <f>12.13/100</f>
        <v>0.12130000000000001</v>
      </c>
      <c r="O412" s="110">
        <f>IF(OR(ISBLANK(BOM_table6[[#This Row],[SKU QTY]]),BOM_table6[[#This Row],[SKU Cost]]=0),0,BOM_table6[[#This Row],[SKU Cost]]/BOM_table6[[#This Row],[SKU QTY]])</f>
        <v>0.12130000000000001</v>
      </c>
      <c r="P412" s="110">
        <f>IF(OR(ISBLANK(BOM_table6[[#This Row],[ASM QTY]]),ISBLANK(BOM_table6[[#This Row],[Unit Cost]])),0,BOM_table6[[#This Row],[ASM QTY]]*BOM_table6[[#This Row],[Unit Cost]])</f>
        <v>0.12130000000000001</v>
      </c>
      <c r="Q412" s="45">
        <v>99</v>
      </c>
      <c r="R412" s="81"/>
      <c r="S412" s="111">
        <f>BOM_table6[[#This Row],[ASM QTY]]*$Q$2+BOM_table6[[#This Row],[Spare QTY Needed]]-BOM_table6[[#This Row],[QTY in Inventory]]</f>
        <v>100</v>
      </c>
      <c r="T412" s="111">
        <f>ROUNDUP((BOM_table6[[#This Row],[QTY to Order]]/BOM_table6[[#This Row],[SKU QTY]]),0)</f>
        <v>100</v>
      </c>
      <c r="U412" s="110">
        <f>BOM_table6[[#This Row],[SKU QTY to Order]]*BOM_table6[[#This Row],[SKU Cost]]</f>
        <v>12.13</v>
      </c>
      <c r="V412" s="50"/>
      <c r="W412" s="45" t="s">
        <v>2180</v>
      </c>
      <c r="X412" s="45" t="s">
        <v>2192</v>
      </c>
      <c r="Y412" s="54">
        <v>44923</v>
      </c>
      <c r="Z412" s="54"/>
      <c r="AA412" s="54">
        <v>44924</v>
      </c>
      <c r="AB412" s="45"/>
      <c r="AC412" s="45"/>
    </row>
    <row r="413" spans="1:29" ht="15" customHeight="1" x14ac:dyDescent="0.2">
      <c r="A413" s="105" t="s">
        <v>161</v>
      </c>
      <c r="B413" s="44" t="s">
        <v>214</v>
      </c>
      <c r="C413" s="45" t="s">
        <v>215</v>
      </c>
      <c r="D413" s="45"/>
      <c r="E413" s="45"/>
      <c r="F413" s="45" t="s">
        <v>812</v>
      </c>
      <c r="G413" s="45">
        <v>2</v>
      </c>
      <c r="H413" s="45"/>
      <c r="I413" s="75"/>
      <c r="J413" s="45" t="s">
        <v>166</v>
      </c>
      <c r="K413" s="45" t="s">
        <v>216</v>
      </c>
      <c r="L413" s="45"/>
      <c r="M413" s="106">
        <v>1</v>
      </c>
      <c r="N413" s="50">
        <f>3.99/10</f>
        <v>0.39900000000000002</v>
      </c>
      <c r="O413" s="110">
        <f>IF(OR(ISBLANK(BOM_table6[[#This Row],[SKU QTY]]),BOM_table6[[#This Row],[SKU Cost]]=0),0,BOM_table6[[#This Row],[SKU Cost]]/BOM_table6[[#This Row],[SKU QTY]])</f>
        <v>0.39900000000000002</v>
      </c>
      <c r="P413" s="110">
        <f>IF(OR(ISBLANK(BOM_table6[[#This Row],[ASM QTY]]),ISBLANK(BOM_table6[[#This Row],[Unit Cost]])),0,BOM_table6[[#This Row],[ASM QTY]]*BOM_table6[[#This Row],[Unit Cost]])</f>
        <v>0.79800000000000004</v>
      </c>
      <c r="Q413" s="45">
        <v>2</v>
      </c>
      <c r="R413" s="81"/>
      <c r="S413" s="111">
        <f>BOM_table6[[#This Row],[ASM QTY]]*$Q$2+BOM_table6[[#This Row],[Spare QTY Needed]]-BOM_table6[[#This Row],[QTY in Inventory]]</f>
        <v>4</v>
      </c>
      <c r="T413" s="111">
        <f>ROUNDUP((BOM_table6[[#This Row],[QTY to Order]]/BOM_table6[[#This Row],[SKU QTY]]),0)</f>
        <v>4</v>
      </c>
      <c r="U413" s="110">
        <f>BOM_table6[[#This Row],[SKU QTY to Order]]*BOM_table6[[#This Row],[SKU Cost]]</f>
        <v>1.5960000000000001</v>
      </c>
      <c r="V413" s="50"/>
      <c r="W413" s="45" t="s">
        <v>2180</v>
      </c>
      <c r="X413" s="45" t="s">
        <v>2192</v>
      </c>
      <c r="Y413" s="54">
        <v>44923</v>
      </c>
      <c r="Z413" s="54"/>
      <c r="AA413" s="54">
        <v>44924</v>
      </c>
      <c r="AB413" s="45"/>
      <c r="AC413" s="45"/>
    </row>
    <row r="414" spans="1:29" ht="15" customHeight="1" x14ac:dyDescent="0.2">
      <c r="A414" s="105" t="s">
        <v>161</v>
      </c>
      <c r="B414" s="44" t="s">
        <v>961</v>
      </c>
      <c r="C414" s="45" t="s">
        <v>962</v>
      </c>
      <c r="D414" s="45"/>
      <c r="E414" s="45"/>
      <c r="F414" s="45" t="s">
        <v>812</v>
      </c>
      <c r="G414" s="45">
        <v>4</v>
      </c>
      <c r="H414" s="45"/>
      <c r="I414" s="43" t="s">
        <v>2300</v>
      </c>
      <c r="J414" s="45" t="s">
        <v>166</v>
      </c>
      <c r="K414" s="45" t="s">
        <v>216</v>
      </c>
      <c r="L414" s="45"/>
      <c r="M414" s="106">
        <v>1</v>
      </c>
      <c r="N414" s="50">
        <f>11.1/25</f>
        <v>0.44400000000000001</v>
      </c>
      <c r="O414" s="110">
        <f>IF(OR(ISBLANK(BOM_table6[[#This Row],[SKU QTY]]),BOM_table6[[#This Row],[SKU Cost]]=0),0,BOM_table6[[#This Row],[SKU Cost]]/BOM_table6[[#This Row],[SKU QTY]])</f>
        <v>0.44400000000000001</v>
      </c>
      <c r="P414" s="110">
        <f>IF(OR(ISBLANK(BOM_table6[[#This Row],[ASM QTY]]),ISBLANK(BOM_table6[[#This Row],[Unit Cost]])),0,BOM_table6[[#This Row],[ASM QTY]]*BOM_table6[[#This Row],[Unit Cost]])</f>
        <v>1.776</v>
      </c>
      <c r="Q414" s="45">
        <f>25-4</f>
        <v>21</v>
      </c>
      <c r="R414" s="81"/>
      <c r="S414" s="111">
        <f>BOM_table6[[#This Row],[ASM QTY]]*$Q$2+BOM_table6[[#This Row],[Spare QTY Needed]]-BOM_table6[[#This Row],[QTY in Inventory]]</f>
        <v>25</v>
      </c>
      <c r="T414" s="111">
        <f>ROUNDUP((BOM_table6[[#This Row],[QTY to Order]]/BOM_table6[[#This Row],[SKU QTY]]),0)</f>
        <v>25</v>
      </c>
      <c r="U414" s="110">
        <f>BOM_table6[[#This Row],[SKU QTY to Order]]*BOM_table6[[#This Row],[SKU Cost]]</f>
        <v>11.1</v>
      </c>
      <c r="V414" s="50"/>
      <c r="W414" s="45" t="s">
        <v>2180</v>
      </c>
      <c r="X414" s="45" t="s">
        <v>2192</v>
      </c>
      <c r="Y414" s="54">
        <v>44923</v>
      </c>
      <c r="Z414" s="54"/>
      <c r="AA414" s="97">
        <v>44924</v>
      </c>
      <c r="AB414" s="45"/>
      <c r="AC414" s="45"/>
    </row>
    <row r="415" spans="1:29" ht="15" customHeight="1" x14ac:dyDescent="0.2">
      <c r="A415" s="105" t="s">
        <v>161</v>
      </c>
      <c r="B415" s="44" t="s">
        <v>952</v>
      </c>
      <c r="C415" s="45" t="s">
        <v>953</v>
      </c>
      <c r="D415" s="45"/>
      <c r="E415" s="45"/>
      <c r="F415" s="45" t="s">
        <v>812</v>
      </c>
      <c r="G415" s="45">
        <v>2</v>
      </c>
      <c r="H415" s="45"/>
      <c r="I415" s="75"/>
      <c r="J415" s="45" t="s">
        <v>166</v>
      </c>
      <c r="K415" s="45" t="s">
        <v>216</v>
      </c>
      <c r="L415" s="45"/>
      <c r="M415" s="106">
        <v>1</v>
      </c>
      <c r="N415" s="50">
        <v>6.34</v>
      </c>
      <c r="O415" s="110">
        <f>IF(OR(ISBLANK(BOM_table6[[#This Row],[SKU QTY]]),BOM_table6[[#This Row],[SKU Cost]]=0),0,BOM_table6[[#This Row],[SKU Cost]]/BOM_table6[[#This Row],[SKU QTY]])</f>
        <v>6.34</v>
      </c>
      <c r="P415" s="110">
        <f>IF(OR(ISBLANK(BOM_table6[[#This Row],[ASM QTY]]),ISBLANK(BOM_table6[[#This Row],[Unit Cost]])),0,BOM_table6[[#This Row],[ASM QTY]]*BOM_table6[[#This Row],[Unit Cost]])</f>
        <v>12.68</v>
      </c>
      <c r="Q415" s="45">
        <v>1</v>
      </c>
      <c r="R415" s="81"/>
      <c r="S415" s="111">
        <f>BOM_table6[[#This Row],[ASM QTY]]*$Q$2+BOM_table6[[#This Row],[Spare QTY Needed]]-BOM_table6[[#This Row],[QTY in Inventory]]</f>
        <v>3</v>
      </c>
      <c r="T415" s="111">
        <f>ROUNDUP((BOM_table6[[#This Row],[QTY to Order]]/BOM_table6[[#This Row],[SKU QTY]]),0)</f>
        <v>3</v>
      </c>
      <c r="U415" s="110">
        <f>BOM_table6[[#This Row],[SKU QTY to Order]]*BOM_table6[[#This Row],[SKU Cost]]</f>
        <v>19.02</v>
      </c>
      <c r="V415" s="50"/>
      <c r="W415" s="45" t="s">
        <v>2180</v>
      </c>
      <c r="X415" s="45" t="s">
        <v>2192</v>
      </c>
      <c r="Y415" s="54">
        <v>44923</v>
      </c>
      <c r="Z415" s="54"/>
      <c r="AA415" s="54">
        <v>44924</v>
      </c>
      <c r="AB415" s="45"/>
      <c r="AC415" s="45"/>
    </row>
    <row r="416" spans="1:29" ht="15" customHeight="1" x14ac:dyDescent="0.2">
      <c r="A416" s="105" t="s">
        <v>161</v>
      </c>
      <c r="B416" s="44" t="s">
        <v>943</v>
      </c>
      <c r="C416" s="45" t="s">
        <v>944</v>
      </c>
      <c r="D416" s="45"/>
      <c r="E416" s="45"/>
      <c r="F416" s="45" t="s">
        <v>812</v>
      </c>
      <c r="G416" s="45">
        <v>8</v>
      </c>
      <c r="H416" s="45"/>
      <c r="I416" s="43" t="s">
        <v>2301</v>
      </c>
      <c r="J416" s="45" t="s">
        <v>166</v>
      </c>
      <c r="K416" s="45" t="s">
        <v>216</v>
      </c>
      <c r="L416" s="45"/>
      <c r="M416" s="106">
        <v>1</v>
      </c>
      <c r="N416" s="50">
        <f>10.48/100</f>
        <v>0.1048</v>
      </c>
      <c r="O416" s="110">
        <f>IF(OR(ISBLANK(BOM_table6[[#This Row],[SKU QTY]]),BOM_table6[[#This Row],[SKU Cost]]=0),0,BOM_table6[[#This Row],[SKU Cost]]/BOM_table6[[#This Row],[SKU QTY]])</f>
        <v>0.1048</v>
      </c>
      <c r="P416" s="110">
        <f>IF(OR(ISBLANK(BOM_table6[[#This Row],[ASM QTY]]),ISBLANK(BOM_table6[[#This Row],[Unit Cost]])),0,BOM_table6[[#This Row],[ASM QTY]]*BOM_table6[[#This Row],[Unit Cost]])</f>
        <v>0.83840000000000003</v>
      </c>
      <c r="Q416" s="45">
        <f>100-8</f>
        <v>92</v>
      </c>
      <c r="R416" s="81"/>
      <c r="S416" s="111">
        <f>BOM_table6[[#This Row],[ASM QTY]]*$Q$2+BOM_table6[[#This Row],[Spare QTY Needed]]-BOM_table6[[#This Row],[QTY in Inventory]]</f>
        <v>100</v>
      </c>
      <c r="T416" s="111">
        <f>ROUNDUP((BOM_table6[[#This Row],[QTY to Order]]/BOM_table6[[#This Row],[SKU QTY]]),0)</f>
        <v>100</v>
      </c>
      <c r="U416" s="110">
        <f>BOM_table6[[#This Row],[SKU QTY to Order]]*BOM_table6[[#This Row],[SKU Cost]]</f>
        <v>10.48</v>
      </c>
      <c r="V416" s="50"/>
      <c r="W416" s="45" t="s">
        <v>2180</v>
      </c>
      <c r="X416" s="45" t="s">
        <v>2192</v>
      </c>
      <c r="Y416" s="54">
        <v>44923</v>
      </c>
      <c r="Z416" s="54"/>
      <c r="AA416" s="54">
        <v>44924</v>
      </c>
      <c r="AB416" s="45"/>
      <c r="AC416" s="45"/>
    </row>
    <row r="417" spans="1:29" ht="15" customHeight="1" x14ac:dyDescent="0.2">
      <c r="A417" s="105" t="s">
        <v>160</v>
      </c>
      <c r="B417" s="44" t="s">
        <v>294</v>
      </c>
      <c r="C417" s="45" t="s">
        <v>295</v>
      </c>
      <c r="D417" s="45"/>
      <c r="E417" s="45" t="s">
        <v>1049</v>
      </c>
      <c r="F417" s="45" t="s">
        <v>812</v>
      </c>
      <c r="G417" s="45">
        <v>4</v>
      </c>
      <c r="H417" s="45"/>
      <c r="I417" s="43" t="s">
        <v>296</v>
      </c>
      <c r="J417" s="45" t="s">
        <v>1320</v>
      </c>
      <c r="K417" s="45"/>
      <c r="L417" s="45"/>
      <c r="M417" s="106">
        <v>1</v>
      </c>
      <c r="N417" s="50"/>
      <c r="O417" s="110">
        <f>IF(OR(ISBLANK(BOM_table6[[#This Row],[SKU QTY]]),BOM_table6[[#This Row],[SKU Cost]]=0),0,BOM_table6[[#This Row],[SKU Cost]]/BOM_table6[[#This Row],[SKU QTY]])</f>
        <v>0</v>
      </c>
      <c r="P417" s="110">
        <f>IF(OR(ISBLANK(BOM_table6[[#This Row],[ASM QTY]]),ISBLANK(BOM_table6[[#This Row],[Unit Cost]])),0,BOM_table6[[#This Row],[ASM QTY]]*BOM_table6[[#This Row],[Unit Cost]])</f>
        <v>0</v>
      </c>
      <c r="Q417" s="45"/>
      <c r="R417" s="81"/>
      <c r="S417" s="111">
        <f>BOM_table6[[#This Row],[ASM QTY]]*$Q$2+BOM_table6[[#This Row],[Spare QTY Needed]]-BOM_table6[[#This Row],[QTY in Inventory]]</f>
        <v>4</v>
      </c>
      <c r="T417" s="111">
        <f>ROUNDUP((BOM_table6[[#This Row],[QTY to Order]]/BOM_table6[[#This Row],[SKU QTY]]),0)</f>
        <v>4</v>
      </c>
      <c r="U417" s="110">
        <f>BOM_table6[[#This Row],[SKU QTY to Order]]*BOM_table6[[#This Row],[SKU Cost]]</f>
        <v>0</v>
      </c>
      <c r="V417" s="62"/>
      <c r="W417" s="45"/>
      <c r="X417" s="45"/>
      <c r="Y417" s="45"/>
      <c r="Z417" s="54"/>
      <c r="AA417" s="45"/>
      <c r="AB417" s="45"/>
      <c r="AC417" s="45"/>
    </row>
    <row r="418" spans="1:29" ht="15" customHeight="1" x14ac:dyDescent="0.2">
      <c r="A418" s="105" t="s">
        <v>160</v>
      </c>
      <c r="B418" s="44" t="s">
        <v>324</v>
      </c>
      <c r="C418" s="45" t="s">
        <v>325</v>
      </c>
      <c r="D418" s="45"/>
      <c r="E418" s="45" t="s">
        <v>1049</v>
      </c>
      <c r="F418" s="45" t="s">
        <v>812</v>
      </c>
      <c r="G418" s="45">
        <v>2</v>
      </c>
      <c r="H418" s="45"/>
      <c r="I418" s="75"/>
      <c r="J418" s="45" t="s">
        <v>1320</v>
      </c>
      <c r="K418" s="45"/>
      <c r="L418" s="45"/>
      <c r="M418" s="106">
        <v>1</v>
      </c>
      <c r="N418" s="50"/>
      <c r="O418" s="110">
        <f>IF(OR(ISBLANK(BOM_table6[[#This Row],[SKU QTY]]),BOM_table6[[#This Row],[SKU Cost]]=0),0,BOM_table6[[#This Row],[SKU Cost]]/BOM_table6[[#This Row],[SKU QTY]])</f>
        <v>0</v>
      </c>
      <c r="P418" s="110">
        <f>IF(OR(ISBLANK(BOM_table6[[#This Row],[ASM QTY]]),ISBLANK(BOM_table6[[#This Row],[Unit Cost]])),0,BOM_table6[[#This Row],[ASM QTY]]*BOM_table6[[#This Row],[Unit Cost]])</f>
        <v>0</v>
      </c>
      <c r="Q418" s="45"/>
      <c r="R418" s="81"/>
      <c r="S418" s="111">
        <f>BOM_table6[[#This Row],[ASM QTY]]*$Q$2+BOM_table6[[#This Row],[Spare QTY Needed]]-BOM_table6[[#This Row],[QTY in Inventory]]</f>
        <v>2</v>
      </c>
      <c r="T418" s="111">
        <f>ROUNDUP((BOM_table6[[#This Row],[QTY to Order]]/BOM_table6[[#This Row],[SKU QTY]]),0)</f>
        <v>2</v>
      </c>
      <c r="U418" s="110">
        <f>BOM_table6[[#This Row],[SKU QTY to Order]]*BOM_table6[[#This Row],[SKU Cost]]</f>
        <v>0</v>
      </c>
      <c r="V418" s="62"/>
      <c r="W418" s="45"/>
      <c r="X418" s="45"/>
      <c r="Y418" s="45"/>
      <c r="Z418" s="54"/>
      <c r="AA418" s="45"/>
      <c r="AB418" s="45"/>
      <c r="AC418" s="45"/>
    </row>
    <row r="419" spans="1:29" ht="15" customHeight="1" x14ac:dyDescent="0.2">
      <c r="A419" s="105" t="s">
        <v>161</v>
      </c>
      <c r="B419" s="44" t="s">
        <v>437</v>
      </c>
      <c r="C419" s="45" t="s">
        <v>439</v>
      </c>
      <c r="D419" s="45"/>
      <c r="E419" s="45" t="s">
        <v>1049</v>
      </c>
      <c r="F419" s="45" t="s">
        <v>812</v>
      </c>
      <c r="G419" s="45">
        <v>1</v>
      </c>
      <c r="H419" s="45" t="s">
        <v>2175</v>
      </c>
      <c r="I419" s="75"/>
      <c r="J419" s="45" t="s">
        <v>865</v>
      </c>
      <c r="K419" s="45"/>
      <c r="L419" s="45"/>
      <c r="M419" s="106">
        <v>1</v>
      </c>
      <c r="N419" s="50"/>
      <c r="O419" s="110">
        <f>IF(OR(ISBLANK(BOM_table6[[#This Row],[SKU QTY]]),BOM_table6[[#This Row],[SKU Cost]]=0),0,BOM_table6[[#This Row],[SKU Cost]]/BOM_table6[[#This Row],[SKU QTY]])</f>
        <v>0</v>
      </c>
      <c r="P419" s="110">
        <f>IF(OR(ISBLANK(BOM_table6[[#This Row],[ASM QTY]]),ISBLANK(BOM_table6[[#This Row],[Unit Cost]])),0,BOM_table6[[#This Row],[ASM QTY]]*BOM_table6[[#This Row],[Unit Cost]])</f>
        <v>0</v>
      </c>
      <c r="Q419" s="45"/>
      <c r="R419" s="81"/>
      <c r="S419" s="111">
        <f>BOM_table6[[#This Row],[ASM QTY]]*$Q$2+BOM_table6[[#This Row],[Spare QTY Needed]]-BOM_table6[[#This Row],[QTY in Inventory]]</f>
        <v>1</v>
      </c>
      <c r="T419" s="111">
        <f>ROUNDUP((BOM_table6[[#This Row],[QTY to Order]]/BOM_table6[[#This Row],[SKU QTY]]),0)</f>
        <v>1</v>
      </c>
      <c r="U419" s="110">
        <f>BOM_table6[[#This Row],[SKU QTY to Order]]*BOM_table6[[#This Row],[SKU Cost]]</f>
        <v>0</v>
      </c>
      <c r="V419" s="62"/>
      <c r="W419" s="45"/>
      <c r="X419" s="45"/>
      <c r="Y419" s="45"/>
      <c r="Z419" s="54"/>
      <c r="AA419" s="45"/>
      <c r="AB419" s="45"/>
      <c r="AC419" s="45"/>
    </row>
    <row r="420" spans="1:29" ht="15" customHeight="1" x14ac:dyDescent="0.2">
      <c r="A420" s="105" t="s">
        <v>161</v>
      </c>
      <c r="B420" s="44" t="s">
        <v>438</v>
      </c>
      <c r="C420" s="45" t="s">
        <v>436</v>
      </c>
      <c r="D420" s="45"/>
      <c r="E420" s="45" t="s">
        <v>1049</v>
      </c>
      <c r="F420" s="45" t="s">
        <v>812</v>
      </c>
      <c r="G420" s="45">
        <v>1</v>
      </c>
      <c r="H420" s="45" t="s">
        <v>2175</v>
      </c>
      <c r="I420" s="75"/>
      <c r="J420" s="45" t="s">
        <v>865</v>
      </c>
      <c r="K420" s="45"/>
      <c r="L420" s="45"/>
      <c r="M420" s="106">
        <v>1</v>
      </c>
      <c r="N420" s="50"/>
      <c r="O420" s="110">
        <f>IF(OR(ISBLANK(BOM_table6[[#This Row],[SKU QTY]]),BOM_table6[[#This Row],[SKU Cost]]=0),0,BOM_table6[[#This Row],[SKU Cost]]/BOM_table6[[#This Row],[SKU QTY]])</f>
        <v>0</v>
      </c>
      <c r="P420" s="110">
        <f>IF(OR(ISBLANK(BOM_table6[[#This Row],[ASM QTY]]),ISBLANK(BOM_table6[[#This Row],[Unit Cost]])),0,BOM_table6[[#This Row],[ASM QTY]]*BOM_table6[[#This Row],[Unit Cost]])</f>
        <v>0</v>
      </c>
      <c r="Q420" s="45"/>
      <c r="R420" s="81"/>
      <c r="S420" s="111">
        <f>BOM_table6[[#This Row],[ASM QTY]]*$Q$2+BOM_table6[[#This Row],[Spare QTY Needed]]-BOM_table6[[#This Row],[QTY in Inventory]]</f>
        <v>1</v>
      </c>
      <c r="T420" s="111">
        <f>ROUNDUP((BOM_table6[[#This Row],[QTY to Order]]/BOM_table6[[#This Row],[SKU QTY]]),0)</f>
        <v>1</v>
      </c>
      <c r="U420" s="110">
        <f>BOM_table6[[#This Row],[SKU QTY to Order]]*BOM_table6[[#This Row],[SKU Cost]]</f>
        <v>0</v>
      </c>
      <c r="V420" s="62"/>
      <c r="W420" s="45"/>
      <c r="X420" s="45"/>
      <c r="Y420" s="45"/>
      <c r="Z420" s="54"/>
      <c r="AA420" s="45"/>
      <c r="AB420" s="45"/>
      <c r="AC420" s="45"/>
    </row>
    <row r="421" spans="1:29" ht="15" customHeight="1" x14ac:dyDescent="0.2">
      <c r="A421" s="105" t="s">
        <v>160</v>
      </c>
      <c r="B421" s="44" t="s">
        <v>883</v>
      </c>
      <c r="C421" s="45" t="s">
        <v>884</v>
      </c>
      <c r="D421" s="45" t="s">
        <v>371</v>
      </c>
      <c r="E421" s="45" t="s">
        <v>1049</v>
      </c>
      <c r="F421" s="45" t="s">
        <v>812</v>
      </c>
      <c r="G421" s="45">
        <v>1</v>
      </c>
      <c r="H421" s="45"/>
      <c r="J421" s="45" t="s">
        <v>1320</v>
      </c>
      <c r="K421" s="45"/>
      <c r="L421" s="45"/>
      <c r="M421" s="106">
        <v>1</v>
      </c>
      <c r="N421" s="50"/>
      <c r="O421" s="110">
        <f>IF(OR(ISBLANK(BOM_table6[[#This Row],[SKU QTY]]),BOM_table6[[#This Row],[SKU Cost]]=0),0,BOM_table6[[#This Row],[SKU Cost]]/BOM_table6[[#This Row],[SKU QTY]])</f>
        <v>0</v>
      </c>
      <c r="P421" s="110">
        <f>IF(OR(ISBLANK(BOM_table6[[#This Row],[ASM QTY]]),ISBLANK(BOM_table6[[#This Row],[Unit Cost]])),0,BOM_table6[[#This Row],[ASM QTY]]*BOM_table6[[#This Row],[Unit Cost]])</f>
        <v>0</v>
      </c>
      <c r="Q421" s="45"/>
      <c r="R421" s="81"/>
      <c r="S421" s="111">
        <f>BOM_table6[[#This Row],[ASM QTY]]*$Q$2+BOM_table6[[#This Row],[Spare QTY Needed]]-BOM_table6[[#This Row],[QTY in Inventory]]</f>
        <v>1</v>
      </c>
      <c r="T421" s="111">
        <f>ROUNDUP((BOM_table6[[#This Row],[QTY to Order]]/BOM_table6[[#This Row],[SKU QTY]]),0)</f>
        <v>1</v>
      </c>
      <c r="U421" s="110">
        <f>BOM_table6[[#This Row],[SKU QTY to Order]]*BOM_table6[[#This Row],[SKU Cost]]</f>
        <v>0</v>
      </c>
      <c r="V421" s="50"/>
      <c r="W421" s="45"/>
      <c r="X421" s="45"/>
      <c r="Y421" s="63"/>
      <c r="Z421" s="54"/>
      <c r="AA421" s="45"/>
      <c r="AB421" s="45"/>
      <c r="AC421" s="45"/>
    </row>
    <row r="422" spans="1:29" ht="15" customHeight="1" x14ac:dyDescent="0.2">
      <c r="A422" s="105" t="s">
        <v>160</v>
      </c>
      <c r="B422" s="44" t="s">
        <v>893</v>
      </c>
      <c r="C422" s="45" t="s">
        <v>884</v>
      </c>
      <c r="D422" s="45" t="s">
        <v>371</v>
      </c>
      <c r="E422" s="45" t="s">
        <v>1049</v>
      </c>
      <c r="F422" s="45" t="s">
        <v>812</v>
      </c>
      <c r="G422" s="45">
        <v>1</v>
      </c>
      <c r="H422" s="45"/>
      <c r="J422" s="45" t="s">
        <v>1320</v>
      </c>
      <c r="K422" s="45"/>
      <c r="L422" s="45"/>
      <c r="M422" s="106">
        <v>1</v>
      </c>
      <c r="N422" s="50"/>
      <c r="O422" s="110">
        <f>IF(OR(ISBLANK(BOM_table6[[#This Row],[SKU QTY]]),BOM_table6[[#This Row],[SKU Cost]]=0),0,BOM_table6[[#This Row],[SKU Cost]]/BOM_table6[[#This Row],[SKU QTY]])</f>
        <v>0</v>
      </c>
      <c r="P422" s="110">
        <f>IF(OR(ISBLANK(BOM_table6[[#This Row],[ASM QTY]]),ISBLANK(BOM_table6[[#This Row],[Unit Cost]])),0,BOM_table6[[#This Row],[ASM QTY]]*BOM_table6[[#This Row],[Unit Cost]])</f>
        <v>0</v>
      </c>
      <c r="Q422" s="45"/>
      <c r="R422" s="81"/>
      <c r="S422" s="111">
        <f>BOM_table6[[#This Row],[ASM QTY]]*$Q$2+BOM_table6[[#This Row],[Spare QTY Needed]]-BOM_table6[[#This Row],[QTY in Inventory]]</f>
        <v>1</v>
      </c>
      <c r="T422" s="111">
        <f>ROUNDUP((BOM_table6[[#This Row],[QTY to Order]]/BOM_table6[[#This Row],[SKU QTY]]),0)</f>
        <v>1</v>
      </c>
      <c r="U422" s="110">
        <f>BOM_table6[[#This Row],[SKU QTY to Order]]*BOM_table6[[#This Row],[SKU Cost]]</f>
        <v>0</v>
      </c>
      <c r="V422" s="50"/>
      <c r="W422" s="45"/>
      <c r="X422" s="45"/>
      <c r="Y422" s="63"/>
      <c r="Z422" s="54"/>
      <c r="AA422" s="45"/>
      <c r="AB422" s="45"/>
      <c r="AC422" s="45"/>
    </row>
    <row r="423" spans="1:29" ht="15" customHeight="1" x14ac:dyDescent="0.2">
      <c r="A423" s="105" t="s">
        <v>160</v>
      </c>
      <c r="B423" s="44" t="s">
        <v>323</v>
      </c>
      <c r="C423" s="45" t="s">
        <v>307</v>
      </c>
      <c r="D423" s="45"/>
      <c r="E423" s="45" t="s">
        <v>1049</v>
      </c>
      <c r="F423" s="45" t="s">
        <v>812</v>
      </c>
      <c r="G423" s="45">
        <v>1</v>
      </c>
      <c r="H423" s="45"/>
      <c r="I423" s="75"/>
      <c r="J423" s="45" t="s">
        <v>1320</v>
      </c>
      <c r="K423" s="45"/>
      <c r="L423" s="45"/>
      <c r="M423" s="106">
        <v>1</v>
      </c>
      <c r="N423" s="50"/>
      <c r="O423" s="110">
        <f>IF(OR(ISBLANK(BOM_table6[[#This Row],[SKU QTY]]),BOM_table6[[#This Row],[SKU Cost]]=0),0,BOM_table6[[#This Row],[SKU Cost]]/BOM_table6[[#This Row],[SKU QTY]])</f>
        <v>0</v>
      </c>
      <c r="P423" s="110">
        <f>IF(OR(ISBLANK(BOM_table6[[#This Row],[ASM QTY]]),ISBLANK(BOM_table6[[#This Row],[Unit Cost]])),0,BOM_table6[[#This Row],[ASM QTY]]*BOM_table6[[#This Row],[Unit Cost]])</f>
        <v>0</v>
      </c>
      <c r="Q423" s="45"/>
      <c r="R423" s="81"/>
      <c r="S423" s="111">
        <f>BOM_table6[[#This Row],[ASM QTY]]*$Q$2+BOM_table6[[#This Row],[Spare QTY Needed]]-BOM_table6[[#This Row],[QTY in Inventory]]</f>
        <v>1</v>
      </c>
      <c r="T423" s="111">
        <f>ROUNDUP((BOM_table6[[#This Row],[QTY to Order]]/BOM_table6[[#This Row],[SKU QTY]]),0)</f>
        <v>1</v>
      </c>
      <c r="U423" s="110">
        <f>BOM_table6[[#This Row],[SKU QTY to Order]]*BOM_table6[[#This Row],[SKU Cost]]</f>
        <v>0</v>
      </c>
      <c r="V423" s="62"/>
      <c r="W423" s="45"/>
      <c r="X423" s="45"/>
      <c r="Y423" s="45"/>
      <c r="Z423" s="54"/>
      <c r="AA423" s="45"/>
      <c r="AB423" s="45"/>
      <c r="AC423" s="45"/>
    </row>
    <row r="424" spans="1:29" ht="15" customHeight="1" x14ac:dyDescent="0.2">
      <c r="A424" s="105" t="s">
        <v>160</v>
      </c>
      <c r="B424" s="44" t="s">
        <v>430</v>
      </c>
      <c r="C424" s="45" t="s">
        <v>431</v>
      </c>
      <c r="D424" s="45"/>
      <c r="E424" s="45" t="s">
        <v>1049</v>
      </c>
      <c r="F424" s="45" t="s">
        <v>812</v>
      </c>
      <c r="G424" s="45">
        <v>4</v>
      </c>
      <c r="H424" s="45"/>
      <c r="J424" s="45" t="s">
        <v>1320</v>
      </c>
      <c r="K424" s="45"/>
      <c r="L424" s="45"/>
      <c r="M424" s="106">
        <v>1</v>
      </c>
      <c r="N424" s="50"/>
      <c r="O424" s="110">
        <f>IF(OR(ISBLANK(BOM_table6[[#This Row],[SKU QTY]]),BOM_table6[[#This Row],[SKU Cost]]=0),0,BOM_table6[[#This Row],[SKU Cost]]/BOM_table6[[#This Row],[SKU QTY]])</f>
        <v>0</v>
      </c>
      <c r="P424" s="110">
        <f>IF(OR(ISBLANK(BOM_table6[[#This Row],[ASM QTY]]),ISBLANK(BOM_table6[[#This Row],[Unit Cost]])),0,BOM_table6[[#This Row],[ASM QTY]]*BOM_table6[[#This Row],[Unit Cost]])</f>
        <v>0</v>
      </c>
      <c r="Q424" s="45"/>
      <c r="R424" s="81"/>
      <c r="S424" s="111">
        <f>BOM_table6[[#This Row],[ASM QTY]]*$Q$2+BOM_table6[[#This Row],[Spare QTY Needed]]-BOM_table6[[#This Row],[QTY in Inventory]]</f>
        <v>4</v>
      </c>
      <c r="T424" s="111">
        <f>ROUNDUP((BOM_table6[[#This Row],[QTY to Order]]/BOM_table6[[#This Row],[SKU QTY]]),0)</f>
        <v>4</v>
      </c>
      <c r="U424" s="110">
        <f>BOM_table6[[#This Row],[SKU QTY to Order]]*BOM_table6[[#This Row],[SKU Cost]]</f>
        <v>0</v>
      </c>
      <c r="V424" s="62"/>
      <c r="W424" s="45"/>
      <c r="X424" s="45"/>
      <c r="Y424" s="45"/>
      <c r="Z424" s="54"/>
      <c r="AA424" s="45"/>
      <c r="AB424" s="45"/>
      <c r="AC424" s="45"/>
    </row>
    <row r="425" spans="1:29" ht="15" customHeight="1" x14ac:dyDescent="0.2">
      <c r="A425" s="105" t="s">
        <v>160</v>
      </c>
      <c r="B425" s="44" t="s">
        <v>894</v>
      </c>
      <c r="C425" s="45" t="s">
        <v>895</v>
      </c>
      <c r="D425" s="45"/>
      <c r="E425" s="45" t="s">
        <v>1049</v>
      </c>
      <c r="F425" s="45" t="s">
        <v>812</v>
      </c>
      <c r="G425" s="45">
        <v>1</v>
      </c>
      <c r="H425" s="45"/>
      <c r="I425" s="75"/>
      <c r="J425" s="45" t="s">
        <v>1320</v>
      </c>
      <c r="K425" s="45"/>
      <c r="L425" s="45"/>
      <c r="M425" s="106">
        <v>1</v>
      </c>
      <c r="N425" s="50"/>
      <c r="O425" s="110">
        <f>IF(OR(ISBLANK(BOM_table6[[#This Row],[SKU QTY]]),BOM_table6[[#This Row],[SKU Cost]]=0),0,BOM_table6[[#This Row],[SKU Cost]]/BOM_table6[[#This Row],[SKU QTY]])</f>
        <v>0</v>
      </c>
      <c r="P425" s="110">
        <f>IF(OR(ISBLANK(BOM_table6[[#This Row],[ASM QTY]]),ISBLANK(BOM_table6[[#This Row],[Unit Cost]])),0,BOM_table6[[#This Row],[ASM QTY]]*BOM_table6[[#This Row],[Unit Cost]])</f>
        <v>0</v>
      </c>
      <c r="Q425" s="45"/>
      <c r="R425" s="81"/>
      <c r="S425" s="111">
        <f>BOM_table6[[#This Row],[ASM QTY]]*$Q$2+BOM_table6[[#This Row],[Spare QTY Needed]]-BOM_table6[[#This Row],[QTY in Inventory]]</f>
        <v>1</v>
      </c>
      <c r="T425" s="111">
        <f>ROUNDUP((BOM_table6[[#This Row],[QTY to Order]]/BOM_table6[[#This Row],[SKU QTY]]),0)</f>
        <v>1</v>
      </c>
      <c r="U425" s="110">
        <f>BOM_table6[[#This Row],[SKU QTY to Order]]*BOM_table6[[#This Row],[SKU Cost]]</f>
        <v>0</v>
      </c>
      <c r="V425" s="50"/>
      <c r="W425" s="45"/>
      <c r="X425" s="45"/>
      <c r="Y425" s="63"/>
      <c r="Z425" s="54"/>
      <c r="AA425" s="45"/>
      <c r="AB425" s="45"/>
      <c r="AC425" s="45"/>
    </row>
    <row r="426" spans="1:29" ht="15" customHeight="1" x14ac:dyDescent="0.2">
      <c r="A426" s="105" t="s">
        <v>160</v>
      </c>
      <c r="B426" s="44" t="s">
        <v>627</v>
      </c>
      <c r="C426" s="45" t="s">
        <v>628</v>
      </c>
      <c r="D426" s="45" t="s">
        <v>152</v>
      </c>
      <c r="E426" s="45" t="s">
        <v>1049</v>
      </c>
      <c r="F426" s="45" t="s">
        <v>812</v>
      </c>
      <c r="G426" s="45">
        <v>1</v>
      </c>
      <c r="H426" s="45"/>
      <c r="J426" s="45" t="s">
        <v>1320</v>
      </c>
      <c r="K426" s="45"/>
      <c r="L426" s="45"/>
      <c r="M426" s="106">
        <v>1</v>
      </c>
      <c r="N426" s="50"/>
      <c r="O426" s="110">
        <f>IF(OR(ISBLANK(BOM_table6[[#This Row],[SKU QTY]]),BOM_table6[[#This Row],[SKU Cost]]=0),0,BOM_table6[[#This Row],[SKU Cost]]/BOM_table6[[#This Row],[SKU QTY]])</f>
        <v>0</v>
      </c>
      <c r="P426" s="110">
        <f>IF(OR(ISBLANK(BOM_table6[[#This Row],[ASM QTY]]),ISBLANK(BOM_table6[[#This Row],[Unit Cost]])),0,BOM_table6[[#This Row],[ASM QTY]]*BOM_table6[[#This Row],[Unit Cost]])</f>
        <v>0</v>
      </c>
      <c r="Q426" s="45"/>
      <c r="R426" s="81"/>
      <c r="S426" s="111">
        <f>BOM_table6[[#This Row],[ASM QTY]]*$Q$2+BOM_table6[[#This Row],[Spare QTY Needed]]-BOM_table6[[#This Row],[QTY in Inventory]]</f>
        <v>1</v>
      </c>
      <c r="T426" s="111">
        <f>ROUNDUP((BOM_table6[[#This Row],[QTY to Order]]/BOM_table6[[#This Row],[SKU QTY]]),0)</f>
        <v>1</v>
      </c>
      <c r="U426" s="110">
        <f>BOM_table6[[#This Row],[SKU QTY to Order]]*BOM_table6[[#This Row],[SKU Cost]]</f>
        <v>0</v>
      </c>
      <c r="V426" s="62"/>
      <c r="W426" s="45"/>
      <c r="X426" s="45"/>
      <c r="Y426" s="45"/>
      <c r="Z426" s="54"/>
      <c r="AA426" s="45"/>
      <c r="AB426" s="45"/>
      <c r="AC426" s="45"/>
    </row>
    <row r="427" spans="1:29" ht="15" customHeight="1" x14ac:dyDescent="0.2">
      <c r="A427" s="105" t="s">
        <v>161</v>
      </c>
      <c r="B427" s="44" t="s">
        <v>419</v>
      </c>
      <c r="C427" s="45" t="s">
        <v>420</v>
      </c>
      <c r="D427" s="45"/>
      <c r="E427" s="45" t="s">
        <v>1049</v>
      </c>
      <c r="F427" s="45" t="s">
        <v>812</v>
      </c>
      <c r="G427" s="45">
        <v>1</v>
      </c>
      <c r="H427" s="45"/>
      <c r="I427" s="75"/>
      <c r="J427" s="45" t="s">
        <v>1320</v>
      </c>
      <c r="K427" s="45"/>
      <c r="L427" s="45"/>
      <c r="M427" s="106">
        <v>1</v>
      </c>
      <c r="N427" s="50"/>
      <c r="O427" s="110">
        <f>IF(OR(ISBLANK(BOM_table6[[#This Row],[SKU QTY]]),BOM_table6[[#This Row],[SKU Cost]]=0),0,BOM_table6[[#This Row],[SKU Cost]]/BOM_table6[[#This Row],[SKU QTY]])</f>
        <v>0</v>
      </c>
      <c r="P427" s="110">
        <f>IF(OR(ISBLANK(BOM_table6[[#This Row],[ASM QTY]]),ISBLANK(BOM_table6[[#This Row],[Unit Cost]])),0,BOM_table6[[#This Row],[ASM QTY]]*BOM_table6[[#This Row],[Unit Cost]])</f>
        <v>0</v>
      </c>
      <c r="Q427" s="45"/>
      <c r="R427" s="81"/>
      <c r="S427" s="111">
        <f>BOM_table6[[#This Row],[ASM QTY]]*$Q$2+BOM_table6[[#This Row],[Spare QTY Needed]]-BOM_table6[[#This Row],[QTY in Inventory]]</f>
        <v>1</v>
      </c>
      <c r="T427" s="111">
        <f>ROUNDUP((BOM_table6[[#This Row],[QTY to Order]]/BOM_table6[[#This Row],[SKU QTY]]),0)</f>
        <v>1</v>
      </c>
      <c r="U427" s="110">
        <f>BOM_table6[[#This Row],[SKU QTY to Order]]*BOM_table6[[#This Row],[SKU Cost]]</f>
        <v>0</v>
      </c>
      <c r="V427" s="62"/>
      <c r="W427" s="45"/>
      <c r="X427" s="45"/>
      <c r="Y427" s="45"/>
      <c r="Z427" s="54"/>
      <c r="AA427" s="45"/>
      <c r="AB427" s="45"/>
      <c r="AC427" s="45"/>
    </row>
    <row r="428" spans="1:29" ht="15" customHeight="1" x14ac:dyDescent="0.2">
      <c r="A428" s="105" t="s">
        <v>161</v>
      </c>
      <c r="B428" s="44" t="s">
        <v>950</v>
      </c>
      <c r="C428" s="45" t="s">
        <v>951</v>
      </c>
      <c r="D428" s="45"/>
      <c r="E428" s="45" t="s">
        <v>473</v>
      </c>
      <c r="F428" s="45" t="s">
        <v>812</v>
      </c>
      <c r="G428" s="45">
        <v>1</v>
      </c>
      <c r="H428" s="45" t="s">
        <v>2175</v>
      </c>
      <c r="I428" s="43" t="s">
        <v>2229</v>
      </c>
      <c r="J428" s="45" t="s">
        <v>166</v>
      </c>
      <c r="K428" s="45" t="s">
        <v>473</v>
      </c>
      <c r="L428" s="45"/>
      <c r="M428" s="106">
        <v>1</v>
      </c>
      <c r="N428" s="50"/>
      <c r="O428" s="110">
        <f>IF(OR(ISBLANK(BOM_table6[[#This Row],[SKU QTY]]),BOM_table6[[#This Row],[SKU Cost]]=0),0,BOM_table6[[#This Row],[SKU Cost]]/BOM_table6[[#This Row],[SKU QTY]])</f>
        <v>0</v>
      </c>
      <c r="P428" s="110">
        <f>IF(OR(ISBLANK(BOM_table6[[#This Row],[ASM QTY]]),ISBLANK(BOM_table6[[#This Row],[Unit Cost]])),0,BOM_table6[[#This Row],[ASM QTY]]*BOM_table6[[#This Row],[Unit Cost]])</f>
        <v>0</v>
      </c>
      <c r="Q428" s="45"/>
      <c r="R428" s="81"/>
      <c r="S428" s="111">
        <f>BOM_table6[[#This Row],[ASM QTY]]*$Q$2+BOM_table6[[#This Row],[Spare QTY Needed]]-BOM_table6[[#This Row],[QTY in Inventory]]</f>
        <v>1</v>
      </c>
      <c r="T428" s="111">
        <f>ROUNDUP((BOM_table6[[#This Row],[QTY to Order]]/BOM_table6[[#This Row],[SKU QTY]]),0)</f>
        <v>1</v>
      </c>
      <c r="U428" s="110">
        <f>BOM_table6[[#This Row],[SKU QTY to Order]]*BOM_table6[[#This Row],[SKU Cost]]</f>
        <v>0</v>
      </c>
      <c r="V428" s="50"/>
      <c r="W428" s="45"/>
      <c r="X428" s="45"/>
      <c r="Y428" s="54"/>
      <c r="Z428" s="54"/>
      <c r="AA428" s="45"/>
      <c r="AB428" s="45"/>
      <c r="AC428" s="45"/>
    </row>
    <row r="429" spans="1:29" ht="15" customHeight="1" x14ac:dyDescent="0.2">
      <c r="A429" s="105" t="s">
        <v>161</v>
      </c>
      <c r="B429" s="44" t="s">
        <v>931</v>
      </c>
      <c r="C429" s="45" t="s">
        <v>932</v>
      </c>
      <c r="D429" s="45"/>
      <c r="E429" s="45" t="s">
        <v>1049</v>
      </c>
      <c r="F429" s="45" t="s">
        <v>812</v>
      </c>
      <c r="G429" s="45">
        <v>1</v>
      </c>
      <c r="H429" s="45"/>
      <c r="I429" s="75"/>
      <c r="J429" s="45" t="s">
        <v>169</v>
      </c>
      <c r="K429" s="45" t="s">
        <v>1439</v>
      </c>
      <c r="L429" s="45"/>
      <c r="M429" s="106">
        <v>1</v>
      </c>
      <c r="N429" s="50"/>
      <c r="O429" s="110">
        <f>IF(OR(ISBLANK(BOM_table6[[#This Row],[SKU QTY]]),BOM_table6[[#This Row],[SKU Cost]]=0),0,BOM_table6[[#This Row],[SKU Cost]]/BOM_table6[[#This Row],[SKU QTY]])</f>
        <v>0</v>
      </c>
      <c r="P429" s="110">
        <f>IF(OR(ISBLANK(BOM_table6[[#This Row],[ASM QTY]]),ISBLANK(BOM_table6[[#This Row],[Unit Cost]])),0,BOM_table6[[#This Row],[ASM QTY]]*BOM_table6[[#This Row],[Unit Cost]])</f>
        <v>0</v>
      </c>
      <c r="Q429" s="45"/>
      <c r="R429" s="81">
        <v>6</v>
      </c>
      <c r="S429" s="111">
        <f>BOM_table6[[#This Row],[ASM QTY]]*$Q$2+BOM_table6[[#This Row],[Spare QTY Needed]]-BOM_table6[[#This Row],[QTY in Inventory]]</f>
        <v>-5</v>
      </c>
      <c r="T429" s="111">
        <f>ROUNDUP((BOM_table6[[#This Row],[QTY to Order]]/BOM_table6[[#This Row],[SKU QTY]]),0)</f>
        <v>-5</v>
      </c>
      <c r="U429" s="110">
        <f>BOM_table6[[#This Row],[SKU QTY to Order]]*BOM_table6[[#This Row],[SKU Cost]]</f>
        <v>0</v>
      </c>
      <c r="V429" s="50"/>
      <c r="W429" s="45"/>
      <c r="X429" s="45"/>
      <c r="Y429" s="54"/>
      <c r="Z429" s="54"/>
      <c r="AA429" s="54"/>
      <c r="AB429" s="45"/>
      <c r="AC429" s="45"/>
    </row>
    <row r="430" spans="1:29" ht="15" customHeight="1" x14ac:dyDescent="0.2">
      <c r="A430" s="105" t="s">
        <v>161</v>
      </c>
      <c r="B430" s="44" t="s">
        <v>924</v>
      </c>
      <c r="C430" s="45" t="s">
        <v>925</v>
      </c>
      <c r="D430" s="45"/>
      <c r="E430" s="45" t="s">
        <v>1049</v>
      </c>
      <c r="F430" s="45" t="s">
        <v>812</v>
      </c>
      <c r="G430" s="45">
        <v>1</v>
      </c>
      <c r="H430" s="45" t="s">
        <v>2175</v>
      </c>
      <c r="I430" s="43" t="s">
        <v>2280</v>
      </c>
      <c r="J430" s="45" t="s">
        <v>169</v>
      </c>
      <c r="K430" s="45" t="s">
        <v>1439</v>
      </c>
      <c r="L430" s="45"/>
      <c r="M430" s="106">
        <v>1</v>
      </c>
      <c r="N430" s="50">
        <v>1277.6600000000001</v>
      </c>
      <c r="O430" s="110">
        <f>IF(OR(ISBLANK(BOM_table6[[#This Row],[SKU QTY]]),BOM_table6[[#This Row],[SKU Cost]]=0),0,BOM_table6[[#This Row],[SKU Cost]]/BOM_table6[[#This Row],[SKU QTY]])</f>
        <v>1277.6600000000001</v>
      </c>
      <c r="P430" s="110">
        <f>IF(OR(ISBLANK(BOM_table6[[#This Row],[ASM QTY]]),ISBLANK(BOM_table6[[#This Row],[Unit Cost]])),0,BOM_table6[[#This Row],[ASM QTY]]*BOM_table6[[#This Row],[Unit Cost]])</f>
        <v>1277.6600000000001</v>
      </c>
      <c r="Q430" s="45"/>
      <c r="R430" s="81"/>
      <c r="S430" s="111">
        <f>BOM_table6[[#This Row],[ASM QTY]]*$Q$2+BOM_table6[[#This Row],[Spare QTY Needed]]-BOM_table6[[#This Row],[QTY in Inventory]]</f>
        <v>1</v>
      </c>
      <c r="T430" s="111">
        <f>ROUNDUP((BOM_table6[[#This Row],[QTY to Order]]/BOM_table6[[#This Row],[SKU QTY]]),0)</f>
        <v>1</v>
      </c>
      <c r="U430" s="110">
        <f>BOM_table6[[#This Row],[SKU QTY to Order]]*BOM_table6[[#This Row],[SKU Cost]]</f>
        <v>1277.6600000000001</v>
      </c>
      <c r="V430" s="50" t="s">
        <v>2201</v>
      </c>
      <c r="W430" s="45" t="s">
        <v>2180</v>
      </c>
      <c r="X430" s="45" t="s">
        <v>2247</v>
      </c>
      <c r="Y430" s="54">
        <v>44893</v>
      </c>
      <c r="Z430" s="54">
        <v>44928</v>
      </c>
      <c r="AA430" s="45"/>
      <c r="AB430" s="45"/>
      <c r="AC430" s="45"/>
    </row>
    <row r="431" spans="1:29" ht="15" customHeight="1" x14ac:dyDescent="0.2">
      <c r="A431" s="105" t="s">
        <v>161</v>
      </c>
      <c r="B431" s="44" t="s">
        <v>929</v>
      </c>
      <c r="C431" s="45" t="s">
        <v>930</v>
      </c>
      <c r="D431" s="45"/>
      <c r="E431" s="45" t="s">
        <v>1049</v>
      </c>
      <c r="F431" s="45" t="s">
        <v>812</v>
      </c>
      <c r="G431" s="45">
        <v>1</v>
      </c>
      <c r="H431" s="45" t="s">
        <v>2175</v>
      </c>
      <c r="I431" s="43" t="s">
        <v>2280</v>
      </c>
      <c r="J431" s="45" t="s">
        <v>169</v>
      </c>
      <c r="K431" s="45" t="s">
        <v>1439</v>
      </c>
      <c r="L431" s="45"/>
      <c r="M431" s="106">
        <v>1</v>
      </c>
      <c r="N431" s="50">
        <v>216.16</v>
      </c>
      <c r="O431" s="110">
        <f>IF(OR(ISBLANK(BOM_table6[[#This Row],[SKU QTY]]),BOM_table6[[#This Row],[SKU Cost]]=0),0,BOM_table6[[#This Row],[SKU Cost]]/BOM_table6[[#This Row],[SKU QTY]])</f>
        <v>216.16</v>
      </c>
      <c r="P431" s="110">
        <f>IF(OR(ISBLANK(BOM_table6[[#This Row],[ASM QTY]]),ISBLANK(BOM_table6[[#This Row],[Unit Cost]])),0,BOM_table6[[#This Row],[ASM QTY]]*BOM_table6[[#This Row],[Unit Cost]])</f>
        <v>216.16</v>
      </c>
      <c r="Q431" s="45"/>
      <c r="R431" s="81"/>
      <c r="S431" s="111">
        <f>BOM_table6[[#This Row],[ASM QTY]]*$Q$2+BOM_table6[[#This Row],[Spare QTY Needed]]-BOM_table6[[#This Row],[QTY in Inventory]]</f>
        <v>1</v>
      </c>
      <c r="T431" s="111">
        <f>ROUNDUP((BOM_table6[[#This Row],[QTY to Order]]/BOM_table6[[#This Row],[SKU QTY]]),0)</f>
        <v>1</v>
      </c>
      <c r="U431" s="110">
        <f>BOM_table6[[#This Row],[SKU QTY to Order]]*BOM_table6[[#This Row],[SKU Cost]]</f>
        <v>216.16</v>
      </c>
      <c r="V431" s="50" t="s">
        <v>2201</v>
      </c>
      <c r="W431" s="45" t="s">
        <v>2180</v>
      </c>
      <c r="X431" s="45" t="s">
        <v>2247</v>
      </c>
      <c r="Y431" s="54">
        <v>44893</v>
      </c>
      <c r="Z431" s="54">
        <v>44928</v>
      </c>
      <c r="AA431" s="45"/>
      <c r="AB431" s="45"/>
      <c r="AC431" s="45"/>
    </row>
    <row r="432" spans="1:29" ht="15" customHeight="1" x14ac:dyDescent="0.2">
      <c r="A432" s="105" t="s">
        <v>161</v>
      </c>
      <c r="B432" s="44" t="s">
        <v>958</v>
      </c>
      <c r="C432" s="45" t="s">
        <v>959</v>
      </c>
      <c r="D432" s="45"/>
      <c r="E432" s="45" t="s">
        <v>1049</v>
      </c>
      <c r="F432" s="45" t="s">
        <v>812</v>
      </c>
      <c r="G432" s="45">
        <v>4</v>
      </c>
      <c r="H432" s="45" t="s">
        <v>2175</v>
      </c>
      <c r="I432" s="43" t="s">
        <v>960</v>
      </c>
      <c r="J432" s="45" t="s">
        <v>169</v>
      </c>
      <c r="K432" s="45" t="s">
        <v>1439</v>
      </c>
      <c r="L432" s="45"/>
      <c r="M432" s="106">
        <v>1</v>
      </c>
      <c r="N432" s="50">
        <v>73.34</v>
      </c>
      <c r="O432" s="110">
        <f>IF(OR(ISBLANK(BOM_table6[[#This Row],[SKU QTY]]),BOM_table6[[#This Row],[SKU Cost]]=0),0,BOM_table6[[#This Row],[SKU Cost]]/BOM_table6[[#This Row],[SKU QTY]])</f>
        <v>73.34</v>
      </c>
      <c r="P432" s="110">
        <f>IF(OR(ISBLANK(BOM_table6[[#This Row],[ASM QTY]]),ISBLANK(BOM_table6[[#This Row],[Unit Cost]])),0,BOM_table6[[#This Row],[ASM QTY]]*BOM_table6[[#This Row],[Unit Cost]])</f>
        <v>293.36</v>
      </c>
      <c r="Q432" s="45"/>
      <c r="R432" s="81"/>
      <c r="S432" s="111">
        <f>BOM_table6[[#This Row],[ASM QTY]]*$Q$2+BOM_table6[[#This Row],[Spare QTY Needed]]-BOM_table6[[#This Row],[QTY in Inventory]]</f>
        <v>4</v>
      </c>
      <c r="T432" s="111">
        <f>ROUNDUP((BOM_table6[[#This Row],[QTY to Order]]/BOM_table6[[#This Row],[SKU QTY]]),0)</f>
        <v>4</v>
      </c>
      <c r="U432" s="110">
        <f>BOM_table6[[#This Row],[SKU QTY to Order]]*BOM_table6[[#This Row],[SKU Cost]]</f>
        <v>293.36</v>
      </c>
      <c r="V432" s="50" t="s">
        <v>2201</v>
      </c>
      <c r="W432" s="45" t="s">
        <v>2180</v>
      </c>
      <c r="X432" s="45" t="s">
        <v>2247</v>
      </c>
      <c r="Y432" s="54">
        <v>44893</v>
      </c>
      <c r="Z432" s="54">
        <v>44928</v>
      </c>
      <c r="AA432" s="54"/>
      <c r="AB432" s="45"/>
      <c r="AC432" s="45"/>
    </row>
    <row r="433" spans="1:29" ht="15" customHeight="1" x14ac:dyDescent="0.2">
      <c r="A433" s="105" t="s">
        <v>161</v>
      </c>
      <c r="B433" s="44" t="s">
        <v>937</v>
      </c>
      <c r="C433" s="45" t="s">
        <v>938</v>
      </c>
      <c r="D433" s="45"/>
      <c r="E433" s="45" t="s">
        <v>1049</v>
      </c>
      <c r="F433" s="45" t="s">
        <v>812</v>
      </c>
      <c r="G433" s="45">
        <v>2</v>
      </c>
      <c r="H433" s="45" t="s">
        <v>2175</v>
      </c>
      <c r="I433" s="43" t="s">
        <v>2245</v>
      </c>
      <c r="J433" s="45" t="s">
        <v>169</v>
      </c>
      <c r="K433" s="45" t="s">
        <v>1439</v>
      </c>
      <c r="L433" s="45"/>
      <c r="M433" s="106">
        <v>1</v>
      </c>
      <c r="N433" s="50">
        <v>84.92</v>
      </c>
      <c r="O433" s="110">
        <f>IF(OR(ISBLANK(BOM_table6[[#This Row],[SKU QTY]]),BOM_table6[[#This Row],[SKU Cost]]=0),0,BOM_table6[[#This Row],[SKU Cost]]/BOM_table6[[#This Row],[SKU QTY]])</f>
        <v>84.92</v>
      </c>
      <c r="P433" s="110">
        <f>IF(OR(ISBLANK(BOM_table6[[#This Row],[ASM QTY]]),ISBLANK(BOM_table6[[#This Row],[Unit Cost]])),0,BOM_table6[[#This Row],[ASM QTY]]*BOM_table6[[#This Row],[Unit Cost]])</f>
        <v>169.84</v>
      </c>
      <c r="Q433" s="45"/>
      <c r="R433" s="81"/>
      <c r="S433" s="111">
        <f>BOM_table6[[#This Row],[ASM QTY]]*$Q$2+BOM_table6[[#This Row],[Spare QTY Needed]]-BOM_table6[[#This Row],[QTY in Inventory]]</f>
        <v>2</v>
      </c>
      <c r="T433" s="111">
        <f>ROUNDUP((BOM_table6[[#This Row],[QTY to Order]]/BOM_table6[[#This Row],[SKU QTY]]),0)</f>
        <v>2</v>
      </c>
      <c r="U433" s="110">
        <f>BOM_table6[[#This Row],[SKU QTY to Order]]*BOM_table6[[#This Row],[SKU Cost]]</f>
        <v>169.84</v>
      </c>
      <c r="V433" s="50" t="s">
        <v>2201</v>
      </c>
      <c r="W433" s="45" t="s">
        <v>2180</v>
      </c>
      <c r="X433" s="45" t="s">
        <v>2247</v>
      </c>
      <c r="Y433" s="54">
        <v>44893</v>
      </c>
      <c r="Z433" s="54">
        <v>44928</v>
      </c>
      <c r="AA433" s="54"/>
      <c r="AB433" s="45"/>
      <c r="AC433" s="45" t="s">
        <v>2246</v>
      </c>
    </row>
    <row r="434" spans="1:29" ht="15" customHeight="1" x14ac:dyDescent="0.2">
      <c r="A434" s="105" t="s">
        <v>161</v>
      </c>
      <c r="B434" s="44" t="s">
        <v>926</v>
      </c>
      <c r="C434" s="45" t="s">
        <v>927</v>
      </c>
      <c r="D434" s="45"/>
      <c r="E434" s="45" t="s">
        <v>1049</v>
      </c>
      <c r="F434" s="45" t="s">
        <v>812</v>
      </c>
      <c r="G434" s="45">
        <v>4</v>
      </c>
      <c r="H434" s="45" t="s">
        <v>2175</v>
      </c>
      <c r="I434" s="43" t="s">
        <v>1651</v>
      </c>
      <c r="J434" s="45" t="s">
        <v>169</v>
      </c>
      <c r="K434" s="45" t="s">
        <v>1439</v>
      </c>
      <c r="L434" s="45"/>
      <c r="M434" s="106">
        <v>1</v>
      </c>
      <c r="N434" s="50">
        <v>795.2</v>
      </c>
      <c r="O434" s="110">
        <f>IF(OR(ISBLANK(BOM_table6[[#This Row],[SKU QTY]]),BOM_table6[[#This Row],[SKU Cost]]=0),0,BOM_table6[[#This Row],[SKU Cost]]/BOM_table6[[#This Row],[SKU QTY]])</f>
        <v>795.2</v>
      </c>
      <c r="P434" s="110">
        <f>IF(OR(ISBLANK(BOM_table6[[#This Row],[ASM QTY]]),ISBLANK(BOM_table6[[#This Row],[Unit Cost]])),0,BOM_table6[[#This Row],[ASM QTY]]*BOM_table6[[#This Row],[Unit Cost]])</f>
        <v>3180.8</v>
      </c>
      <c r="Q434" s="45"/>
      <c r="R434" s="81"/>
      <c r="S434" s="111">
        <f>BOM_table6[[#This Row],[ASM QTY]]*$Q$2+BOM_table6[[#This Row],[Spare QTY Needed]]-BOM_table6[[#This Row],[QTY in Inventory]]</f>
        <v>4</v>
      </c>
      <c r="T434" s="111">
        <f>ROUNDUP((BOM_table6[[#This Row],[QTY to Order]]/BOM_table6[[#This Row],[SKU QTY]]),0)</f>
        <v>4</v>
      </c>
      <c r="U434" s="110">
        <f>BOM_table6[[#This Row],[SKU QTY to Order]]*BOM_table6[[#This Row],[SKU Cost]]</f>
        <v>3180.8</v>
      </c>
      <c r="V434" s="50" t="s">
        <v>2201</v>
      </c>
      <c r="W434" s="45" t="s">
        <v>2180</v>
      </c>
      <c r="X434" s="45" t="s">
        <v>2247</v>
      </c>
      <c r="Y434" s="54">
        <v>44893</v>
      </c>
      <c r="Z434" s="54">
        <v>44928</v>
      </c>
      <c r="AA434" s="54"/>
      <c r="AB434" s="45"/>
      <c r="AC434" s="45" t="s">
        <v>2248</v>
      </c>
    </row>
    <row r="435" spans="1:29" ht="15" customHeight="1" x14ac:dyDescent="0.2">
      <c r="A435" s="105" t="s">
        <v>160</v>
      </c>
      <c r="B435" s="44" t="s">
        <v>947</v>
      </c>
      <c r="C435" s="45" t="s">
        <v>948</v>
      </c>
      <c r="D435" s="45"/>
      <c r="E435" s="45" t="s">
        <v>1049</v>
      </c>
      <c r="F435" s="45" t="s">
        <v>812</v>
      </c>
      <c r="G435" s="45">
        <v>1</v>
      </c>
      <c r="H435" s="45"/>
      <c r="I435" s="43" t="s">
        <v>1652</v>
      </c>
      <c r="J435" s="45" t="s">
        <v>1320</v>
      </c>
      <c r="K435" s="45"/>
      <c r="L435" s="45"/>
      <c r="M435" s="106">
        <v>1</v>
      </c>
      <c r="N435" s="50"/>
      <c r="O435" s="110">
        <f>IF(OR(ISBLANK(BOM_table6[[#This Row],[SKU QTY]]),BOM_table6[[#This Row],[SKU Cost]]=0),0,BOM_table6[[#This Row],[SKU Cost]]/BOM_table6[[#This Row],[SKU QTY]])</f>
        <v>0</v>
      </c>
      <c r="P435" s="110">
        <f>IF(OR(ISBLANK(BOM_table6[[#This Row],[ASM QTY]]),ISBLANK(BOM_table6[[#This Row],[Unit Cost]])),0,BOM_table6[[#This Row],[ASM QTY]]*BOM_table6[[#This Row],[Unit Cost]])</f>
        <v>0</v>
      </c>
      <c r="Q435" s="45"/>
      <c r="R435" s="81"/>
      <c r="S435" s="111">
        <f>BOM_table6[[#This Row],[ASM QTY]]*$Q$2+BOM_table6[[#This Row],[Spare QTY Needed]]-BOM_table6[[#This Row],[QTY in Inventory]]</f>
        <v>1</v>
      </c>
      <c r="T435" s="111">
        <f>ROUNDUP((BOM_table6[[#This Row],[QTY to Order]]/BOM_table6[[#This Row],[SKU QTY]]),0)</f>
        <v>1</v>
      </c>
      <c r="U435" s="110">
        <f>BOM_table6[[#This Row],[SKU QTY to Order]]*BOM_table6[[#This Row],[SKU Cost]]</f>
        <v>0</v>
      </c>
      <c r="V435" s="50"/>
      <c r="W435" s="45"/>
      <c r="X435" s="45"/>
      <c r="Y435" s="63"/>
      <c r="Z435" s="54"/>
      <c r="AA435" s="45"/>
      <c r="AB435" s="45"/>
      <c r="AC435" s="45"/>
    </row>
    <row r="436" spans="1:29" ht="15" customHeight="1" x14ac:dyDescent="0.25">
      <c r="A436" s="44" t="s">
        <v>159</v>
      </c>
      <c r="B436" s="44" t="s">
        <v>928</v>
      </c>
      <c r="C436" s="45" t="s">
        <v>1724</v>
      </c>
      <c r="D436" s="45"/>
      <c r="E436" s="45" t="s">
        <v>1725</v>
      </c>
      <c r="F436" s="45" t="s">
        <v>812</v>
      </c>
      <c r="G436" s="45">
        <v>1</v>
      </c>
      <c r="H436" s="45" t="s">
        <v>2175</v>
      </c>
      <c r="I436" s="104" t="s">
        <v>1726</v>
      </c>
      <c r="J436" s="45" t="s">
        <v>166</v>
      </c>
      <c r="K436" s="45" t="s">
        <v>1493</v>
      </c>
      <c r="L436" s="45"/>
      <c r="M436" s="106">
        <v>1</v>
      </c>
      <c r="N436" s="50"/>
      <c r="O436" s="110">
        <f>IF(OR(ISBLANK(BOM_table6[[#This Row],[SKU QTY]]),BOM_table6[[#This Row],[SKU Cost]]=0),0,BOM_table6[[#This Row],[SKU Cost]]/BOM_table6[[#This Row],[SKU QTY]])</f>
        <v>0</v>
      </c>
      <c r="P436" s="110">
        <f>IF(OR(ISBLANK(BOM_table6[[#This Row],[ASM QTY]]),ISBLANK(BOM_table6[[#This Row],[Unit Cost]])),0,BOM_table6[[#This Row],[ASM QTY]]*BOM_table6[[#This Row],[Unit Cost]])</f>
        <v>0</v>
      </c>
      <c r="Q436" s="45"/>
      <c r="R436" s="81"/>
      <c r="S436" s="111">
        <f>BOM_table6[[#This Row],[ASM QTY]]*$Q$2+BOM_table6[[#This Row],[Spare QTY Needed]]-BOM_table6[[#This Row],[QTY in Inventory]]</f>
        <v>1</v>
      </c>
      <c r="T436" s="111">
        <f>ROUNDUP((BOM_table6[[#This Row],[QTY to Order]]/BOM_table6[[#This Row],[SKU QTY]]),0)</f>
        <v>1</v>
      </c>
      <c r="U436" s="110">
        <f>BOM_table6[[#This Row],[SKU QTY to Order]]*BOM_table6[[#This Row],[SKU Cost]]</f>
        <v>0</v>
      </c>
      <c r="V436" s="50"/>
      <c r="W436" s="45"/>
      <c r="X436" s="45"/>
      <c r="Y436" s="54"/>
      <c r="Z436" s="54"/>
      <c r="AA436" s="54"/>
      <c r="AB436" s="45"/>
      <c r="AC436" s="45"/>
    </row>
    <row r="437" spans="1:29" ht="15" customHeight="1" x14ac:dyDescent="0.2">
      <c r="A437" s="105" t="s">
        <v>160</v>
      </c>
      <c r="B437" s="44" t="s">
        <v>919</v>
      </c>
      <c r="C437" s="45" t="s">
        <v>2154</v>
      </c>
      <c r="D437" s="45"/>
      <c r="E437" s="45" t="s">
        <v>1049</v>
      </c>
      <c r="F437" s="45" t="s">
        <v>812</v>
      </c>
      <c r="G437" s="45">
        <v>1</v>
      </c>
      <c r="H437" s="45"/>
      <c r="I437" s="43" t="s">
        <v>2155</v>
      </c>
      <c r="J437" s="45" t="s">
        <v>1320</v>
      </c>
      <c r="K437" s="45"/>
      <c r="L437" s="45"/>
      <c r="M437" s="106">
        <v>1</v>
      </c>
      <c r="N437" s="50"/>
      <c r="O437" s="110">
        <f>IF(OR(ISBLANK(BOM_table6[[#This Row],[SKU QTY]]),BOM_table6[[#This Row],[SKU Cost]]=0),0,BOM_table6[[#This Row],[SKU Cost]]/BOM_table6[[#This Row],[SKU QTY]])</f>
        <v>0</v>
      </c>
      <c r="P437" s="110">
        <f>IF(OR(ISBLANK(BOM_table6[[#This Row],[ASM QTY]]),ISBLANK(BOM_table6[[#This Row],[Unit Cost]])),0,BOM_table6[[#This Row],[ASM QTY]]*BOM_table6[[#This Row],[Unit Cost]])</f>
        <v>0</v>
      </c>
      <c r="Q437" s="45"/>
      <c r="R437" s="81"/>
      <c r="S437" s="111">
        <f>BOM_table6[[#This Row],[ASM QTY]]*$Q$2+BOM_table6[[#This Row],[Spare QTY Needed]]-BOM_table6[[#This Row],[QTY in Inventory]]</f>
        <v>1</v>
      </c>
      <c r="T437" s="111">
        <f>ROUNDUP((BOM_table6[[#This Row],[QTY to Order]]/BOM_table6[[#This Row],[SKU QTY]]),0)</f>
        <v>1</v>
      </c>
      <c r="U437" s="110">
        <f>BOM_table6[[#This Row],[SKU QTY to Order]]*BOM_table6[[#This Row],[SKU Cost]]</f>
        <v>0</v>
      </c>
      <c r="V437" s="50"/>
      <c r="W437" s="45"/>
      <c r="X437" s="45"/>
      <c r="Y437" s="63"/>
      <c r="Z437" s="54"/>
      <c r="AA437" s="45"/>
      <c r="AB437" s="45"/>
      <c r="AC437" s="45"/>
    </row>
    <row r="438" spans="1:29" ht="15" customHeight="1" x14ac:dyDescent="0.2">
      <c r="A438" s="105" t="s">
        <v>160</v>
      </c>
      <c r="B438" s="44" t="s">
        <v>288</v>
      </c>
      <c r="C438" s="45" t="s">
        <v>289</v>
      </c>
      <c r="D438" s="45"/>
      <c r="E438" s="45" t="s">
        <v>1049</v>
      </c>
      <c r="F438" s="45" t="s">
        <v>836</v>
      </c>
      <c r="G438" s="45">
        <v>6</v>
      </c>
      <c r="H438" s="45"/>
      <c r="I438" s="75"/>
      <c r="J438" s="45" t="s">
        <v>1320</v>
      </c>
      <c r="K438" s="45"/>
      <c r="L438" s="45"/>
      <c r="M438" s="106">
        <v>1</v>
      </c>
      <c r="N438" s="50"/>
      <c r="O438" s="110">
        <f>IF(OR(ISBLANK(BOM_table6[[#This Row],[SKU QTY]]),BOM_table6[[#This Row],[SKU Cost]]=0),0,BOM_table6[[#This Row],[SKU Cost]]/BOM_table6[[#This Row],[SKU QTY]])</f>
        <v>0</v>
      </c>
      <c r="P438" s="110">
        <f>IF(OR(ISBLANK(BOM_table6[[#This Row],[ASM QTY]]),ISBLANK(BOM_table6[[#This Row],[Unit Cost]])),0,BOM_table6[[#This Row],[ASM QTY]]*BOM_table6[[#This Row],[Unit Cost]])</f>
        <v>0</v>
      </c>
      <c r="Q438" s="45"/>
      <c r="R438" s="81"/>
      <c r="S438" s="111">
        <f>BOM_table6[[#This Row],[ASM QTY]]*$Q$2+BOM_table6[[#This Row],[Spare QTY Needed]]-BOM_table6[[#This Row],[QTY in Inventory]]</f>
        <v>6</v>
      </c>
      <c r="T438" s="111">
        <f>ROUNDUP((BOM_table6[[#This Row],[QTY to Order]]/BOM_table6[[#This Row],[SKU QTY]]),0)</f>
        <v>6</v>
      </c>
      <c r="U438" s="110">
        <f>BOM_table6[[#This Row],[SKU QTY to Order]]*BOM_table6[[#This Row],[SKU Cost]]</f>
        <v>0</v>
      </c>
      <c r="V438" s="62"/>
      <c r="W438" s="45"/>
      <c r="X438" s="45"/>
      <c r="Y438" s="45"/>
      <c r="Z438" s="54"/>
      <c r="AA438" s="45"/>
      <c r="AB438" s="45"/>
      <c r="AC438" s="45"/>
    </row>
    <row r="439" spans="1:29" ht="15" customHeight="1" x14ac:dyDescent="0.2">
      <c r="A439" s="105" t="s">
        <v>160</v>
      </c>
      <c r="B439" s="44" t="s">
        <v>425</v>
      </c>
      <c r="C439" s="45" t="s">
        <v>426</v>
      </c>
      <c r="D439" s="45"/>
      <c r="E439" s="45"/>
      <c r="F439" s="45" t="s">
        <v>816</v>
      </c>
      <c r="G439" s="45">
        <v>1</v>
      </c>
      <c r="H439" s="45"/>
      <c r="I439" s="43" t="s">
        <v>427</v>
      </c>
      <c r="J439" s="45" t="s">
        <v>166</v>
      </c>
      <c r="K439" s="45" t="s">
        <v>216</v>
      </c>
      <c r="L439" s="45"/>
      <c r="M439" s="106">
        <v>1</v>
      </c>
      <c r="N439" s="50"/>
      <c r="O439" s="110">
        <f>IF(OR(ISBLANK(BOM_table6[[#This Row],[SKU QTY]]),BOM_table6[[#This Row],[SKU Cost]]=0),0,BOM_table6[[#This Row],[SKU Cost]]/BOM_table6[[#This Row],[SKU QTY]])</f>
        <v>0</v>
      </c>
      <c r="P439" s="110">
        <f>IF(OR(ISBLANK(BOM_table6[[#This Row],[ASM QTY]]),ISBLANK(BOM_table6[[#This Row],[Unit Cost]])),0,BOM_table6[[#This Row],[ASM QTY]]*BOM_table6[[#This Row],[Unit Cost]])</f>
        <v>0</v>
      </c>
      <c r="Q439" s="45"/>
      <c r="R439" s="81"/>
      <c r="S439" s="111">
        <f>BOM_table6[[#This Row],[ASM QTY]]*$Q$2+BOM_table6[[#This Row],[Spare QTY Needed]]-BOM_table6[[#This Row],[QTY in Inventory]]</f>
        <v>1</v>
      </c>
      <c r="T439" s="111">
        <f>ROUNDUP((BOM_table6[[#This Row],[QTY to Order]]/BOM_table6[[#This Row],[SKU QTY]]),0)</f>
        <v>1</v>
      </c>
      <c r="U439" s="110">
        <f>BOM_table6[[#This Row],[SKU QTY to Order]]*BOM_table6[[#This Row],[SKU Cost]]</f>
        <v>0</v>
      </c>
      <c r="V439" s="62"/>
      <c r="W439" s="45"/>
      <c r="X439" s="45"/>
      <c r="Y439" s="54"/>
      <c r="Z439" s="54"/>
      <c r="AA439" s="54"/>
      <c r="AB439" s="45"/>
      <c r="AC439" s="45"/>
    </row>
    <row r="440" spans="1:29" ht="15" customHeight="1" x14ac:dyDescent="0.2">
      <c r="A440" s="105" t="s">
        <v>161</v>
      </c>
      <c r="B440" s="44" t="s">
        <v>423</v>
      </c>
      <c r="C440" s="45" t="s">
        <v>424</v>
      </c>
      <c r="D440" s="45"/>
      <c r="E440" s="45" t="s">
        <v>1380</v>
      </c>
      <c r="F440" s="45" t="s">
        <v>816</v>
      </c>
      <c r="G440" s="45">
        <v>12</v>
      </c>
      <c r="H440" s="45"/>
      <c r="I440" s="75"/>
      <c r="J440" s="45" t="s">
        <v>166</v>
      </c>
      <c r="K440" s="45" t="s">
        <v>216</v>
      </c>
      <c r="L440" s="45"/>
      <c r="M440" s="106">
        <v>1</v>
      </c>
      <c r="N440" s="50">
        <v>53.74</v>
      </c>
      <c r="O440" s="110">
        <f>IF(OR(ISBLANK(BOM_table6[[#This Row],[SKU QTY]]),BOM_table6[[#This Row],[SKU Cost]]=0),0,BOM_table6[[#This Row],[SKU Cost]]/BOM_table6[[#This Row],[SKU QTY]])</f>
        <v>53.74</v>
      </c>
      <c r="P440" s="110">
        <f>IF(OR(ISBLANK(BOM_table6[[#This Row],[ASM QTY]]),ISBLANK(BOM_table6[[#This Row],[Unit Cost]])),0,BOM_table6[[#This Row],[ASM QTY]]*BOM_table6[[#This Row],[Unit Cost]])</f>
        <v>644.88</v>
      </c>
      <c r="Q440" s="45"/>
      <c r="R440" s="81"/>
      <c r="S440" s="111">
        <f>BOM_table6[[#This Row],[ASM QTY]]*$Q$2+BOM_table6[[#This Row],[Spare QTY Needed]]-BOM_table6[[#This Row],[QTY in Inventory]]</f>
        <v>12</v>
      </c>
      <c r="T440" s="111">
        <f>ROUNDUP((BOM_table6[[#This Row],[QTY to Order]]/BOM_table6[[#This Row],[SKU QTY]]),0)</f>
        <v>12</v>
      </c>
      <c r="U440" s="110">
        <f>BOM_table6[[#This Row],[SKU QTY to Order]]*BOM_table6[[#This Row],[SKU Cost]]</f>
        <v>644.88</v>
      </c>
      <c r="V440" s="62"/>
      <c r="W440" s="45" t="s">
        <v>2191</v>
      </c>
      <c r="X440" s="45" t="s">
        <v>2192</v>
      </c>
      <c r="Y440" s="54">
        <v>44923</v>
      </c>
      <c r="Z440" s="54"/>
      <c r="AA440" s="97">
        <v>44924</v>
      </c>
      <c r="AB440" s="45"/>
      <c r="AC440" s="45"/>
    </row>
    <row r="441" spans="1:29" ht="15" customHeight="1" x14ac:dyDescent="0.2">
      <c r="A441" s="105" t="s">
        <v>161</v>
      </c>
      <c r="B441" s="44" t="s">
        <v>421</v>
      </c>
      <c r="C441" s="45" t="s">
        <v>422</v>
      </c>
      <c r="D441" s="45"/>
      <c r="E441" s="45"/>
      <c r="F441" s="45" t="s">
        <v>816</v>
      </c>
      <c r="G441" s="45">
        <v>12</v>
      </c>
      <c r="H441" s="45"/>
      <c r="I441" s="43" t="s">
        <v>2332</v>
      </c>
      <c r="J441" s="45" t="s">
        <v>1321</v>
      </c>
      <c r="K441" s="45" t="s">
        <v>216</v>
      </c>
      <c r="L441" s="45"/>
      <c r="M441" s="106">
        <v>1</v>
      </c>
      <c r="N441" s="50">
        <f>12.24/10</f>
        <v>1.224</v>
      </c>
      <c r="O441" s="110">
        <f>IF(OR(ISBLANK(BOM_table6[[#This Row],[SKU QTY]]),BOM_table6[[#This Row],[SKU Cost]]=0),0,BOM_table6[[#This Row],[SKU Cost]]/BOM_table6[[#This Row],[SKU QTY]])</f>
        <v>1.224</v>
      </c>
      <c r="P441" s="110">
        <f>IF(OR(ISBLANK(BOM_table6[[#This Row],[ASM QTY]]),ISBLANK(BOM_table6[[#This Row],[Unit Cost]])),0,BOM_table6[[#This Row],[ASM QTY]]*BOM_table6[[#This Row],[Unit Cost]])</f>
        <v>14.687999999999999</v>
      </c>
      <c r="Q441" s="45">
        <v>8</v>
      </c>
      <c r="R441" s="81"/>
      <c r="S441" s="111">
        <f>BOM_table6[[#This Row],[ASM QTY]]*$Q$2+BOM_table6[[#This Row],[Spare QTY Needed]]-BOM_table6[[#This Row],[QTY in Inventory]]</f>
        <v>20</v>
      </c>
      <c r="T441" s="111">
        <f>ROUNDUP((BOM_table6[[#This Row],[QTY to Order]]/BOM_table6[[#This Row],[SKU QTY]]),0)</f>
        <v>20</v>
      </c>
      <c r="U441" s="110">
        <f>BOM_table6[[#This Row],[SKU QTY to Order]]*BOM_table6[[#This Row],[SKU Cost]]</f>
        <v>24.48</v>
      </c>
      <c r="V441" s="62"/>
      <c r="W441" s="45" t="s">
        <v>2191</v>
      </c>
      <c r="X441" s="45" t="s">
        <v>2192</v>
      </c>
      <c r="Y441" s="54">
        <v>44923</v>
      </c>
      <c r="Z441" s="54"/>
      <c r="AA441" s="54">
        <v>44924</v>
      </c>
      <c r="AB441" s="45"/>
      <c r="AC441" s="45"/>
    </row>
    <row r="442" spans="1:29" ht="15" customHeight="1" x14ac:dyDescent="0.2">
      <c r="A442" s="105" t="s">
        <v>161</v>
      </c>
      <c r="B442" s="44" t="s">
        <v>428</v>
      </c>
      <c r="C442" s="45" t="s">
        <v>429</v>
      </c>
      <c r="D442" s="45" t="s">
        <v>1485</v>
      </c>
      <c r="E442" s="45" t="s">
        <v>1049</v>
      </c>
      <c r="F442" s="45" t="s">
        <v>816</v>
      </c>
      <c r="G442" s="45">
        <v>1</v>
      </c>
      <c r="H442" s="45" t="s">
        <v>2175</v>
      </c>
      <c r="I442" s="43" t="s">
        <v>2189</v>
      </c>
      <c r="J442" s="45" t="s">
        <v>169</v>
      </c>
      <c r="K442" s="45" t="s">
        <v>2182</v>
      </c>
      <c r="L442" s="45"/>
      <c r="M442" s="106">
        <v>1</v>
      </c>
      <c r="N442" s="50">
        <v>3890</v>
      </c>
      <c r="O442" s="110">
        <f>IF(OR(ISBLANK(BOM_table6[[#This Row],[SKU QTY]]),BOM_table6[[#This Row],[SKU Cost]]=0),0,BOM_table6[[#This Row],[SKU Cost]]/BOM_table6[[#This Row],[SKU QTY]])</f>
        <v>3890</v>
      </c>
      <c r="P442" s="110">
        <f>IF(OR(ISBLANK(BOM_table6[[#This Row],[ASM QTY]]),ISBLANK(BOM_table6[[#This Row],[Unit Cost]])),0,BOM_table6[[#This Row],[ASM QTY]]*BOM_table6[[#This Row],[Unit Cost]])</f>
        <v>3890</v>
      </c>
      <c r="Q442" s="45">
        <v>0</v>
      </c>
      <c r="R442" s="81">
        <v>0</v>
      </c>
      <c r="S442" s="111">
        <f>BOM_table6[[#This Row],[ASM QTY]]*$Q$2+BOM_table6[[#This Row],[Spare QTY Needed]]-BOM_table6[[#This Row],[QTY in Inventory]]</f>
        <v>1</v>
      </c>
      <c r="T442" s="111">
        <f>ROUNDUP((BOM_table6[[#This Row],[QTY to Order]]/BOM_table6[[#This Row],[SKU QTY]]),0)</f>
        <v>1</v>
      </c>
      <c r="U442" s="110">
        <f>BOM_table6[[#This Row],[SKU QTY to Order]]*BOM_table6[[#This Row],[SKU Cost]]</f>
        <v>3890</v>
      </c>
      <c r="V442" s="50" t="s">
        <v>2183</v>
      </c>
      <c r="W442" s="45" t="s">
        <v>2180</v>
      </c>
      <c r="X442" s="45" t="s">
        <v>2196</v>
      </c>
      <c r="Y442" s="97">
        <v>44845</v>
      </c>
      <c r="Z442" s="54">
        <v>44872</v>
      </c>
      <c r="AA442" s="54"/>
      <c r="AB442" s="45"/>
      <c r="AC442" s="45"/>
    </row>
    <row r="443" spans="1:29" ht="15" customHeight="1" x14ac:dyDescent="0.2">
      <c r="A443" s="105" t="s">
        <v>172</v>
      </c>
      <c r="B443" s="44" t="s">
        <v>1486</v>
      </c>
      <c r="C443" s="45" t="s">
        <v>891</v>
      </c>
      <c r="D443" s="45" t="s">
        <v>239</v>
      </c>
      <c r="E443" s="45" t="s">
        <v>1049</v>
      </c>
      <c r="F443" s="45" t="s">
        <v>887</v>
      </c>
      <c r="G443" s="45">
        <v>1</v>
      </c>
      <c r="H443" s="45"/>
      <c r="I443" s="43" t="s">
        <v>2156</v>
      </c>
      <c r="J443" s="45" t="s">
        <v>169</v>
      </c>
      <c r="K443" s="45" t="s">
        <v>1453</v>
      </c>
      <c r="L443" s="45"/>
      <c r="M443" s="106">
        <v>1</v>
      </c>
      <c r="N443" s="50"/>
      <c r="O443" s="110">
        <f>IF(OR(ISBLANK(BOM_table6[[#This Row],[SKU QTY]]),BOM_table6[[#This Row],[SKU Cost]]=0),0,BOM_table6[[#This Row],[SKU Cost]]/BOM_table6[[#This Row],[SKU QTY]])</f>
        <v>0</v>
      </c>
      <c r="P443" s="110">
        <f>IF(OR(ISBLANK(BOM_table6[[#This Row],[ASM QTY]]),ISBLANK(BOM_table6[[#This Row],[Unit Cost]])),0,BOM_table6[[#This Row],[ASM QTY]]*BOM_table6[[#This Row],[Unit Cost]])</f>
        <v>0</v>
      </c>
      <c r="Q443" s="45"/>
      <c r="R443" s="81"/>
      <c r="S443" s="111">
        <f>BOM_table6[[#This Row],[ASM QTY]]*$Q$2+BOM_table6[[#This Row],[Spare QTY Needed]]-BOM_table6[[#This Row],[QTY in Inventory]]</f>
        <v>1</v>
      </c>
      <c r="T443" s="111">
        <f>ROUNDUP((BOM_table6[[#This Row],[QTY to Order]]/BOM_table6[[#This Row],[SKU QTY]]),0)</f>
        <v>1</v>
      </c>
      <c r="U443" s="110">
        <f>BOM_table6[[#This Row],[SKU QTY to Order]]*BOM_table6[[#This Row],[SKU Cost]]</f>
        <v>0</v>
      </c>
      <c r="V443" s="50"/>
      <c r="W443" s="45"/>
      <c r="X443" s="45"/>
      <c r="Y443" s="54"/>
      <c r="Z443" s="54"/>
      <c r="AA443" s="45"/>
      <c r="AB443" s="45"/>
      <c r="AC443" s="45"/>
    </row>
    <row r="444" spans="1:29" ht="15" customHeight="1" x14ac:dyDescent="0.2">
      <c r="A444" s="105" t="s">
        <v>159</v>
      </c>
      <c r="B444" s="44" t="s">
        <v>1492</v>
      </c>
      <c r="C444" s="45" t="s">
        <v>892</v>
      </c>
      <c r="D444" s="45"/>
      <c r="E444" s="45" t="s">
        <v>1049</v>
      </c>
      <c r="F444" s="45" t="s">
        <v>887</v>
      </c>
      <c r="G444" s="45">
        <v>1</v>
      </c>
      <c r="H444" s="45"/>
      <c r="I444" s="43" t="s">
        <v>2157</v>
      </c>
      <c r="J444" s="45" t="s">
        <v>169</v>
      </c>
      <c r="K444" s="45"/>
      <c r="L444" s="45"/>
      <c r="M444" s="106">
        <v>1</v>
      </c>
      <c r="N444" s="50"/>
      <c r="O444" s="110">
        <f>IF(OR(ISBLANK(BOM_table6[[#This Row],[SKU QTY]]),BOM_table6[[#This Row],[SKU Cost]]=0),0,BOM_table6[[#This Row],[SKU Cost]]/BOM_table6[[#This Row],[SKU QTY]])</f>
        <v>0</v>
      </c>
      <c r="P444" s="110">
        <f>IF(OR(ISBLANK(BOM_table6[[#This Row],[ASM QTY]]),ISBLANK(BOM_table6[[#This Row],[Unit Cost]])),0,BOM_table6[[#This Row],[ASM QTY]]*BOM_table6[[#This Row],[Unit Cost]])</f>
        <v>0</v>
      </c>
      <c r="Q444" s="45"/>
      <c r="R444" s="81"/>
      <c r="S444" s="111">
        <f>BOM_table6[[#This Row],[ASM QTY]]*$Q$2+BOM_table6[[#This Row],[Spare QTY Needed]]-BOM_table6[[#This Row],[QTY in Inventory]]</f>
        <v>1</v>
      </c>
      <c r="T444" s="111">
        <f>ROUNDUP((BOM_table6[[#This Row],[QTY to Order]]/BOM_table6[[#This Row],[SKU QTY]]),0)</f>
        <v>1</v>
      </c>
      <c r="U444" s="110">
        <f>BOM_table6[[#This Row],[SKU QTY to Order]]*BOM_table6[[#This Row],[SKU Cost]]</f>
        <v>0</v>
      </c>
      <c r="V444" s="50"/>
      <c r="W444" s="45"/>
      <c r="X444" s="45"/>
      <c r="Y444" s="63"/>
      <c r="Z444" s="54"/>
      <c r="AA444" s="45"/>
      <c r="AB444" s="45"/>
      <c r="AC444" s="45"/>
    </row>
    <row r="445" spans="1:29" ht="15" customHeight="1" x14ac:dyDescent="0.2">
      <c r="A445" s="105" t="s">
        <v>161</v>
      </c>
      <c r="B445" s="44" t="s">
        <v>889</v>
      </c>
      <c r="C445" s="45" t="s">
        <v>890</v>
      </c>
      <c r="D445" s="45"/>
      <c r="E445" s="45" t="s">
        <v>1049</v>
      </c>
      <c r="F445" s="45" t="s">
        <v>887</v>
      </c>
      <c r="G445" s="45">
        <v>3</v>
      </c>
      <c r="H445" s="45" t="s">
        <v>2175</v>
      </c>
      <c r="I445" s="43" t="s">
        <v>2223</v>
      </c>
      <c r="J445" s="45" t="s">
        <v>169</v>
      </c>
      <c r="K445" s="45" t="s">
        <v>1453</v>
      </c>
      <c r="L445" s="45"/>
      <c r="M445" s="106">
        <v>1</v>
      </c>
      <c r="N445" s="50"/>
      <c r="O445" s="110">
        <f>IF(OR(ISBLANK(BOM_table6[[#This Row],[SKU QTY]]),BOM_table6[[#This Row],[SKU Cost]]=0),0,BOM_table6[[#This Row],[SKU Cost]]/BOM_table6[[#This Row],[SKU QTY]])</f>
        <v>0</v>
      </c>
      <c r="P445" s="110">
        <f>IF(OR(ISBLANK(BOM_table6[[#This Row],[ASM QTY]]),ISBLANK(BOM_table6[[#This Row],[Unit Cost]])),0,BOM_table6[[#This Row],[ASM QTY]]*BOM_table6[[#This Row],[Unit Cost]])</f>
        <v>0</v>
      </c>
      <c r="Q445" s="45"/>
      <c r="R445" s="81"/>
      <c r="S445" s="111">
        <f>BOM_table6[[#This Row],[ASM QTY]]*$Q$2+BOM_table6[[#This Row],[Spare QTY Needed]]-BOM_table6[[#This Row],[QTY in Inventory]]</f>
        <v>3</v>
      </c>
      <c r="T445" s="111">
        <f>ROUNDUP((BOM_table6[[#This Row],[QTY to Order]]/BOM_table6[[#This Row],[SKU QTY]]),0)</f>
        <v>3</v>
      </c>
      <c r="U445" s="110">
        <f>BOM_table6[[#This Row],[SKU QTY to Order]]*BOM_table6[[#This Row],[SKU Cost]]</f>
        <v>0</v>
      </c>
      <c r="V445" s="50"/>
      <c r="W445" s="45"/>
      <c r="X445" s="45"/>
      <c r="Y445" s="54"/>
      <c r="Z445" s="54"/>
      <c r="AA445" s="45"/>
      <c r="AB445" s="45"/>
      <c r="AC445" s="45"/>
    </row>
    <row r="446" spans="1:29" ht="15" customHeight="1" x14ac:dyDescent="0.2">
      <c r="A446" s="105" t="s">
        <v>161</v>
      </c>
      <c r="B446" s="44" t="s">
        <v>885</v>
      </c>
      <c r="C446" s="45" t="s">
        <v>886</v>
      </c>
      <c r="D446" s="45"/>
      <c r="E446" s="45" t="s">
        <v>1049</v>
      </c>
      <c r="F446" s="45" t="s">
        <v>887</v>
      </c>
      <c r="G446" s="45">
        <v>1</v>
      </c>
      <c r="H446" s="45" t="s">
        <v>2175</v>
      </c>
      <c r="I446" s="43" t="s">
        <v>2224</v>
      </c>
      <c r="J446" s="45" t="s">
        <v>169</v>
      </c>
      <c r="K446" s="45" t="s">
        <v>1453</v>
      </c>
      <c r="L446" s="45"/>
      <c r="M446" s="106">
        <v>1</v>
      </c>
      <c r="N446" s="50"/>
      <c r="O446" s="110">
        <f>IF(OR(ISBLANK(BOM_table6[[#This Row],[SKU QTY]]),BOM_table6[[#This Row],[SKU Cost]]=0),0,BOM_table6[[#This Row],[SKU Cost]]/BOM_table6[[#This Row],[SKU QTY]])</f>
        <v>0</v>
      </c>
      <c r="P446" s="110">
        <f>IF(OR(ISBLANK(BOM_table6[[#This Row],[ASM QTY]]),ISBLANK(BOM_table6[[#This Row],[Unit Cost]])),0,BOM_table6[[#This Row],[ASM QTY]]*BOM_table6[[#This Row],[Unit Cost]])</f>
        <v>0</v>
      </c>
      <c r="Q446" s="45"/>
      <c r="R446" s="81"/>
      <c r="S446" s="111">
        <f>BOM_table6[[#This Row],[ASM QTY]]*$Q$2+BOM_table6[[#This Row],[Spare QTY Needed]]-BOM_table6[[#This Row],[QTY in Inventory]]</f>
        <v>1</v>
      </c>
      <c r="T446" s="111">
        <f>ROUNDUP((BOM_table6[[#This Row],[QTY to Order]]/BOM_table6[[#This Row],[SKU QTY]]),0)</f>
        <v>1</v>
      </c>
      <c r="U446" s="110">
        <f>BOM_table6[[#This Row],[SKU QTY to Order]]*BOM_table6[[#This Row],[SKU Cost]]</f>
        <v>0</v>
      </c>
      <c r="V446" s="50"/>
      <c r="W446" s="45"/>
      <c r="X446" s="45"/>
      <c r="Y446" s="54"/>
      <c r="Z446" s="54"/>
      <c r="AA446" s="54"/>
      <c r="AB446" s="45"/>
      <c r="AC446" s="45"/>
    </row>
    <row r="447" spans="1:29" ht="15" customHeight="1" x14ac:dyDescent="0.2">
      <c r="A447" s="105" t="s">
        <v>159</v>
      </c>
      <c r="B447" s="44" t="s">
        <v>888</v>
      </c>
      <c r="C447" s="45" t="s">
        <v>886</v>
      </c>
      <c r="D447" s="45"/>
      <c r="E447" s="45" t="s">
        <v>1049</v>
      </c>
      <c r="F447" s="45" t="s">
        <v>887</v>
      </c>
      <c r="G447" s="45">
        <v>1</v>
      </c>
      <c r="H447" s="45"/>
      <c r="I447" s="43" t="s">
        <v>1661</v>
      </c>
      <c r="J447" s="45" t="s">
        <v>171</v>
      </c>
      <c r="K447" s="45"/>
      <c r="L447" s="45"/>
      <c r="M447" s="106">
        <v>1</v>
      </c>
      <c r="N447" s="50"/>
      <c r="O447" s="110">
        <f>IF(OR(ISBLANK(BOM_table6[[#This Row],[SKU QTY]]),BOM_table6[[#This Row],[SKU Cost]]=0),0,BOM_table6[[#This Row],[SKU Cost]]/BOM_table6[[#This Row],[SKU QTY]])</f>
        <v>0</v>
      </c>
      <c r="P447" s="110">
        <f>IF(OR(ISBLANK(BOM_table6[[#This Row],[ASM QTY]]),ISBLANK(BOM_table6[[#This Row],[Unit Cost]])),0,BOM_table6[[#This Row],[ASM QTY]]*BOM_table6[[#This Row],[Unit Cost]])</f>
        <v>0</v>
      </c>
      <c r="Q447" s="45"/>
      <c r="R447" s="81"/>
      <c r="S447" s="111">
        <f>BOM_table6[[#This Row],[ASM QTY]]*$Q$2+BOM_table6[[#This Row],[Spare QTY Needed]]-BOM_table6[[#This Row],[QTY in Inventory]]</f>
        <v>1</v>
      </c>
      <c r="T447" s="111">
        <f>ROUNDUP((BOM_table6[[#This Row],[QTY to Order]]/BOM_table6[[#This Row],[SKU QTY]]),0)</f>
        <v>1</v>
      </c>
      <c r="U447" s="110">
        <f>BOM_table6[[#This Row],[SKU QTY to Order]]*BOM_table6[[#This Row],[SKU Cost]]</f>
        <v>0</v>
      </c>
      <c r="V447" s="50"/>
      <c r="W447" s="45"/>
      <c r="X447" s="45"/>
      <c r="Y447" s="54"/>
      <c r="Z447" s="54"/>
      <c r="AA447" s="45"/>
      <c r="AB447" s="45"/>
      <c r="AC447" s="45"/>
    </row>
    <row r="448" spans="1:29" ht="15" customHeight="1" x14ac:dyDescent="0.2">
      <c r="A448" s="105" t="s">
        <v>160</v>
      </c>
      <c r="B448" s="44" t="s">
        <v>1436</v>
      </c>
      <c r="C448" s="45" t="s">
        <v>1431</v>
      </c>
      <c r="D448" s="65"/>
      <c r="E448" s="65" t="s">
        <v>1134</v>
      </c>
      <c r="F448" s="45" t="s">
        <v>1432</v>
      </c>
      <c r="G448" s="65">
        <v>1</v>
      </c>
      <c r="H448" s="45"/>
      <c r="J448" s="65" t="s">
        <v>166</v>
      </c>
      <c r="K448" s="65" t="s">
        <v>1134</v>
      </c>
      <c r="L448" s="65"/>
      <c r="M448" s="106">
        <v>1</v>
      </c>
      <c r="N448" s="67"/>
      <c r="O448" s="110">
        <f>IF(OR(ISBLANK(BOM_table6[[#This Row],[SKU QTY]]),BOM_table6[[#This Row],[SKU Cost]]=0),0,BOM_table6[[#This Row],[SKU Cost]]/BOM_table6[[#This Row],[SKU QTY]])</f>
        <v>0</v>
      </c>
      <c r="P448" s="110">
        <f>IF(OR(ISBLANK(BOM_table6[[#This Row],[ASM QTY]]),ISBLANK(BOM_table6[[#This Row],[Unit Cost]])),0,BOM_table6[[#This Row],[ASM QTY]]*BOM_table6[[#This Row],[Unit Cost]])</f>
        <v>0</v>
      </c>
      <c r="Q448" s="65"/>
      <c r="R448" s="80">
        <v>8</v>
      </c>
      <c r="S448" s="111">
        <f>BOM_table6[[#This Row],[ASM QTY]]*$Q$2+BOM_table6[[#This Row],[Spare QTY Needed]]-BOM_table6[[#This Row],[QTY in Inventory]]</f>
        <v>-7</v>
      </c>
      <c r="T448" s="111">
        <f>ROUNDUP((BOM_table6[[#This Row],[QTY to Order]]/BOM_table6[[#This Row],[SKU QTY]]),0)</f>
        <v>-7</v>
      </c>
      <c r="U448" s="110">
        <f>BOM_table6[[#This Row],[SKU QTY to Order]]*BOM_table6[[#This Row],[SKU Cost]]</f>
        <v>0</v>
      </c>
      <c r="V448" s="50"/>
      <c r="W448" s="45"/>
      <c r="X448" s="45"/>
      <c r="Y448" s="71"/>
      <c r="Z448" s="71"/>
      <c r="AA448" s="71"/>
      <c r="AB448" s="65"/>
      <c r="AC448" s="45"/>
    </row>
    <row r="449" spans="1:29" ht="15" customHeight="1" x14ac:dyDescent="0.2">
      <c r="A449" s="105" t="s">
        <v>160</v>
      </c>
      <c r="B449" s="44" t="s">
        <v>228</v>
      </c>
      <c r="C449" s="45" t="s">
        <v>229</v>
      </c>
      <c r="D449" s="45"/>
      <c r="E449" s="45" t="s">
        <v>230</v>
      </c>
      <c r="F449" s="45" t="s">
        <v>808</v>
      </c>
      <c r="G449" s="45">
        <v>2</v>
      </c>
      <c r="H449" s="45"/>
      <c r="I449" s="75"/>
      <c r="J449" s="45" t="s">
        <v>166</v>
      </c>
      <c r="K449" s="45" t="s">
        <v>1381</v>
      </c>
      <c r="L449" s="45"/>
      <c r="M449" s="106">
        <v>1</v>
      </c>
      <c r="N449" s="50"/>
      <c r="O449" s="110">
        <f>IF(OR(ISBLANK(BOM_table6[[#This Row],[SKU QTY]]),BOM_table6[[#This Row],[SKU Cost]]=0),0,BOM_table6[[#This Row],[SKU Cost]]/BOM_table6[[#This Row],[SKU QTY]])</f>
        <v>0</v>
      </c>
      <c r="P449" s="110">
        <f>IF(OR(ISBLANK(BOM_table6[[#This Row],[ASM QTY]]),ISBLANK(BOM_table6[[#This Row],[Unit Cost]])),0,BOM_table6[[#This Row],[ASM QTY]]*BOM_table6[[#This Row],[Unit Cost]])</f>
        <v>0</v>
      </c>
      <c r="Q449" s="45"/>
      <c r="R449" s="81"/>
      <c r="S449" s="111">
        <f>BOM_table6[[#This Row],[ASM QTY]]*$Q$2+BOM_table6[[#This Row],[Spare QTY Needed]]-BOM_table6[[#This Row],[QTY in Inventory]]</f>
        <v>2</v>
      </c>
      <c r="T449" s="111">
        <f>ROUNDUP((BOM_table6[[#This Row],[QTY to Order]]/BOM_table6[[#This Row],[SKU QTY]]),0)</f>
        <v>2</v>
      </c>
      <c r="U449" s="110">
        <f>BOM_table6[[#This Row],[SKU QTY to Order]]*BOM_table6[[#This Row],[SKU Cost]]</f>
        <v>0</v>
      </c>
      <c r="V449" s="62"/>
      <c r="W449" s="45"/>
      <c r="X449" s="45"/>
      <c r="Y449" s="54"/>
      <c r="Z449" s="54"/>
      <c r="AA449" s="86"/>
      <c r="AB449" s="85"/>
      <c r="AC449" s="45"/>
    </row>
    <row r="450" spans="1:29" ht="15" customHeight="1" x14ac:dyDescent="0.2">
      <c r="A450" s="105" t="s">
        <v>161</v>
      </c>
      <c r="B450" s="44" t="s">
        <v>214</v>
      </c>
      <c r="C450" s="45" t="s">
        <v>215</v>
      </c>
      <c r="D450" s="45"/>
      <c r="E450" s="45"/>
      <c r="F450" s="45" t="s">
        <v>808</v>
      </c>
      <c r="G450" s="45">
        <v>4</v>
      </c>
      <c r="H450" s="45"/>
      <c r="I450" s="75"/>
      <c r="J450" s="45" t="s">
        <v>1321</v>
      </c>
      <c r="K450" s="45" t="s">
        <v>216</v>
      </c>
      <c r="L450" s="45"/>
      <c r="M450" s="106">
        <v>1</v>
      </c>
      <c r="N450" s="50">
        <v>0.4</v>
      </c>
      <c r="O450" s="110">
        <f>IF(OR(ISBLANK(BOM_table6[[#This Row],[SKU QTY]]),BOM_table6[[#This Row],[SKU Cost]]=0),0,BOM_table6[[#This Row],[SKU Cost]]/BOM_table6[[#This Row],[SKU QTY]])</f>
        <v>0.4</v>
      </c>
      <c r="P450" s="110">
        <f>IF(OR(ISBLANK(BOM_table6[[#This Row],[ASM QTY]]),ISBLANK(BOM_table6[[#This Row],[Unit Cost]])),0,BOM_table6[[#This Row],[ASM QTY]]*BOM_table6[[#This Row],[Unit Cost]])</f>
        <v>1.6</v>
      </c>
      <c r="Q450" s="45">
        <v>2</v>
      </c>
      <c r="R450" s="81"/>
      <c r="S450" s="111">
        <f>BOM_table6[[#This Row],[ASM QTY]]*$Q$2+BOM_table6[[#This Row],[Spare QTY Needed]]-BOM_table6[[#This Row],[QTY in Inventory]]</f>
        <v>6</v>
      </c>
      <c r="T450" s="111">
        <f>ROUNDUP((BOM_table6[[#This Row],[QTY to Order]]/BOM_table6[[#This Row],[SKU QTY]]),0)</f>
        <v>6</v>
      </c>
      <c r="U450" s="110">
        <f>BOM_table6[[#This Row],[SKU QTY to Order]]*BOM_table6[[#This Row],[SKU Cost]]</f>
        <v>2.4000000000000004</v>
      </c>
      <c r="V450" s="62"/>
      <c r="W450" s="45" t="s">
        <v>2180</v>
      </c>
      <c r="X450" s="45" t="s">
        <v>2192</v>
      </c>
      <c r="Y450" s="54">
        <v>44923</v>
      </c>
      <c r="Z450" s="54"/>
      <c r="AA450" s="54">
        <v>44924</v>
      </c>
      <c r="AB450" s="45"/>
      <c r="AC450" s="45"/>
    </row>
    <row r="451" spans="1:29" ht="15" customHeight="1" x14ac:dyDescent="0.2">
      <c r="A451" s="105" t="s">
        <v>161</v>
      </c>
      <c r="B451" s="44" t="s">
        <v>217</v>
      </c>
      <c r="C451" s="45" t="s">
        <v>218</v>
      </c>
      <c r="D451" s="45"/>
      <c r="E451" s="45"/>
      <c r="F451" s="45" t="s">
        <v>808</v>
      </c>
      <c r="G451" s="45">
        <v>2</v>
      </c>
      <c r="H451" s="45"/>
      <c r="I451" s="43" t="s">
        <v>2304</v>
      </c>
      <c r="J451" s="45" t="s">
        <v>1321</v>
      </c>
      <c r="K451" s="45" t="s">
        <v>216</v>
      </c>
      <c r="L451" s="45"/>
      <c r="M451" s="106">
        <v>1</v>
      </c>
      <c r="N451" s="50">
        <f>9.57/25</f>
        <v>0.38280000000000003</v>
      </c>
      <c r="O451" s="110">
        <f>IF(OR(ISBLANK(BOM_table6[[#This Row],[SKU QTY]]),BOM_table6[[#This Row],[SKU Cost]]=0),0,BOM_table6[[#This Row],[SKU Cost]]/BOM_table6[[#This Row],[SKU QTY]])</f>
        <v>0.38280000000000003</v>
      </c>
      <c r="P451" s="110">
        <f>IF(OR(ISBLANK(BOM_table6[[#This Row],[ASM QTY]]),ISBLANK(BOM_table6[[#This Row],[Unit Cost]])),0,BOM_table6[[#This Row],[ASM QTY]]*BOM_table6[[#This Row],[Unit Cost]])</f>
        <v>0.76560000000000006</v>
      </c>
      <c r="Q451" s="45">
        <f>25-2</f>
        <v>23</v>
      </c>
      <c r="R451" s="81"/>
      <c r="S451" s="111">
        <f>BOM_table6[[#This Row],[ASM QTY]]*$Q$2+BOM_table6[[#This Row],[Spare QTY Needed]]-BOM_table6[[#This Row],[QTY in Inventory]]</f>
        <v>25</v>
      </c>
      <c r="T451" s="111">
        <f>ROUNDUP((BOM_table6[[#This Row],[QTY to Order]]/BOM_table6[[#This Row],[SKU QTY]]),0)</f>
        <v>25</v>
      </c>
      <c r="U451" s="110">
        <f>BOM_table6[[#This Row],[SKU QTY to Order]]*BOM_table6[[#This Row],[SKU Cost]]</f>
        <v>9.57</v>
      </c>
      <c r="V451" s="62"/>
      <c r="W451" s="45" t="s">
        <v>2180</v>
      </c>
      <c r="X451" s="45" t="s">
        <v>2192</v>
      </c>
      <c r="Y451" s="54">
        <v>44923</v>
      </c>
      <c r="Z451" s="54"/>
      <c r="AA451" s="54">
        <v>44924</v>
      </c>
      <c r="AB451" s="45"/>
      <c r="AC451" s="45"/>
    </row>
    <row r="452" spans="1:29" ht="15" customHeight="1" x14ac:dyDescent="0.2">
      <c r="A452" s="105" t="s">
        <v>160</v>
      </c>
      <c r="B452" s="44" t="s">
        <v>1471</v>
      </c>
      <c r="C452" s="45" t="s">
        <v>1472</v>
      </c>
      <c r="D452" s="45"/>
      <c r="E452" s="45"/>
      <c r="F452" s="45" t="s">
        <v>808</v>
      </c>
      <c r="G452" s="45">
        <v>1</v>
      </c>
      <c r="H452" s="45"/>
      <c r="J452" s="45" t="s">
        <v>166</v>
      </c>
      <c r="K452" s="45" t="s">
        <v>216</v>
      </c>
      <c r="L452" s="45"/>
      <c r="M452" s="106">
        <v>1</v>
      </c>
      <c r="N452" s="50"/>
      <c r="O452" s="110">
        <f>IF(OR(ISBLANK(BOM_table6[[#This Row],[SKU QTY]]),BOM_table6[[#This Row],[SKU Cost]]=0),0,BOM_table6[[#This Row],[SKU Cost]]/BOM_table6[[#This Row],[SKU QTY]])</f>
        <v>0</v>
      </c>
      <c r="P452" s="110">
        <f>IF(OR(ISBLANK(BOM_table6[[#This Row],[ASM QTY]]),ISBLANK(BOM_table6[[#This Row],[Unit Cost]])),0,BOM_table6[[#This Row],[ASM QTY]]*BOM_table6[[#This Row],[Unit Cost]])</f>
        <v>0</v>
      </c>
      <c r="Q452" s="45"/>
      <c r="R452" s="81"/>
      <c r="S452" s="111">
        <f>BOM_table6[[#This Row],[ASM QTY]]*$Q$2+BOM_table6[[#This Row],[Spare QTY Needed]]-BOM_table6[[#This Row],[QTY in Inventory]]</f>
        <v>1</v>
      </c>
      <c r="T452" s="111">
        <f>ROUNDUP((BOM_table6[[#This Row],[QTY to Order]]/BOM_table6[[#This Row],[SKU QTY]]),0)</f>
        <v>1</v>
      </c>
      <c r="U452" s="110">
        <f>BOM_table6[[#This Row],[SKU QTY to Order]]*BOM_table6[[#This Row],[SKU Cost]]</f>
        <v>0</v>
      </c>
      <c r="V452" s="62"/>
      <c r="W452" s="45"/>
      <c r="X452" s="45"/>
      <c r="Y452" s="54"/>
      <c r="Z452" s="54"/>
      <c r="AA452" s="45"/>
      <c r="AB452" s="45"/>
      <c r="AC452" s="45"/>
    </row>
    <row r="453" spans="1:29" ht="15" customHeight="1" x14ac:dyDescent="0.2">
      <c r="A453" s="105" t="s">
        <v>160</v>
      </c>
      <c r="B453" s="44" t="s">
        <v>1473</v>
      </c>
      <c r="C453" s="45" t="s">
        <v>1475</v>
      </c>
      <c r="D453" s="45"/>
      <c r="E453" s="45"/>
      <c r="F453" s="45" t="s">
        <v>808</v>
      </c>
      <c r="G453" s="45">
        <v>2</v>
      </c>
      <c r="H453" s="45"/>
      <c r="J453" s="45" t="s">
        <v>166</v>
      </c>
      <c r="K453" s="45" t="s">
        <v>216</v>
      </c>
      <c r="L453" s="45"/>
      <c r="M453" s="106">
        <v>1</v>
      </c>
      <c r="N453" s="50"/>
      <c r="O453" s="110">
        <f>IF(OR(ISBLANK(BOM_table6[[#This Row],[SKU QTY]]),BOM_table6[[#This Row],[SKU Cost]]=0),0,BOM_table6[[#This Row],[SKU Cost]]/BOM_table6[[#This Row],[SKU QTY]])</f>
        <v>0</v>
      </c>
      <c r="P453" s="110">
        <f>IF(OR(ISBLANK(BOM_table6[[#This Row],[ASM QTY]]),ISBLANK(BOM_table6[[#This Row],[Unit Cost]])),0,BOM_table6[[#This Row],[ASM QTY]]*BOM_table6[[#This Row],[Unit Cost]])</f>
        <v>0</v>
      </c>
      <c r="Q453" s="45"/>
      <c r="R453" s="81"/>
      <c r="S453" s="111">
        <f>BOM_table6[[#This Row],[ASM QTY]]*$Q$2+BOM_table6[[#This Row],[Spare QTY Needed]]-BOM_table6[[#This Row],[QTY in Inventory]]</f>
        <v>2</v>
      </c>
      <c r="T453" s="111">
        <f>ROUNDUP((BOM_table6[[#This Row],[QTY to Order]]/BOM_table6[[#This Row],[SKU QTY]]),0)</f>
        <v>2</v>
      </c>
      <c r="U453" s="110">
        <f>BOM_table6[[#This Row],[SKU QTY to Order]]*BOM_table6[[#This Row],[SKU Cost]]</f>
        <v>0</v>
      </c>
      <c r="V453" s="62"/>
      <c r="W453" s="45"/>
      <c r="X453" s="45"/>
      <c r="Y453" s="54"/>
      <c r="Z453" s="54"/>
      <c r="AA453" s="45"/>
      <c r="AB453" s="45"/>
      <c r="AC453" s="45"/>
    </row>
    <row r="454" spans="1:29" ht="15" customHeight="1" x14ac:dyDescent="0.2">
      <c r="A454" s="105" t="s">
        <v>160</v>
      </c>
      <c r="B454" s="44" t="s">
        <v>1474</v>
      </c>
      <c r="C454" s="45" t="s">
        <v>1476</v>
      </c>
      <c r="D454" s="45"/>
      <c r="E454" s="45"/>
      <c r="F454" s="45" t="s">
        <v>808</v>
      </c>
      <c r="G454" s="45">
        <v>2</v>
      </c>
      <c r="H454" s="45"/>
      <c r="J454" s="45" t="s">
        <v>166</v>
      </c>
      <c r="K454" s="45" t="s">
        <v>216</v>
      </c>
      <c r="L454" s="45"/>
      <c r="M454" s="106">
        <v>1</v>
      </c>
      <c r="N454" s="50"/>
      <c r="O454" s="110">
        <f>IF(OR(ISBLANK(BOM_table6[[#This Row],[SKU QTY]]),BOM_table6[[#This Row],[SKU Cost]]=0),0,BOM_table6[[#This Row],[SKU Cost]]/BOM_table6[[#This Row],[SKU QTY]])</f>
        <v>0</v>
      </c>
      <c r="P454" s="110">
        <f>IF(OR(ISBLANK(BOM_table6[[#This Row],[ASM QTY]]),ISBLANK(BOM_table6[[#This Row],[Unit Cost]])),0,BOM_table6[[#This Row],[ASM QTY]]*BOM_table6[[#This Row],[Unit Cost]])</f>
        <v>0</v>
      </c>
      <c r="Q454" s="45"/>
      <c r="R454" s="81"/>
      <c r="S454" s="111">
        <f>BOM_table6[[#This Row],[ASM QTY]]*$Q$2+BOM_table6[[#This Row],[Spare QTY Needed]]-BOM_table6[[#This Row],[QTY in Inventory]]</f>
        <v>2</v>
      </c>
      <c r="T454" s="111">
        <f>ROUNDUP((BOM_table6[[#This Row],[QTY to Order]]/BOM_table6[[#This Row],[SKU QTY]]),0)</f>
        <v>2</v>
      </c>
      <c r="U454" s="110">
        <f>BOM_table6[[#This Row],[SKU QTY to Order]]*BOM_table6[[#This Row],[SKU Cost]]</f>
        <v>0</v>
      </c>
      <c r="V454" s="62"/>
      <c r="W454" s="45"/>
      <c r="X454" s="45"/>
      <c r="Y454" s="54"/>
      <c r="Z454" s="54"/>
      <c r="AA454" s="45"/>
      <c r="AB454" s="45"/>
      <c r="AC454" s="45"/>
    </row>
    <row r="455" spans="1:29" ht="15" customHeight="1" x14ac:dyDescent="0.2">
      <c r="A455" s="105" t="s">
        <v>161</v>
      </c>
      <c r="B455" s="44" t="s">
        <v>226</v>
      </c>
      <c r="C455" s="45" t="s">
        <v>227</v>
      </c>
      <c r="D455" s="45"/>
      <c r="E455" s="45" t="s">
        <v>1380</v>
      </c>
      <c r="F455" s="45" t="s">
        <v>808</v>
      </c>
      <c r="G455" s="45">
        <v>1</v>
      </c>
      <c r="H455" s="45"/>
      <c r="I455" s="75"/>
      <c r="J455" s="45" t="s">
        <v>166</v>
      </c>
      <c r="K455" s="45" t="s">
        <v>216</v>
      </c>
      <c r="L455" s="45"/>
      <c r="M455" s="106">
        <v>1</v>
      </c>
      <c r="N455" s="50">
        <f>11.65/5</f>
        <v>2.33</v>
      </c>
      <c r="O455" s="110">
        <f>IF(OR(ISBLANK(BOM_table6[[#This Row],[SKU QTY]]),BOM_table6[[#This Row],[SKU Cost]]=0),0,BOM_table6[[#This Row],[SKU Cost]]/BOM_table6[[#This Row],[SKU QTY]])</f>
        <v>2.33</v>
      </c>
      <c r="P455" s="110">
        <f>IF(OR(ISBLANK(BOM_table6[[#This Row],[ASM QTY]]),ISBLANK(BOM_table6[[#This Row],[Unit Cost]])),0,BOM_table6[[#This Row],[ASM QTY]]*BOM_table6[[#This Row],[Unit Cost]])</f>
        <v>2.33</v>
      </c>
      <c r="Q455" s="45">
        <v>4</v>
      </c>
      <c r="R455" s="81"/>
      <c r="S455" s="111">
        <f>BOM_table6[[#This Row],[ASM QTY]]*$Q$2+BOM_table6[[#This Row],[Spare QTY Needed]]-BOM_table6[[#This Row],[QTY in Inventory]]</f>
        <v>5</v>
      </c>
      <c r="T455" s="111">
        <f>ROUNDUP((BOM_table6[[#This Row],[QTY to Order]]/BOM_table6[[#This Row],[SKU QTY]]),0)</f>
        <v>5</v>
      </c>
      <c r="U455" s="110">
        <f>BOM_table6[[#This Row],[SKU QTY to Order]]*BOM_table6[[#This Row],[SKU Cost]]</f>
        <v>11.65</v>
      </c>
      <c r="V455" s="62"/>
      <c r="W455" s="45" t="s">
        <v>2180</v>
      </c>
      <c r="X455" s="45" t="s">
        <v>2192</v>
      </c>
      <c r="Y455" s="54">
        <v>44923</v>
      </c>
      <c r="Z455" s="54"/>
      <c r="AA455" s="54">
        <v>44924</v>
      </c>
      <c r="AB455" s="45"/>
      <c r="AC455" s="45"/>
    </row>
    <row r="456" spans="1:29" ht="15" customHeight="1" x14ac:dyDescent="0.2">
      <c r="A456" s="105" t="s">
        <v>160</v>
      </c>
      <c r="B456" s="44" t="s">
        <v>251</v>
      </c>
      <c r="C456" s="45" t="s">
        <v>252</v>
      </c>
      <c r="D456" s="45"/>
      <c r="E456" s="45" t="s">
        <v>1049</v>
      </c>
      <c r="F456" s="45" t="s">
        <v>808</v>
      </c>
      <c r="G456" s="45">
        <v>1</v>
      </c>
      <c r="H456" s="45"/>
      <c r="I456" s="75"/>
      <c r="J456" s="45" t="s">
        <v>1320</v>
      </c>
      <c r="K456" s="45" t="s">
        <v>1483</v>
      </c>
      <c r="L456" s="45"/>
      <c r="M456" s="106">
        <v>1</v>
      </c>
      <c r="N456" s="50"/>
      <c r="O456" s="110">
        <f>IF(OR(ISBLANK(BOM_table6[[#This Row],[SKU QTY]]),BOM_table6[[#This Row],[SKU Cost]]=0),0,BOM_table6[[#This Row],[SKU Cost]]/BOM_table6[[#This Row],[SKU QTY]])</f>
        <v>0</v>
      </c>
      <c r="P456" s="110">
        <f>IF(OR(ISBLANK(BOM_table6[[#This Row],[ASM QTY]]),ISBLANK(BOM_table6[[#This Row],[Unit Cost]])),0,BOM_table6[[#This Row],[ASM QTY]]*BOM_table6[[#This Row],[Unit Cost]])</f>
        <v>0</v>
      </c>
      <c r="Q456" s="45"/>
      <c r="R456" s="81"/>
      <c r="S456" s="111">
        <f>BOM_table6[[#This Row],[ASM QTY]]*$Q$2+BOM_table6[[#This Row],[Spare QTY Needed]]-BOM_table6[[#This Row],[QTY in Inventory]]</f>
        <v>1</v>
      </c>
      <c r="T456" s="111">
        <f>ROUNDUP((BOM_table6[[#This Row],[QTY to Order]]/BOM_table6[[#This Row],[SKU QTY]]),0)</f>
        <v>1</v>
      </c>
      <c r="U456" s="110">
        <f>BOM_table6[[#This Row],[SKU QTY to Order]]*BOM_table6[[#This Row],[SKU Cost]]</f>
        <v>0</v>
      </c>
      <c r="V456" s="62"/>
      <c r="W456" s="45"/>
      <c r="X456" s="45"/>
      <c r="Y456" s="97"/>
      <c r="Z456" s="54"/>
      <c r="AA456" s="45"/>
      <c r="AB456" s="45"/>
      <c r="AC456" s="45"/>
    </row>
    <row r="457" spans="1:29" ht="15" customHeight="1" x14ac:dyDescent="0.2">
      <c r="A457" s="105" t="s">
        <v>160</v>
      </c>
      <c r="B457" s="44" t="s">
        <v>234</v>
      </c>
      <c r="C457" s="45" t="s">
        <v>235</v>
      </c>
      <c r="D457" s="45" t="s">
        <v>152</v>
      </c>
      <c r="E457" s="45" t="s">
        <v>1049</v>
      </c>
      <c r="F457" s="45" t="s">
        <v>808</v>
      </c>
      <c r="G457" s="45">
        <v>1</v>
      </c>
      <c r="H457" s="45"/>
      <c r="J457" s="45" t="s">
        <v>1320</v>
      </c>
      <c r="K457" s="45" t="s">
        <v>1483</v>
      </c>
      <c r="L457" s="45"/>
      <c r="M457" s="106">
        <v>1</v>
      </c>
      <c r="N457" s="50"/>
      <c r="O457" s="110">
        <f>IF(OR(ISBLANK(BOM_table6[[#This Row],[SKU QTY]]),BOM_table6[[#This Row],[SKU Cost]]=0),0,BOM_table6[[#This Row],[SKU Cost]]/BOM_table6[[#This Row],[SKU QTY]])</f>
        <v>0</v>
      </c>
      <c r="P457" s="110">
        <f>IF(OR(ISBLANK(BOM_table6[[#This Row],[ASM QTY]]),ISBLANK(BOM_table6[[#This Row],[Unit Cost]])),0,BOM_table6[[#This Row],[ASM QTY]]*BOM_table6[[#This Row],[Unit Cost]])</f>
        <v>0</v>
      </c>
      <c r="Q457" s="45"/>
      <c r="R457" s="81"/>
      <c r="S457" s="111">
        <f>BOM_table6[[#This Row],[ASM QTY]]*$Q$2+BOM_table6[[#This Row],[Spare QTY Needed]]-BOM_table6[[#This Row],[QTY in Inventory]]</f>
        <v>1</v>
      </c>
      <c r="T457" s="111">
        <f>ROUNDUP((BOM_table6[[#This Row],[QTY to Order]]/BOM_table6[[#This Row],[SKU QTY]]),0)</f>
        <v>1</v>
      </c>
      <c r="U457" s="110">
        <f>BOM_table6[[#This Row],[SKU QTY to Order]]*BOM_table6[[#This Row],[SKU Cost]]</f>
        <v>0</v>
      </c>
      <c r="V457" s="62"/>
      <c r="W457" s="45"/>
      <c r="X457" s="45"/>
      <c r="Y457" s="97"/>
      <c r="Z457" s="54"/>
      <c r="AA457" s="45"/>
      <c r="AB457" s="45"/>
      <c r="AC457" s="45"/>
    </row>
    <row r="458" spans="1:29" ht="15" customHeight="1" x14ac:dyDescent="0.2">
      <c r="A458" s="105" t="s">
        <v>159</v>
      </c>
      <c r="B458" s="44" t="s">
        <v>248</v>
      </c>
      <c r="C458" s="45" t="s">
        <v>249</v>
      </c>
      <c r="D458" s="45"/>
      <c r="E458" s="45" t="s">
        <v>250</v>
      </c>
      <c r="F458" s="45" t="s">
        <v>808</v>
      </c>
      <c r="G458" s="45">
        <v>1</v>
      </c>
      <c r="H458" s="45" t="s">
        <v>2175</v>
      </c>
      <c r="I458" s="75"/>
      <c r="J458" s="45" t="s">
        <v>166</v>
      </c>
      <c r="K458" s="45" t="s">
        <v>250</v>
      </c>
      <c r="L458" s="45"/>
      <c r="M458" s="106">
        <v>1</v>
      </c>
      <c r="N458" s="50">
        <v>740</v>
      </c>
      <c r="O458" s="110">
        <f>IF(OR(ISBLANK(BOM_table6[[#This Row],[SKU QTY]]),BOM_table6[[#This Row],[SKU Cost]]=0),0,BOM_table6[[#This Row],[SKU Cost]]/BOM_table6[[#This Row],[SKU QTY]])</f>
        <v>740</v>
      </c>
      <c r="P458" s="110">
        <f>IF(OR(ISBLANK(BOM_table6[[#This Row],[ASM QTY]]),ISBLANK(BOM_table6[[#This Row],[Unit Cost]])),0,BOM_table6[[#This Row],[ASM QTY]]*BOM_table6[[#This Row],[Unit Cost]])</f>
        <v>740</v>
      </c>
      <c r="Q458" s="45"/>
      <c r="R458" s="81"/>
      <c r="S458" s="111">
        <f>BOM_table6[[#This Row],[ASM QTY]]*$Q$2+BOM_table6[[#This Row],[Spare QTY Needed]]-BOM_table6[[#This Row],[QTY in Inventory]]</f>
        <v>1</v>
      </c>
      <c r="T458" s="111">
        <f>ROUNDUP((BOM_table6[[#This Row],[QTY to Order]]/BOM_table6[[#This Row],[SKU QTY]]),0)</f>
        <v>1</v>
      </c>
      <c r="U458" s="110">
        <f>BOM_table6[[#This Row],[SKU QTY to Order]]*BOM_table6[[#This Row],[SKU Cost]]</f>
        <v>740</v>
      </c>
      <c r="V458" s="62"/>
      <c r="W458" s="45" t="s">
        <v>2191</v>
      </c>
      <c r="X458" s="45" t="s">
        <v>2192</v>
      </c>
      <c r="Y458" s="54">
        <v>44991</v>
      </c>
      <c r="Z458" s="54">
        <v>45061</v>
      </c>
      <c r="AA458" s="97"/>
      <c r="AB458" s="45"/>
      <c r="AC458" s="45"/>
    </row>
    <row r="459" spans="1:29" ht="15" customHeight="1" x14ac:dyDescent="0.2">
      <c r="A459" s="105" t="s">
        <v>161</v>
      </c>
      <c r="B459" s="44" t="s">
        <v>246</v>
      </c>
      <c r="C459" s="45" t="s">
        <v>247</v>
      </c>
      <c r="D459" s="45" t="s">
        <v>233</v>
      </c>
      <c r="E459" s="45" t="s">
        <v>1049</v>
      </c>
      <c r="F459" s="45" t="s">
        <v>808</v>
      </c>
      <c r="G459" s="45">
        <v>1</v>
      </c>
      <c r="H459" s="45" t="s">
        <v>2175</v>
      </c>
      <c r="I459" s="43" t="s">
        <v>2280</v>
      </c>
      <c r="J459" s="45" t="s">
        <v>169</v>
      </c>
      <c r="K459" s="45" t="s">
        <v>1439</v>
      </c>
      <c r="L459" s="45"/>
      <c r="M459" s="106">
        <v>1</v>
      </c>
      <c r="N459" s="50">
        <v>339.68</v>
      </c>
      <c r="O459" s="110">
        <f>IF(OR(ISBLANK(BOM_table6[[#This Row],[SKU QTY]]),BOM_table6[[#This Row],[SKU Cost]]=0),0,BOM_table6[[#This Row],[SKU Cost]]/BOM_table6[[#This Row],[SKU QTY]])</f>
        <v>339.68</v>
      </c>
      <c r="P459" s="110">
        <f>IF(OR(ISBLANK(BOM_table6[[#This Row],[ASM QTY]]),ISBLANK(BOM_table6[[#This Row],[Unit Cost]])),0,BOM_table6[[#This Row],[ASM QTY]]*BOM_table6[[#This Row],[Unit Cost]])</f>
        <v>339.68</v>
      </c>
      <c r="Q459" s="45"/>
      <c r="R459" s="81"/>
      <c r="S459" s="111">
        <f>BOM_table6[[#This Row],[ASM QTY]]*$Q$2+BOM_table6[[#This Row],[Spare QTY Needed]]-BOM_table6[[#This Row],[QTY in Inventory]]</f>
        <v>1</v>
      </c>
      <c r="T459" s="111">
        <f>ROUNDUP((BOM_table6[[#This Row],[QTY to Order]]/BOM_table6[[#This Row],[SKU QTY]]),0)</f>
        <v>1</v>
      </c>
      <c r="U459" s="110">
        <f>BOM_table6[[#This Row],[SKU QTY to Order]]*BOM_table6[[#This Row],[SKU Cost]]</f>
        <v>339.68</v>
      </c>
      <c r="V459" s="50" t="s">
        <v>2201</v>
      </c>
      <c r="W459" s="45" t="s">
        <v>2180</v>
      </c>
      <c r="X459" s="45" t="s">
        <v>2247</v>
      </c>
      <c r="Y459" s="97">
        <v>44893</v>
      </c>
      <c r="Z459" s="54">
        <v>44928</v>
      </c>
      <c r="AA459" s="54"/>
      <c r="AB459" s="45"/>
      <c r="AC459" s="45"/>
    </row>
    <row r="460" spans="1:29" ht="15" customHeight="1" x14ac:dyDescent="0.2">
      <c r="A460" s="105" t="s">
        <v>161</v>
      </c>
      <c r="B460" s="44" t="s">
        <v>231</v>
      </c>
      <c r="C460" s="45" t="s">
        <v>232</v>
      </c>
      <c r="D460" s="45" t="s">
        <v>233</v>
      </c>
      <c r="E460" s="45" t="s">
        <v>1049</v>
      </c>
      <c r="F460" s="45" t="s">
        <v>808</v>
      </c>
      <c r="G460" s="45">
        <v>1</v>
      </c>
      <c r="H460" s="45" t="s">
        <v>2175</v>
      </c>
      <c r="I460" s="43" t="s">
        <v>2280</v>
      </c>
      <c r="J460" s="45" t="s">
        <v>169</v>
      </c>
      <c r="K460" s="45" t="s">
        <v>1439</v>
      </c>
      <c r="L460" s="45"/>
      <c r="M460" s="106">
        <v>1</v>
      </c>
      <c r="N460" s="50">
        <v>384.07</v>
      </c>
      <c r="O460" s="110">
        <f>IF(OR(ISBLANK(BOM_table6[[#This Row],[SKU QTY]]),BOM_table6[[#This Row],[SKU Cost]]=0),0,BOM_table6[[#This Row],[SKU Cost]]/BOM_table6[[#This Row],[SKU QTY]])</f>
        <v>384.07</v>
      </c>
      <c r="P460" s="110">
        <f>IF(OR(ISBLANK(BOM_table6[[#This Row],[ASM QTY]]),ISBLANK(BOM_table6[[#This Row],[Unit Cost]])),0,BOM_table6[[#This Row],[ASM QTY]]*BOM_table6[[#This Row],[Unit Cost]])</f>
        <v>384.07</v>
      </c>
      <c r="Q460" s="45"/>
      <c r="R460" s="81"/>
      <c r="S460" s="111">
        <f>BOM_table6[[#This Row],[ASM QTY]]*$Q$2+BOM_table6[[#This Row],[Spare QTY Needed]]-BOM_table6[[#This Row],[QTY in Inventory]]</f>
        <v>1</v>
      </c>
      <c r="T460" s="111">
        <f>ROUNDUP((BOM_table6[[#This Row],[QTY to Order]]/BOM_table6[[#This Row],[SKU QTY]]),0)</f>
        <v>1</v>
      </c>
      <c r="U460" s="110">
        <f>BOM_table6[[#This Row],[SKU QTY to Order]]*BOM_table6[[#This Row],[SKU Cost]]</f>
        <v>384.07</v>
      </c>
      <c r="V460" s="50" t="s">
        <v>2201</v>
      </c>
      <c r="W460" s="45" t="s">
        <v>2180</v>
      </c>
      <c r="X460" s="45" t="s">
        <v>2247</v>
      </c>
      <c r="Y460" s="97">
        <v>44893</v>
      </c>
      <c r="Z460" s="54">
        <v>44928</v>
      </c>
      <c r="AA460" s="54"/>
      <c r="AB460" s="45"/>
      <c r="AC460" s="45"/>
    </row>
    <row r="461" spans="1:29" ht="15" customHeight="1" x14ac:dyDescent="0.2">
      <c r="A461" s="105" t="s">
        <v>161</v>
      </c>
      <c r="B461" s="44" t="s">
        <v>224</v>
      </c>
      <c r="C461" s="45" t="s">
        <v>225</v>
      </c>
      <c r="D461" s="45" t="s">
        <v>152</v>
      </c>
      <c r="E461" s="45" t="s">
        <v>1049</v>
      </c>
      <c r="F461" s="45" t="s">
        <v>808</v>
      </c>
      <c r="G461" s="45">
        <v>1</v>
      </c>
      <c r="H461" s="45" t="s">
        <v>2175</v>
      </c>
      <c r="I461" s="43" t="s">
        <v>2158</v>
      </c>
      <c r="J461" s="45" t="s">
        <v>169</v>
      </c>
      <c r="K461" s="45" t="s">
        <v>1422</v>
      </c>
      <c r="L461" s="45"/>
      <c r="M461" s="106">
        <v>1</v>
      </c>
      <c r="N461" s="50">
        <v>1780</v>
      </c>
      <c r="O461" s="110">
        <f>IF(OR(ISBLANK(BOM_table6[[#This Row],[SKU QTY]]),BOM_table6[[#This Row],[SKU Cost]]=0),0,BOM_table6[[#This Row],[SKU Cost]]/BOM_table6[[#This Row],[SKU QTY]])</f>
        <v>1780</v>
      </c>
      <c r="P461" s="110">
        <f>IF(OR(ISBLANK(BOM_table6[[#This Row],[ASM QTY]]),ISBLANK(BOM_table6[[#This Row],[Unit Cost]])),0,BOM_table6[[#This Row],[ASM QTY]]*BOM_table6[[#This Row],[Unit Cost]])</f>
        <v>1780</v>
      </c>
      <c r="Q461" s="45">
        <v>0</v>
      </c>
      <c r="R461" s="81">
        <v>0</v>
      </c>
      <c r="S461" s="111">
        <f>BOM_table6[[#This Row],[ASM QTY]]*$Q$2+BOM_table6[[#This Row],[Spare QTY Needed]]-BOM_table6[[#This Row],[QTY in Inventory]]</f>
        <v>1</v>
      </c>
      <c r="T461" s="111">
        <f>ROUNDUP((BOM_table6[[#This Row],[QTY to Order]]/BOM_table6[[#This Row],[SKU QTY]]),0)</f>
        <v>1</v>
      </c>
      <c r="U461" s="110">
        <f>BOM_table6[[#This Row],[SKU QTY to Order]]*BOM_table6[[#This Row],[SKU Cost]]</f>
        <v>1780</v>
      </c>
      <c r="V461" s="62"/>
      <c r="W461" s="45" t="s">
        <v>2180</v>
      </c>
      <c r="X461" s="45" t="s">
        <v>2217</v>
      </c>
      <c r="Y461" s="54">
        <v>44858</v>
      </c>
      <c r="Z461" s="54">
        <v>44907</v>
      </c>
      <c r="AA461" s="54"/>
      <c r="AB461" s="45"/>
      <c r="AC461" s="45"/>
    </row>
    <row r="462" spans="1:29" ht="15" customHeight="1" x14ac:dyDescent="0.2">
      <c r="A462" s="105" t="s">
        <v>161</v>
      </c>
      <c r="B462" s="44" t="s">
        <v>222</v>
      </c>
      <c r="C462" s="45" t="s">
        <v>223</v>
      </c>
      <c r="D462" s="45"/>
      <c r="E462" s="45"/>
      <c r="F462" s="45" t="s">
        <v>851</v>
      </c>
      <c r="G462" s="45">
        <v>10</v>
      </c>
      <c r="H462" s="45"/>
      <c r="I462" s="43" t="s">
        <v>852</v>
      </c>
      <c r="J462" s="45" t="s">
        <v>1321</v>
      </c>
      <c r="K462" s="45" t="s">
        <v>216</v>
      </c>
      <c r="L462" s="45"/>
      <c r="M462" s="106">
        <v>1</v>
      </c>
      <c r="N462" s="50">
        <v>0.11</v>
      </c>
      <c r="O462" s="110">
        <f>IF(OR(ISBLANK(BOM_table6[[#This Row],[SKU QTY]]),BOM_table6[[#This Row],[SKU Cost]]=0),0,BOM_table6[[#This Row],[SKU Cost]]/BOM_table6[[#This Row],[SKU QTY]])</f>
        <v>0.11</v>
      </c>
      <c r="P462" s="110">
        <f>IF(OR(ISBLANK(BOM_table6[[#This Row],[ASM QTY]]),ISBLANK(BOM_table6[[#This Row],[Unit Cost]])),0,BOM_table6[[#This Row],[ASM QTY]]*BOM_table6[[#This Row],[Unit Cost]])</f>
        <v>1.1000000000000001</v>
      </c>
      <c r="Q462" s="45"/>
      <c r="R462" s="81"/>
      <c r="S462" s="111">
        <f>BOM_table6[[#This Row],[ASM QTY]]*$Q$2+BOM_table6[[#This Row],[Spare QTY Needed]]-BOM_table6[[#This Row],[QTY in Inventory]]</f>
        <v>10</v>
      </c>
      <c r="T462" s="111">
        <f>ROUNDUP((BOM_table6[[#This Row],[QTY to Order]]/BOM_table6[[#This Row],[SKU QTY]]),0)</f>
        <v>10</v>
      </c>
      <c r="U462" s="110">
        <f>BOM_table6[[#This Row],[SKU QTY to Order]]*BOM_table6[[#This Row],[SKU Cost]]</f>
        <v>1.1000000000000001</v>
      </c>
      <c r="V462" s="62"/>
      <c r="W462" s="45"/>
      <c r="X462" s="45"/>
      <c r="Y462" s="54"/>
      <c r="Z462" s="54"/>
      <c r="AA462" s="54"/>
      <c r="AB462" s="45"/>
      <c r="AC462" s="45"/>
    </row>
    <row r="463" spans="1:29" ht="15" customHeight="1" x14ac:dyDescent="0.2">
      <c r="A463" s="105" t="s">
        <v>161</v>
      </c>
      <c r="B463" s="44" t="s">
        <v>220</v>
      </c>
      <c r="C463" s="45" t="s">
        <v>221</v>
      </c>
      <c r="D463" s="45"/>
      <c r="E463" s="45"/>
      <c r="F463" s="45" t="s">
        <v>853</v>
      </c>
      <c r="G463" s="45">
        <v>9</v>
      </c>
      <c r="H463" s="45"/>
      <c r="I463" s="43" t="s">
        <v>854</v>
      </c>
      <c r="J463" s="45" t="s">
        <v>1321</v>
      </c>
      <c r="K463" s="45" t="s">
        <v>216</v>
      </c>
      <c r="L463" s="45"/>
      <c r="M463" s="106">
        <v>1</v>
      </c>
      <c r="N463" s="50">
        <v>0.14000000000000001</v>
      </c>
      <c r="O463" s="110">
        <f>IF(OR(ISBLANK(BOM_table6[[#This Row],[SKU QTY]]),BOM_table6[[#This Row],[SKU Cost]]=0),0,BOM_table6[[#This Row],[SKU Cost]]/BOM_table6[[#This Row],[SKU QTY]])</f>
        <v>0.14000000000000001</v>
      </c>
      <c r="P463" s="110">
        <f>IF(OR(ISBLANK(BOM_table6[[#This Row],[ASM QTY]]),ISBLANK(BOM_table6[[#This Row],[Unit Cost]])),0,BOM_table6[[#This Row],[ASM QTY]]*BOM_table6[[#This Row],[Unit Cost]])</f>
        <v>1.2600000000000002</v>
      </c>
      <c r="Q463" s="45"/>
      <c r="R463" s="81"/>
      <c r="S463" s="111">
        <f>BOM_table6[[#This Row],[ASM QTY]]*$Q$2+BOM_table6[[#This Row],[Spare QTY Needed]]-BOM_table6[[#This Row],[QTY in Inventory]]</f>
        <v>9</v>
      </c>
      <c r="T463" s="111">
        <f>ROUNDUP((BOM_table6[[#This Row],[QTY to Order]]/BOM_table6[[#This Row],[SKU QTY]]),0)</f>
        <v>9</v>
      </c>
      <c r="U463" s="110">
        <f>BOM_table6[[#This Row],[SKU QTY to Order]]*BOM_table6[[#This Row],[SKU Cost]]</f>
        <v>1.2600000000000002</v>
      </c>
      <c r="V463" s="62"/>
      <c r="W463" s="45" t="s">
        <v>2180</v>
      </c>
      <c r="X463" s="45" t="s">
        <v>2192</v>
      </c>
      <c r="Y463" s="54">
        <v>44923</v>
      </c>
      <c r="Z463" s="54"/>
      <c r="AA463" s="54">
        <v>44924</v>
      </c>
      <c r="AB463" s="45"/>
      <c r="AC463" s="45"/>
    </row>
    <row r="464" spans="1:29" ht="15" customHeight="1" x14ac:dyDescent="0.2">
      <c r="A464" s="105" t="s">
        <v>161</v>
      </c>
      <c r="B464" s="44" t="s">
        <v>519</v>
      </c>
      <c r="C464" s="45" t="s">
        <v>520</v>
      </c>
      <c r="D464" s="45"/>
      <c r="E464" s="45" t="s">
        <v>521</v>
      </c>
      <c r="F464" s="45" t="s">
        <v>824</v>
      </c>
      <c r="G464" s="45">
        <v>1</v>
      </c>
      <c r="H464" s="45" t="s">
        <v>2175</v>
      </c>
      <c r="I464" s="43" t="s">
        <v>2176</v>
      </c>
      <c r="J464" s="45" t="s">
        <v>166</v>
      </c>
      <c r="K464" s="45" t="s">
        <v>521</v>
      </c>
      <c r="L464" s="45"/>
      <c r="M464" s="106">
        <v>1</v>
      </c>
      <c r="N464" s="50"/>
      <c r="O464" s="110">
        <f>IF(OR(ISBLANK(BOM_table6[[#This Row],[SKU QTY]]),BOM_table6[[#This Row],[SKU Cost]]=0),0,BOM_table6[[#This Row],[SKU Cost]]/BOM_table6[[#This Row],[SKU QTY]])</f>
        <v>0</v>
      </c>
      <c r="P464" s="110">
        <f>IF(OR(ISBLANK(BOM_table6[[#This Row],[ASM QTY]]),ISBLANK(BOM_table6[[#This Row],[Unit Cost]])),0,BOM_table6[[#This Row],[ASM QTY]]*BOM_table6[[#This Row],[Unit Cost]])</f>
        <v>0</v>
      </c>
      <c r="Q464" s="45"/>
      <c r="R464" s="81">
        <v>2</v>
      </c>
      <c r="S464" s="111">
        <f>BOM_table6[[#This Row],[ASM QTY]]*$Q$2+BOM_table6[[#This Row],[Spare QTY Needed]]-BOM_table6[[#This Row],[QTY in Inventory]]</f>
        <v>-1</v>
      </c>
      <c r="T464" s="111">
        <f>ROUNDUP((BOM_table6[[#This Row],[QTY to Order]]/BOM_table6[[#This Row],[SKU QTY]]),0)</f>
        <v>-1</v>
      </c>
      <c r="U464" s="110">
        <f>BOM_table6[[#This Row],[SKU QTY to Order]]*BOM_table6[[#This Row],[SKU Cost]]</f>
        <v>0</v>
      </c>
      <c r="V464" s="62"/>
      <c r="W464" s="45"/>
      <c r="X464" s="45"/>
      <c r="Y464" s="54"/>
      <c r="Z464" s="54"/>
      <c r="AA464" s="54"/>
      <c r="AB464" s="45"/>
      <c r="AC464" s="45"/>
    </row>
    <row r="465" spans="1:29" ht="15" customHeight="1" x14ac:dyDescent="0.2">
      <c r="A465" s="105" t="s">
        <v>161</v>
      </c>
      <c r="B465" s="44" t="s">
        <v>512</v>
      </c>
      <c r="C465" s="45" t="s">
        <v>513</v>
      </c>
      <c r="D465" s="45"/>
      <c r="E465" s="45" t="s">
        <v>514</v>
      </c>
      <c r="F465" s="45" t="s">
        <v>824</v>
      </c>
      <c r="G465" s="45">
        <v>1</v>
      </c>
      <c r="H465" s="45"/>
      <c r="I465" s="75"/>
      <c r="J465" s="45" t="s">
        <v>166</v>
      </c>
      <c r="K465" s="45" t="s">
        <v>514</v>
      </c>
      <c r="L465" s="45"/>
      <c r="M465" s="106">
        <v>1</v>
      </c>
      <c r="N465" s="50"/>
      <c r="O465" s="110">
        <f>IF(OR(ISBLANK(BOM_table6[[#This Row],[SKU QTY]]),BOM_table6[[#This Row],[SKU Cost]]=0),0,BOM_table6[[#This Row],[SKU Cost]]/BOM_table6[[#This Row],[SKU QTY]])</f>
        <v>0</v>
      </c>
      <c r="P465" s="110">
        <f>IF(OR(ISBLANK(BOM_table6[[#This Row],[ASM QTY]]),ISBLANK(BOM_table6[[#This Row],[Unit Cost]])),0,BOM_table6[[#This Row],[ASM QTY]]*BOM_table6[[#This Row],[Unit Cost]])</f>
        <v>0</v>
      </c>
      <c r="Q465" s="45"/>
      <c r="R465" s="81"/>
      <c r="S465" s="111">
        <f>BOM_table6[[#This Row],[ASM QTY]]*$Q$2+BOM_table6[[#This Row],[Spare QTY Needed]]-BOM_table6[[#This Row],[QTY in Inventory]]</f>
        <v>1</v>
      </c>
      <c r="T465" s="111">
        <f>ROUNDUP((BOM_table6[[#This Row],[QTY to Order]]/BOM_table6[[#This Row],[SKU QTY]]),0)</f>
        <v>1</v>
      </c>
      <c r="U465" s="110">
        <f>BOM_table6[[#This Row],[SKU QTY to Order]]*BOM_table6[[#This Row],[SKU Cost]]</f>
        <v>0</v>
      </c>
      <c r="V465" s="62"/>
      <c r="W465" s="45"/>
      <c r="X465" s="45"/>
      <c r="Y465" s="45"/>
      <c r="Z465" s="54"/>
      <c r="AA465" s="45"/>
      <c r="AB465" s="45"/>
      <c r="AC465" s="45"/>
    </row>
    <row r="466" spans="1:29" ht="15" customHeight="1" x14ac:dyDescent="0.2">
      <c r="A466" s="105" t="s">
        <v>160</v>
      </c>
      <c r="B466" s="44" t="s">
        <v>524</v>
      </c>
      <c r="C466" s="45" t="s">
        <v>525</v>
      </c>
      <c r="D466" s="45"/>
      <c r="E466" s="45"/>
      <c r="F466" s="45" t="s">
        <v>824</v>
      </c>
      <c r="G466" s="45">
        <v>1</v>
      </c>
      <c r="H466" s="45"/>
      <c r="I466" s="75"/>
      <c r="J466" s="45" t="s">
        <v>166</v>
      </c>
      <c r="K466" s="45" t="s">
        <v>216</v>
      </c>
      <c r="L466" s="45"/>
      <c r="M466" s="106">
        <v>1</v>
      </c>
      <c r="N466" s="50"/>
      <c r="O466" s="110">
        <f>IF(OR(ISBLANK(BOM_table6[[#This Row],[SKU QTY]]),BOM_table6[[#This Row],[SKU Cost]]=0),0,BOM_table6[[#This Row],[SKU Cost]]/BOM_table6[[#This Row],[SKU QTY]])</f>
        <v>0</v>
      </c>
      <c r="P466" s="110">
        <f>IF(OR(ISBLANK(BOM_table6[[#This Row],[ASM QTY]]),ISBLANK(BOM_table6[[#This Row],[Unit Cost]])),0,BOM_table6[[#This Row],[ASM QTY]]*BOM_table6[[#This Row],[Unit Cost]])</f>
        <v>0</v>
      </c>
      <c r="Q466" s="45"/>
      <c r="R466" s="81"/>
      <c r="S466" s="111">
        <f>BOM_table6[[#This Row],[ASM QTY]]*$Q$2+BOM_table6[[#This Row],[Spare QTY Needed]]-BOM_table6[[#This Row],[QTY in Inventory]]</f>
        <v>1</v>
      </c>
      <c r="T466" s="111">
        <f>ROUNDUP((BOM_table6[[#This Row],[QTY to Order]]/BOM_table6[[#This Row],[SKU QTY]]),0)</f>
        <v>1</v>
      </c>
      <c r="U466" s="110">
        <f>BOM_table6[[#This Row],[SKU QTY to Order]]*BOM_table6[[#This Row],[SKU Cost]]</f>
        <v>0</v>
      </c>
      <c r="V466" s="62"/>
      <c r="W466" s="45"/>
      <c r="X466" s="45"/>
      <c r="Y466" s="54"/>
      <c r="Z466" s="54"/>
      <c r="AA466" s="54"/>
      <c r="AB466" s="45"/>
      <c r="AC466" s="45"/>
    </row>
    <row r="467" spans="1:29" ht="15" customHeight="1" x14ac:dyDescent="0.2">
      <c r="A467" s="105" t="s">
        <v>161</v>
      </c>
      <c r="B467" s="44" t="s">
        <v>522</v>
      </c>
      <c r="C467" s="45" t="s">
        <v>523</v>
      </c>
      <c r="D467" s="45"/>
      <c r="E467" s="45"/>
      <c r="F467" s="45" t="s">
        <v>824</v>
      </c>
      <c r="G467" s="45">
        <v>2</v>
      </c>
      <c r="H467" s="45"/>
      <c r="I467" s="75"/>
      <c r="J467" s="45" t="s">
        <v>166</v>
      </c>
      <c r="K467" s="45" t="s">
        <v>216</v>
      </c>
      <c r="L467" s="45"/>
      <c r="M467" s="106">
        <v>1</v>
      </c>
      <c r="N467" s="50">
        <v>21.68</v>
      </c>
      <c r="O467" s="110">
        <f>IF(OR(ISBLANK(BOM_table6[[#This Row],[SKU QTY]]),BOM_table6[[#This Row],[SKU Cost]]=0),0,BOM_table6[[#This Row],[SKU Cost]]/BOM_table6[[#This Row],[SKU QTY]])</f>
        <v>21.68</v>
      </c>
      <c r="P467" s="110">
        <f>IF(OR(ISBLANK(BOM_table6[[#This Row],[ASM QTY]]),ISBLANK(BOM_table6[[#This Row],[Unit Cost]])),0,BOM_table6[[#This Row],[ASM QTY]]*BOM_table6[[#This Row],[Unit Cost]])</f>
        <v>43.36</v>
      </c>
      <c r="Q467" s="45"/>
      <c r="R467" s="81"/>
      <c r="S467" s="111">
        <f>BOM_table6[[#This Row],[ASM QTY]]*$Q$2+BOM_table6[[#This Row],[Spare QTY Needed]]-BOM_table6[[#This Row],[QTY in Inventory]]</f>
        <v>2</v>
      </c>
      <c r="T467" s="111">
        <f>ROUNDUP((BOM_table6[[#This Row],[QTY to Order]]/BOM_table6[[#This Row],[SKU QTY]]),0)</f>
        <v>2</v>
      </c>
      <c r="U467" s="110">
        <f>BOM_table6[[#This Row],[SKU QTY to Order]]*BOM_table6[[#This Row],[SKU Cost]]</f>
        <v>43.36</v>
      </c>
      <c r="V467" s="62"/>
      <c r="W467" s="45" t="s">
        <v>2180</v>
      </c>
      <c r="X467" s="45" t="s">
        <v>2192</v>
      </c>
      <c r="Y467" s="54">
        <v>44923</v>
      </c>
      <c r="Z467" s="54"/>
      <c r="AA467" s="54">
        <v>44924</v>
      </c>
      <c r="AB467" s="45"/>
      <c r="AC467" s="45"/>
    </row>
    <row r="468" spans="1:29" ht="15" customHeight="1" x14ac:dyDescent="0.2">
      <c r="A468" s="105" t="s">
        <v>161</v>
      </c>
      <c r="B468" s="44" t="s">
        <v>528</v>
      </c>
      <c r="C468" s="45" t="s">
        <v>298</v>
      </c>
      <c r="D468" s="45"/>
      <c r="E468" s="45"/>
      <c r="F468" s="45" t="s">
        <v>824</v>
      </c>
      <c r="G468" s="45">
        <v>2</v>
      </c>
      <c r="H468" s="45"/>
      <c r="I468" s="75"/>
      <c r="J468" s="45" t="s">
        <v>166</v>
      </c>
      <c r="K468" s="45" t="s">
        <v>216</v>
      </c>
      <c r="L468" s="45"/>
      <c r="M468" s="106">
        <v>1</v>
      </c>
      <c r="N468" s="50">
        <v>13.27</v>
      </c>
      <c r="O468" s="110">
        <f>IF(OR(ISBLANK(BOM_table6[[#This Row],[SKU QTY]]),BOM_table6[[#This Row],[SKU Cost]]=0),0,BOM_table6[[#This Row],[SKU Cost]]/BOM_table6[[#This Row],[SKU QTY]])</f>
        <v>13.27</v>
      </c>
      <c r="P468" s="110">
        <f>IF(OR(ISBLANK(BOM_table6[[#This Row],[ASM QTY]]),ISBLANK(BOM_table6[[#This Row],[Unit Cost]])),0,BOM_table6[[#This Row],[ASM QTY]]*BOM_table6[[#This Row],[Unit Cost]])</f>
        <v>26.54</v>
      </c>
      <c r="Q468" s="45"/>
      <c r="R468" s="81"/>
      <c r="S468" s="111">
        <f>BOM_table6[[#This Row],[ASM QTY]]*$Q$2+BOM_table6[[#This Row],[Spare QTY Needed]]-BOM_table6[[#This Row],[QTY in Inventory]]</f>
        <v>2</v>
      </c>
      <c r="T468" s="111">
        <f>ROUNDUP((BOM_table6[[#This Row],[QTY to Order]]/BOM_table6[[#This Row],[SKU QTY]]),0)</f>
        <v>2</v>
      </c>
      <c r="U468" s="110">
        <f>BOM_table6[[#This Row],[SKU QTY to Order]]*BOM_table6[[#This Row],[SKU Cost]]</f>
        <v>26.54</v>
      </c>
      <c r="V468" s="62"/>
      <c r="W468" s="45" t="s">
        <v>2180</v>
      </c>
      <c r="X468" s="45" t="s">
        <v>2192</v>
      </c>
      <c r="Y468" s="97">
        <v>44923</v>
      </c>
      <c r="Z468" s="54"/>
      <c r="AA468" s="97">
        <v>44924</v>
      </c>
      <c r="AB468" s="45"/>
      <c r="AC468" s="45"/>
    </row>
    <row r="469" spans="1:29" ht="15" customHeight="1" x14ac:dyDescent="0.2">
      <c r="A469" s="105" t="s">
        <v>161</v>
      </c>
      <c r="B469" s="44" t="s">
        <v>517</v>
      </c>
      <c r="C469" s="45" t="s">
        <v>518</v>
      </c>
      <c r="D469" s="45"/>
      <c r="E469" s="45" t="s">
        <v>1430</v>
      </c>
      <c r="F469" s="45" t="s">
        <v>824</v>
      </c>
      <c r="G469" s="45">
        <v>1</v>
      </c>
      <c r="H469" s="45"/>
      <c r="I469" s="43" t="s">
        <v>2173</v>
      </c>
      <c r="J469" s="45" t="s">
        <v>166</v>
      </c>
      <c r="K469" s="45" t="s">
        <v>216</v>
      </c>
      <c r="L469" s="45"/>
      <c r="M469" s="106">
        <v>1</v>
      </c>
      <c r="N469" s="50"/>
      <c r="O469" s="110">
        <f>IF(OR(ISBLANK(BOM_table6[[#This Row],[SKU QTY]]),BOM_table6[[#This Row],[SKU Cost]]=0),0,BOM_table6[[#This Row],[SKU Cost]]/BOM_table6[[#This Row],[SKU QTY]])</f>
        <v>0</v>
      </c>
      <c r="P469" s="110">
        <f>IF(OR(ISBLANK(BOM_table6[[#This Row],[ASM QTY]]),ISBLANK(BOM_table6[[#This Row],[Unit Cost]])),0,BOM_table6[[#This Row],[ASM QTY]]*BOM_table6[[#This Row],[Unit Cost]])</f>
        <v>0</v>
      </c>
      <c r="Q469" s="45"/>
      <c r="R469" s="81">
        <v>3</v>
      </c>
      <c r="S469" s="111">
        <f>BOM_table6[[#This Row],[ASM QTY]]*$Q$2+BOM_table6[[#This Row],[Spare QTY Needed]]-BOM_table6[[#This Row],[QTY in Inventory]]</f>
        <v>-2</v>
      </c>
      <c r="T469" s="111">
        <f>ROUNDUP((BOM_table6[[#This Row],[QTY to Order]]/BOM_table6[[#This Row],[SKU QTY]]),0)</f>
        <v>-2</v>
      </c>
      <c r="U469" s="110">
        <f>BOM_table6[[#This Row],[SKU QTY to Order]]*BOM_table6[[#This Row],[SKU Cost]]</f>
        <v>0</v>
      </c>
      <c r="V469" s="62"/>
      <c r="W469" s="45"/>
      <c r="X469" s="45"/>
      <c r="Y469" s="54"/>
      <c r="Z469" s="54"/>
      <c r="AA469" s="45"/>
      <c r="AB469" s="45"/>
      <c r="AC469" s="45"/>
    </row>
    <row r="470" spans="1:29" ht="15" customHeight="1" x14ac:dyDescent="0.2">
      <c r="A470" s="105" t="s">
        <v>161</v>
      </c>
      <c r="B470" s="44" t="s">
        <v>526</v>
      </c>
      <c r="C470" s="45" t="s">
        <v>527</v>
      </c>
      <c r="D470" s="45"/>
      <c r="E470" s="45"/>
      <c r="F470" s="45" t="s">
        <v>824</v>
      </c>
      <c r="G470" s="45">
        <v>1</v>
      </c>
      <c r="H470" s="45"/>
      <c r="I470" s="75"/>
      <c r="J470" s="45" t="s">
        <v>166</v>
      </c>
      <c r="K470" s="45" t="s">
        <v>216</v>
      </c>
      <c r="L470" s="45"/>
      <c r="M470" s="106">
        <v>1</v>
      </c>
      <c r="N470" s="50">
        <v>12.16</v>
      </c>
      <c r="O470" s="110">
        <f>IF(OR(ISBLANK(BOM_table6[[#This Row],[SKU QTY]]),BOM_table6[[#This Row],[SKU Cost]]=0),0,BOM_table6[[#This Row],[SKU Cost]]/BOM_table6[[#This Row],[SKU QTY]])</f>
        <v>12.16</v>
      </c>
      <c r="P470" s="110">
        <f>IF(OR(ISBLANK(BOM_table6[[#This Row],[ASM QTY]]),ISBLANK(BOM_table6[[#This Row],[Unit Cost]])),0,BOM_table6[[#This Row],[ASM QTY]]*BOM_table6[[#This Row],[Unit Cost]])</f>
        <v>12.16</v>
      </c>
      <c r="Q470" s="45"/>
      <c r="R470" s="81"/>
      <c r="S470" s="111">
        <f>BOM_table6[[#This Row],[ASM QTY]]*$Q$2+BOM_table6[[#This Row],[Spare QTY Needed]]-BOM_table6[[#This Row],[QTY in Inventory]]</f>
        <v>1</v>
      </c>
      <c r="T470" s="111">
        <f>ROUNDUP((BOM_table6[[#This Row],[QTY to Order]]/BOM_table6[[#This Row],[SKU QTY]]),0)</f>
        <v>1</v>
      </c>
      <c r="U470" s="110">
        <f>BOM_table6[[#This Row],[SKU QTY to Order]]*BOM_table6[[#This Row],[SKU Cost]]</f>
        <v>12.16</v>
      </c>
      <c r="V470" s="62"/>
      <c r="W470" s="45" t="s">
        <v>2180</v>
      </c>
      <c r="X470" s="45" t="s">
        <v>2192</v>
      </c>
      <c r="Y470" s="54">
        <v>44923</v>
      </c>
      <c r="Z470" s="54"/>
      <c r="AA470" s="54">
        <v>44924</v>
      </c>
      <c r="AB470" s="45"/>
      <c r="AC470" s="45"/>
    </row>
    <row r="471" spans="1:29" ht="15" customHeight="1" x14ac:dyDescent="0.2">
      <c r="A471" s="105" t="s">
        <v>161</v>
      </c>
      <c r="B471" s="44" t="s">
        <v>504</v>
      </c>
      <c r="C471" s="45" t="s">
        <v>505</v>
      </c>
      <c r="D471" s="45" t="s">
        <v>364</v>
      </c>
      <c r="E471" s="45" t="s">
        <v>1049</v>
      </c>
      <c r="F471" s="45" t="s">
        <v>824</v>
      </c>
      <c r="G471" s="45">
        <v>1</v>
      </c>
      <c r="H471" s="45" t="s">
        <v>2175</v>
      </c>
      <c r="I471" s="75"/>
      <c r="J471" s="45" t="s">
        <v>169</v>
      </c>
      <c r="K471" s="45" t="s">
        <v>1422</v>
      </c>
      <c r="L471" s="45"/>
      <c r="M471" s="106">
        <v>1</v>
      </c>
      <c r="N471" s="50">
        <v>1440</v>
      </c>
      <c r="O471" s="110">
        <f>IF(OR(ISBLANK(BOM_table6[[#This Row],[SKU QTY]]),BOM_table6[[#This Row],[SKU Cost]]=0),0,BOM_table6[[#This Row],[SKU Cost]]/BOM_table6[[#This Row],[SKU QTY]])</f>
        <v>1440</v>
      </c>
      <c r="P471" s="110">
        <f>IF(OR(ISBLANK(BOM_table6[[#This Row],[ASM QTY]]),ISBLANK(BOM_table6[[#This Row],[Unit Cost]])),0,BOM_table6[[#This Row],[ASM QTY]]*BOM_table6[[#This Row],[Unit Cost]])</f>
        <v>1440</v>
      </c>
      <c r="Q471" s="45">
        <v>0</v>
      </c>
      <c r="R471" s="81">
        <v>0</v>
      </c>
      <c r="S471" s="111">
        <f>BOM_table6[[#This Row],[ASM QTY]]*$Q$2+BOM_table6[[#This Row],[Spare QTY Needed]]-BOM_table6[[#This Row],[QTY in Inventory]]</f>
        <v>1</v>
      </c>
      <c r="T471" s="111">
        <f>ROUNDUP((BOM_table6[[#This Row],[QTY to Order]]/BOM_table6[[#This Row],[SKU QTY]]),0)</f>
        <v>1</v>
      </c>
      <c r="U471" s="110">
        <f>BOM_table6[[#This Row],[SKU QTY to Order]]*BOM_table6[[#This Row],[SKU Cost]]</f>
        <v>1440</v>
      </c>
      <c r="V471" s="62"/>
      <c r="W471" s="45" t="s">
        <v>2180</v>
      </c>
      <c r="X471" s="45" t="s">
        <v>2217</v>
      </c>
      <c r="Y471" s="97">
        <v>44858</v>
      </c>
      <c r="Z471" s="54">
        <v>44907</v>
      </c>
      <c r="AA471" s="54"/>
      <c r="AB471" s="45"/>
      <c r="AC471" s="45"/>
    </row>
    <row r="472" spans="1:29" ht="15" customHeight="1" x14ac:dyDescent="0.25">
      <c r="A472" s="105" t="s">
        <v>161</v>
      </c>
      <c r="B472" s="44" t="s">
        <v>508</v>
      </c>
      <c r="C472" s="45" t="s">
        <v>509</v>
      </c>
      <c r="D472" s="45" t="s">
        <v>233</v>
      </c>
      <c r="E472" s="45" t="s">
        <v>1049</v>
      </c>
      <c r="F472" s="45" t="s">
        <v>824</v>
      </c>
      <c r="G472" s="45">
        <v>1</v>
      </c>
      <c r="H472" s="45"/>
      <c r="I472" s="88"/>
      <c r="J472" s="45" t="s">
        <v>867</v>
      </c>
      <c r="K472" s="45" t="s">
        <v>1395</v>
      </c>
      <c r="L472" s="45"/>
      <c r="M472" s="106">
        <v>1</v>
      </c>
      <c r="N472" s="50"/>
      <c r="O472" s="110">
        <f>IF(OR(ISBLANK(BOM_table6[[#This Row],[SKU QTY]]),BOM_table6[[#This Row],[SKU Cost]]=0),0,BOM_table6[[#This Row],[SKU Cost]]/BOM_table6[[#This Row],[SKU QTY]])</f>
        <v>0</v>
      </c>
      <c r="P472" s="110">
        <f>IF(OR(ISBLANK(BOM_table6[[#This Row],[ASM QTY]]),ISBLANK(BOM_table6[[#This Row],[Unit Cost]])),0,BOM_table6[[#This Row],[ASM QTY]]*BOM_table6[[#This Row],[Unit Cost]])</f>
        <v>0</v>
      </c>
      <c r="Q472" s="45"/>
      <c r="R472" s="81"/>
      <c r="S472" s="111">
        <f>BOM_table6[[#This Row],[ASM QTY]]*$Q$2+BOM_table6[[#This Row],[Spare QTY Needed]]-BOM_table6[[#This Row],[QTY in Inventory]]</f>
        <v>1</v>
      </c>
      <c r="T472" s="111">
        <f>ROUNDUP((BOM_table6[[#This Row],[QTY to Order]]/BOM_table6[[#This Row],[SKU QTY]]),0)</f>
        <v>1</v>
      </c>
      <c r="U472" s="110">
        <f>BOM_table6[[#This Row],[SKU QTY to Order]]*BOM_table6[[#This Row],[SKU Cost]]</f>
        <v>0</v>
      </c>
      <c r="V472" s="62"/>
      <c r="W472" s="45"/>
      <c r="X472" s="45"/>
      <c r="Y472" s="97"/>
      <c r="Z472" s="54"/>
      <c r="AA472" s="45"/>
      <c r="AB472" s="45"/>
      <c r="AC472" s="45"/>
    </row>
    <row r="473" spans="1:29" ht="15" customHeight="1" x14ac:dyDescent="0.2">
      <c r="A473" s="105" t="s">
        <v>161</v>
      </c>
      <c r="B473" s="44" t="s">
        <v>515</v>
      </c>
      <c r="C473" s="45" t="s">
        <v>516</v>
      </c>
      <c r="D473" s="45" t="s">
        <v>233</v>
      </c>
      <c r="E473" s="45" t="s">
        <v>1049</v>
      </c>
      <c r="F473" s="45" t="s">
        <v>824</v>
      </c>
      <c r="G473" s="45">
        <v>1</v>
      </c>
      <c r="H473" s="45" t="s">
        <v>2175</v>
      </c>
      <c r="I473" s="75"/>
      <c r="J473" s="45" t="s">
        <v>169</v>
      </c>
      <c r="K473" s="45"/>
      <c r="L473" s="45"/>
      <c r="M473" s="106">
        <v>1</v>
      </c>
      <c r="N473" s="50"/>
      <c r="O473" s="110">
        <f>IF(OR(ISBLANK(BOM_table6[[#This Row],[SKU QTY]]),BOM_table6[[#This Row],[SKU Cost]]=0),0,BOM_table6[[#This Row],[SKU Cost]]/BOM_table6[[#This Row],[SKU QTY]])</f>
        <v>0</v>
      </c>
      <c r="P473" s="110">
        <f>IF(OR(ISBLANK(BOM_table6[[#This Row],[ASM QTY]]),ISBLANK(BOM_table6[[#This Row],[Unit Cost]])),0,BOM_table6[[#This Row],[ASM QTY]]*BOM_table6[[#This Row],[Unit Cost]])</f>
        <v>0</v>
      </c>
      <c r="Q473" s="45"/>
      <c r="R473" s="81"/>
      <c r="S473" s="111">
        <f>BOM_table6[[#This Row],[ASM QTY]]*$Q$2+BOM_table6[[#This Row],[Spare QTY Needed]]-BOM_table6[[#This Row],[QTY in Inventory]]</f>
        <v>1</v>
      </c>
      <c r="T473" s="111">
        <f>ROUNDUP((BOM_table6[[#This Row],[QTY to Order]]/BOM_table6[[#This Row],[SKU QTY]]),0)</f>
        <v>1</v>
      </c>
      <c r="U473" s="110">
        <f>BOM_table6[[#This Row],[SKU QTY to Order]]*BOM_table6[[#This Row],[SKU Cost]]</f>
        <v>0</v>
      </c>
      <c r="V473" s="62"/>
      <c r="W473" s="45"/>
      <c r="X473" s="45"/>
      <c r="Y473" s="54"/>
      <c r="Z473" s="54"/>
      <c r="AA473" s="45"/>
      <c r="AB473" s="45"/>
      <c r="AC473" s="45"/>
    </row>
    <row r="474" spans="1:29" ht="15" customHeight="1" x14ac:dyDescent="0.2">
      <c r="A474" s="105" t="s">
        <v>161</v>
      </c>
      <c r="B474" s="44" t="s">
        <v>506</v>
      </c>
      <c r="C474" s="45" t="s">
        <v>507</v>
      </c>
      <c r="D474" s="45" t="s">
        <v>233</v>
      </c>
      <c r="E474" s="45" t="s">
        <v>1049</v>
      </c>
      <c r="F474" s="45" t="s">
        <v>824</v>
      </c>
      <c r="G474" s="45">
        <v>1</v>
      </c>
      <c r="H474" s="45" t="s">
        <v>2175</v>
      </c>
      <c r="I474" s="75"/>
      <c r="J474" s="45" t="s">
        <v>169</v>
      </c>
      <c r="K474" s="45" t="s">
        <v>1422</v>
      </c>
      <c r="L474" s="45"/>
      <c r="M474" s="106">
        <v>1</v>
      </c>
      <c r="N474" s="50">
        <v>545</v>
      </c>
      <c r="O474" s="110">
        <f>IF(OR(ISBLANK(BOM_table6[[#This Row],[SKU QTY]]),BOM_table6[[#This Row],[SKU Cost]]=0),0,BOM_table6[[#This Row],[SKU Cost]]/BOM_table6[[#This Row],[SKU QTY]])</f>
        <v>545</v>
      </c>
      <c r="P474" s="110">
        <f>IF(OR(ISBLANK(BOM_table6[[#This Row],[ASM QTY]]),ISBLANK(BOM_table6[[#This Row],[Unit Cost]])),0,BOM_table6[[#This Row],[ASM QTY]]*BOM_table6[[#This Row],[Unit Cost]])</f>
        <v>545</v>
      </c>
      <c r="Q474" s="45">
        <v>0</v>
      </c>
      <c r="R474" s="81">
        <v>0</v>
      </c>
      <c r="S474" s="111">
        <f>BOM_table6[[#This Row],[ASM QTY]]*$Q$2+BOM_table6[[#This Row],[Spare QTY Needed]]-BOM_table6[[#This Row],[QTY in Inventory]]</f>
        <v>1</v>
      </c>
      <c r="T474" s="111">
        <f>ROUNDUP((BOM_table6[[#This Row],[QTY to Order]]/BOM_table6[[#This Row],[SKU QTY]]),0)</f>
        <v>1</v>
      </c>
      <c r="U474" s="110">
        <f>BOM_table6[[#This Row],[SKU QTY to Order]]*BOM_table6[[#This Row],[SKU Cost]]</f>
        <v>545</v>
      </c>
      <c r="V474" s="62"/>
      <c r="W474" s="45" t="s">
        <v>2180</v>
      </c>
      <c r="X474" s="45" t="s">
        <v>2217</v>
      </c>
      <c r="Y474" s="97">
        <v>44858</v>
      </c>
      <c r="Z474" s="54">
        <v>44907</v>
      </c>
      <c r="AA474" s="54"/>
      <c r="AB474" s="45"/>
      <c r="AC474" s="45"/>
    </row>
    <row r="475" spans="1:29" ht="15" customHeight="1" x14ac:dyDescent="0.2">
      <c r="A475" s="105" t="s">
        <v>161</v>
      </c>
      <c r="B475" s="44" t="s">
        <v>510</v>
      </c>
      <c r="C475" s="45" t="s">
        <v>511</v>
      </c>
      <c r="D475" s="45"/>
      <c r="E475" s="45" t="s">
        <v>1049</v>
      </c>
      <c r="F475" s="45" t="s">
        <v>824</v>
      </c>
      <c r="G475" s="45">
        <v>1</v>
      </c>
      <c r="H475" s="45"/>
      <c r="I475" s="75" t="s">
        <v>2170</v>
      </c>
      <c r="J475" s="45" t="s">
        <v>169</v>
      </c>
      <c r="K475" s="45" t="s">
        <v>1953</v>
      </c>
      <c r="L475" s="45"/>
      <c r="M475" s="106">
        <v>1</v>
      </c>
      <c r="N475" s="50"/>
      <c r="O475" s="110">
        <f>IF(OR(ISBLANK(BOM_table6[[#This Row],[SKU QTY]]),BOM_table6[[#This Row],[SKU Cost]]=0),0,BOM_table6[[#This Row],[SKU Cost]]/BOM_table6[[#This Row],[SKU QTY]])</f>
        <v>0</v>
      </c>
      <c r="P475" s="110">
        <f>IF(OR(ISBLANK(BOM_table6[[#This Row],[ASM QTY]]),ISBLANK(BOM_table6[[#This Row],[Unit Cost]])),0,BOM_table6[[#This Row],[ASM QTY]]*BOM_table6[[#This Row],[Unit Cost]])</f>
        <v>0</v>
      </c>
      <c r="Q475" s="45"/>
      <c r="R475" s="81">
        <v>2</v>
      </c>
      <c r="S475" s="111">
        <f>BOM_table6[[#This Row],[ASM QTY]]*$Q$2+BOM_table6[[#This Row],[Spare QTY Needed]]-BOM_table6[[#This Row],[QTY in Inventory]]</f>
        <v>-1</v>
      </c>
      <c r="T475" s="111">
        <f>ROUNDUP((BOM_table6[[#This Row],[QTY to Order]]/BOM_table6[[#This Row],[SKU QTY]]),0)</f>
        <v>-1</v>
      </c>
      <c r="U475" s="110">
        <f>BOM_table6[[#This Row],[SKU QTY to Order]]*BOM_table6[[#This Row],[SKU Cost]]</f>
        <v>0</v>
      </c>
      <c r="V475" s="62"/>
      <c r="W475" s="45"/>
      <c r="X475" s="45"/>
      <c r="Y475" s="54"/>
      <c r="Z475" s="54"/>
      <c r="AA475" s="54"/>
      <c r="AB475" s="45"/>
      <c r="AC475" s="45"/>
    </row>
    <row r="476" spans="1:29" ht="15" customHeight="1" x14ac:dyDescent="0.2">
      <c r="A476" s="105" t="s">
        <v>161</v>
      </c>
      <c r="B476" s="44" t="s">
        <v>502</v>
      </c>
      <c r="C476" s="45" t="s">
        <v>503</v>
      </c>
      <c r="D476" s="45" t="s">
        <v>364</v>
      </c>
      <c r="E476" s="45" t="s">
        <v>1049</v>
      </c>
      <c r="F476" s="45" t="s">
        <v>824</v>
      </c>
      <c r="G476" s="45">
        <v>1</v>
      </c>
      <c r="H476" s="45"/>
      <c r="I476" s="43" t="s">
        <v>2202</v>
      </c>
      <c r="J476" s="45" t="s">
        <v>169</v>
      </c>
      <c r="K476" s="45" t="s">
        <v>1395</v>
      </c>
      <c r="L476" s="45"/>
      <c r="M476" s="106">
        <v>1</v>
      </c>
      <c r="N476" s="50"/>
      <c r="O476" s="110">
        <f>IF(OR(ISBLANK(BOM_table6[[#This Row],[SKU QTY]]),BOM_table6[[#This Row],[SKU Cost]]=0),0,BOM_table6[[#This Row],[SKU Cost]]/BOM_table6[[#This Row],[SKU QTY]])</f>
        <v>0</v>
      </c>
      <c r="P476" s="110">
        <f>IF(OR(ISBLANK(BOM_table6[[#This Row],[ASM QTY]]),ISBLANK(BOM_table6[[#This Row],[Unit Cost]])),0,BOM_table6[[#This Row],[ASM QTY]]*BOM_table6[[#This Row],[Unit Cost]])</f>
        <v>0</v>
      </c>
      <c r="Q476" s="45"/>
      <c r="R476" s="81"/>
      <c r="S476" s="111">
        <f>BOM_table6[[#This Row],[ASM QTY]]*$Q$2+BOM_table6[[#This Row],[Spare QTY Needed]]-BOM_table6[[#This Row],[QTY in Inventory]]</f>
        <v>1</v>
      </c>
      <c r="T476" s="111">
        <f>ROUNDUP((BOM_table6[[#This Row],[QTY to Order]]/BOM_table6[[#This Row],[SKU QTY]]),0)</f>
        <v>1</v>
      </c>
      <c r="U476" s="110">
        <f>BOM_table6[[#This Row],[SKU QTY to Order]]*BOM_table6[[#This Row],[SKU Cost]]</f>
        <v>0</v>
      </c>
      <c r="V476" s="62"/>
      <c r="W476" s="45"/>
      <c r="X476" s="45"/>
      <c r="Y476" s="97"/>
      <c r="Z476" s="54"/>
      <c r="AA476" s="54"/>
      <c r="AB476" s="45"/>
      <c r="AC476" s="45"/>
    </row>
    <row r="477" spans="1:29" ht="15" customHeight="1" x14ac:dyDescent="0.2">
      <c r="A477" s="105" t="s">
        <v>172</v>
      </c>
      <c r="B477" s="193" t="s">
        <v>531</v>
      </c>
      <c r="C477" s="194" t="s">
        <v>315</v>
      </c>
      <c r="D477" s="45"/>
      <c r="E477" s="45" t="s">
        <v>316</v>
      </c>
      <c r="F477" s="45" t="s">
        <v>824</v>
      </c>
      <c r="G477" s="45">
        <v>0</v>
      </c>
      <c r="H477" s="45" t="s">
        <v>2175</v>
      </c>
      <c r="I477" s="43" t="s">
        <v>2187</v>
      </c>
      <c r="J477" s="45" t="s">
        <v>166</v>
      </c>
      <c r="K477" s="45" t="str">
        <f>BOM_table6[[#This Row],[Manufacturer]]</f>
        <v>Swagelok</v>
      </c>
      <c r="L477" s="45"/>
      <c r="M477" s="106">
        <v>1</v>
      </c>
      <c r="N477" s="50"/>
      <c r="O477" s="110">
        <f>IF(OR(ISBLANK(BOM_table6[[#This Row],[SKU QTY]]),BOM_table6[[#This Row],[SKU Cost]]=0),0,BOM_table6[[#This Row],[SKU Cost]]/BOM_table6[[#This Row],[SKU QTY]])</f>
        <v>0</v>
      </c>
      <c r="P477" s="110">
        <f>IF(OR(ISBLANK(BOM_table6[[#This Row],[ASM QTY]]),ISBLANK(BOM_table6[[#This Row],[Unit Cost]])),0,BOM_table6[[#This Row],[ASM QTY]]*BOM_table6[[#This Row],[Unit Cost]])</f>
        <v>0</v>
      </c>
      <c r="Q477" s="45"/>
      <c r="R477" s="81"/>
      <c r="S477" s="111">
        <f>BOM_table6[[#This Row],[ASM QTY]]*$Q$2+BOM_table6[[#This Row],[Spare QTY Needed]]-BOM_table6[[#This Row],[QTY in Inventory]]</f>
        <v>0</v>
      </c>
      <c r="T477" s="111">
        <f>ROUNDUP((BOM_table6[[#This Row],[QTY to Order]]/BOM_table6[[#This Row],[SKU QTY]]),0)</f>
        <v>0</v>
      </c>
      <c r="U477" s="110">
        <f>BOM_table6[[#This Row],[SKU QTY to Order]]*BOM_table6[[#This Row],[SKU Cost]]</f>
        <v>0</v>
      </c>
      <c r="V477" s="62"/>
      <c r="W477" s="45"/>
      <c r="X477" s="45"/>
      <c r="Y477" s="54"/>
      <c r="Z477" s="54"/>
      <c r="AA477" s="54"/>
      <c r="AB477" s="45"/>
      <c r="AC477" s="45"/>
    </row>
    <row r="478" spans="1:29" ht="15" customHeight="1" x14ac:dyDescent="0.2">
      <c r="A478" s="105" t="s">
        <v>161</v>
      </c>
      <c r="B478" s="44" t="s">
        <v>529</v>
      </c>
      <c r="C478" s="45" t="s">
        <v>530</v>
      </c>
      <c r="D478" s="45"/>
      <c r="E478" s="45"/>
      <c r="F478" s="45" t="s">
        <v>855</v>
      </c>
      <c r="G478" s="45">
        <v>7</v>
      </c>
      <c r="H478" s="45"/>
      <c r="I478" s="43" t="s">
        <v>856</v>
      </c>
      <c r="J478" s="45" t="s">
        <v>1321</v>
      </c>
      <c r="K478" s="45" t="s">
        <v>216</v>
      </c>
      <c r="L478" s="45"/>
      <c r="M478" s="106">
        <v>1</v>
      </c>
      <c r="N478" s="50">
        <v>0.15</v>
      </c>
      <c r="O478" s="110">
        <f>IF(OR(ISBLANK(BOM_table6[[#This Row],[SKU QTY]]),BOM_table6[[#This Row],[SKU Cost]]=0),0,BOM_table6[[#This Row],[SKU Cost]]/BOM_table6[[#This Row],[SKU QTY]])</f>
        <v>0.15</v>
      </c>
      <c r="P478" s="110">
        <f>IF(OR(ISBLANK(BOM_table6[[#This Row],[ASM QTY]]),ISBLANK(BOM_table6[[#This Row],[Unit Cost]])),0,BOM_table6[[#This Row],[ASM QTY]]*BOM_table6[[#This Row],[Unit Cost]])</f>
        <v>1.05</v>
      </c>
      <c r="Q478" s="45"/>
      <c r="R478" s="81"/>
      <c r="S478" s="111">
        <f>BOM_table6[[#This Row],[ASM QTY]]*$Q$2+BOM_table6[[#This Row],[Spare QTY Needed]]-BOM_table6[[#This Row],[QTY in Inventory]]</f>
        <v>7</v>
      </c>
      <c r="T478" s="111">
        <f>ROUNDUP((BOM_table6[[#This Row],[QTY to Order]]/BOM_table6[[#This Row],[SKU QTY]]),0)</f>
        <v>7</v>
      </c>
      <c r="U478" s="110">
        <f>BOM_table6[[#This Row],[SKU QTY to Order]]*BOM_table6[[#This Row],[SKU Cost]]</f>
        <v>1.05</v>
      </c>
      <c r="V478" s="62"/>
      <c r="W478" s="45" t="s">
        <v>2180</v>
      </c>
      <c r="X478" s="45" t="s">
        <v>2192</v>
      </c>
      <c r="Y478" s="54">
        <v>44923</v>
      </c>
      <c r="Z478" s="54"/>
      <c r="AA478" s="54">
        <v>44924</v>
      </c>
      <c r="AB478" s="45"/>
      <c r="AC478" s="45"/>
    </row>
    <row r="479" spans="1:29" ht="15" customHeight="1" x14ac:dyDescent="0.2">
      <c r="A479" s="105" t="s">
        <v>161</v>
      </c>
      <c r="B479" s="44" t="s">
        <v>550</v>
      </c>
      <c r="C479" s="45" t="s">
        <v>551</v>
      </c>
      <c r="D479" s="45"/>
      <c r="E479" s="45"/>
      <c r="F479" s="45" t="s">
        <v>822</v>
      </c>
      <c r="G479" s="45">
        <v>2</v>
      </c>
      <c r="H479" s="45"/>
      <c r="I479" s="43" t="s">
        <v>2314</v>
      </c>
      <c r="J479" s="45" t="s">
        <v>166</v>
      </c>
      <c r="K479" s="45" t="s">
        <v>216</v>
      </c>
      <c r="L479" s="45"/>
      <c r="M479" s="106">
        <v>1</v>
      </c>
      <c r="N479" s="50">
        <f>10.39/100</f>
        <v>0.10390000000000001</v>
      </c>
      <c r="O479" s="110">
        <f>IF(OR(ISBLANK(BOM_table6[[#This Row],[SKU QTY]]),BOM_table6[[#This Row],[SKU Cost]]=0),0,BOM_table6[[#This Row],[SKU Cost]]/BOM_table6[[#This Row],[SKU QTY]])</f>
        <v>0.10390000000000001</v>
      </c>
      <c r="P479" s="110">
        <f>IF(OR(ISBLANK(BOM_table6[[#This Row],[ASM QTY]]),ISBLANK(BOM_table6[[#This Row],[Unit Cost]])),0,BOM_table6[[#This Row],[ASM QTY]]*BOM_table6[[#This Row],[Unit Cost]])</f>
        <v>0.20780000000000001</v>
      </c>
      <c r="Q479" s="45">
        <v>98</v>
      </c>
      <c r="R479" s="81"/>
      <c r="S479" s="111">
        <f>BOM_table6[[#This Row],[ASM QTY]]*$Q$2+BOM_table6[[#This Row],[Spare QTY Needed]]-BOM_table6[[#This Row],[QTY in Inventory]]</f>
        <v>100</v>
      </c>
      <c r="T479" s="111">
        <f>ROUNDUP((BOM_table6[[#This Row],[QTY to Order]]/BOM_table6[[#This Row],[SKU QTY]]),0)</f>
        <v>100</v>
      </c>
      <c r="U479" s="110">
        <f>BOM_table6[[#This Row],[SKU QTY to Order]]*BOM_table6[[#This Row],[SKU Cost]]</f>
        <v>10.39</v>
      </c>
      <c r="V479" s="62"/>
      <c r="W479" s="45" t="s">
        <v>2180</v>
      </c>
      <c r="X479" s="45" t="s">
        <v>2192</v>
      </c>
      <c r="Y479" s="54">
        <v>44923</v>
      </c>
      <c r="Z479" s="54"/>
      <c r="AA479" s="54">
        <v>44924</v>
      </c>
      <c r="AB479" s="45"/>
      <c r="AC479" s="45"/>
    </row>
    <row r="480" spans="1:29" ht="15" customHeight="1" x14ac:dyDescent="0.2">
      <c r="A480" s="105" t="s">
        <v>161</v>
      </c>
      <c r="B480" s="44" t="s">
        <v>483</v>
      </c>
      <c r="C480" s="45" t="s">
        <v>484</v>
      </c>
      <c r="D480" s="45"/>
      <c r="E480" s="45"/>
      <c r="F480" s="45" t="s">
        <v>822</v>
      </c>
      <c r="G480" s="45">
        <v>2</v>
      </c>
      <c r="H480" s="45"/>
      <c r="I480" s="75"/>
      <c r="J480" s="45" t="s">
        <v>166</v>
      </c>
      <c r="K480" s="45" t="s">
        <v>216</v>
      </c>
      <c r="L480" s="45"/>
      <c r="M480" s="106">
        <v>1</v>
      </c>
      <c r="N480" s="50">
        <v>0.18</v>
      </c>
      <c r="O480" s="110">
        <f>IF(OR(ISBLANK(BOM_table6[[#This Row],[SKU QTY]]),BOM_table6[[#This Row],[SKU Cost]]=0),0,BOM_table6[[#This Row],[SKU Cost]]/BOM_table6[[#This Row],[SKU QTY]])</f>
        <v>0.18</v>
      </c>
      <c r="P480" s="110">
        <f>IF(OR(ISBLANK(BOM_table6[[#This Row],[ASM QTY]]),ISBLANK(BOM_table6[[#This Row],[Unit Cost]])),0,BOM_table6[[#This Row],[ASM QTY]]*BOM_table6[[#This Row],[Unit Cost]])</f>
        <v>0.36</v>
      </c>
      <c r="Q480" s="45"/>
      <c r="R480" s="81"/>
      <c r="S480" s="111">
        <f>BOM_table6[[#This Row],[ASM QTY]]*$Q$2+BOM_table6[[#This Row],[Spare QTY Needed]]-BOM_table6[[#This Row],[QTY in Inventory]]</f>
        <v>2</v>
      </c>
      <c r="T480" s="111">
        <f>ROUNDUP((BOM_table6[[#This Row],[QTY to Order]]/BOM_table6[[#This Row],[SKU QTY]]),0)</f>
        <v>2</v>
      </c>
      <c r="U480" s="110">
        <f>BOM_table6[[#This Row],[SKU QTY to Order]]*BOM_table6[[#This Row],[SKU Cost]]</f>
        <v>0.36</v>
      </c>
      <c r="V480" s="62"/>
      <c r="W480" s="45" t="s">
        <v>2180</v>
      </c>
      <c r="X480" s="45" t="s">
        <v>2192</v>
      </c>
      <c r="Y480" s="97">
        <v>44923</v>
      </c>
      <c r="Z480" s="54"/>
      <c r="AA480" s="97">
        <v>44924</v>
      </c>
      <c r="AB480" s="45"/>
      <c r="AC480" s="45"/>
    </row>
    <row r="481" spans="1:29" ht="15" customHeight="1" x14ac:dyDescent="0.2">
      <c r="A481" s="105" t="s">
        <v>161</v>
      </c>
      <c r="B481" s="44" t="s">
        <v>559</v>
      </c>
      <c r="C481" s="45" t="s">
        <v>360</v>
      </c>
      <c r="D481" s="45"/>
      <c r="E481" s="45"/>
      <c r="F481" s="45" t="s">
        <v>822</v>
      </c>
      <c r="G481" s="45">
        <v>6</v>
      </c>
      <c r="H481" s="45"/>
      <c r="I481" s="75"/>
      <c r="J481" s="45" t="s">
        <v>166</v>
      </c>
      <c r="K481" s="45" t="s">
        <v>216</v>
      </c>
      <c r="L481" s="45"/>
      <c r="M481" s="106">
        <v>1</v>
      </c>
      <c r="N481" s="50">
        <v>0.18</v>
      </c>
      <c r="O481" s="110">
        <f>IF(OR(ISBLANK(BOM_table6[[#This Row],[SKU QTY]]),BOM_table6[[#This Row],[SKU Cost]]=0),0,BOM_table6[[#This Row],[SKU Cost]]/BOM_table6[[#This Row],[SKU QTY]])</f>
        <v>0.18</v>
      </c>
      <c r="P481" s="110">
        <f>IF(OR(ISBLANK(BOM_table6[[#This Row],[ASM QTY]]),ISBLANK(BOM_table6[[#This Row],[Unit Cost]])),0,BOM_table6[[#This Row],[ASM QTY]]*BOM_table6[[#This Row],[Unit Cost]])</f>
        <v>1.08</v>
      </c>
      <c r="Q481" s="45"/>
      <c r="R481" s="81"/>
      <c r="S481" s="111">
        <f>BOM_table6[[#This Row],[ASM QTY]]*$Q$2+BOM_table6[[#This Row],[Spare QTY Needed]]-BOM_table6[[#This Row],[QTY in Inventory]]</f>
        <v>6</v>
      </c>
      <c r="T481" s="111">
        <f>ROUNDUP((BOM_table6[[#This Row],[QTY to Order]]/BOM_table6[[#This Row],[SKU QTY]]),0)</f>
        <v>6</v>
      </c>
      <c r="U481" s="110">
        <f>BOM_table6[[#This Row],[SKU QTY to Order]]*BOM_table6[[#This Row],[SKU Cost]]</f>
        <v>1.08</v>
      </c>
      <c r="V481" s="62"/>
      <c r="W481" s="45" t="s">
        <v>2180</v>
      </c>
      <c r="X481" s="45" t="s">
        <v>2192</v>
      </c>
      <c r="Y481" s="97">
        <v>44923</v>
      </c>
      <c r="Z481" s="54"/>
      <c r="AA481" s="97">
        <v>44924</v>
      </c>
      <c r="AB481" s="45"/>
      <c r="AC481" s="45"/>
    </row>
    <row r="482" spans="1:29" ht="15" customHeight="1" x14ac:dyDescent="0.2">
      <c r="A482" s="105" t="s">
        <v>161</v>
      </c>
      <c r="B482" s="44" t="s">
        <v>548</v>
      </c>
      <c r="C482" s="45" t="s">
        <v>549</v>
      </c>
      <c r="D482" s="45"/>
      <c r="E482" s="45"/>
      <c r="F482" s="45" t="s">
        <v>822</v>
      </c>
      <c r="G482" s="45">
        <v>2</v>
      </c>
      <c r="H482" s="45"/>
      <c r="I482" s="43" t="s">
        <v>2315</v>
      </c>
      <c r="J482" s="45" t="s">
        <v>1321</v>
      </c>
      <c r="K482" s="45" t="s">
        <v>216</v>
      </c>
      <c r="L482" s="45"/>
      <c r="M482" s="106">
        <v>1</v>
      </c>
      <c r="N482" s="50">
        <f>6.59/25</f>
        <v>0.2636</v>
      </c>
      <c r="O482" s="110">
        <f>IF(OR(ISBLANK(BOM_table6[[#This Row],[SKU QTY]]),BOM_table6[[#This Row],[SKU Cost]]=0),0,BOM_table6[[#This Row],[SKU Cost]]/BOM_table6[[#This Row],[SKU QTY]])</f>
        <v>0.2636</v>
      </c>
      <c r="P482" s="110">
        <f>IF(OR(ISBLANK(BOM_table6[[#This Row],[ASM QTY]]),ISBLANK(BOM_table6[[#This Row],[Unit Cost]])),0,BOM_table6[[#This Row],[ASM QTY]]*BOM_table6[[#This Row],[Unit Cost]])</f>
        <v>0.5272</v>
      </c>
      <c r="Q482" s="45">
        <v>23</v>
      </c>
      <c r="R482" s="81"/>
      <c r="S482" s="111">
        <f>BOM_table6[[#This Row],[ASM QTY]]*$Q$2+BOM_table6[[#This Row],[Spare QTY Needed]]-BOM_table6[[#This Row],[QTY in Inventory]]</f>
        <v>25</v>
      </c>
      <c r="T482" s="111">
        <f>ROUNDUP((BOM_table6[[#This Row],[QTY to Order]]/BOM_table6[[#This Row],[SKU QTY]]),0)</f>
        <v>25</v>
      </c>
      <c r="U482" s="110">
        <f>BOM_table6[[#This Row],[SKU QTY to Order]]*BOM_table6[[#This Row],[SKU Cost]]</f>
        <v>6.59</v>
      </c>
      <c r="V482" s="62"/>
      <c r="W482" s="45" t="s">
        <v>2180</v>
      </c>
      <c r="X482" s="45" t="s">
        <v>2192</v>
      </c>
      <c r="Y482" s="54">
        <v>44923</v>
      </c>
      <c r="Z482" s="54"/>
      <c r="AA482" s="54">
        <v>44924</v>
      </c>
      <c r="AB482" s="45"/>
      <c r="AC482" s="45"/>
    </row>
    <row r="483" spans="1:29" ht="15" customHeight="1" x14ac:dyDescent="0.2">
      <c r="A483" s="105" t="s">
        <v>160</v>
      </c>
      <c r="B483" s="44" t="s">
        <v>500</v>
      </c>
      <c r="C483" s="45" t="s">
        <v>501</v>
      </c>
      <c r="D483" s="45"/>
      <c r="E483" s="45" t="s">
        <v>1049</v>
      </c>
      <c r="F483" s="45" t="s">
        <v>822</v>
      </c>
      <c r="G483" s="45">
        <v>1</v>
      </c>
      <c r="H483" s="45"/>
      <c r="I483" s="75"/>
      <c r="J483" s="45" t="s">
        <v>1320</v>
      </c>
      <c r="K483" s="45"/>
      <c r="L483" s="45"/>
      <c r="M483" s="106">
        <v>1</v>
      </c>
      <c r="N483" s="50"/>
      <c r="O483" s="110">
        <f>IF(OR(ISBLANK(BOM_table6[[#This Row],[SKU QTY]]),BOM_table6[[#This Row],[SKU Cost]]=0),0,BOM_table6[[#This Row],[SKU Cost]]/BOM_table6[[#This Row],[SKU QTY]])</f>
        <v>0</v>
      </c>
      <c r="P483" s="110">
        <f>IF(OR(ISBLANK(BOM_table6[[#This Row],[ASM QTY]]),ISBLANK(BOM_table6[[#This Row],[Unit Cost]])),0,BOM_table6[[#This Row],[ASM QTY]]*BOM_table6[[#This Row],[Unit Cost]])</f>
        <v>0</v>
      </c>
      <c r="Q483" s="45"/>
      <c r="R483" s="81"/>
      <c r="S483" s="111">
        <f>BOM_table6[[#This Row],[ASM QTY]]*$Q$2+BOM_table6[[#This Row],[Spare QTY Needed]]-BOM_table6[[#This Row],[QTY in Inventory]]</f>
        <v>1</v>
      </c>
      <c r="T483" s="111">
        <f>ROUNDUP((BOM_table6[[#This Row],[QTY to Order]]/BOM_table6[[#This Row],[SKU QTY]]),0)</f>
        <v>1</v>
      </c>
      <c r="U483" s="110">
        <f>BOM_table6[[#This Row],[SKU QTY to Order]]*BOM_table6[[#This Row],[SKU Cost]]</f>
        <v>0</v>
      </c>
      <c r="V483" s="62"/>
      <c r="W483" s="45"/>
      <c r="X483" s="45"/>
      <c r="Y483" s="45"/>
      <c r="Z483" s="54"/>
      <c r="AA483" s="45"/>
      <c r="AB483" s="45"/>
      <c r="AC483" s="45"/>
    </row>
    <row r="484" spans="1:29" ht="15" customHeight="1" x14ac:dyDescent="0.2">
      <c r="A484" s="105" t="s">
        <v>160</v>
      </c>
      <c r="B484" s="44" t="s">
        <v>461</v>
      </c>
      <c r="C484" s="45" t="s">
        <v>462</v>
      </c>
      <c r="D484" s="45"/>
      <c r="E484" s="45" t="s">
        <v>1049</v>
      </c>
      <c r="F484" s="45" t="s">
        <v>822</v>
      </c>
      <c r="G484" s="45">
        <v>1</v>
      </c>
      <c r="H484" s="45"/>
      <c r="I484" s="75"/>
      <c r="J484" s="45" t="s">
        <v>1320</v>
      </c>
      <c r="K484" s="45"/>
      <c r="L484" s="45"/>
      <c r="M484" s="106">
        <v>1</v>
      </c>
      <c r="N484" s="50"/>
      <c r="O484" s="110">
        <f>IF(OR(ISBLANK(BOM_table6[[#This Row],[SKU QTY]]),BOM_table6[[#This Row],[SKU Cost]]=0),0,BOM_table6[[#This Row],[SKU Cost]]/BOM_table6[[#This Row],[SKU QTY]])</f>
        <v>0</v>
      </c>
      <c r="P484" s="110">
        <f>IF(OR(ISBLANK(BOM_table6[[#This Row],[ASM QTY]]),ISBLANK(BOM_table6[[#This Row],[Unit Cost]])),0,BOM_table6[[#This Row],[ASM QTY]]*BOM_table6[[#This Row],[Unit Cost]])</f>
        <v>0</v>
      </c>
      <c r="Q484" s="45"/>
      <c r="R484" s="81"/>
      <c r="S484" s="111">
        <f>BOM_table6[[#This Row],[ASM QTY]]*$Q$2+BOM_table6[[#This Row],[Spare QTY Needed]]-BOM_table6[[#This Row],[QTY in Inventory]]</f>
        <v>1</v>
      </c>
      <c r="T484" s="111">
        <f>ROUNDUP((BOM_table6[[#This Row],[QTY to Order]]/BOM_table6[[#This Row],[SKU QTY]]),0)</f>
        <v>1</v>
      </c>
      <c r="U484" s="110">
        <f>BOM_table6[[#This Row],[SKU QTY to Order]]*BOM_table6[[#This Row],[SKU Cost]]</f>
        <v>0</v>
      </c>
      <c r="V484" s="62"/>
      <c r="W484" s="45"/>
      <c r="X484" s="45"/>
      <c r="Y484" s="45"/>
      <c r="Z484" s="54"/>
      <c r="AA484" s="45"/>
      <c r="AB484" s="45"/>
      <c r="AC484" s="45"/>
    </row>
    <row r="485" spans="1:29" ht="15" customHeight="1" x14ac:dyDescent="0.2">
      <c r="A485" s="44" t="s">
        <v>161</v>
      </c>
      <c r="B485" s="44" t="s">
        <v>1419</v>
      </c>
      <c r="C485" s="45" t="s">
        <v>1447</v>
      </c>
      <c r="D485" s="45"/>
      <c r="E485" s="45" t="s">
        <v>540</v>
      </c>
      <c r="F485" s="45" t="s">
        <v>822</v>
      </c>
      <c r="G485" s="45">
        <v>1</v>
      </c>
      <c r="H485" s="45"/>
      <c r="I485" s="43" t="s">
        <v>1448</v>
      </c>
      <c r="J485" s="45" t="s">
        <v>166</v>
      </c>
      <c r="K485" s="45" t="s">
        <v>540</v>
      </c>
      <c r="L485" s="45"/>
      <c r="M485" s="106">
        <v>1</v>
      </c>
      <c r="N485" s="50">
        <v>583.23</v>
      </c>
      <c r="O485" s="110">
        <f>IF(OR(ISBLANK(BOM_table6[[#This Row],[SKU QTY]]),BOM_table6[[#This Row],[SKU Cost]]=0),0,BOM_table6[[#This Row],[SKU Cost]]/BOM_table6[[#This Row],[SKU QTY]])</f>
        <v>583.23</v>
      </c>
      <c r="P485" s="110">
        <f>IF(OR(ISBLANK(BOM_table6[[#This Row],[ASM QTY]]),ISBLANK(BOM_table6[[#This Row],[Unit Cost]])),0,BOM_table6[[#This Row],[ASM QTY]]*BOM_table6[[#This Row],[Unit Cost]])</f>
        <v>583.23</v>
      </c>
      <c r="Q485" s="45"/>
      <c r="R485" s="81"/>
      <c r="S485" s="111">
        <f>BOM_table6[[#This Row],[ASM QTY]]*$Q$2+BOM_table6[[#This Row],[Spare QTY Needed]]-BOM_table6[[#This Row],[QTY in Inventory]]</f>
        <v>1</v>
      </c>
      <c r="T485" s="111">
        <f>ROUNDUP((BOM_table6[[#This Row],[QTY to Order]]/BOM_table6[[#This Row],[SKU QTY]]),0)</f>
        <v>1</v>
      </c>
      <c r="U485" s="110">
        <f>BOM_table6[[#This Row],[SKU QTY to Order]]*BOM_table6[[#This Row],[SKU Cost]]</f>
        <v>583.23</v>
      </c>
      <c r="V485" s="50" t="s">
        <v>2199</v>
      </c>
      <c r="W485" s="45" t="s">
        <v>2341</v>
      </c>
      <c r="X485" s="45"/>
      <c r="Y485" s="54"/>
      <c r="Z485" s="54"/>
      <c r="AA485" s="97">
        <v>44971</v>
      </c>
      <c r="AB485" s="45"/>
      <c r="AC485" s="45"/>
    </row>
    <row r="486" spans="1:29" ht="15" customHeight="1" x14ac:dyDescent="0.2">
      <c r="A486" s="105" t="s">
        <v>161</v>
      </c>
      <c r="B486" s="44" t="s">
        <v>532</v>
      </c>
      <c r="C486" s="45" t="s">
        <v>533</v>
      </c>
      <c r="D486" s="45" t="s">
        <v>152</v>
      </c>
      <c r="E486" s="45" t="s">
        <v>1049</v>
      </c>
      <c r="F486" s="45" t="s">
        <v>822</v>
      </c>
      <c r="G486" s="45">
        <v>1</v>
      </c>
      <c r="H486" s="45"/>
      <c r="I486" s="75"/>
      <c r="J486" s="45" t="s">
        <v>169</v>
      </c>
      <c r="K486" s="45" t="s">
        <v>1439</v>
      </c>
      <c r="L486" s="45"/>
      <c r="M486" s="106">
        <v>1</v>
      </c>
      <c r="N486" s="50"/>
      <c r="O486" s="110">
        <f>IF(OR(ISBLANK(BOM_table6[[#This Row],[SKU QTY]]),BOM_table6[[#This Row],[SKU Cost]]=0),0,BOM_table6[[#This Row],[SKU Cost]]/BOM_table6[[#This Row],[SKU QTY]])</f>
        <v>0</v>
      </c>
      <c r="P486" s="110">
        <f>IF(OR(ISBLANK(BOM_table6[[#This Row],[ASM QTY]]),ISBLANK(BOM_table6[[#This Row],[Unit Cost]])),0,BOM_table6[[#This Row],[ASM QTY]]*BOM_table6[[#This Row],[Unit Cost]])</f>
        <v>0</v>
      </c>
      <c r="Q486" s="45"/>
      <c r="R486" s="81"/>
      <c r="S486" s="111">
        <f>BOM_table6[[#This Row],[ASM QTY]]*$Q$2+BOM_table6[[#This Row],[Spare QTY Needed]]-BOM_table6[[#This Row],[QTY in Inventory]]</f>
        <v>1</v>
      </c>
      <c r="T486" s="111">
        <f>ROUNDUP((BOM_table6[[#This Row],[QTY to Order]]/BOM_table6[[#This Row],[SKU QTY]]),0)</f>
        <v>1</v>
      </c>
      <c r="U486" s="110">
        <f>BOM_table6[[#This Row],[SKU QTY to Order]]*BOM_table6[[#This Row],[SKU Cost]]</f>
        <v>0</v>
      </c>
      <c r="V486" s="62"/>
      <c r="W486" s="45"/>
      <c r="X486" s="45"/>
      <c r="Y486" s="97"/>
      <c r="Z486" s="54"/>
      <c r="AA486" s="45"/>
      <c r="AB486" s="45"/>
      <c r="AC486" s="45"/>
    </row>
    <row r="487" spans="1:29" ht="15" customHeight="1" x14ac:dyDescent="0.2">
      <c r="A487" s="105" t="s">
        <v>161</v>
      </c>
      <c r="B487" s="44" t="s">
        <v>552</v>
      </c>
      <c r="C487" s="45" t="s">
        <v>553</v>
      </c>
      <c r="D487" s="45" t="s">
        <v>152</v>
      </c>
      <c r="E487" s="45" t="s">
        <v>1049</v>
      </c>
      <c r="F487" s="45" t="s">
        <v>822</v>
      </c>
      <c r="G487" s="45">
        <v>1</v>
      </c>
      <c r="H487" s="45"/>
      <c r="I487" s="75"/>
      <c r="J487" s="45" t="s">
        <v>867</v>
      </c>
      <c r="K487" s="45" t="s">
        <v>1395</v>
      </c>
      <c r="L487" s="45"/>
      <c r="M487" s="106">
        <v>1</v>
      </c>
      <c r="N487" s="50"/>
      <c r="O487" s="110">
        <f>IF(OR(ISBLANK(BOM_table6[[#This Row],[SKU QTY]]),BOM_table6[[#This Row],[SKU Cost]]=0),0,BOM_table6[[#This Row],[SKU Cost]]/BOM_table6[[#This Row],[SKU QTY]])</f>
        <v>0</v>
      </c>
      <c r="P487" s="110">
        <f>IF(OR(ISBLANK(BOM_table6[[#This Row],[ASM QTY]]),ISBLANK(BOM_table6[[#This Row],[Unit Cost]])),0,BOM_table6[[#This Row],[ASM QTY]]*BOM_table6[[#This Row],[Unit Cost]])</f>
        <v>0</v>
      </c>
      <c r="Q487" s="45"/>
      <c r="R487" s="81"/>
      <c r="S487" s="111">
        <f>BOM_table6[[#This Row],[ASM QTY]]*$Q$2+BOM_table6[[#This Row],[Spare QTY Needed]]-BOM_table6[[#This Row],[QTY in Inventory]]</f>
        <v>1</v>
      </c>
      <c r="T487" s="111">
        <f>ROUNDUP((BOM_table6[[#This Row],[QTY to Order]]/BOM_table6[[#This Row],[SKU QTY]]),0)</f>
        <v>1</v>
      </c>
      <c r="U487" s="110">
        <f>BOM_table6[[#This Row],[SKU QTY to Order]]*BOM_table6[[#This Row],[SKU Cost]]</f>
        <v>0</v>
      </c>
      <c r="V487" s="62"/>
      <c r="W487" s="45"/>
      <c r="X487" s="45"/>
      <c r="Y487" s="97"/>
      <c r="Z487" s="54"/>
      <c r="AA487" s="54"/>
      <c r="AB487" s="45"/>
      <c r="AC487" s="45"/>
    </row>
    <row r="488" spans="1:29" ht="15" customHeight="1" x14ac:dyDescent="0.2">
      <c r="A488" s="105" t="s">
        <v>161</v>
      </c>
      <c r="B488" s="44" t="s">
        <v>538</v>
      </c>
      <c r="C488" s="45" t="s">
        <v>2159</v>
      </c>
      <c r="D488" s="45"/>
      <c r="E488" s="45" t="s">
        <v>539</v>
      </c>
      <c r="F488" s="45" t="s">
        <v>822</v>
      </c>
      <c r="G488" s="45">
        <v>1</v>
      </c>
      <c r="H488" s="45" t="s">
        <v>2175</v>
      </c>
      <c r="I488" s="43" t="s">
        <v>2174</v>
      </c>
      <c r="J488" s="45" t="s">
        <v>166</v>
      </c>
      <c r="K488" s="45" t="s">
        <v>539</v>
      </c>
      <c r="L488" s="45"/>
      <c r="M488" s="106">
        <v>1</v>
      </c>
      <c r="N488" s="50"/>
      <c r="O488" s="110">
        <f>IF(OR(ISBLANK(BOM_table6[[#This Row],[SKU QTY]]),BOM_table6[[#This Row],[SKU Cost]]=0),0,BOM_table6[[#This Row],[SKU Cost]]/BOM_table6[[#This Row],[SKU QTY]])</f>
        <v>0</v>
      </c>
      <c r="P488" s="110">
        <f>IF(OR(ISBLANK(BOM_table6[[#This Row],[ASM QTY]]),ISBLANK(BOM_table6[[#This Row],[Unit Cost]])),0,BOM_table6[[#This Row],[ASM QTY]]*BOM_table6[[#This Row],[Unit Cost]])</f>
        <v>0</v>
      </c>
      <c r="Q488" s="45"/>
      <c r="R488" s="81">
        <v>1</v>
      </c>
      <c r="S488" s="111">
        <f>BOM_table6[[#This Row],[ASM QTY]]*$Q$2+BOM_table6[[#This Row],[Spare QTY Needed]]-BOM_table6[[#This Row],[QTY in Inventory]]</f>
        <v>0</v>
      </c>
      <c r="T488" s="111">
        <f>ROUNDUP((BOM_table6[[#This Row],[QTY to Order]]/BOM_table6[[#This Row],[SKU QTY]]),0)</f>
        <v>0</v>
      </c>
      <c r="U488" s="110">
        <f>BOM_table6[[#This Row],[SKU QTY to Order]]*BOM_table6[[#This Row],[SKU Cost]]</f>
        <v>0</v>
      </c>
      <c r="V488" s="62"/>
      <c r="W488" s="45"/>
      <c r="X488" s="45"/>
      <c r="Y488" s="45"/>
      <c r="Z488" s="54"/>
      <c r="AA488" s="45"/>
      <c r="AB488" s="45"/>
      <c r="AC488" s="45"/>
    </row>
    <row r="489" spans="1:29" ht="15" customHeight="1" x14ac:dyDescent="0.2">
      <c r="A489" s="105" t="s">
        <v>161</v>
      </c>
      <c r="B489" s="44" t="s">
        <v>541</v>
      </c>
      <c r="C489" s="45" t="s">
        <v>542</v>
      </c>
      <c r="D489" s="45"/>
      <c r="E489" s="45" t="s">
        <v>543</v>
      </c>
      <c r="F489" s="45" t="s">
        <v>822</v>
      </c>
      <c r="G489" s="45">
        <v>1</v>
      </c>
      <c r="H489" s="45" t="s">
        <v>2175</v>
      </c>
      <c r="I489" s="43" t="s">
        <v>2274</v>
      </c>
      <c r="J489" s="45" t="s">
        <v>166</v>
      </c>
      <c r="K489" s="45" t="s">
        <v>543</v>
      </c>
      <c r="L489" s="45"/>
      <c r="M489" s="106">
        <v>1</v>
      </c>
      <c r="N489" s="50"/>
      <c r="O489" s="110">
        <f>IF(OR(ISBLANK(BOM_table6[[#This Row],[SKU QTY]]),BOM_table6[[#This Row],[SKU Cost]]=0),0,BOM_table6[[#This Row],[SKU Cost]]/BOM_table6[[#This Row],[SKU QTY]])</f>
        <v>0</v>
      </c>
      <c r="P489" s="110">
        <f>IF(OR(ISBLANK(BOM_table6[[#This Row],[ASM QTY]]),ISBLANK(BOM_table6[[#This Row],[Unit Cost]])),0,BOM_table6[[#This Row],[ASM QTY]]*BOM_table6[[#This Row],[Unit Cost]])</f>
        <v>0</v>
      </c>
      <c r="Q489" s="45"/>
      <c r="R489" s="81"/>
      <c r="S489" s="111">
        <f>BOM_table6[[#This Row],[ASM QTY]]*$Q$2+BOM_table6[[#This Row],[Spare QTY Needed]]-BOM_table6[[#This Row],[QTY in Inventory]]</f>
        <v>1</v>
      </c>
      <c r="T489" s="111">
        <f>ROUNDUP((BOM_table6[[#This Row],[QTY to Order]]/BOM_table6[[#This Row],[SKU QTY]]),0)</f>
        <v>1</v>
      </c>
      <c r="U489" s="110">
        <f>BOM_table6[[#This Row],[SKU QTY to Order]]*BOM_table6[[#This Row],[SKU Cost]]</f>
        <v>0</v>
      </c>
      <c r="V489" s="62"/>
      <c r="W489" s="45"/>
      <c r="X489" s="45"/>
      <c r="Y489" s="45"/>
      <c r="Z489" s="54"/>
      <c r="AA489" s="45"/>
      <c r="AB489" s="45"/>
      <c r="AC489" s="45"/>
    </row>
    <row r="490" spans="1:29" ht="15" customHeight="1" x14ac:dyDescent="0.2">
      <c r="A490" s="105" t="s">
        <v>161</v>
      </c>
      <c r="B490" s="44" t="s">
        <v>546</v>
      </c>
      <c r="C490" s="45" t="s">
        <v>547</v>
      </c>
      <c r="D490" s="45"/>
      <c r="E490" s="45" t="s">
        <v>316</v>
      </c>
      <c r="F490" s="45" t="s">
        <v>822</v>
      </c>
      <c r="G490" s="45">
        <v>1</v>
      </c>
      <c r="H490" s="45" t="s">
        <v>2175</v>
      </c>
      <c r="J490" s="45" t="s">
        <v>166</v>
      </c>
      <c r="K490" s="45" t="str">
        <f>BOM_table6[[#This Row],[Manufacturer]]</f>
        <v>Swagelok</v>
      </c>
      <c r="L490" s="45"/>
      <c r="M490" s="106">
        <v>1</v>
      </c>
      <c r="N490" s="50">
        <v>9.49</v>
      </c>
      <c r="O490" s="110">
        <f>IF(OR(ISBLANK(BOM_table6[[#This Row],[SKU QTY]]),BOM_table6[[#This Row],[SKU Cost]]=0),0,BOM_table6[[#This Row],[SKU Cost]]/BOM_table6[[#This Row],[SKU QTY]])</f>
        <v>9.49</v>
      </c>
      <c r="P490" s="110">
        <f>IF(OR(ISBLANK(BOM_table6[[#This Row],[ASM QTY]]),ISBLANK(BOM_table6[[#This Row],[Unit Cost]])),0,BOM_table6[[#This Row],[ASM QTY]]*BOM_table6[[#This Row],[Unit Cost]])</f>
        <v>9.49</v>
      </c>
      <c r="Q490" s="45"/>
      <c r="R490" s="81"/>
      <c r="S490" s="111">
        <f>BOM_table6[[#This Row],[ASM QTY]]*$Q$2+BOM_table6[[#This Row],[Spare QTY Needed]]-BOM_table6[[#This Row],[QTY in Inventory]]</f>
        <v>1</v>
      </c>
      <c r="T490" s="111">
        <f>ROUNDUP((BOM_table6[[#This Row],[QTY to Order]]/BOM_table6[[#This Row],[SKU QTY]]),0)</f>
        <v>1</v>
      </c>
      <c r="U490" s="110">
        <f>BOM_table6[[#This Row],[SKU QTY to Order]]*BOM_table6[[#This Row],[SKU Cost]]</f>
        <v>9.49</v>
      </c>
      <c r="V490" s="50" t="s">
        <v>2190</v>
      </c>
      <c r="W490" s="45" t="s">
        <v>2180</v>
      </c>
      <c r="X490" s="45" t="s">
        <v>2192</v>
      </c>
      <c r="Y490" s="54">
        <v>44845</v>
      </c>
      <c r="Z490" s="54"/>
      <c r="AA490" s="54"/>
      <c r="AB490" s="45"/>
      <c r="AC490" s="45"/>
    </row>
    <row r="491" spans="1:29" ht="15" customHeight="1" x14ac:dyDescent="0.2">
      <c r="A491" s="105" t="s">
        <v>161</v>
      </c>
      <c r="B491" s="44" t="s">
        <v>534</v>
      </c>
      <c r="C491" s="45" t="s">
        <v>535</v>
      </c>
      <c r="D491" s="45"/>
      <c r="E491" s="45" t="s">
        <v>316</v>
      </c>
      <c r="F491" s="45" t="s">
        <v>822</v>
      </c>
      <c r="G491" s="45">
        <v>1</v>
      </c>
      <c r="H491" s="45" t="s">
        <v>2175</v>
      </c>
      <c r="I491" s="75"/>
      <c r="J491" s="45" t="s">
        <v>166</v>
      </c>
      <c r="K491" s="45" t="str">
        <f>BOM_table6[[#This Row],[Manufacturer]]</f>
        <v>Swagelok</v>
      </c>
      <c r="L491" s="45"/>
      <c r="M491" s="106">
        <v>1</v>
      </c>
      <c r="N491" s="50">
        <v>59.13</v>
      </c>
      <c r="O491" s="110">
        <f>IF(OR(ISBLANK(BOM_table6[[#This Row],[SKU QTY]]),BOM_table6[[#This Row],[SKU Cost]]=0),0,BOM_table6[[#This Row],[SKU Cost]]/BOM_table6[[#This Row],[SKU QTY]])</f>
        <v>59.13</v>
      </c>
      <c r="P491" s="110">
        <f>IF(OR(ISBLANK(BOM_table6[[#This Row],[ASM QTY]]),ISBLANK(BOM_table6[[#This Row],[Unit Cost]])),0,BOM_table6[[#This Row],[ASM QTY]]*BOM_table6[[#This Row],[Unit Cost]])</f>
        <v>59.13</v>
      </c>
      <c r="Q491" s="45"/>
      <c r="R491" s="81"/>
      <c r="S491" s="111">
        <f>BOM_table6[[#This Row],[ASM QTY]]*$Q$2+BOM_table6[[#This Row],[Spare QTY Needed]]-BOM_table6[[#This Row],[QTY in Inventory]]</f>
        <v>1</v>
      </c>
      <c r="T491" s="111">
        <f>ROUNDUP((BOM_table6[[#This Row],[QTY to Order]]/BOM_table6[[#This Row],[SKU QTY]]),0)</f>
        <v>1</v>
      </c>
      <c r="U491" s="110">
        <f>BOM_table6[[#This Row],[SKU QTY to Order]]*BOM_table6[[#This Row],[SKU Cost]]</f>
        <v>59.13</v>
      </c>
      <c r="V491" s="50" t="s">
        <v>2190</v>
      </c>
      <c r="W491" s="45" t="s">
        <v>2180</v>
      </c>
      <c r="X491" s="45" t="s">
        <v>2192</v>
      </c>
      <c r="Y491" s="54">
        <v>44845</v>
      </c>
      <c r="Z491" s="54"/>
      <c r="AA491" s="54"/>
      <c r="AB491" s="45"/>
      <c r="AC491" s="45"/>
    </row>
    <row r="492" spans="1:29" ht="15" customHeight="1" x14ac:dyDescent="0.2">
      <c r="A492" s="105" t="s">
        <v>161</v>
      </c>
      <c r="B492" s="44" t="s">
        <v>556</v>
      </c>
      <c r="C492" s="45" t="s">
        <v>557</v>
      </c>
      <c r="D492" s="45"/>
      <c r="E492" s="45" t="s">
        <v>316</v>
      </c>
      <c r="F492" s="45" t="s">
        <v>822</v>
      </c>
      <c r="G492" s="45">
        <v>1</v>
      </c>
      <c r="H492" s="45" t="s">
        <v>2175</v>
      </c>
      <c r="I492" s="75"/>
      <c r="J492" s="45" t="s">
        <v>166</v>
      </c>
      <c r="K492" s="45" t="str">
        <f>BOM_table6[[#This Row],[Manufacturer]]</f>
        <v>Swagelok</v>
      </c>
      <c r="L492" s="45"/>
      <c r="M492" s="106">
        <v>1</v>
      </c>
      <c r="N492" s="50">
        <v>22.08</v>
      </c>
      <c r="O492" s="110">
        <f>IF(OR(ISBLANK(BOM_table6[[#This Row],[SKU QTY]]),BOM_table6[[#This Row],[SKU Cost]]=0),0,BOM_table6[[#This Row],[SKU Cost]]/BOM_table6[[#This Row],[SKU QTY]])</f>
        <v>22.08</v>
      </c>
      <c r="P492" s="110">
        <f>IF(OR(ISBLANK(BOM_table6[[#This Row],[ASM QTY]]),ISBLANK(BOM_table6[[#This Row],[Unit Cost]])),0,BOM_table6[[#This Row],[ASM QTY]]*BOM_table6[[#This Row],[Unit Cost]])</f>
        <v>22.08</v>
      </c>
      <c r="Q492" s="45"/>
      <c r="R492" s="81"/>
      <c r="S492" s="111">
        <f>BOM_table6[[#This Row],[ASM QTY]]*$Q$2+BOM_table6[[#This Row],[Spare QTY Needed]]-BOM_table6[[#This Row],[QTY in Inventory]]</f>
        <v>1</v>
      </c>
      <c r="T492" s="111">
        <f>ROUNDUP((BOM_table6[[#This Row],[QTY to Order]]/BOM_table6[[#This Row],[SKU QTY]]),0)</f>
        <v>1</v>
      </c>
      <c r="U492" s="110">
        <f>BOM_table6[[#This Row],[SKU QTY to Order]]*BOM_table6[[#This Row],[SKU Cost]]</f>
        <v>22.08</v>
      </c>
      <c r="V492" s="50" t="s">
        <v>2190</v>
      </c>
      <c r="W492" s="45" t="s">
        <v>2180</v>
      </c>
      <c r="X492" s="45" t="s">
        <v>2192</v>
      </c>
      <c r="Y492" s="54">
        <v>44845</v>
      </c>
      <c r="Z492" s="54"/>
      <c r="AA492" s="54"/>
      <c r="AB492" s="45"/>
      <c r="AC492" s="45"/>
    </row>
    <row r="493" spans="1:29" ht="15" customHeight="1" x14ac:dyDescent="0.2">
      <c r="A493" s="105" t="s">
        <v>161</v>
      </c>
      <c r="B493" s="44" t="s">
        <v>554</v>
      </c>
      <c r="C493" s="45" t="s">
        <v>555</v>
      </c>
      <c r="D493" s="45"/>
      <c r="E493" s="45" t="s">
        <v>316</v>
      </c>
      <c r="F493" s="45" t="s">
        <v>822</v>
      </c>
      <c r="G493" s="45">
        <v>1</v>
      </c>
      <c r="H493" s="45" t="s">
        <v>2175</v>
      </c>
      <c r="I493" s="75"/>
      <c r="J493" s="45" t="s">
        <v>166</v>
      </c>
      <c r="K493" s="45" t="str">
        <f>BOM_table6[[#This Row],[Manufacturer]]</f>
        <v>Swagelok</v>
      </c>
      <c r="L493" s="45"/>
      <c r="M493" s="106">
        <v>1</v>
      </c>
      <c r="N493" s="50">
        <v>7.97</v>
      </c>
      <c r="O493" s="110">
        <f>IF(OR(ISBLANK(BOM_table6[[#This Row],[SKU QTY]]),BOM_table6[[#This Row],[SKU Cost]]=0),0,BOM_table6[[#This Row],[SKU Cost]]/BOM_table6[[#This Row],[SKU QTY]])</f>
        <v>7.97</v>
      </c>
      <c r="P493" s="110">
        <f>IF(OR(ISBLANK(BOM_table6[[#This Row],[ASM QTY]]),ISBLANK(BOM_table6[[#This Row],[Unit Cost]])),0,BOM_table6[[#This Row],[ASM QTY]]*BOM_table6[[#This Row],[Unit Cost]])</f>
        <v>7.97</v>
      </c>
      <c r="Q493" s="45"/>
      <c r="R493" s="81"/>
      <c r="S493" s="111">
        <f>BOM_table6[[#This Row],[ASM QTY]]*$Q$2+BOM_table6[[#This Row],[Spare QTY Needed]]-BOM_table6[[#This Row],[QTY in Inventory]]</f>
        <v>1</v>
      </c>
      <c r="T493" s="111">
        <f>ROUNDUP((BOM_table6[[#This Row],[QTY to Order]]/BOM_table6[[#This Row],[SKU QTY]]),0)</f>
        <v>1</v>
      </c>
      <c r="U493" s="110">
        <f>BOM_table6[[#This Row],[SKU QTY to Order]]*BOM_table6[[#This Row],[SKU Cost]]</f>
        <v>7.97</v>
      </c>
      <c r="V493" s="50" t="s">
        <v>2190</v>
      </c>
      <c r="W493" s="45" t="s">
        <v>2180</v>
      </c>
      <c r="X493" s="45" t="s">
        <v>2192</v>
      </c>
      <c r="Y493" s="54">
        <v>44845</v>
      </c>
      <c r="Z493" s="54"/>
      <c r="AA493" s="54"/>
      <c r="AB493" s="45"/>
      <c r="AC493" s="45"/>
    </row>
    <row r="494" spans="1:29" ht="15" customHeight="1" x14ac:dyDescent="0.2">
      <c r="A494" s="105" t="s">
        <v>161</v>
      </c>
      <c r="B494" s="44" t="s">
        <v>536</v>
      </c>
      <c r="C494" s="45" t="s">
        <v>537</v>
      </c>
      <c r="D494" s="45"/>
      <c r="E494" s="45" t="s">
        <v>316</v>
      </c>
      <c r="F494" s="45" t="s">
        <v>822</v>
      </c>
      <c r="G494" s="45">
        <v>1</v>
      </c>
      <c r="H494" s="45" t="s">
        <v>2175</v>
      </c>
      <c r="I494" s="75"/>
      <c r="J494" s="45" t="s">
        <v>166</v>
      </c>
      <c r="K494" s="45" t="str">
        <f>BOM_table6[[#This Row],[Manufacturer]]</f>
        <v>Swagelok</v>
      </c>
      <c r="L494" s="45"/>
      <c r="M494" s="106">
        <v>1</v>
      </c>
      <c r="N494" s="50">
        <v>11.56</v>
      </c>
      <c r="O494" s="110">
        <f>IF(OR(ISBLANK(BOM_table6[[#This Row],[SKU QTY]]),BOM_table6[[#This Row],[SKU Cost]]=0),0,BOM_table6[[#This Row],[SKU Cost]]/BOM_table6[[#This Row],[SKU QTY]])</f>
        <v>11.56</v>
      </c>
      <c r="P494" s="110">
        <f>IF(OR(ISBLANK(BOM_table6[[#This Row],[ASM QTY]]),ISBLANK(BOM_table6[[#This Row],[Unit Cost]])),0,BOM_table6[[#This Row],[ASM QTY]]*BOM_table6[[#This Row],[Unit Cost]])</f>
        <v>11.56</v>
      </c>
      <c r="Q494" s="45"/>
      <c r="R494" s="81"/>
      <c r="S494" s="111">
        <f>BOM_table6[[#This Row],[ASM QTY]]*$Q$2+BOM_table6[[#This Row],[Spare QTY Needed]]-BOM_table6[[#This Row],[QTY in Inventory]]</f>
        <v>1</v>
      </c>
      <c r="T494" s="111">
        <f>ROUNDUP((BOM_table6[[#This Row],[QTY to Order]]/BOM_table6[[#This Row],[SKU QTY]]),0)</f>
        <v>1</v>
      </c>
      <c r="U494" s="110">
        <f>BOM_table6[[#This Row],[SKU QTY to Order]]*BOM_table6[[#This Row],[SKU Cost]]</f>
        <v>11.56</v>
      </c>
      <c r="V494" s="50" t="s">
        <v>2190</v>
      </c>
      <c r="W494" s="45" t="s">
        <v>2180</v>
      </c>
      <c r="X494" s="45" t="s">
        <v>2192</v>
      </c>
      <c r="Y494" s="54">
        <v>44845</v>
      </c>
      <c r="Z494" s="54"/>
      <c r="AA494" s="54"/>
      <c r="AB494" s="45"/>
      <c r="AC494" s="45"/>
    </row>
    <row r="495" spans="1:29" ht="15" customHeight="1" x14ac:dyDescent="0.2">
      <c r="A495" s="105" t="s">
        <v>161</v>
      </c>
      <c r="B495" s="44" t="s">
        <v>544</v>
      </c>
      <c r="C495" s="45" t="s">
        <v>545</v>
      </c>
      <c r="D495" s="45"/>
      <c r="E495" s="45" t="s">
        <v>316</v>
      </c>
      <c r="F495" s="45" t="s">
        <v>822</v>
      </c>
      <c r="G495" s="45">
        <v>5</v>
      </c>
      <c r="H495" s="45" t="s">
        <v>2175</v>
      </c>
      <c r="I495" s="43" t="s">
        <v>2186</v>
      </c>
      <c r="J495" s="45" t="s">
        <v>166</v>
      </c>
      <c r="K495" s="45" t="str">
        <f>BOM_table6[[#This Row],[Manufacturer]]</f>
        <v>Swagelok</v>
      </c>
      <c r="L495" s="45"/>
      <c r="M495" s="106">
        <v>1</v>
      </c>
      <c r="N495" s="50">
        <v>8.5399999999999991</v>
      </c>
      <c r="O495" s="110">
        <f>IF(OR(ISBLANK(BOM_table6[[#This Row],[SKU QTY]]),BOM_table6[[#This Row],[SKU Cost]]=0),0,BOM_table6[[#This Row],[SKU Cost]]/BOM_table6[[#This Row],[SKU QTY]])</f>
        <v>8.5399999999999991</v>
      </c>
      <c r="P495" s="110">
        <f>IF(OR(ISBLANK(BOM_table6[[#This Row],[ASM QTY]]),ISBLANK(BOM_table6[[#This Row],[Unit Cost]])),0,BOM_table6[[#This Row],[ASM QTY]]*BOM_table6[[#This Row],[Unit Cost]])</f>
        <v>42.699999999999996</v>
      </c>
      <c r="Q495" s="45"/>
      <c r="R495" s="81"/>
      <c r="S495" s="111">
        <f>BOM_table6[[#This Row],[ASM QTY]]*$Q$2+BOM_table6[[#This Row],[Spare QTY Needed]]-BOM_table6[[#This Row],[QTY in Inventory]]</f>
        <v>5</v>
      </c>
      <c r="T495" s="111">
        <f>ROUNDUP((BOM_table6[[#This Row],[QTY to Order]]/BOM_table6[[#This Row],[SKU QTY]]),0)</f>
        <v>5</v>
      </c>
      <c r="U495" s="110">
        <f>BOM_table6[[#This Row],[SKU QTY to Order]]*BOM_table6[[#This Row],[SKU Cost]]</f>
        <v>42.699999999999996</v>
      </c>
      <c r="V495" s="50" t="s">
        <v>2190</v>
      </c>
      <c r="W495" s="45" t="s">
        <v>2180</v>
      </c>
      <c r="X495" s="45" t="s">
        <v>2192</v>
      </c>
      <c r="Y495" s="54">
        <v>44845</v>
      </c>
      <c r="Z495" s="54"/>
      <c r="AA495" s="45"/>
      <c r="AB495" s="45"/>
      <c r="AC495" s="45"/>
    </row>
    <row r="496" spans="1:29" ht="15" customHeight="1" x14ac:dyDescent="0.2">
      <c r="A496" s="105" t="s">
        <v>161</v>
      </c>
      <c r="B496" s="44" t="s">
        <v>679</v>
      </c>
      <c r="C496" s="45" t="s">
        <v>558</v>
      </c>
      <c r="D496" s="45"/>
      <c r="E496" s="45"/>
      <c r="F496" s="45" t="s">
        <v>849</v>
      </c>
      <c r="G496" s="45">
        <v>5</v>
      </c>
      <c r="H496" s="45"/>
      <c r="I496" s="43" t="s">
        <v>850</v>
      </c>
      <c r="J496" s="45" t="s">
        <v>1321</v>
      </c>
      <c r="K496" s="45" t="s">
        <v>216</v>
      </c>
      <c r="L496" s="45"/>
      <c r="M496" s="106">
        <v>1</v>
      </c>
      <c r="N496" s="50">
        <v>0.28000000000000003</v>
      </c>
      <c r="O496" s="110">
        <f>IF(OR(ISBLANK(BOM_table6[[#This Row],[SKU QTY]]),BOM_table6[[#This Row],[SKU Cost]]=0),0,BOM_table6[[#This Row],[SKU Cost]]/BOM_table6[[#This Row],[SKU QTY]])</f>
        <v>0.28000000000000003</v>
      </c>
      <c r="P496" s="110">
        <f>IF(OR(ISBLANK(BOM_table6[[#This Row],[ASM QTY]]),ISBLANK(BOM_table6[[#This Row],[Unit Cost]])),0,BOM_table6[[#This Row],[ASM QTY]]*BOM_table6[[#This Row],[Unit Cost]])</f>
        <v>1.4000000000000001</v>
      </c>
      <c r="Q496" s="45"/>
      <c r="R496" s="81"/>
      <c r="S496" s="111">
        <f>BOM_table6[[#This Row],[ASM QTY]]*$Q$2+BOM_table6[[#This Row],[Spare QTY Needed]]-BOM_table6[[#This Row],[QTY in Inventory]]</f>
        <v>5</v>
      </c>
      <c r="T496" s="111">
        <f>ROUNDUP((BOM_table6[[#This Row],[QTY to Order]]/BOM_table6[[#This Row],[SKU QTY]]),0)</f>
        <v>5</v>
      </c>
      <c r="U496" s="110">
        <f>BOM_table6[[#This Row],[SKU QTY to Order]]*BOM_table6[[#This Row],[SKU Cost]]</f>
        <v>1.4000000000000001</v>
      </c>
      <c r="V496" s="62"/>
      <c r="W496" s="45" t="s">
        <v>2180</v>
      </c>
      <c r="X496" s="45" t="s">
        <v>2192</v>
      </c>
      <c r="Y496" s="54">
        <v>44923</v>
      </c>
      <c r="Z496" s="54"/>
      <c r="AA496" s="54">
        <v>44924</v>
      </c>
      <c r="AB496" s="45"/>
      <c r="AC496" s="45"/>
    </row>
    <row r="497" spans="1:29" ht="15" customHeight="1" x14ac:dyDescent="0.2">
      <c r="A497" s="105" t="s">
        <v>161</v>
      </c>
      <c r="B497" s="44" t="s">
        <v>1385</v>
      </c>
      <c r="C497" s="45" t="s">
        <v>498</v>
      </c>
      <c r="D497" s="65"/>
      <c r="E497" s="65" t="s">
        <v>1049</v>
      </c>
      <c r="F497" s="65" t="s">
        <v>823</v>
      </c>
      <c r="G497" s="65">
        <v>1</v>
      </c>
      <c r="H497" s="45" t="s">
        <v>2175</v>
      </c>
      <c r="I497" s="43" t="s">
        <v>2203</v>
      </c>
      <c r="J497" s="65"/>
      <c r="K497" s="65" t="s">
        <v>1050</v>
      </c>
      <c r="L497" s="65"/>
      <c r="M497" s="106">
        <v>1</v>
      </c>
      <c r="N497" s="67"/>
      <c r="O497" s="110">
        <f>IF(OR(ISBLANK(BOM_table6[[#This Row],[SKU QTY]]),BOM_table6[[#This Row],[SKU Cost]]=0),0,BOM_table6[[#This Row],[SKU Cost]]/BOM_table6[[#This Row],[SKU QTY]])</f>
        <v>0</v>
      </c>
      <c r="P497" s="110">
        <f>IF(OR(ISBLANK(BOM_table6[[#This Row],[ASM QTY]]),ISBLANK(BOM_table6[[#This Row],[Unit Cost]])),0,BOM_table6[[#This Row],[ASM QTY]]*BOM_table6[[#This Row],[Unit Cost]])</f>
        <v>0</v>
      </c>
      <c r="Q497" s="65"/>
      <c r="R497" s="80"/>
      <c r="S497" s="111">
        <f>BOM_table6[[#This Row],[ASM QTY]]*$Q$2+BOM_table6[[#This Row],[Spare QTY Needed]]-BOM_table6[[#This Row],[QTY in Inventory]]</f>
        <v>1</v>
      </c>
      <c r="T497" s="111">
        <f>ROUNDUP((BOM_table6[[#This Row],[QTY to Order]]/BOM_table6[[#This Row],[SKU QTY]]),0)</f>
        <v>1</v>
      </c>
      <c r="U497" s="110">
        <f>BOM_table6[[#This Row],[SKU QTY to Order]]*BOM_table6[[#This Row],[SKU Cost]]</f>
        <v>0</v>
      </c>
      <c r="V497" s="67"/>
      <c r="W497" s="45"/>
      <c r="X497" s="45"/>
      <c r="Y497" s="71"/>
      <c r="Z497" s="71"/>
      <c r="AA497" s="65"/>
      <c r="AB497" s="65"/>
      <c r="AC497" s="45"/>
    </row>
    <row r="498" spans="1:29" ht="15" customHeight="1" x14ac:dyDescent="0.2">
      <c r="A498" s="105" t="s">
        <v>161</v>
      </c>
      <c r="B498" s="44" t="s">
        <v>1468</v>
      </c>
      <c r="C498" s="45" t="s">
        <v>499</v>
      </c>
      <c r="D498" s="45" t="s">
        <v>152</v>
      </c>
      <c r="E498" s="45" t="s">
        <v>1049</v>
      </c>
      <c r="F498" s="45" t="s">
        <v>823</v>
      </c>
      <c r="G498" s="45">
        <v>1</v>
      </c>
      <c r="H498" s="45" t="s">
        <v>2175</v>
      </c>
      <c r="I498" s="43" t="s">
        <v>2203</v>
      </c>
      <c r="J498" s="45" t="s">
        <v>167</v>
      </c>
      <c r="K498" s="45" t="s">
        <v>1469</v>
      </c>
      <c r="L498" s="45"/>
      <c r="M498" s="106">
        <v>1</v>
      </c>
      <c r="N498" s="50"/>
      <c r="O498" s="110">
        <f>IF(OR(ISBLANK(BOM_table6[[#This Row],[SKU QTY]]),BOM_table6[[#This Row],[SKU Cost]]=0),0,BOM_table6[[#This Row],[SKU Cost]]/BOM_table6[[#This Row],[SKU QTY]])</f>
        <v>0</v>
      </c>
      <c r="P498" s="110">
        <f>IF(OR(ISBLANK(BOM_table6[[#This Row],[ASM QTY]]),ISBLANK(BOM_table6[[#This Row],[Unit Cost]])),0,BOM_table6[[#This Row],[ASM QTY]]*BOM_table6[[#This Row],[Unit Cost]])</f>
        <v>0</v>
      </c>
      <c r="Q498" s="45"/>
      <c r="R498" s="81"/>
      <c r="S498" s="111">
        <f>BOM_table6[[#This Row],[ASM QTY]]*$Q$2+BOM_table6[[#This Row],[Spare QTY Needed]]-BOM_table6[[#This Row],[QTY in Inventory]]</f>
        <v>1</v>
      </c>
      <c r="T498" s="111">
        <f>ROUNDUP((BOM_table6[[#This Row],[QTY to Order]]/BOM_table6[[#This Row],[SKU QTY]]),0)</f>
        <v>1</v>
      </c>
      <c r="U498" s="110">
        <f>BOM_table6[[#This Row],[SKU QTY to Order]]*BOM_table6[[#This Row],[SKU Cost]]</f>
        <v>0</v>
      </c>
      <c r="V498" s="50"/>
      <c r="W498" s="45"/>
      <c r="X498" s="45"/>
      <c r="Y498" s="54"/>
      <c r="Z498" s="54"/>
      <c r="AA498" s="45"/>
      <c r="AB498" s="45"/>
      <c r="AC498" s="45"/>
    </row>
    <row r="499" spans="1:29" ht="15" customHeight="1" x14ac:dyDescent="0.25">
      <c r="A499" s="105" t="s">
        <v>161</v>
      </c>
      <c r="B499" s="44" t="s">
        <v>1415</v>
      </c>
      <c r="C499" s="45" t="s">
        <v>465</v>
      </c>
      <c r="D499" s="45"/>
      <c r="E499" s="45" t="s">
        <v>466</v>
      </c>
      <c r="F499" s="45" t="s">
        <v>823</v>
      </c>
      <c r="G499" s="45">
        <v>1</v>
      </c>
      <c r="H499" s="45" t="s">
        <v>2175</v>
      </c>
      <c r="I499" s="43" t="s">
        <v>2243</v>
      </c>
      <c r="J499" s="45" t="s">
        <v>166</v>
      </c>
      <c r="K499" s="45" t="s">
        <v>466</v>
      </c>
      <c r="L499" s="45"/>
      <c r="M499" s="106">
        <v>1</v>
      </c>
      <c r="N499" s="50">
        <v>278.13</v>
      </c>
      <c r="O499" s="110">
        <f>IF(OR(ISBLANK(BOM_table6[[#This Row],[SKU QTY]]),BOM_table6[[#This Row],[SKU Cost]]=0),0,BOM_table6[[#This Row],[SKU Cost]]/BOM_table6[[#This Row],[SKU QTY]])</f>
        <v>278.13</v>
      </c>
      <c r="P499" s="110">
        <f>IF(OR(ISBLANK(BOM_table6[[#This Row],[ASM QTY]]),ISBLANK(BOM_table6[[#This Row],[Unit Cost]])),0,BOM_table6[[#This Row],[ASM QTY]]*BOM_table6[[#This Row],[Unit Cost]])</f>
        <v>278.13</v>
      </c>
      <c r="Q499" s="45">
        <v>1</v>
      </c>
      <c r="R499" s="81">
        <v>1</v>
      </c>
      <c r="S499" s="111">
        <f>BOM_table6[[#This Row],[ASM QTY]]*$Q$2+BOM_table6[[#This Row],[Spare QTY Needed]]-BOM_table6[[#This Row],[QTY in Inventory]]</f>
        <v>1</v>
      </c>
      <c r="T499" s="111">
        <f>ROUNDUP((BOM_table6[[#This Row],[QTY to Order]]/BOM_table6[[#This Row],[SKU QTY]]),0)</f>
        <v>1</v>
      </c>
      <c r="U499" s="110">
        <f>BOM_table6[[#This Row],[SKU QTY to Order]]*BOM_table6[[#This Row],[SKU Cost]]</f>
        <v>278.13</v>
      </c>
      <c r="V499" s="50" t="s">
        <v>1991</v>
      </c>
      <c r="W499" s="45" t="s">
        <v>2180</v>
      </c>
      <c r="X499" s="45" t="s">
        <v>2192</v>
      </c>
      <c r="Y499" s="54">
        <v>44831</v>
      </c>
      <c r="Z499" s="54">
        <v>44854</v>
      </c>
      <c r="AA499" s="54"/>
      <c r="AB499" s="187" t="s">
        <v>2181</v>
      </c>
      <c r="AC499" s="45"/>
    </row>
    <row r="500" spans="1:29" ht="15" customHeight="1" x14ac:dyDescent="0.2">
      <c r="A500" s="105" t="s">
        <v>161</v>
      </c>
      <c r="B500" s="44" t="s">
        <v>494</v>
      </c>
      <c r="C500" s="45" t="s">
        <v>495</v>
      </c>
      <c r="D500" s="45"/>
      <c r="E500" s="45"/>
      <c r="F500" s="45" t="s">
        <v>823</v>
      </c>
      <c r="G500" s="45">
        <v>2</v>
      </c>
      <c r="H500" s="45" t="s">
        <v>2175</v>
      </c>
      <c r="I500" s="43" t="s">
        <v>2203</v>
      </c>
      <c r="J500" s="45" t="s">
        <v>1321</v>
      </c>
      <c r="K500" s="45" t="s">
        <v>216</v>
      </c>
      <c r="L500" s="45"/>
      <c r="M500" s="106">
        <v>1</v>
      </c>
      <c r="N500" s="50"/>
      <c r="O500" s="110">
        <f>IF(OR(ISBLANK(BOM_table6[[#This Row],[SKU QTY]]),BOM_table6[[#This Row],[SKU Cost]]=0),0,BOM_table6[[#This Row],[SKU Cost]]/BOM_table6[[#This Row],[SKU QTY]])</f>
        <v>0</v>
      </c>
      <c r="P500" s="110">
        <f>IF(OR(ISBLANK(BOM_table6[[#This Row],[ASM QTY]]),ISBLANK(BOM_table6[[#This Row],[Unit Cost]])),0,BOM_table6[[#This Row],[ASM QTY]]*BOM_table6[[#This Row],[Unit Cost]])</f>
        <v>0</v>
      </c>
      <c r="Q500" s="45"/>
      <c r="R500" s="81"/>
      <c r="S500" s="111">
        <f>BOM_table6[[#This Row],[ASM QTY]]*$Q$2+BOM_table6[[#This Row],[Spare QTY Needed]]-BOM_table6[[#This Row],[QTY in Inventory]]</f>
        <v>2</v>
      </c>
      <c r="T500" s="111">
        <f>ROUNDUP((BOM_table6[[#This Row],[QTY to Order]]/BOM_table6[[#This Row],[SKU QTY]]),0)</f>
        <v>2</v>
      </c>
      <c r="U500" s="110">
        <f>BOM_table6[[#This Row],[SKU QTY to Order]]*BOM_table6[[#This Row],[SKU Cost]]</f>
        <v>0</v>
      </c>
      <c r="V500" s="62"/>
      <c r="W500" s="45"/>
      <c r="X500" s="45"/>
      <c r="Y500" s="54"/>
      <c r="Z500" s="54"/>
      <c r="AA500" s="54"/>
      <c r="AB500" s="45"/>
      <c r="AC500" s="45"/>
    </row>
    <row r="501" spans="1:29" ht="15" customHeight="1" x14ac:dyDescent="0.2">
      <c r="A501" s="105" t="s">
        <v>161</v>
      </c>
      <c r="B501" s="44" t="s">
        <v>486</v>
      </c>
      <c r="C501" s="45" t="s">
        <v>489</v>
      </c>
      <c r="D501" s="45"/>
      <c r="E501" s="45"/>
      <c r="F501" s="45" t="s">
        <v>823</v>
      </c>
      <c r="G501" s="45">
        <v>4</v>
      </c>
      <c r="H501" s="45" t="s">
        <v>2175</v>
      </c>
      <c r="I501" s="43" t="s">
        <v>2203</v>
      </c>
      <c r="J501" s="45" t="s">
        <v>1321</v>
      </c>
      <c r="K501" s="45" t="s">
        <v>216</v>
      </c>
      <c r="L501" s="45"/>
      <c r="M501" s="106">
        <v>1</v>
      </c>
      <c r="N501" s="50"/>
      <c r="O501" s="110">
        <f>IF(OR(ISBLANK(BOM_table6[[#This Row],[SKU QTY]]),BOM_table6[[#This Row],[SKU Cost]]=0),0,BOM_table6[[#This Row],[SKU Cost]]/BOM_table6[[#This Row],[SKU QTY]])</f>
        <v>0</v>
      </c>
      <c r="P501" s="110">
        <f>IF(OR(ISBLANK(BOM_table6[[#This Row],[ASM QTY]]),ISBLANK(BOM_table6[[#This Row],[Unit Cost]])),0,BOM_table6[[#This Row],[ASM QTY]]*BOM_table6[[#This Row],[Unit Cost]])</f>
        <v>0</v>
      </c>
      <c r="Q501" s="45"/>
      <c r="R501" s="81"/>
      <c r="S501" s="111">
        <f>BOM_table6[[#This Row],[ASM QTY]]*$Q$2+BOM_table6[[#This Row],[Spare QTY Needed]]-BOM_table6[[#This Row],[QTY in Inventory]]</f>
        <v>4</v>
      </c>
      <c r="T501" s="111">
        <f>ROUNDUP((BOM_table6[[#This Row],[QTY to Order]]/BOM_table6[[#This Row],[SKU QTY]]),0)</f>
        <v>4</v>
      </c>
      <c r="U501" s="110">
        <f>BOM_table6[[#This Row],[SKU QTY to Order]]*BOM_table6[[#This Row],[SKU Cost]]</f>
        <v>0</v>
      </c>
      <c r="V501" s="62"/>
      <c r="W501" s="45"/>
      <c r="X501" s="45"/>
      <c r="Y501" s="54"/>
      <c r="Z501" s="54"/>
      <c r="AA501" s="54"/>
      <c r="AB501" s="45"/>
      <c r="AC501" s="45"/>
    </row>
    <row r="502" spans="1:29" ht="15" customHeight="1" x14ac:dyDescent="0.2">
      <c r="A502" s="105" t="s">
        <v>161</v>
      </c>
      <c r="B502" s="44" t="s">
        <v>487</v>
      </c>
      <c r="C502" s="45" t="s">
        <v>485</v>
      </c>
      <c r="D502" s="45"/>
      <c r="E502" s="45"/>
      <c r="F502" s="45" t="s">
        <v>823</v>
      </c>
      <c r="G502" s="45">
        <v>4</v>
      </c>
      <c r="H502" s="45" t="s">
        <v>2175</v>
      </c>
      <c r="I502" s="43" t="s">
        <v>2203</v>
      </c>
      <c r="J502" s="45" t="s">
        <v>1321</v>
      </c>
      <c r="K502" s="45" t="s">
        <v>216</v>
      </c>
      <c r="L502" s="45"/>
      <c r="M502" s="106">
        <v>1</v>
      </c>
      <c r="N502" s="50"/>
      <c r="O502" s="110">
        <f>IF(OR(ISBLANK(BOM_table6[[#This Row],[SKU QTY]]),BOM_table6[[#This Row],[SKU Cost]]=0),0,BOM_table6[[#This Row],[SKU Cost]]/BOM_table6[[#This Row],[SKU QTY]])</f>
        <v>0</v>
      </c>
      <c r="P502" s="110">
        <f>IF(OR(ISBLANK(BOM_table6[[#This Row],[ASM QTY]]),ISBLANK(BOM_table6[[#This Row],[Unit Cost]])),0,BOM_table6[[#This Row],[ASM QTY]]*BOM_table6[[#This Row],[Unit Cost]])</f>
        <v>0</v>
      </c>
      <c r="Q502" s="45"/>
      <c r="R502" s="81"/>
      <c r="S502" s="111">
        <f>BOM_table6[[#This Row],[ASM QTY]]*$Q$2+BOM_table6[[#This Row],[Spare QTY Needed]]-BOM_table6[[#This Row],[QTY in Inventory]]</f>
        <v>4</v>
      </c>
      <c r="T502" s="111">
        <f>ROUNDUP((BOM_table6[[#This Row],[QTY to Order]]/BOM_table6[[#This Row],[SKU QTY]]),0)</f>
        <v>4</v>
      </c>
      <c r="U502" s="110">
        <f>BOM_table6[[#This Row],[SKU QTY to Order]]*BOM_table6[[#This Row],[SKU Cost]]</f>
        <v>0</v>
      </c>
      <c r="V502" s="62"/>
      <c r="W502" s="45"/>
      <c r="X502" s="45"/>
      <c r="Y502" s="54"/>
      <c r="Z502" s="54"/>
      <c r="AA502" s="54"/>
      <c r="AB502" s="45"/>
      <c r="AC502" s="45"/>
    </row>
    <row r="503" spans="1:29" ht="15" customHeight="1" x14ac:dyDescent="0.2">
      <c r="A503" s="105" t="s">
        <v>161</v>
      </c>
      <c r="B503" s="44" t="s">
        <v>488</v>
      </c>
      <c r="C503" s="45" t="s">
        <v>482</v>
      </c>
      <c r="D503" s="45"/>
      <c r="E503" s="45"/>
      <c r="F503" s="45" t="s">
        <v>823</v>
      </c>
      <c r="G503" s="45">
        <v>3</v>
      </c>
      <c r="H503" s="45" t="s">
        <v>2175</v>
      </c>
      <c r="I503" s="43" t="s">
        <v>2203</v>
      </c>
      <c r="J503" s="45" t="s">
        <v>1321</v>
      </c>
      <c r="K503" s="45" t="s">
        <v>216</v>
      </c>
      <c r="L503" s="45"/>
      <c r="M503" s="106">
        <v>1</v>
      </c>
      <c r="N503" s="50"/>
      <c r="O503" s="110">
        <f>IF(OR(ISBLANK(BOM_table6[[#This Row],[SKU QTY]]),BOM_table6[[#This Row],[SKU Cost]]=0),0,BOM_table6[[#This Row],[SKU Cost]]/BOM_table6[[#This Row],[SKU QTY]])</f>
        <v>0</v>
      </c>
      <c r="P503" s="110">
        <f>IF(OR(ISBLANK(BOM_table6[[#This Row],[ASM QTY]]),ISBLANK(BOM_table6[[#This Row],[Unit Cost]])),0,BOM_table6[[#This Row],[ASM QTY]]*BOM_table6[[#This Row],[Unit Cost]])</f>
        <v>0</v>
      </c>
      <c r="Q503" s="45"/>
      <c r="R503" s="81"/>
      <c r="S503" s="111">
        <f>BOM_table6[[#This Row],[ASM QTY]]*$Q$2+BOM_table6[[#This Row],[Spare QTY Needed]]-BOM_table6[[#This Row],[QTY in Inventory]]</f>
        <v>3</v>
      </c>
      <c r="T503" s="111">
        <f>ROUNDUP((BOM_table6[[#This Row],[QTY to Order]]/BOM_table6[[#This Row],[SKU QTY]]),0)</f>
        <v>3</v>
      </c>
      <c r="U503" s="110">
        <f>BOM_table6[[#This Row],[SKU QTY to Order]]*BOM_table6[[#This Row],[SKU Cost]]</f>
        <v>0</v>
      </c>
      <c r="V503" s="62"/>
      <c r="W503" s="45"/>
      <c r="X503" s="45"/>
      <c r="Y503" s="54"/>
      <c r="Z503" s="54"/>
      <c r="AA503" s="54"/>
      <c r="AB503" s="45"/>
      <c r="AC503" s="45"/>
    </row>
    <row r="504" spans="1:29" ht="15" customHeight="1" x14ac:dyDescent="0.2">
      <c r="A504" s="105" t="s">
        <v>161</v>
      </c>
      <c r="B504" s="44" t="s">
        <v>480</v>
      </c>
      <c r="C504" s="45" t="s">
        <v>481</v>
      </c>
      <c r="D504" s="45"/>
      <c r="E504" s="45"/>
      <c r="F504" s="45" t="s">
        <v>823</v>
      </c>
      <c r="G504" s="45">
        <v>1</v>
      </c>
      <c r="H504" s="45" t="s">
        <v>2175</v>
      </c>
      <c r="I504" s="43" t="s">
        <v>2203</v>
      </c>
      <c r="J504" s="45" t="s">
        <v>1321</v>
      </c>
      <c r="K504" s="45" t="s">
        <v>216</v>
      </c>
      <c r="L504" s="45"/>
      <c r="M504" s="106">
        <v>1</v>
      </c>
      <c r="N504" s="50"/>
      <c r="O504" s="110">
        <f>IF(OR(ISBLANK(BOM_table6[[#This Row],[SKU QTY]]),BOM_table6[[#This Row],[SKU Cost]]=0),0,BOM_table6[[#This Row],[SKU Cost]]/BOM_table6[[#This Row],[SKU QTY]])</f>
        <v>0</v>
      </c>
      <c r="P504" s="110">
        <f>IF(OR(ISBLANK(BOM_table6[[#This Row],[ASM QTY]]),ISBLANK(BOM_table6[[#This Row],[Unit Cost]])),0,BOM_table6[[#This Row],[ASM QTY]]*BOM_table6[[#This Row],[Unit Cost]])</f>
        <v>0</v>
      </c>
      <c r="Q504" s="45"/>
      <c r="R504" s="81"/>
      <c r="S504" s="111">
        <f>BOM_table6[[#This Row],[ASM QTY]]*$Q$2+BOM_table6[[#This Row],[Spare QTY Needed]]-BOM_table6[[#This Row],[QTY in Inventory]]</f>
        <v>1</v>
      </c>
      <c r="T504" s="111">
        <f>ROUNDUP((BOM_table6[[#This Row],[QTY to Order]]/BOM_table6[[#This Row],[SKU QTY]]),0)</f>
        <v>1</v>
      </c>
      <c r="U504" s="110">
        <f>BOM_table6[[#This Row],[SKU QTY to Order]]*BOM_table6[[#This Row],[SKU Cost]]</f>
        <v>0</v>
      </c>
      <c r="V504" s="62"/>
      <c r="W504" s="45"/>
      <c r="X504" s="45"/>
      <c r="Y504" s="54"/>
      <c r="Z504" s="54"/>
      <c r="AA504" s="54"/>
      <c r="AB504" s="45"/>
      <c r="AC504" s="45"/>
    </row>
    <row r="505" spans="1:29" ht="15" customHeight="1" x14ac:dyDescent="0.2">
      <c r="A505" s="105" t="s">
        <v>161</v>
      </c>
      <c r="B505" s="44" t="s">
        <v>492</v>
      </c>
      <c r="C505" s="45" t="s">
        <v>493</v>
      </c>
      <c r="D505" s="45"/>
      <c r="E505" s="45"/>
      <c r="F505" s="45" t="s">
        <v>823</v>
      </c>
      <c r="G505" s="45">
        <v>2</v>
      </c>
      <c r="H505" s="45" t="s">
        <v>2175</v>
      </c>
      <c r="I505" s="43" t="s">
        <v>2203</v>
      </c>
      <c r="J505" s="45" t="s">
        <v>1321</v>
      </c>
      <c r="K505" s="45" t="s">
        <v>216</v>
      </c>
      <c r="L505" s="45"/>
      <c r="M505" s="106">
        <v>1</v>
      </c>
      <c r="N505" s="50"/>
      <c r="O505" s="110">
        <f>IF(OR(ISBLANK(BOM_table6[[#This Row],[SKU QTY]]),BOM_table6[[#This Row],[SKU Cost]]=0),0,BOM_table6[[#This Row],[SKU Cost]]/BOM_table6[[#This Row],[SKU QTY]])</f>
        <v>0</v>
      </c>
      <c r="P505" s="110">
        <f>IF(OR(ISBLANK(BOM_table6[[#This Row],[ASM QTY]]),ISBLANK(BOM_table6[[#This Row],[Unit Cost]])),0,BOM_table6[[#This Row],[ASM QTY]]*BOM_table6[[#This Row],[Unit Cost]])</f>
        <v>0</v>
      </c>
      <c r="Q505" s="45"/>
      <c r="R505" s="81"/>
      <c r="S505" s="111">
        <f>BOM_table6[[#This Row],[ASM QTY]]*$Q$2+BOM_table6[[#This Row],[Spare QTY Needed]]-BOM_table6[[#This Row],[QTY in Inventory]]</f>
        <v>2</v>
      </c>
      <c r="T505" s="111">
        <f>ROUNDUP((BOM_table6[[#This Row],[QTY to Order]]/BOM_table6[[#This Row],[SKU QTY]]),0)</f>
        <v>2</v>
      </c>
      <c r="U505" s="110">
        <f>BOM_table6[[#This Row],[SKU QTY to Order]]*BOM_table6[[#This Row],[SKU Cost]]</f>
        <v>0</v>
      </c>
      <c r="V505" s="62"/>
      <c r="W505" s="45"/>
      <c r="X505" s="45"/>
      <c r="Y505" s="54"/>
      <c r="Z505" s="54"/>
      <c r="AA505" s="54"/>
      <c r="AB505" s="45"/>
      <c r="AC505" s="45"/>
    </row>
    <row r="506" spans="1:29" ht="15" customHeight="1" x14ac:dyDescent="0.2">
      <c r="A506" s="105" t="s">
        <v>161</v>
      </c>
      <c r="B506" s="44" t="s">
        <v>490</v>
      </c>
      <c r="C506" s="45" t="s">
        <v>491</v>
      </c>
      <c r="D506" s="45"/>
      <c r="E506" s="45"/>
      <c r="F506" s="45" t="s">
        <v>823</v>
      </c>
      <c r="G506" s="45">
        <v>2</v>
      </c>
      <c r="H506" s="45" t="s">
        <v>2175</v>
      </c>
      <c r="I506" s="43" t="s">
        <v>2203</v>
      </c>
      <c r="J506" s="45" t="s">
        <v>166</v>
      </c>
      <c r="K506" s="45" t="s">
        <v>216</v>
      </c>
      <c r="L506" s="45"/>
      <c r="M506" s="106">
        <v>1</v>
      </c>
      <c r="N506" s="50"/>
      <c r="O506" s="110">
        <f>IF(OR(ISBLANK(BOM_table6[[#This Row],[SKU QTY]]),BOM_table6[[#This Row],[SKU Cost]]=0),0,BOM_table6[[#This Row],[SKU Cost]]/BOM_table6[[#This Row],[SKU QTY]])</f>
        <v>0</v>
      </c>
      <c r="P506" s="110">
        <f>IF(OR(ISBLANK(BOM_table6[[#This Row],[ASM QTY]]),ISBLANK(BOM_table6[[#This Row],[Unit Cost]])),0,BOM_table6[[#This Row],[ASM QTY]]*BOM_table6[[#This Row],[Unit Cost]])</f>
        <v>0</v>
      </c>
      <c r="Q506" s="45"/>
      <c r="R506" s="81"/>
      <c r="S506" s="111">
        <f>BOM_table6[[#This Row],[ASM QTY]]*$Q$2+BOM_table6[[#This Row],[Spare QTY Needed]]-BOM_table6[[#This Row],[QTY in Inventory]]</f>
        <v>2</v>
      </c>
      <c r="T506" s="111">
        <f>ROUNDUP((BOM_table6[[#This Row],[QTY to Order]]/BOM_table6[[#This Row],[SKU QTY]]),0)</f>
        <v>2</v>
      </c>
      <c r="U506" s="110">
        <f>BOM_table6[[#This Row],[SKU QTY to Order]]*BOM_table6[[#This Row],[SKU Cost]]</f>
        <v>0</v>
      </c>
      <c r="V506" s="62"/>
      <c r="W506" s="45"/>
      <c r="X506" s="45"/>
      <c r="Y506" s="45"/>
      <c r="Z506" s="54"/>
      <c r="AA506" s="45"/>
      <c r="AB506" s="45"/>
      <c r="AC506" s="45"/>
    </row>
    <row r="507" spans="1:29" ht="15" customHeight="1" x14ac:dyDescent="0.2">
      <c r="A507" s="105" t="s">
        <v>161</v>
      </c>
      <c r="B507" s="44" t="s">
        <v>471</v>
      </c>
      <c r="C507" s="45" t="s">
        <v>472</v>
      </c>
      <c r="D507" s="45"/>
      <c r="E507" s="45" t="s">
        <v>473</v>
      </c>
      <c r="F507" s="45" t="s">
        <v>823</v>
      </c>
      <c r="G507" s="45">
        <v>1</v>
      </c>
      <c r="H507" s="45" t="s">
        <v>2175</v>
      </c>
      <c r="I507" s="43" t="s">
        <v>2203</v>
      </c>
      <c r="J507" s="45" t="s">
        <v>166</v>
      </c>
      <c r="K507" s="45" t="s">
        <v>473</v>
      </c>
      <c r="L507" s="45"/>
      <c r="M507" s="106">
        <v>1</v>
      </c>
      <c r="N507" s="50"/>
      <c r="O507" s="110">
        <f>IF(OR(ISBLANK(BOM_table6[[#This Row],[SKU QTY]]),BOM_table6[[#This Row],[SKU Cost]]=0),0,BOM_table6[[#This Row],[SKU Cost]]/BOM_table6[[#This Row],[SKU QTY]])</f>
        <v>0</v>
      </c>
      <c r="P507" s="110">
        <f>IF(OR(ISBLANK(BOM_table6[[#This Row],[ASM QTY]]),ISBLANK(BOM_table6[[#This Row],[Unit Cost]])),0,BOM_table6[[#This Row],[ASM QTY]]*BOM_table6[[#This Row],[Unit Cost]])</f>
        <v>0</v>
      </c>
      <c r="Q507" s="45"/>
      <c r="R507" s="81"/>
      <c r="S507" s="111">
        <f>BOM_table6[[#This Row],[ASM QTY]]*$Q$2+BOM_table6[[#This Row],[Spare QTY Needed]]-BOM_table6[[#This Row],[QTY in Inventory]]</f>
        <v>1</v>
      </c>
      <c r="T507" s="111">
        <f>ROUNDUP((BOM_table6[[#This Row],[QTY to Order]]/BOM_table6[[#This Row],[SKU QTY]]),0)</f>
        <v>1</v>
      </c>
      <c r="U507" s="110">
        <f>BOM_table6[[#This Row],[SKU QTY to Order]]*BOM_table6[[#This Row],[SKU Cost]]</f>
        <v>0</v>
      </c>
      <c r="V507" s="62"/>
      <c r="W507" s="45"/>
      <c r="X507" s="45"/>
      <c r="Y507" s="54"/>
      <c r="Z507" s="54"/>
      <c r="AA507" s="45"/>
      <c r="AB507" s="45"/>
      <c r="AC507" s="45"/>
    </row>
    <row r="508" spans="1:29" ht="15" customHeight="1" x14ac:dyDescent="0.2">
      <c r="A508" s="105" t="s">
        <v>161</v>
      </c>
      <c r="B508" s="44" t="s">
        <v>467</v>
      </c>
      <c r="C508" s="45" t="s">
        <v>468</v>
      </c>
      <c r="D508" s="45" t="s">
        <v>152</v>
      </c>
      <c r="E508" s="45" t="s">
        <v>1049</v>
      </c>
      <c r="F508" s="45" t="s">
        <v>823</v>
      </c>
      <c r="G508" s="45">
        <v>1</v>
      </c>
      <c r="H508" s="45" t="s">
        <v>2175</v>
      </c>
      <c r="I508" s="43" t="s">
        <v>2203</v>
      </c>
      <c r="J508" s="45" t="s">
        <v>169</v>
      </c>
      <c r="K508" s="45" t="s">
        <v>1395</v>
      </c>
      <c r="L508" s="45"/>
      <c r="M508" s="106">
        <v>1</v>
      </c>
      <c r="N508" s="50"/>
      <c r="O508" s="110">
        <f>IF(OR(ISBLANK(BOM_table6[[#This Row],[SKU QTY]]),BOM_table6[[#This Row],[SKU Cost]]=0),0,BOM_table6[[#This Row],[SKU Cost]]/BOM_table6[[#This Row],[SKU QTY]])</f>
        <v>0</v>
      </c>
      <c r="P508" s="110">
        <f>IF(OR(ISBLANK(BOM_table6[[#This Row],[ASM QTY]]),ISBLANK(BOM_table6[[#This Row],[Unit Cost]])),0,BOM_table6[[#This Row],[ASM QTY]]*BOM_table6[[#This Row],[Unit Cost]])</f>
        <v>0</v>
      </c>
      <c r="Q508" s="45"/>
      <c r="R508" s="81"/>
      <c r="S508" s="111">
        <f>BOM_table6[[#This Row],[ASM QTY]]*$Q$2+BOM_table6[[#This Row],[Spare QTY Needed]]-BOM_table6[[#This Row],[QTY in Inventory]]</f>
        <v>1</v>
      </c>
      <c r="T508" s="111">
        <f>ROUNDUP((BOM_table6[[#This Row],[QTY to Order]]/BOM_table6[[#This Row],[SKU QTY]]),0)</f>
        <v>1</v>
      </c>
      <c r="U508" s="110">
        <f>BOM_table6[[#This Row],[SKU QTY to Order]]*BOM_table6[[#This Row],[SKU Cost]]</f>
        <v>0</v>
      </c>
      <c r="V508" s="62"/>
      <c r="W508" s="45"/>
      <c r="X508" s="45"/>
      <c r="Y508" s="97"/>
      <c r="Z508" s="54"/>
      <c r="AA508" s="54"/>
      <c r="AB508" s="45"/>
      <c r="AC508" s="45"/>
    </row>
    <row r="509" spans="1:29" ht="15" customHeight="1" x14ac:dyDescent="0.2">
      <c r="A509" s="105" t="s">
        <v>161</v>
      </c>
      <c r="B509" s="44" t="s">
        <v>463</v>
      </c>
      <c r="C509" s="45" t="s">
        <v>464</v>
      </c>
      <c r="D509" s="45" t="s">
        <v>233</v>
      </c>
      <c r="E509" s="45" t="s">
        <v>1049</v>
      </c>
      <c r="F509" s="45" t="s">
        <v>823</v>
      </c>
      <c r="G509" s="45">
        <v>1</v>
      </c>
      <c r="H509" s="45" t="s">
        <v>2175</v>
      </c>
      <c r="I509" s="43" t="s">
        <v>2203</v>
      </c>
      <c r="J509" s="45" t="s">
        <v>169</v>
      </c>
      <c r="K509" s="45" t="s">
        <v>1395</v>
      </c>
      <c r="L509" s="45"/>
      <c r="M509" s="106">
        <v>1</v>
      </c>
      <c r="N509" s="50"/>
      <c r="O509" s="110">
        <f>IF(OR(ISBLANK(BOM_table6[[#This Row],[SKU QTY]]),BOM_table6[[#This Row],[SKU Cost]]=0),0,BOM_table6[[#This Row],[SKU Cost]]/BOM_table6[[#This Row],[SKU QTY]])</f>
        <v>0</v>
      </c>
      <c r="P509" s="110">
        <f>IF(OR(ISBLANK(BOM_table6[[#This Row],[ASM QTY]]),ISBLANK(BOM_table6[[#This Row],[Unit Cost]])),0,BOM_table6[[#This Row],[ASM QTY]]*BOM_table6[[#This Row],[Unit Cost]])</f>
        <v>0</v>
      </c>
      <c r="Q509" s="45"/>
      <c r="R509" s="81"/>
      <c r="S509" s="111">
        <f>BOM_table6[[#This Row],[ASM QTY]]*$Q$2+BOM_table6[[#This Row],[Spare QTY Needed]]-BOM_table6[[#This Row],[QTY in Inventory]]</f>
        <v>1</v>
      </c>
      <c r="T509" s="111">
        <f>ROUNDUP((BOM_table6[[#This Row],[QTY to Order]]/BOM_table6[[#This Row],[SKU QTY]]),0)</f>
        <v>1</v>
      </c>
      <c r="U509" s="110">
        <f>BOM_table6[[#This Row],[SKU QTY to Order]]*BOM_table6[[#This Row],[SKU Cost]]</f>
        <v>0</v>
      </c>
      <c r="V509" s="62"/>
      <c r="W509" s="45"/>
      <c r="X509" s="45"/>
      <c r="Y509" s="54"/>
      <c r="Z509" s="54"/>
      <c r="AA509" s="54"/>
      <c r="AB509" s="45"/>
      <c r="AC509" s="45"/>
    </row>
    <row r="510" spans="1:29" ht="15" customHeight="1" x14ac:dyDescent="0.2">
      <c r="A510" s="105" t="s">
        <v>161</v>
      </c>
      <c r="B510" s="44" t="s">
        <v>469</v>
      </c>
      <c r="C510" s="45" t="s">
        <v>470</v>
      </c>
      <c r="D510" s="45"/>
      <c r="E510" s="45" t="s">
        <v>1049</v>
      </c>
      <c r="F510" s="45" t="s">
        <v>823</v>
      </c>
      <c r="G510" s="45">
        <v>1</v>
      </c>
      <c r="H510" s="45" t="s">
        <v>2175</v>
      </c>
      <c r="I510" s="43" t="s">
        <v>2203</v>
      </c>
      <c r="J510" s="45" t="s">
        <v>169</v>
      </c>
      <c r="K510" s="45" t="s">
        <v>1395</v>
      </c>
      <c r="L510" s="45"/>
      <c r="M510" s="106">
        <v>1</v>
      </c>
      <c r="N510" s="50"/>
      <c r="O510" s="110">
        <f>IF(OR(ISBLANK(BOM_table6[[#This Row],[SKU QTY]]),BOM_table6[[#This Row],[SKU Cost]]=0),0,BOM_table6[[#This Row],[SKU Cost]]/BOM_table6[[#This Row],[SKU QTY]])</f>
        <v>0</v>
      </c>
      <c r="P510" s="110">
        <f>IF(OR(ISBLANK(BOM_table6[[#This Row],[ASM QTY]]),ISBLANK(BOM_table6[[#This Row],[Unit Cost]])),0,BOM_table6[[#This Row],[ASM QTY]]*BOM_table6[[#This Row],[Unit Cost]])</f>
        <v>0</v>
      </c>
      <c r="Q510" s="45"/>
      <c r="R510" s="81"/>
      <c r="S510" s="111">
        <f>BOM_table6[[#This Row],[ASM QTY]]*$Q$2+BOM_table6[[#This Row],[Spare QTY Needed]]-BOM_table6[[#This Row],[QTY in Inventory]]</f>
        <v>1</v>
      </c>
      <c r="T510" s="111">
        <f>ROUNDUP((BOM_table6[[#This Row],[QTY to Order]]/BOM_table6[[#This Row],[SKU QTY]]),0)</f>
        <v>1</v>
      </c>
      <c r="U510" s="110">
        <f>BOM_table6[[#This Row],[SKU QTY to Order]]*BOM_table6[[#This Row],[SKU Cost]]</f>
        <v>0</v>
      </c>
      <c r="V510" s="62"/>
      <c r="W510" s="45"/>
      <c r="X510" s="45"/>
      <c r="Y510" s="54"/>
      <c r="Z510" s="54"/>
      <c r="AA510" s="54"/>
      <c r="AB510" s="45"/>
      <c r="AC510" s="45"/>
    </row>
    <row r="511" spans="1:29" ht="15" customHeight="1" x14ac:dyDescent="0.2">
      <c r="A511" s="105" t="s">
        <v>161</v>
      </c>
      <c r="B511" s="44" t="s">
        <v>474</v>
      </c>
      <c r="C511" s="45" t="s">
        <v>1484</v>
      </c>
      <c r="D511" s="45"/>
      <c r="E511" s="45" t="s">
        <v>1049</v>
      </c>
      <c r="F511" s="45" t="s">
        <v>823</v>
      </c>
      <c r="G511" s="45">
        <v>1</v>
      </c>
      <c r="H511" s="45" t="s">
        <v>2175</v>
      </c>
      <c r="I511" s="43" t="s">
        <v>2203</v>
      </c>
      <c r="J511" s="45" t="s">
        <v>169</v>
      </c>
      <c r="K511" s="45" t="s">
        <v>1395</v>
      </c>
      <c r="L511" s="45"/>
      <c r="M511" s="106">
        <v>1</v>
      </c>
      <c r="N511" s="50"/>
      <c r="O511" s="110">
        <f>IF(OR(ISBLANK(BOM_table6[[#This Row],[SKU QTY]]),BOM_table6[[#This Row],[SKU Cost]]=0),0,BOM_table6[[#This Row],[SKU Cost]]/BOM_table6[[#This Row],[SKU QTY]])</f>
        <v>0</v>
      </c>
      <c r="P511" s="110">
        <f>IF(OR(ISBLANK(BOM_table6[[#This Row],[ASM QTY]]),ISBLANK(BOM_table6[[#This Row],[Unit Cost]])),0,BOM_table6[[#This Row],[ASM QTY]]*BOM_table6[[#This Row],[Unit Cost]])</f>
        <v>0</v>
      </c>
      <c r="Q511" s="45"/>
      <c r="R511" s="81"/>
      <c r="S511" s="111">
        <f>BOM_table6[[#This Row],[ASM QTY]]*$Q$2+BOM_table6[[#This Row],[Spare QTY Needed]]-BOM_table6[[#This Row],[QTY in Inventory]]</f>
        <v>1</v>
      </c>
      <c r="T511" s="111">
        <f>ROUNDUP((BOM_table6[[#This Row],[QTY to Order]]/BOM_table6[[#This Row],[SKU QTY]]),0)</f>
        <v>1</v>
      </c>
      <c r="U511" s="110">
        <f>BOM_table6[[#This Row],[SKU QTY to Order]]*BOM_table6[[#This Row],[SKU Cost]]</f>
        <v>0</v>
      </c>
      <c r="V511" s="62"/>
      <c r="W511" s="45"/>
      <c r="X511" s="45"/>
      <c r="Y511" s="54"/>
      <c r="Z511" s="54"/>
      <c r="AA511" s="54"/>
      <c r="AB511" s="45"/>
      <c r="AC511" s="45"/>
    </row>
    <row r="512" spans="1:29" ht="15" customHeight="1" x14ac:dyDescent="0.2">
      <c r="A512" s="105" t="s">
        <v>161</v>
      </c>
      <c r="B512" s="44" t="s">
        <v>478</v>
      </c>
      <c r="C512" s="45" t="s">
        <v>479</v>
      </c>
      <c r="D512" s="45"/>
      <c r="E512" s="45" t="s">
        <v>1049</v>
      </c>
      <c r="F512" s="45" t="s">
        <v>823</v>
      </c>
      <c r="G512" s="45">
        <v>1</v>
      </c>
      <c r="H512" s="45" t="s">
        <v>2175</v>
      </c>
      <c r="I512" s="43" t="s">
        <v>2203</v>
      </c>
      <c r="J512" s="45" t="s">
        <v>169</v>
      </c>
      <c r="K512" s="45" t="s">
        <v>1395</v>
      </c>
      <c r="L512" s="45"/>
      <c r="M512" s="106">
        <v>1</v>
      </c>
      <c r="N512" s="50"/>
      <c r="O512" s="110">
        <f>IF(OR(ISBLANK(BOM_table6[[#This Row],[SKU QTY]]),BOM_table6[[#This Row],[SKU Cost]]=0),0,BOM_table6[[#This Row],[SKU Cost]]/BOM_table6[[#This Row],[SKU QTY]])</f>
        <v>0</v>
      </c>
      <c r="P512" s="110">
        <f>IF(OR(ISBLANK(BOM_table6[[#This Row],[ASM QTY]]),ISBLANK(BOM_table6[[#This Row],[Unit Cost]])),0,BOM_table6[[#This Row],[ASM QTY]]*BOM_table6[[#This Row],[Unit Cost]])</f>
        <v>0</v>
      </c>
      <c r="Q512" s="45"/>
      <c r="R512" s="81"/>
      <c r="S512" s="111">
        <f>BOM_table6[[#This Row],[ASM QTY]]*$Q$2+BOM_table6[[#This Row],[Spare QTY Needed]]-BOM_table6[[#This Row],[QTY in Inventory]]</f>
        <v>1</v>
      </c>
      <c r="T512" s="111">
        <f>ROUNDUP((BOM_table6[[#This Row],[QTY to Order]]/BOM_table6[[#This Row],[SKU QTY]]),0)</f>
        <v>1</v>
      </c>
      <c r="U512" s="110">
        <f>BOM_table6[[#This Row],[SKU QTY to Order]]*BOM_table6[[#This Row],[SKU Cost]]</f>
        <v>0</v>
      </c>
      <c r="V512" s="62"/>
      <c r="W512" s="45"/>
      <c r="X512" s="45"/>
      <c r="Y512" s="54"/>
      <c r="Z512" s="54"/>
      <c r="AA512" s="54"/>
      <c r="AB512" s="45"/>
      <c r="AC512" s="45"/>
    </row>
    <row r="513" spans="1:29" ht="15" customHeight="1" x14ac:dyDescent="0.2">
      <c r="A513" s="105" t="s">
        <v>161</v>
      </c>
      <c r="B513" s="44" t="s">
        <v>476</v>
      </c>
      <c r="C513" s="45" t="s">
        <v>477</v>
      </c>
      <c r="D513" s="45"/>
      <c r="E513" s="45" t="s">
        <v>1049</v>
      </c>
      <c r="F513" s="45" t="s">
        <v>823</v>
      </c>
      <c r="G513" s="45">
        <v>1</v>
      </c>
      <c r="H513" s="45" t="s">
        <v>2175</v>
      </c>
      <c r="I513" s="43" t="s">
        <v>2203</v>
      </c>
      <c r="J513" s="45" t="s">
        <v>169</v>
      </c>
      <c r="K513" s="45" t="s">
        <v>1395</v>
      </c>
      <c r="L513" s="45"/>
      <c r="M513" s="106">
        <v>1</v>
      </c>
      <c r="N513" s="50"/>
      <c r="O513" s="110">
        <f>IF(OR(ISBLANK(BOM_table6[[#This Row],[SKU QTY]]),BOM_table6[[#This Row],[SKU Cost]]=0),0,BOM_table6[[#This Row],[SKU Cost]]/BOM_table6[[#This Row],[SKU QTY]])</f>
        <v>0</v>
      </c>
      <c r="P513" s="110">
        <f>IF(OR(ISBLANK(BOM_table6[[#This Row],[ASM QTY]]),ISBLANK(BOM_table6[[#This Row],[Unit Cost]])),0,BOM_table6[[#This Row],[ASM QTY]]*BOM_table6[[#This Row],[Unit Cost]])</f>
        <v>0</v>
      </c>
      <c r="Q513" s="45"/>
      <c r="R513" s="81"/>
      <c r="S513" s="111">
        <f>BOM_table6[[#This Row],[ASM QTY]]*$Q$2+BOM_table6[[#This Row],[Spare QTY Needed]]-BOM_table6[[#This Row],[QTY in Inventory]]</f>
        <v>1</v>
      </c>
      <c r="T513" s="111">
        <f>ROUNDUP((BOM_table6[[#This Row],[QTY to Order]]/BOM_table6[[#This Row],[SKU QTY]]),0)</f>
        <v>1</v>
      </c>
      <c r="U513" s="110">
        <f>BOM_table6[[#This Row],[SKU QTY to Order]]*BOM_table6[[#This Row],[SKU Cost]]</f>
        <v>0</v>
      </c>
      <c r="V513" s="62"/>
      <c r="W513" s="45"/>
      <c r="X513" s="45"/>
      <c r="Y513" s="54"/>
      <c r="Z513" s="54"/>
      <c r="AA513" s="54"/>
      <c r="AB513" s="45"/>
      <c r="AC513" s="45"/>
    </row>
    <row r="514" spans="1:29" ht="15" customHeight="1" x14ac:dyDescent="0.2">
      <c r="A514" s="105" t="s">
        <v>161</v>
      </c>
      <c r="B514" s="44" t="s">
        <v>496</v>
      </c>
      <c r="C514" s="45" t="s">
        <v>497</v>
      </c>
      <c r="D514" s="45"/>
      <c r="E514" s="45" t="s">
        <v>316</v>
      </c>
      <c r="F514" s="45" t="s">
        <v>823</v>
      </c>
      <c r="G514" s="45">
        <v>1</v>
      </c>
      <c r="H514" s="45" t="s">
        <v>2175</v>
      </c>
      <c r="I514" s="43" t="s">
        <v>2203</v>
      </c>
      <c r="J514" s="45" t="s">
        <v>166</v>
      </c>
      <c r="K514" s="45" t="str">
        <f>BOM_table6[[#This Row],[Manufacturer]]</f>
        <v>Swagelok</v>
      </c>
      <c r="L514" s="45"/>
      <c r="M514" s="106">
        <v>1</v>
      </c>
      <c r="N514" s="50">
        <v>80.89</v>
      </c>
      <c r="O514" s="110">
        <f>IF(OR(ISBLANK(BOM_table6[[#This Row],[SKU QTY]]),BOM_table6[[#This Row],[SKU Cost]]=0),0,BOM_table6[[#This Row],[SKU Cost]]/BOM_table6[[#This Row],[SKU QTY]])</f>
        <v>80.89</v>
      </c>
      <c r="P514" s="110">
        <f>IF(OR(ISBLANK(BOM_table6[[#This Row],[ASM QTY]]),ISBLANK(BOM_table6[[#This Row],[Unit Cost]])),0,BOM_table6[[#This Row],[ASM QTY]]*BOM_table6[[#This Row],[Unit Cost]])</f>
        <v>80.89</v>
      </c>
      <c r="Q514" s="45"/>
      <c r="R514" s="81"/>
      <c r="S514" s="111">
        <f>BOM_table6[[#This Row],[ASM QTY]]*$Q$2+BOM_table6[[#This Row],[Spare QTY Needed]]-BOM_table6[[#This Row],[QTY in Inventory]]</f>
        <v>1</v>
      </c>
      <c r="T514" s="111">
        <f>ROUNDUP((BOM_table6[[#This Row],[QTY to Order]]/BOM_table6[[#This Row],[SKU QTY]]),0)</f>
        <v>1</v>
      </c>
      <c r="U514" s="110">
        <f>BOM_table6[[#This Row],[SKU QTY to Order]]*BOM_table6[[#This Row],[SKU Cost]]</f>
        <v>80.89</v>
      </c>
      <c r="V514" s="50" t="s">
        <v>2194</v>
      </c>
      <c r="W514" s="45" t="s">
        <v>2180</v>
      </c>
      <c r="X514" s="45" t="s">
        <v>2192</v>
      </c>
      <c r="Y514" s="54">
        <v>44845</v>
      </c>
      <c r="Z514" s="54">
        <v>44949</v>
      </c>
      <c r="AA514" s="54"/>
      <c r="AB514" s="45"/>
      <c r="AC514" s="45"/>
    </row>
    <row r="515" spans="1:29" ht="15" customHeight="1" x14ac:dyDescent="0.2">
      <c r="A515" s="105" t="s">
        <v>161</v>
      </c>
      <c r="B515" s="44" t="s">
        <v>475</v>
      </c>
      <c r="C515" s="45" t="s">
        <v>1470</v>
      </c>
      <c r="D515" s="45"/>
      <c r="E515" s="45"/>
      <c r="F515" s="45" t="s">
        <v>1694</v>
      </c>
      <c r="G515" s="45">
        <v>1</v>
      </c>
      <c r="H515" s="45" t="s">
        <v>2175</v>
      </c>
      <c r="I515" s="43" t="s">
        <v>2203</v>
      </c>
      <c r="J515" s="45" t="s">
        <v>166</v>
      </c>
      <c r="K515" s="45" t="s">
        <v>216</v>
      </c>
      <c r="L515" s="45"/>
      <c r="M515" s="106">
        <v>1</v>
      </c>
      <c r="N515" s="50"/>
      <c r="O515" s="110">
        <f>IF(OR(ISBLANK(BOM_table6[[#This Row],[SKU QTY]]),BOM_table6[[#This Row],[SKU Cost]]=0),0,BOM_table6[[#This Row],[SKU Cost]]/BOM_table6[[#This Row],[SKU QTY]])</f>
        <v>0</v>
      </c>
      <c r="P515" s="110">
        <f>IF(OR(ISBLANK(BOM_table6[[#This Row],[ASM QTY]]),ISBLANK(BOM_table6[[#This Row],[Unit Cost]])),0,BOM_table6[[#This Row],[ASM QTY]]*BOM_table6[[#This Row],[Unit Cost]])</f>
        <v>0</v>
      </c>
      <c r="Q515" s="45"/>
      <c r="R515" s="81"/>
      <c r="S515" s="111">
        <f>BOM_table6[[#This Row],[ASM QTY]]*$Q$2+BOM_table6[[#This Row],[Spare QTY Needed]]-BOM_table6[[#This Row],[QTY in Inventory]]</f>
        <v>1</v>
      </c>
      <c r="T515" s="111">
        <f>ROUNDUP((BOM_table6[[#This Row],[QTY to Order]]/BOM_table6[[#This Row],[SKU QTY]]),0)</f>
        <v>1</v>
      </c>
      <c r="U515" s="110">
        <f>BOM_table6[[#This Row],[SKU QTY to Order]]*BOM_table6[[#This Row],[SKU Cost]]</f>
        <v>0</v>
      </c>
      <c r="V515" s="62"/>
      <c r="W515" s="45"/>
      <c r="X515" s="45"/>
      <c r="Y515" s="54"/>
      <c r="Z515" s="54"/>
      <c r="AA515" s="45"/>
      <c r="AB515" s="45"/>
      <c r="AC515" s="45"/>
    </row>
    <row r="516" spans="1:29" ht="15" customHeight="1" x14ac:dyDescent="0.2">
      <c r="A516" s="105" t="s">
        <v>161</v>
      </c>
      <c r="B516" s="44" t="s">
        <v>483</v>
      </c>
      <c r="C516" s="45" t="s">
        <v>484</v>
      </c>
      <c r="D516" s="45"/>
      <c r="E516" s="45"/>
      <c r="F516" s="45" t="s">
        <v>857</v>
      </c>
      <c r="G516" s="45">
        <v>6</v>
      </c>
      <c r="H516" s="45"/>
      <c r="J516" s="45" t="s">
        <v>1321</v>
      </c>
      <c r="K516" s="45" t="s">
        <v>216</v>
      </c>
      <c r="L516" s="45"/>
      <c r="M516" s="106">
        <v>1</v>
      </c>
      <c r="N516" s="50">
        <v>0.18</v>
      </c>
      <c r="O516" s="110">
        <f>IF(OR(ISBLANK(BOM_table6[[#This Row],[SKU QTY]]),BOM_table6[[#This Row],[SKU Cost]]=0),0,BOM_table6[[#This Row],[SKU Cost]]/BOM_table6[[#This Row],[SKU QTY]])</f>
        <v>0.18</v>
      </c>
      <c r="P516" s="110">
        <f>IF(OR(ISBLANK(BOM_table6[[#This Row],[ASM QTY]]),ISBLANK(BOM_table6[[#This Row],[Unit Cost]])),0,BOM_table6[[#This Row],[ASM QTY]]*BOM_table6[[#This Row],[Unit Cost]])</f>
        <v>1.08</v>
      </c>
      <c r="Q516" s="45"/>
      <c r="R516" s="81"/>
      <c r="S516" s="111">
        <f>BOM_table6[[#This Row],[ASM QTY]]*$Q$2+BOM_table6[[#This Row],[Spare QTY Needed]]-BOM_table6[[#This Row],[QTY in Inventory]]</f>
        <v>6</v>
      </c>
      <c r="T516" s="111">
        <f>ROUNDUP((BOM_table6[[#This Row],[QTY to Order]]/BOM_table6[[#This Row],[SKU QTY]]),0)</f>
        <v>6</v>
      </c>
      <c r="U516" s="110">
        <f>BOM_table6[[#This Row],[SKU QTY to Order]]*BOM_table6[[#This Row],[SKU Cost]]</f>
        <v>1.08</v>
      </c>
      <c r="V516" s="62"/>
      <c r="W516" s="45" t="s">
        <v>2180</v>
      </c>
      <c r="X516" s="45" t="s">
        <v>2192</v>
      </c>
      <c r="Y516" s="54">
        <v>44923</v>
      </c>
      <c r="Z516" s="54"/>
      <c r="AA516" s="54">
        <v>44924</v>
      </c>
      <c r="AB516" s="45"/>
      <c r="AC516" s="45"/>
    </row>
    <row r="517" spans="1:29" ht="15" customHeight="1" x14ac:dyDescent="0.25">
      <c r="A517" s="105" t="s">
        <v>160</v>
      </c>
      <c r="B517" s="44" t="s">
        <v>1994</v>
      </c>
      <c r="C517" s="65" t="s">
        <v>1048</v>
      </c>
      <c r="D517" s="65"/>
      <c r="E517" s="65" t="s">
        <v>1049</v>
      </c>
      <c r="F517" s="45" t="s">
        <v>1993</v>
      </c>
      <c r="G517" s="65">
        <v>1</v>
      </c>
      <c r="H517" s="65"/>
      <c r="I517" s="155"/>
      <c r="J517" s="65" t="s">
        <v>168</v>
      </c>
      <c r="K517" s="65" t="s">
        <v>1043</v>
      </c>
      <c r="L517" s="65"/>
      <c r="M517" s="106">
        <v>1</v>
      </c>
      <c r="N517" s="67"/>
      <c r="O517" s="110">
        <f>IF(OR(ISBLANK(BOM_table6[[#This Row],[SKU QTY]]),BOM_table6[[#This Row],[SKU Cost]]=0),0,BOM_table6[[#This Row],[SKU Cost]]/BOM_table6[[#This Row],[SKU QTY]])</f>
        <v>0</v>
      </c>
      <c r="P517" s="110">
        <f>IF(OR(ISBLANK(BOM_table6[[#This Row],[ASM QTY]]),ISBLANK(BOM_table6[[#This Row],[Unit Cost]])),0,BOM_table6[[#This Row],[ASM QTY]]*BOM_table6[[#This Row],[Unit Cost]])</f>
        <v>0</v>
      </c>
      <c r="Q517" s="65"/>
      <c r="R517" s="80"/>
      <c r="S517" s="111">
        <f>BOM_table6[[#This Row],[ASM QTY]]*$Q$2+BOM_table6[[#This Row],[Spare QTY Needed]]-BOM_table6[[#This Row],[QTY in Inventory]]</f>
        <v>1</v>
      </c>
      <c r="T517" s="111">
        <f>ROUNDUP((BOM_table6[[#This Row],[QTY to Order]]/BOM_table6[[#This Row],[SKU QTY]]),0)</f>
        <v>1</v>
      </c>
      <c r="U517" s="110">
        <f>BOM_table6[[#This Row],[SKU QTY to Order]]*BOM_table6[[#This Row],[SKU Cost]]</f>
        <v>0</v>
      </c>
      <c r="V517" s="67"/>
      <c r="W517" s="65"/>
      <c r="X517" s="65"/>
      <c r="Y517" s="69"/>
      <c r="Z517" s="71"/>
      <c r="AA517" s="65"/>
      <c r="AB517" s="65"/>
      <c r="AC517" s="65"/>
    </row>
    <row r="518" spans="1:29" ht="15" customHeight="1" x14ac:dyDescent="0.2">
      <c r="A518" s="105" t="s">
        <v>160</v>
      </c>
      <c r="B518" s="64" t="s">
        <v>1132</v>
      </c>
      <c r="C518" s="65" t="s">
        <v>1133</v>
      </c>
      <c r="D518" s="65"/>
      <c r="E518" s="65" t="s">
        <v>1049</v>
      </c>
      <c r="F518" s="45" t="s">
        <v>1992</v>
      </c>
      <c r="G518" s="65">
        <v>1</v>
      </c>
      <c r="H518" s="65"/>
      <c r="I518" s="43" t="s">
        <v>1451</v>
      </c>
      <c r="J518" s="65" t="s">
        <v>168</v>
      </c>
      <c r="K518" s="65" t="s">
        <v>1134</v>
      </c>
      <c r="L518" s="65"/>
      <c r="M518" s="106">
        <v>1</v>
      </c>
      <c r="N518" s="67"/>
      <c r="O518" s="110">
        <f>IF(OR(ISBLANK(BOM_table6[[#This Row],[SKU QTY]]),BOM_table6[[#This Row],[SKU Cost]]=0),0,BOM_table6[[#This Row],[SKU Cost]]/BOM_table6[[#This Row],[SKU QTY]])</f>
        <v>0</v>
      </c>
      <c r="P518" s="110">
        <f>IF(OR(ISBLANK(BOM_table6[[#This Row],[ASM QTY]]),ISBLANK(BOM_table6[[#This Row],[Unit Cost]])),0,BOM_table6[[#This Row],[ASM QTY]]*BOM_table6[[#This Row],[Unit Cost]])</f>
        <v>0</v>
      </c>
      <c r="Q518" s="65"/>
      <c r="R518" s="80"/>
      <c r="S518" s="111">
        <f>BOM_table6[[#This Row],[ASM QTY]]*$Q$2+BOM_table6[[#This Row],[Spare QTY Needed]]-BOM_table6[[#This Row],[QTY in Inventory]]</f>
        <v>1</v>
      </c>
      <c r="T518" s="111">
        <f>ROUNDUP((BOM_table6[[#This Row],[QTY to Order]]/BOM_table6[[#This Row],[SKU QTY]]),0)</f>
        <v>1</v>
      </c>
      <c r="U518" s="110">
        <f>BOM_table6[[#This Row],[SKU QTY to Order]]*BOM_table6[[#This Row],[SKU Cost]]</f>
        <v>0</v>
      </c>
      <c r="V518" s="67"/>
      <c r="W518" s="65"/>
      <c r="X518" s="65"/>
      <c r="Y518" s="69"/>
      <c r="Z518" s="71"/>
      <c r="AA518" s="65"/>
      <c r="AB518" s="65"/>
      <c r="AC518" s="65"/>
    </row>
    <row r="519" spans="1:29" ht="15" customHeight="1" x14ac:dyDescent="0.2">
      <c r="A519" s="105" t="s">
        <v>160</v>
      </c>
      <c r="B519" s="44" t="s">
        <v>1987</v>
      </c>
      <c r="C519" s="45" t="s">
        <v>1166</v>
      </c>
      <c r="D519" s="65"/>
      <c r="E519" s="65" t="s">
        <v>1049</v>
      </c>
      <c r="F519" s="45" t="s">
        <v>1992</v>
      </c>
      <c r="G519" s="65">
        <v>1</v>
      </c>
      <c r="H519" s="65"/>
      <c r="J519" s="65" t="s">
        <v>168</v>
      </c>
      <c r="K519" s="65" t="s">
        <v>1134</v>
      </c>
      <c r="L519" s="65"/>
      <c r="M519" s="106">
        <v>1</v>
      </c>
      <c r="N519" s="67"/>
      <c r="O519" s="110">
        <f>IF(OR(ISBLANK(BOM_table6[[#This Row],[SKU QTY]]),BOM_table6[[#This Row],[SKU Cost]]=0),0,BOM_table6[[#This Row],[SKU Cost]]/BOM_table6[[#This Row],[SKU QTY]])</f>
        <v>0</v>
      </c>
      <c r="P519" s="110">
        <f>IF(OR(ISBLANK(BOM_table6[[#This Row],[ASM QTY]]),ISBLANK(BOM_table6[[#This Row],[Unit Cost]])),0,BOM_table6[[#This Row],[ASM QTY]]*BOM_table6[[#This Row],[Unit Cost]])</f>
        <v>0</v>
      </c>
      <c r="Q519" s="65"/>
      <c r="R519" s="80"/>
      <c r="S519" s="111">
        <f>BOM_table6[[#This Row],[ASM QTY]]*$Q$2+BOM_table6[[#This Row],[Spare QTY Needed]]-BOM_table6[[#This Row],[QTY in Inventory]]</f>
        <v>1</v>
      </c>
      <c r="T519" s="111">
        <f>ROUNDUP((BOM_table6[[#This Row],[QTY to Order]]/BOM_table6[[#This Row],[SKU QTY]]),0)</f>
        <v>1</v>
      </c>
      <c r="U519" s="110">
        <f>BOM_table6[[#This Row],[SKU QTY to Order]]*BOM_table6[[#This Row],[SKU Cost]]</f>
        <v>0</v>
      </c>
      <c r="V519" s="67"/>
      <c r="W519" s="65"/>
      <c r="X519" s="65"/>
      <c r="Y519" s="69"/>
      <c r="Z519" s="71"/>
      <c r="AA519" s="65"/>
      <c r="AB519" s="65"/>
      <c r="AC519" s="65"/>
    </row>
    <row r="520" spans="1:29" ht="15" customHeight="1" x14ac:dyDescent="0.25">
      <c r="A520" s="105" t="s">
        <v>160</v>
      </c>
      <c r="B520" s="64" t="s">
        <v>1164</v>
      </c>
      <c r="C520" s="65" t="s">
        <v>1165</v>
      </c>
      <c r="D520" s="65"/>
      <c r="E520" s="65" t="s">
        <v>1134</v>
      </c>
      <c r="F520" s="45" t="s">
        <v>1992</v>
      </c>
      <c r="G520" s="65">
        <v>0</v>
      </c>
      <c r="H520" s="65"/>
      <c r="I520" s="155"/>
      <c r="J520" s="65" t="s">
        <v>166</v>
      </c>
      <c r="K520" s="65" t="s">
        <v>1134</v>
      </c>
      <c r="L520" s="65"/>
      <c r="M520" s="106">
        <v>1</v>
      </c>
      <c r="N520" s="67"/>
      <c r="O520" s="110">
        <f>IF(OR(ISBLANK(BOM_table6[[#This Row],[SKU QTY]]),BOM_table6[[#This Row],[SKU Cost]]=0),0,BOM_table6[[#This Row],[SKU Cost]]/BOM_table6[[#This Row],[SKU QTY]])</f>
        <v>0</v>
      </c>
      <c r="P520" s="110">
        <f>IF(OR(ISBLANK(BOM_table6[[#This Row],[ASM QTY]]),ISBLANK(BOM_table6[[#This Row],[Unit Cost]])),0,BOM_table6[[#This Row],[ASM QTY]]*BOM_table6[[#This Row],[Unit Cost]])</f>
        <v>0</v>
      </c>
      <c r="Q520" s="65"/>
      <c r="R520" s="80"/>
      <c r="S520" s="111">
        <f>BOM_table6[[#This Row],[ASM QTY]]*$Q$2+BOM_table6[[#This Row],[Spare QTY Needed]]-BOM_table6[[#This Row],[QTY in Inventory]]</f>
        <v>0</v>
      </c>
      <c r="T520" s="111">
        <f>ROUNDUP((BOM_table6[[#This Row],[QTY to Order]]/BOM_table6[[#This Row],[SKU QTY]]),0)</f>
        <v>0</v>
      </c>
      <c r="U520" s="110">
        <f>BOM_table6[[#This Row],[SKU QTY to Order]]*BOM_table6[[#This Row],[SKU Cost]]</f>
        <v>0</v>
      </c>
      <c r="V520" s="67"/>
      <c r="W520" s="65"/>
      <c r="X520" s="65"/>
      <c r="Y520" s="69"/>
      <c r="Z520" s="71"/>
      <c r="AA520" s="65"/>
      <c r="AB520" s="65"/>
      <c r="AC520" s="65"/>
    </row>
    <row r="521" spans="1:29" ht="15" customHeight="1" x14ac:dyDescent="0.25">
      <c r="A521" s="105" t="s">
        <v>160</v>
      </c>
      <c r="B521" s="64" t="s">
        <v>1162</v>
      </c>
      <c r="C521" s="65" t="s">
        <v>1163</v>
      </c>
      <c r="D521" s="65"/>
      <c r="E521" s="65" t="s">
        <v>1134</v>
      </c>
      <c r="F521" s="45" t="s">
        <v>1992</v>
      </c>
      <c r="G521" s="65">
        <v>3</v>
      </c>
      <c r="H521" s="65"/>
      <c r="I521" s="155"/>
      <c r="J521" s="65" t="s">
        <v>166</v>
      </c>
      <c r="K521" s="65" t="s">
        <v>1134</v>
      </c>
      <c r="L521" s="65"/>
      <c r="M521" s="106">
        <v>1</v>
      </c>
      <c r="N521" s="67"/>
      <c r="O521" s="110">
        <f>IF(OR(ISBLANK(BOM_table6[[#This Row],[SKU QTY]]),BOM_table6[[#This Row],[SKU Cost]]=0),0,BOM_table6[[#This Row],[SKU Cost]]/BOM_table6[[#This Row],[SKU QTY]])</f>
        <v>0</v>
      </c>
      <c r="P521" s="110">
        <f>IF(OR(ISBLANK(BOM_table6[[#This Row],[ASM QTY]]),ISBLANK(BOM_table6[[#This Row],[Unit Cost]])),0,BOM_table6[[#This Row],[ASM QTY]]*BOM_table6[[#This Row],[Unit Cost]])</f>
        <v>0</v>
      </c>
      <c r="Q521" s="65"/>
      <c r="R521" s="80">
        <v>3</v>
      </c>
      <c r="S521" s="111">
        <f>BOM_table6[[#This Row],[ASM QTY]]*$Q$2+BOM_table6[[#This Row],[Spare QTY Needed]]-BOM_table6[[#This Row],[QTY in Inventory]]</f>
        <v>0</v>
      </c>
      <c r="T521" s="111">
        <f>ROUNDUP((BOM_table6[[#This Row],[QTY to Order]]/BOM_table6[[#This Row],[SKU QTY]]),0)</f>
        <v>0</v>
      </c>
      <c r="U521" s="110">
        <f>BOM_table6[[#This Row],[SKU QTY to Order]]*BOM_table6[[#This Row],[SKU Cost]]</f>
        <v>0</v>
      </c>
      <c r="V521" s="67"/>
      <c r="W521" s="65"/>
      <c r="X521" s="65"/>
      <c r="Y521" s="71"/>
      <c r="Z521" s="71"/>
      <c r="AA521" s="65"/>
      <c r="AB521" s="65"/>
      <c r="AC521" s="65"/>
    </row>
    <row r="522" spans="1:29" ht="15" customHeight="1" x14ac:dyDescent="0.2">
      <c r="A522" s="105" t="s">
        <v>160</v>
      </c>
      <c r="B522" s="44" t="s">
        <v>1449</v>
      </c>
      <c r="C522" s="45">
        <v>1601</v>
      </c>
      <c r="D522" s="65"/>
      <c r="E522" s="45" t="s">
        <v>1450</v>
      </c>
      <c r="F522" s="45" t="s">
        <v>1999</v>
      </c>
      <c r="G522" s="65">
        <v>100</v>
      </c>
      <c r="H522" s="45"/>
      <c r="J522" s="65" t="s">
        <v>166</v>
      </c>
      <c r="K522" s="45" t="s">
        <v>1450</v>
      </c>
      <c r="L522" s="45"/>
      <c r="M522" s="106">
        <v>1</v>
      </c>
      <c r="N522" s="67"/>
      <c r="O522" s="110">
        <f>IF(OR(ISBLANK(BOM_table6[[#This Row],[SKU QTY]]),BOM_table6[[#This Row],[SKU Cost]]=0),0,BOM_table6[[#This Row],[SKU Cost]]/BOM_table6[[#This Row],[SKU QTY]])</f>
        <v>0</v>
      </c>
      <c r="P522" s="110">
        <f>IF(OR(ISBLANK(BOM_table6[[#This Row],[ASM QTY]]),ISBLANK(BOM_table6[[#This Row],[Unit Cost]])),0,BOM_table6[[#This Row],[ASM QTY]]*BOM_table6[[#This Row],[Unit Cost]])</f>
        <v>0</v>
      </c>
      <c r="Q522" s="65"/>
      <c r="R522" s="80"/>
      <c r="S522" s="111">
        <f>BOM_table6[[#This Row],[ASM QTY]]*$Q$2+BOM_table6[[#This Row],[Spare QTY Needed]]-BOM_table6[[#This Row],[QTY in Inventory]]</f>
        <v>100</v>
      </c>
      <c r="T522" s="111">
        <f>ROUNDUP((BOM_table6[[#This Row],[QTY to Order]]/BOM_table6[[#This Row],[SKU QTY]]),0)</f>
        <v>100</v>
      </c>
      <c r="U522" s="110">
        <f>BOM_table6[[#This Row],[SKU QTY to Order]]*BOM_table6[[#This Row],[SKU Cost]]</f>
        <v>0</v>
      </c>
      <c r="V522" s="67"/>
      <c r="W522" s="45"/>
      <c r="X522" s="45"/>
      <c r="Y522" s="71"/>
      <c r="Z522" s="71"/>
      <c r="AA522" s="71"/>
      <c r="AB522" s="45"/>
      <c r="AC522" s="65"/>
    </row>
    <row r="523" spans="1:29" ht="15" customHeight="1" x14ac:dyDescent="0.2">
      <c r="A523" s="105" t="s">
        <v>160</v>
      </c>
      <c r="B523" s="44" t="s">
        <v>1632</v>
      </c>
      <c r="C523" s="65">
        <v>109627</v>
      </c>
      <c r="D523" s="65"/>
      <c r="E523" s="45" t="s">
        <v>1430</v>
      </c>
      <c r="F523" s="45" t="s">
        <v>1999</v>
      </c>
      <c r="G523" s="65">
        <v>1</v>
      </c>
      <c r="H523" s="65"/>
      <c r="J523" s="45" t="s">
        <v>171</v>
      </c>
      <c r="K523" s="45" t="s">
        <v>1123</v>
      </c>
      <c r="L523" s="45"/>
      <c r="M523" s="106">
        <v>1</v>
      </c>
      <c r="N523" s="67"/>
      <c r="O523" s="110">
        <f>IF(OR(ISBLANK(BOM_table6[[#This Row],[SKU QTY]]),BOM_table6[[#This Row],[SKU Cost]]=0),0,BOM_table6[[#This Row],[SKU Cost]]/BOM_table6[[#This Row],[SKU QTY]])</f>
        <v>0</v>
      </c>
      <c r="P523" s="110">
        <f>IF(OR(ISBLANK(BOM_table6[[#This Row],[ASM QTY]]),ISBLANK(BOM_table6[[#This Row],[Unit Cost]])),0,BOM_table6[[#This Row],[ASM QTY]]*BOM_table6[[#This Row],[Unit Cost]])</f>
        <v>0</v>
      </c>
      <c r="Q523" s="65"/>
      <c r="R523" s="80"/>
      <c r="S523" s="111">
        <f>BOM_table6[[#This Row],[ASM QTY]]*$Q$2+BOM_table6[[#This Row],[Spare QTY Needed]]-BOM_table6[[#This Row],[QTY in Inventory]]</f>
        <v>1</v>
      </c>
      <c r="T523" s="111">
        <f>ROUNDUP((BOM_table6[[#This Row],[QTY to Order]]/BOM_table6[[#This Row],[SKU QTY]]),0)</f>
        <v>1</v>
      </c>
      <c r="U523" s="110">
        <f>BOM_table6[[#This Row],[SKU QTY to Order]]*BOM_table6[[#This Row],[SKU Cost]]</f>
        <v>0</v>
      </c>
      <c r="V523" s="50"/>
      <c r="W523" s="45"/>
      <c r="X523" s="45"/>
      <c r="Y523" s="71"/>
      <c r="Z523" s="71"/>
      <c r="AA523" s="71"/>
      <c r="AB523" s="65"/>
      <c r="AC523" s="45"/>
    </row>
    <row r="524" spans="1:29" ht="15" customHeight="1" x14ac:dyDescent="0.25">
      <c r="A524" s="105" t="s">
        <v>161</v>
      </c>
      <c r="B524" s="44" t="s">
        <v>1428</v>
      </c>
      <c r="C524" s="92" t="s">
        <v>1429</v>
      </c>
      <c r="D524" s="45" t="s">
        <v>233</v>
      </c>
      <c r="E524" s="45" t="s">
        <v>1430</v>
      </c>
      <c r="F524" s="45" t="s">
        <v>1999</v>
      </c>
      <c r="G524" s="65">
        <v>2</v>
      </c>
      <c r="H524" s="45"/>
      <c r="J524" s="65" t="s">
        <v>168</v>
      </c>
      <c r="K524" s="65" t="s">
        <v>1134</v>
      </c>
      <c r="L524" s="65"/>
      <c r="M524" s="106">
        <v>1</v>
      </c>
      <c r="N524" s="67"/>
      <c r="O524" s="110">
        <f>IF(OR(ISBLANK(BOM_table6[[#This Row],[SKU QTY]]),BOM_table6[[#This Row],[SKU Cost]]=0),0,BOM_table6[[#This Row],[SKU Cost]]/BOM_table6[[#This Row],[SKU QTY]])</f>
        <v>0</v>
      </c>
      <c r="P524" s="110">
        <f>IF(OR(ISBLANK(BOM_table6[[#This Row],[ASM QTY]]),ISBLANK(BOM_table6[[#This Row],[Unit Cost]])),0,BOM_table6[[#This Row],[ASM QTY]]*BOM_table6[[#This Row],[Unit Cost]])</f>
        <v>0</v>
      </c>
      <c r="Q524" s="65"/>
      <c r="R524" s="80"/>
      <c r="S524" s="111">
        <f>BOM_table6[[#This Row],[ASM QTY]]*$Q$2+BOM_table6[[#This Row],[Spare QTY Needed]]-BOM_table6[[#This Row],[QTY in Inventory]]</f>
        <v>2</v>
      </c>
      <c r="T524" s="111">
        <f>ROUNDUP((BOM_table6[[#This Row],[QTY to Order]]/BOM_table6[[#This Row],[SKU QTY]]),0)</f>
        <v>2</v>
      </c>
      <c r="U524" s="110">
        <f>BOM_table6[[#This Row],[SKU QTY to Order]]*BOM_table6[[#This Row],[SKU Cost]]</f>
        <v>0</v>
      </c>
      <c r="V524" s="50"/>
      <c r="W524" s="45"/>
      <c r="X524" s="45"/>
      <c r="Y524" s="71"/>
      <c r="Z524" s="71"/>
      <c r="AA524" s="71"/>
      <c r="AB524" s="45"/>
      <c r="AC524" s="45"/>
    </row>
    <row r="525" spans="1:29" ht="15" customHeight="1" x14ac:dyDescent="0.2">
      <c r="A525" s="105" t="s">
        <v>161</v>
      </c>
      <c r="B525" s="44" t="s">
        <v>2033</v>
      </c>
      <c r="C525" s="45" t="s">
        <v>1135</v>
      </c>
      <c r="D525" s="45" t="s">
        <v>152</v>
      </c>
      <c r="E525" s="65" t="s">
        <v>1049</v>
      </c>
      <c r="F525" s="45" t="s">
        <v>1999</v>
      </c>
      <c r="G525" s="65">
        <v>1</v>
      </c>
      <c r="H525" s="45"/>
      <c r="J525" s="65" t="s">
        <v>168</v>
      </c>
      <c r="K525" s="65" t="s">
        <v>1134</v>
      </c>
      <c r="L525" s="65"/>
      <c r="M525" s="106">
        <v>1</v>
      </c>
      <c r="N525" s="67"/>
      <c r="O525" s="110">
        <f>IF(OR(ISBLANK(BOM_table6[[#This Row],[SKU QTY]]),BOM_table6[[#This Row],[SKU Cost]]=0),0,BOM_table6[[#This Row],[SKU Cost]]/BOM_table6[[#This Row],[SKU QTY]])</f>
        <v>0</v>
      </c>
      <c r="P525" s="110">
        <f>IF(OR(ISBLANK(BOM_table6[[#This Row],[ASM QTY]]),ISBLANK(BOM_table6[[#This Row],[Unit Cost]])),0,BOM_table6[[#This Row],[ASM QTY]]*BOM_table6[[#This Row],[Unit Cost]])</f>
        <v>0</v>
      </c>
      <c r="Q525" s="65"/>
      <c r="R525" s="80"/>
      <c r="S525" s="111">
        <f>BOM_table6[[#This Row],[ASM QTY]]*$Q$2+BOM_table6[[#This Row],[Spare QTY Needed]]-BOM_table6[[#This Row],[QTY in Inventory]]</f>
        <v>1</v>
      </c>
      <c r="T525" s="111">
        <f>ROUNDUP((BOM_table6[[#This Row],[QTY to Order]]/BOM_table6[[#This Row],[SKU QTY]]),0)</f>
        <v>1</v>
      </c>
      <c r="U525" s="110">
        <f>BOM_table6[[#This Row],[SKU QTY to Order]]*BOM_table6[[#This Row],[SKU Cost]]</f>
        <v>0</v>
      </c>
      <c r="V525" s="67"/>
      <c r="W525" s="45"/>
      <c r="X525" s="45"/>
      <c r="Y525" s="71"/>
      <c r="Z525" s="71"/>
      <c r="AA525" s="71"/>
      <c r="AB525" s="45"/>
      <c r="AC525" s="45"/>
    </row>
    <row r="526" spans="1:29" ht="15" customHeight="1" x14ac:dyDescent="0.2">
      <c r="A526" s="105" t="s">
        <v>160</v>
      </c>
      <c r="B526" s="64" t="s">
        <v>1168</v>
      </c>
      <c r="C526" s="65" t="s">
        <v>1169</v>
      </c>
      <c r="D526" s="65"/>
      <c r="E526" s="65" t="s">
        <v>1134</v>
      </c>
      <c r="F526" s="45" t="s">
        <v>1999</v>
      </c>
      <c r="G526" s="65">
        <v>2</v>
      </c>
      <c r="H526" s="45"/>
      <c r="J526" s="65" t="s">
        <v>166</v>
      </c>
      <c r="K526" s="65" t="s">
        <v>1134</v>
      </c>
      <c r="L526" s="65"/>
      <c r="M526" s="106">
        <v>1</v>
      </c>
      <c r="N526" s="67"/>
      <c r="O526" s="110">
        <f>IF(OR(ISBLANK(BOM_table6[[#This Row],[SKU QTY]]),BOM_table6[[#This Row],[SKU Cost]]=0),0,BOM_table6[[#This Row],[SKU Cost]]/BOM_table6[[#This Row],[SKU QTY]])</f>
        <v>0</v>
      </c>
      <c r="P526" s="110">
        <f>IF(OR(ISBLANK(BOM_table6[[#This Row],[ASM QTY]]),ISBLANK(BOM_table6[[#This Row],[Unit Cost]])),0,BOM_table6[[#This Row],[ASM QTY]]*BOM_table6[[#This Row],[Unit Cost]])</f>
        <v>0</v>
      </c>
      <c r="Q526" s="65"/>
      <c r="R526" s="80"/>
      <c r="S526" s="111">
        <f>BOM_table6[[#This Row],[ASM QTY]]*$Q$2+BOM_table6[[#This Row],[Spare QTY Needed]]-BOM_table6[[#This Row],[QTY in Inventory]]</f>
        <v>2</v>
      </c>
      <c r="T526" s="111">
        <f>ROUNDUP((BOM_table6[[#This Row],[QTY to Order]]/BOM_table6[[#This Row],[SKU QTY]]),0)</f>
        <v>2</v>
      </c>
      <c r="U526" s="110">
        <f>BOM_table6[[#This Row],[SKU QTY to Order]]*BOM_table6[[#This Row],[SKU Cost]]</f>
        <v>0</v>
      </c>
      <c r="V526" s="67"/>
      <c r="W526" s="45"/>
      <c r="X526" s="45"/>
      <c r="Y526" s="71"/>
      <c r="Z526" s="71"/>
      <c r="AA526" s="71"/>
      <c r="AB526" s="45"/>
      <c r="AC526" s="45"/>
    </row>
    <row r="527" spans="1:29" ht="15" customHeight="1" x14ac:dyDescent="0.2">
      <c r="A527" s="105" t="s">
        <v>160</v>
      </c>
      <c r="B527" s="64" t="s">
        <v>1171</v>
      </c>
      <c r="C527" s="65" t="s">
        <v>1172</v>
      </c>
      <c r="D527" s="65"/>
      <c r="E527" s="65" t="s">
        <v>1134</v>
      </c>
      <c r="F527" s="45" t="s">
        <v>1999</v>
      </c>
      <c r="G527" s="65">
        <v>2</v>
      </c>
      <c r="H527" s="45"/>
      <c r="J527" s="65" t="s">
        <v>166</v>
      </c>
      <c r="K527" s="65" t="s">
        <v>1134</v>
      </c>
      <c r="L527" s="65"/>
      <c r="M527" s="106">
        <v>1</v>
      </c>
      <c r="N527" s="67"/>
      <c r="O527" s="110">
        <f>IF(OR(ISBLANK(BOM_table6[[#This Row],[SKU QTY]]),BOM_table6[[#This Row],[SKU Cost]]=0),0,BOM_table6[[#This Row],[SKU Cost]]/BOM_table6[[#This Row],[SKU QTY]])</f>
        <v>0</v>
      </c>
      <c r="P527" s="110">
        <f>IF(OR(ISBLANK(BOM_table6[[#This Row],[ASM QTY]]),ISBLANK(BOM_table6[[#This Row],[Unit Cost]])),0,BOM_table6[[#This Row],[ASM QTY]]*BOM_table6[[#This Row],[Unit Cost]])</f>
        <v>0</v>
      </c>
      <c r="Q527" s="65"/>
      <c r="R527" s="80">
        <v>3</v>
      </c>
      <c r="S527" s="111">
        <f>BOM_table6[[#This Row],[ASM QTY]]*$Q$2+BOM_table6[[#This Row],[Spare QTY Needed]]-BOM_table6[[#This Row],[QTY in Inventory]]</f>
        <v>-1</v>
      </c>
      <c r="T527" s="111">
        <f>ROUNDUP((BOM_table6[[#This Row],[QTY to Order]]/BOM_table6[[#This Row],[SKU QTY]]),0)</f>
        <v>-1</v>
      </c>
      <c r="U527" s="110">
        <f>BOM_table6[[#This Row],[SKU QTY to Order]]*BOM_table6[[#This Row],[SKU Cost]]</f>
        <v>0</v>
      </c>
      <c r="V527" s="67"/>
      <c r="W527" s="45"/>
      <c r="X527" s="45"/>
      <c r="Y527" s="71"/>
      <c r="Z527" s="71"/>
      <c r="AA527" s="71"/>
      <c r="AB527" s="45"/>
      <c r="AC527" s="45"/>
    </row>
    <row r="528" spans="1:29" ht="15" customHeight="1" x14ac:dyDescent="0.2">
      <c r="A528" s="105" t="s">
        <v>160</v>
      </c>
      <c r="B528" s="44" t="s">
        <v>1437</v>
      </c>
      <c r="C528" s="65" t="s">
        <v>339</v>
      </c>
      <c r="D528" s="65"/>
      <c r="E528" s="65" t="s">
        <v>1134</v>
      </c>
      <c r="F528" s="45" t="s">
        <v>1999</v>
      </c>
      <c r="G528" s="65">
        <v>2</v>
      </c>
      <c r="H528" s="45"/>
      <c r="J528" s="65" t="s">
        <v>166</v>
      </c>
      <c r="K528" s="65" t="s">
        <v>1134</v>
      </c>
      <c r="L528" s="65"/>
      <c r="M528" s="106">
        <v>1</v>
      </c>
      <c r="N528" s="67"/>
      <c r="O528" s="110">
        <f>IF(OR(ISBLANK(BOM_table6[[#This Row],[SKU QTY]]),BOM_table6[[#This Row],[SKU Cost]]=0),0,BOM_table6[[#This Row],[SKU Cost]]/BOM_table6[[#This Row],[SKU QTY]])</f>
        <v>0</v>
      </c>
      <c r="P528" s="110">
        <f>IF(OR(ISBLANK(BOM_table6[[#This Row],[ASM QTY]]),ISBLANK(BOM_table6[[#This Row],[Unit Cost]])),0,BOM_table6[[#This Row],[ASM QTY]]*BOM_table6[[#This Row],[Unit Cost]])</f>
        <v>0</v>
      </c>
      <c r="Q528" s="65"/>
      <c r="R528" s="80">
        <v>9</v>
      </c>
      <c r="S528" s="111">
        <f>BOM_table6[[#This Row],[ASM QTY]]*$Q$2+BOM_table6[[#This Row],[Spare QTY Needed]]-BOM_table6[[#This Row],[QTY in Inventory]]</f>
        <v>-7</v>
      </c>
      <c r="T528" s="111">
        <f>ROUNDUP((BOM_table6[[#This Row],[QTY to Order]]/BOM_table6[[#This Row],[SKU QTY]]),0)</f>
        <v>-7</v>
      </c>
      <c r="U528" s="110">
        <f>BOM_table6[[#This Row],[SKU QTY to Order]]*BOM_table6[[#This Row],[SKU Cost]]</f>
        <v>0</v>
      </c>
      <c r="V528" s="50"/>
      <c r="W528" s="45"/>
      <c r="X528" s="45"/>
      <c r="Y528" s="71"/>
      <c r="Z528" s="71"/>
      <c r="AA528" s="71"/>
      <c r="AB528" s="45"/>
      <c r="AC528" s="45"/>
    </row>
    <row r="529" spans="1:29" ht="15" customHeight="1" x14ac:dyDescent="0.2">
      <c r="A529" s="105" t="s">
        <v>160</v>
      </c>
      <c r="B529" s="64" t="s">
        <v>1167</v>
      </c>
      <c r="C529" s="45" t="s">
        <v>690</v>
      </c>
      <c r="D529" s="65"/>
      <c r="E529" s="65" t="s">
        <v>1134</v>
      </c>
      <c r="F529" s="45" t="s">
        <v>1999</v>
      </c>
      <c r="G529" s="65">
        <v>2</v>
      </c>
      <c r="H529" s="45"/>
      <c r="J529" s="65" t="s">
        <v>166</v>
      </c>
      <c r="K529" s="65" t="s">
        <v>1134</v>
      </c>
      <c r="L529" s="65"/>
      <c r="M529" s="106">
        <v>1</v>
      </c>
      <c r="N529" s="67"/>
      <c r="O529" s="110">
        <f>IF(OR(ISBLANK(BOM_table6[[#This Row],[SKU QTY]]),BOM_table6[[#This Row],[SKU Cost]]=0),0,BOM_table6[[#This Row],[SKU Cost]]/BOM_table6[[#This Row],[SKU QTY]])</f>
        <v>0</v>
      </c>
      <c r="P529" s="110">
        <f>IF(OR(ISBLANK(BOM_table6[[#This Row],[ASM QTY]]),ISBLANK(BOM_table6[[#This Row],[Unit Cost]])),0,BOM_table6[[#This Row],[ASM QTY]]*BOM_table6[[#This Row],[Unit Cost]])</f>
        <v>0</v>
      </c>
      <c r="Q529" s="65"/>
      <c r="R529" s="80">
        <v>8</v>
      </c>
      <c r="S529" s="111">
        <f>BOM_table6[[#This Row],[ASM QTY]]*$Q$2+BOM_table6[[#This Row],[Spare QTY Needed]]-BOM_table6[[#This Row],[QTY in Inventory]]</f>
        <v>-6</v>
      </c>
      <c r="T529" s="111">
        <f>ROUNDUP((BOM_table6[[#This Row],[QTY to Order]]/BOM_table6[[#This Row],[SKU QTY]]),0)</f>
        <v>-6</v>
      </c>
      <c r="U529" s="110">
        <f>BOM_table6[[#This Row],[SKU QTY to Order]]*BOM_table6[[#This Row],[SKU Cost]]</f>
        <v>0</v>
      </c>
      <c r="V529" s="67"/>
      <c r="W529" s="45"/>
      <c r="X529" s="45"/>
      <c r="Y529" s="71"/>
      <c r="Z529" s="71"/>
      <c r="AA529" s="71"/>
      <c r="AB529" s="45"/>
      <c r="AC529" s="45"/>
    </row>
    <row r="530" spans="1:29" ht="15" customHeight="1" x14ac:dyDescent="0.2">
      <c r="A530" s="105" t="s">
        <v>161</v>
      </c>
      <c r="B530" s="64" t="s">
        <v>1170</v>
      </c>
      <c r="C530" s="65" t="s">
        <v>687</v>
      </c>
      <c r="D530" s="65"/>
      <c r="E530" s="65" t="s">
        <v>1134</v>
      </c>
      <c r="F530" s="45" t="s">
        <v>1999</v>
      </c>
      <c r="G530" s="65">
        <v>2</v>
      </c>
      <c r="H530" s="45"/>
      <c r="J530" s="65" t="s">
        <v>166</v>
      </c>
      <c r="K530" s="65" t="s">
        <v>1134</v>
      </c>
      <c r="L530" s="65"/>
      <c r="M530" s="106">
        <v>1</v>
      </c>
      <c r="N530" s="67"/>
      <c r="O530" s="110">
        <f>IF(OR(ISBLANK(BOM_table6[[#This Row],[SKU QTY]]),BOM_table6[[#This Row],[SKU Cost]]=0),0,BOM_table6[[#This Row],[SKU Cost]]/BOM_table6[[#This Row],[SKU QTY]])</f>
        <v>0</v>
      </c>
      <c r="P530" s="110">
        <f>IF(OR(ISBLANK(BOM_table6[[#This Row],[ASM QTY]]),ISBLANK(BOM_table6[[#This Row],[Unit Cost]])),0,BOM_table6[[#This Row],[ASM QTY]]*BOM_table6[[#This Row],[Unit Cost]])</f>
        <v>0</v>
      </c>
      <c r="Q530" s="65"/>
      <c r="R530" s="80">
        <v>10</v>
      </c>
      <c r="S530" s="111">
        <f>BOM_table6[[#This Row],[ASM QTY]]*$Q$2+BOM_table6[[#This Row],[Spare QTY Needed]]-BOM_table6[[#This Row],[QTY in Inventory]]</f>
        <v>-8</v>
      </c>
      <c r="T530" s="111">
        <f>ROUNDUP((BOM_table6[[#This Row],[QTY to Order]]/BOM_table6[[#This Row],[SKU QTY]]),0)</f>
        <v>-8</v>
      </c>
      <c r="U530" s="110">
        <f>BOM_table6[[#This Row],[SKU QTY to Order]]*BOM_table6[[#This Row],[SKU Cost]]</f>
        <v>0</v>
      </c>
      <c r="V530" s="67"/>
      <c r="W530" s="45"/>
      <c r="X530" s="45"/>
      <c r="Y530" s="71"/>
      <c r="Z530" s="71"/>
      <c r="AA530" s="71"/>
      <c r="AB530" s="45"/>
      <c r="AC530" s="45" t="s">
        <v>2170</v>
      </c>
    </row>
    <row r="531" spans="1:29" ht="15" customHeight="1" x14ac:dyDescent="0.2">
      <c r="A531" s="105" t="s">
        <v>160</v>
      </c>
      <c r="B531" s="64" t="s">
        <v>1155</v>
      </c>
      <c r="C531" s="65" t="s">
        <v>1156</v>
      </c>
      <c r="D531" s="65"/>
      <c r="E531" s="65" t="s">
        <v>1157</v>
      </c>
      <c r="F531" s="45" t="s">
        <v>1384</v>
      </c>
      <c r="G531" s="65">
        <v>1</v>
      </c>
      <c r="H531" s="45"/>
      <c r="I531" s="75"/>
      <c r="J531" s="65" t="s">
        <v>166</v>
      </c>
      <c r="K531" s="45" t="s">
        <v>1393</v>
      </c>
      <c r="L531" s="45"/>
      <c r="M531" s="106">
        <v>1</v>
      </c>
      <c r="N531" s="67"/>
      <c r="O531" s="110">
        <f>IF(OR(ISBLANK(BOM_table6[[#This Row],[SKU QTY]]),BOM_table6[[#This Row],[SKU Cost]]=0),0,BOM_table6[[#This Row],[SKU Cost]]/BOM_table6[[#This Row],[SKU QTY]])</f>
        <v>0</v>
      </c>
      <c r="P531" s="110">
        <f>IF(OR(ISBLANK(BOM_table6[[#This Row],[ASM QTY]]),ISBLANK(BOM_table6[[#This Row],[Unit Cost]])),0,BOM_table6[[#This Row],[ASM QTY]]*BOM_table6[[#This Row],[Unit Cost]])</f>
        <v>0</v>
      </c>
      <c r="Q531" s="65"/>
      <c r="R531" s="80"/>
      <c r="S531" s="111">
        <f>BOM_table6[[#This Row],[ASM QTY]]*$Q$2+BOM_table6[[#This Row],[Spare QTY Needed]]-BOM_table6[[#This Row],[QTY in Inventory]]</f>
        <v>1</v>
      </c>
      <c r="T531" s="111">
        <f>ROUNDUP((BOM_table6[[#This Row],[QTY to Order]]/BOM_table6[[#This Row],[SKU QTY]]),0)</f>
        <v>1</v>
      </c>
      <c r="U531" s="110">
        <f>BOM_table6[[#This Row],[SKU QTY to Order]]*BOM_table6[[#This Row],[SKU Cost]]</f>
        <v>0</v>
      </c>
      <c r="V531" s="67"/>
      <c r="W531" s="45"/>
      <c r="X531" s="45"/>
      <c r="Y531" s="71"/>
      <c r="Z531" s="71"/>
      <c r="AA531" s="71"/>
      <c r="AB531" s="45"/>
      <c r="AC531" s="45"/>
    </row>
    <row r="532" spans="1:29" ht="15" customHeight="1" x14ac:dyDescent="0.2">
      <c r="A532" s="105" t="s">
        <v>160</v>
      </c>
      <c r="B532" s="64" t="s">
        <v>1059</v>
      </c>
      <c r="C532" s="65">
        <v>10021161</v>
      </c>
      <c r="D532" s="65"/>
      <c r="E532" s="65" t="s">
        <v>1049</v>
      </c>
      <c r="F532" s="45" t="s">
        <v>1985</v>
      </c>
      <c r="G532" s="65">
        <v>1</v>
      </c>
      <c r="H532" s="65"/>
      <c r="I532" s="75"/>
      <c r="J532" s="65" t="s">
        <v>1319</v>
      </c>
      <c r="K532" s="65" t="s">
        <v>1060</v>
      </c>
      <c r="L532" s="65"/>
      <c r="M532" s="106">
        <v>1</v>
      </c>
      <c r="N532" s="67"/>
      <c r="O532" s="110">
        <f>IF(OR(ISBLANK(BOM_table6[[#This Row],[SKU QTY]]),BOM_table6[[#This Row],[SKU Cost]]=0),0,BOM_table6[[#This Row],[SKU Cost]]/BOM_table6[[#This Row],[SKU QTY]])</f>
        <v>0</v>
      </c>
      <c r="P532" s="110">
        <f>IF(OR(ISBLANK(BOM_table6[[#This Row],[ASM QTY]]),ISBLANK(BOM_table6[[#This Row],[Unit Cost]])),0,BOM_table6[[#This Row],[ASM QTY]]*BOM_table6[[#This Row],[Unit Cost]])</f>
        <v>0</v>
      </c>
      <c r="Q532" s="65"/>
      <c r="R532" s="80"/>
      <c r="S532" s="111">
        <f>BOM_table6[[#This Row],[ASM QTY]]*$Q$2+BOM_table6[[#This Row],[Spare QTY Needed]]-BOM_table6[[#This Row],[QTY in Inventory]]</f>
        <v>1</v>
      </c>
      <c r="T532" s="111">
        <f>ROUNDUP((BOM_table6[[#This Row],[QTY to Order]]/BOM_table6[[#This Row],[SKU QTY]]),0)</f>
        <v>1</v>
      </c>
      <c r="U532" s="110">
        <f>BOM_table6[[#This Row],[SKU QTY to Order]]*BOM_table6[[#This Row],[SKU Cost]]</f>
        <v>0</v>
      </c>
      <c r="V532" s="67"/>
      <c r="W532" s="65"/>
      <c r="X532" s="65"/>
      <c r="Y532" s="69"/>
      <c r="Z532" s="71"/>
      <c r="AA532" s="65"/>
      <c r="AB532" s="65"/>
      <c r="AC532" s="65"/>
    </row>
    <row r="533" spans="1:29" ht="15" customHeight="1" x14ac:dyDescent="0.25">
      <c r="A533" s="105" t="s">
        <v>160</v>
      </c>
      <c r="B533" s="64" t="s">
        <v>1061</v>
      </c>
      <c r="C533" s="65" t="s">
        <v>1062</v>
      </c>
      <c r="D533" s="65"/>
      <c r="E533" s="65" t="s">
        <v>1049</v>
      </c>
      <c r="F533" s="45" t="s">
        <v>1985</v>
      </c>
      <c r="G533" s="65">
        <v>2</v>
      </c>
      <c r="H533" s="65"/>
      <c r="I533" s="155"/>
      <c r="J533" s="65" t="s">
        <v>1319</v>
      </c>
      <c r="K533" s="65" t="s">
        <v>1060</v>
      </c>
      <c r="L533" s="65"/>
      <c r="M533" s="106">
        <v>1</v>
      </c>
      <c r="N533" s="67"/>
      <c r="O533" s="110">
        <f>IF(OR(ISBLANK(BOM_table6[[#This Row],[SKU QTY]]),BOM_table6[[#This Row],[SKU Cost]]=0),0,BOM_table6[[#This Row],[SKU Cost]]/BOM_table6[[#This Row],[SKU QTY]])</f>
        <v>0</v>
      </c>
      <c r="P533" s="110">
        <f>IF(OR(ISBLANK(BOM_table6[[#This Row],[ASM QTY]]),ISBLANK(BOM_table6[[#This Row],[Unit Cost]])),0,BOM_table6[[#This Row],[ASM QTY]]*BOM_table6[[#This Row],[Unit Cost]])</f>
        <v>0</v>
      </c>
      <c r="Q533" s="65"/>
      <c r="R533" s="80"/>
      <c r="S533" s="111">
        <f>BOM_table6[[#This Row],[ASM QTY]]*$Q$2+BOM_table6[[#This Row],[Spare QTY Needed]]-BOM_table6[[#This Row],[QTY in Inventory]]</f>
        <v>2</v>
      </c>
      <c r="T533" s="111">
        <f>ROUNDUP((BOM_table6[[#This Row],[QTY to Order]]/BOM_table6[[#This Row],[SKU QTY]]),0)</f>
        <v>2</v>
      </c>
      <c r="U533" s="110">
        <f>BOM_table6[[#This Row],[SKU QTY to Order]]*BOM_table6[[#This Row],[SKU Cost]]</f>
        <v>0</v>
      </c>
      <c r="V533" s="67"/>
      <c r="W533" s="65"/>
      <c r="X533" s="65"/>
      <c r="Y533" s="69"/>
      <c r="Z533" s="71"/>
      <c r="AA533" s="65"/>
      <c r="AB533" s="65"/>
      <c r="AC533" s="65"/>
    </row>
    <row r="534" spans="1:29" ht="15" customHeight="1" x14ac:dyDescent="0.25">
      <c r="A534" s="105" t="s">
        <v>160</v>
      </c>
      <c r="B534" s="64" t="s">
        <v>1061</v>
      </c>
      <c r="C534" s="65" t="s">
        <v>1063</v>
      </c>
      <c r="D534" s="65"/>
      <c r="E534" s="65" t="s">
        <v>1049</v>
      </c>
      <c r="F534" s="45" t="s">
        <v>1985</v>
      </c>
      <c r="G534" s="65">
        <v>2</v>
      </c>
      <c r="H534" s="65"/>
      <c r="I534" s="155"/>
      <c r="J534" s="65" t="s">
        <v>1319</v>
      </c>
      <c r="K534" s="65" t="s">
        <v>1060</v>
      </c>
      <c r="L534" s="65"/>
      <c r="M534" s="106">
        <v>1</v>
      </c>
      <c r="N534" s="67"/>
      <c r="O534" s="110">
        <f>IF(OR(ISBLANK(BOM_table6[[#This Row],[SKU QTY]]),BOM_table6[[#This Row],[SKU Cost]]=0),0,BOM_table6[[#This Row],[SKU Cost]]/BOM_table6[[#This Row],[SKU QTY]])</f>
        <v>0</v>
      </c>
      <c r="P534" s="110">
        <f>IF(OR(ISBLANK(BOM_table6[[#This Row],[ASM QTY]]),ISBLANK(BOM_table6[[#This Row],[Unit Cost]])),0,BOM_table6[[#This Row],[ASM QTY]]*BOM_table6[[#This Row],[Unit Cost]])</f>
        <v>0</v>
      </c>
      <c r="Q534" s="65"/>
      <c r="R534" s="80"/>
      <c r="S534" s="111">
        <f>BOM_table6[[#This Row],[ASM QTY]]*$Q$2+BOM_table6[[#This Row],[Spare QTY Needed]]-BOM_table6[[#This Row],[QTY in Inventory]]</f>
        <v>2</v>
      </c>
      <c r="T534" s="111">
        <f>ROUNDUP((BOM_table6[[#This Row],[QTY to Order]]/BOM_table6[[#This Row],[SKU QTY]]),0)</f>
        <v>2</v>
      </c>
      <c r="U534" s="110">
        <f>BOM_table6[[#This Row],[SKU QTY to Order]]*BOM_table6[[#This Row],[SKU Cost]]</f>
        <v>0</v>
      </c>
      <c r="V534" s="67"/>
      <c r="W534" s="65"/>
      <c r="X534" s="65"/>
      <c r="Y534" s="69"/>
      <c r="Z534" s="71"/>
      <c r="AA534" s="65"/>
      <c r="AB534" s="65"/>
      <c r="AC534" s="65"/>
    </row>
    <row r="535" spans="1:29" ht="15" customHeight="1" x14ac:dyDescent="0.25">
      <c r="A535" s="105" t="s">
        <v>160</v>
      </c>
      <c r="B535" s="44" t="s">
        <v>1986</v>
      </c>
      <c r="C535" s="45" t="s">
        <v>1064</v>
      </c>
      <c r="D535" s="65"/>
      <c r="E535" s="65" t="s">
        <v>1049</v>
      </c>
      <c r="F535" s="45" t="s">
        <v>1985</v>
      </c>
      <c r="G535" s="65">
        <v>1</v>
      </c>
      <c r="H535" s="65"/>
      <c r="I535" s="155"/>
      <c r="J535" s="65" t="s">
        <v>1319</v>
      </c>
      <c r="K535" s="65" t="s">
        <v>1060</v>
      </c>
      <c r="L535" s="65"/>
      <c r="M535" s="106">
        <v>1</v>
      </c>
      <c r="N535" s="67"/>
      <c r="O535" s="110">
        <f>IF(OR(ISBLANK(BOM_table6[[#This Row],[SKU QTY]]),BOM_table6[[#This Row],[SKU Cost]]=0),0,BOM_table6[[#This Row],[SKU Cost]]/BOM_table6[[#This Row],[SKU QTY]])</f>
        <v>0</v>
      </c>
      <c r="P535" s="110">
        <f>IF(OR(ISBLANK(BOM_table6[[#This Row],[ASM QTY]]),ISBLANK(BOM_table6[[#This Row],[Unit Cost]])),0,BOM_table6[[#This Row],[ASM QTY]]*BOM_table6[[#This Row],[Unit Cost]])</f>
        <v>0</v>
      </c>
      <c r="Q535" s="65"/>
      <c r="R535" s="80"/>
      <c r="S535" s="111">
        <f>BOM_table6[[#This Row],[ASM QTY]]*$Q$2+BOM_table6[[#This Row],[Spare QTY Needed]]-BOM_table6[[#This Row],[QTY in Inventory]]</f>
        <v>1</v>
      </c>
      <c r="T535" s="111">
        <f>ROUNDUP((BOM_table6[[#This Row],[QTY to Order]]/BOM_table6[[#This Row],[SKU QTY]]),0)</f>
        <v>1</v>
      </c>
      <c r="U535" s="110">
        <f>BOM_table6[[#This Row],[SKU QTY to Order]]*BOM_table6[[#This Row],[SKU Cost]]</f>
        <v>0</v>
      </c>
      <c r="V535" s="67"/>
      <c r="W535" s="65"/>
      <c r="X535" s="65"/>
      <c r="Y535" s="69"/>
      <c r="Z535" s="71"/>
      <c r="AA535" s="65"/>
      <c r="AB535" s="65"/>
      <c r="AC535" s="65"/>
    </row>
    <row r="536" spans="1:29" ht="15" customHeight="1" x14ac:dyDescent="0.25">
      <c r="A536" s="105" t="s">
        <v>160</v>
      </c>
      <c r="B536" s="64" t="s">
        <v>1065</v>
      </c>
      <c r="C536" s="65" t="s">
        <v>1066</v>
      </c>
      <c r="D536" s="65"/>
      <c r="E536" s="65" t="s">
        <v>1049</v>
      </c>
      <c r="F536" s="45" t="s">
        <v>1985</v>
      </c>
      <c r="G536" s="65">
        <v>1</v>
      </c>
      <c r="H536" s="65"/>
      <c r="I536" s="155"/>
      <c r="J536" s="65" t="s">
        <v>1319</v>
      </c>
      <c r="K536" s="65" t="s">
        <v>1060</v>
      </c>
      <c r="L536" s="65"/>
      <c r="M536" s="106">
        <v>1</v>
      </c>
      <c r="N536" s="67"/>
      <c r="O536" s="110">
        <f>IF(OR(ISBLANK(BOM_table6[[#This Row],[SKU QTY]]),BOM_table6[[#This Row],[SKU Cost]]=0),0,BOM_table6[[#This Row],[SKU Cost]]/BOM_table6[[#This Row],[SKU QTY]])</f>
        <v>0</v>
      </c>
      <c r="P536" s="110">
        <f>IF(OR(ISBLANK(BOM_table6[[#This Row],[ASM QTY]]),ISBLANK(BOM_table6[[#This Row],[Unit Cost]])),0,BOM_table6[[#This Row],[ASM QTY]]*BOM_table6[[#This Row],[Unit Cost]])</f>
        <v>0</v>
      </c>
      <c r="Q536" s="65"/>
      <c r="R536" s="80"/>
      <c r="S536" s="111">
        <f>BOM_table6[[#This Row],[ASM QTY]]*$Q$2+BOM_table6[[#This Row],[Spare QTY Needed]]-BOM_table6[[#This Row],[QTY in Inventory]]</f>
        <v>1</v>
      </c>
      <c r="T536" s="111">
        <f>ROUNDUP((BOM_table6[[#This Row],[QTY to Order]]/BOM_table6[[#This Row],[SKU QTY]]),0)</f>
        <v>1</v>
      </c>
      <c r="U536" s="110">
        <f>BOM_table6[[#This Row],[SKU QTY to Order]]*BOM_table6[[#This Row],[SKU Cost]]</f>
        <v>0</v>
      </c>
      <c r="V536" s="67"/>
      <c r="W536" s="65"/>
      <c r="X536" s="65"/>
      <c r="Y536" s="69"/>
      <c r="Z536" s="71"/>
      <c r="AA536" s="65"/>
      <c r="AB536" s="65"/>
      <c r="AC536" s="65"/>
    </row>
    <row r="537" spans="1:29" ht="15" customHeight="1" x14ac:dyDescent="0.25">
      <c r="A537" s="105" t="s">
        <v>160</v>
      </c>
      <c r="B537" s="64" t="s">
        <v>1067</v>
      </c>
      <c r="C537" s="65" t="s">
        <v>1068</v>
      </c>
      <c r="D537" s="65"/>
      <c r="E537" s="65" t="s">
        <v>1049</v>
      </c>
      <c r="F537" s="45" t="s">
        <v>1985</v>
      </c>
      <c r="G537" s="65">
        <v>2</v>
      </c>
      <c r="H537" s="65"/>
      <c r="I537" s="155"/>
      <c r="J537" s="65" t="s">
        <v>1319</v>
      </c>
      <c r="K537" s="65" t="s">
        <v>1060</v>
      </c>
      <c r="L537" s="65"/>
      <c r="M537" s="106">
        <v>1</v>
      </c>
      <c r="N537" s="67"/>
      <c r="O537" s="110">
        <f>IF(OR(ISBLANK(BOM_table6[[#This Row],[SKU QTY]]),BOM_table6[[#This Row],[SKU Cost]]=0),0,BOM_table6[[#This Row],[SKU Cost]]/BOM_table6[[#This Row],[SKU QTY]])</f>
        <v>0</v>
      </c>
      <c r="P537" s="110">
        <f>IF(OR(ISBLANK(BOM_table6[[#This Row],[ASM QTY]]),ISBLANK(BOM_table6[[#This Row],[Unit Cost]])),0,BOM_table6[[#This Row],[ASM QTY]]*BOM_table6[[#This Row],[Unit Cost]])</f>
        <v>0</v>
      </c>
      <c r="Q537" s="65"/>
      <c r="R537" s="80"/>
      <c r="S537" s="111">
        <f>BOM_table6[[#This Row],[ASM QTY]]*$Q$2+BOM_table6[[#This Row],[Spare QTY Needed]]-BOM_table6[[#This Row],[QTY in Inventory]]</f>
        <v>2</v>
      </c>
      <c r="T537" s="111">
        <f>ROUNDUP((BOM_table6[[#This Row],[QTY to Order]]/BOM_table6[[#This Row],[SKU QTY]]),0)</f>
        <v>2</v>
      </c>
      <c r="U537" s="110">
        <f>BOM_table6[[#This Row],[SKU QTY to Order]]*BOM_table6[[#This Row],[SKU Cost]]</f>
        <v>0</v>
      </c>
      <c r="V537" s="67"/>
      <c r="W537" s="65"/>
      <c r="X537" s="65"/>
      <c r="Y537" s="69"/>
      <c r="Z537" s="71"/>
      <c r="AA537" s="65"/>
      <c r="AB537" s="65"/>
      <c r="AC537" s="65"/>
    </row>
    <row r="538" spans="1:29" ht="15" customHeight="1" x14ac:dyDescent="0.25">
      <c r="A538" s="105" t="s">
        <v>160</v>
      </c>
      <c r="B538" s="64" t="s">
        <v>1069</v>
      </c>
      <c r="C538" s="65" t="s">
        <v>1070</v>
      </c>
      <c r="D538" s="65"/>
      <c r="E538" s="65" t="s">
        <v>1049</v>
      </c>
      <c r="F538" s="45" t="s">
        <v>1985</v>
      </c>
      <c r="G538" s="65">
        <v>1</v>
      </c>
      <c r="H538" s="65"/>
      <c r="I538" s="155"/>
      <c r="J538" s="65" t="s">
        <v>1319</v>
      </c>
      <c r="K538" s="65" t="s">
        <v>1060</v>
      </c>
      <c r="L538" s="65"/>
      <c r="M538" s="106">
        <v>1</v>
      </c>
      <c r="N538" s="67"/>
      <c r="O538" s="110">
        <f>IF(OR(ISBLANK(BOM_table6[[#This Row],[SKU QTY]]),BOM_table6[[#This Row],[SKU Cost]]=0),0,BOM_table6[[#This Row],[SKU Cost]]/BOM_table6[[#This Row],[SKU QTY]])</f>
        <v>0</v>
      </c>
      <c r="P538" s="110">
        <f>IF(OR(ISBLANK(BOM_table6[[#This Row],[ASM QTY]]),ISBLANK(BOM_table6[[#This Row],[Unit Cost]])),0,BOM_table6[[#This Row],[ASM QTY]]*BOM_table6[[#This Row],[Unit Cost]])</f>
        <v>0</v>
      </c>
      <c r="Q538" s="65"/>
      <c r="R538" s="80"/>
      <c r="S538" s="111">
        <f>BOM_table6[[#This Row],[ASM QTY]]*$Q$2+BOM_table6[[#This Row],[Spare QTY Needed]]-BOM_table6[[#This Row],[QTY in Inventory]]</f>
        <v>1</v>
      </c>
      <c r="T538" s="111">
        <f>ROUNDUP((BOM_table6[[#This Row],[QTY to Order]]/BOM_table6[[#This Row],[SKU QTY]]),0)</f>
        <v>1</v>
      </c>
      <c r="U538" s="110">
        <f>BOM_table6[[#This Row],[SKU QTY to Order]]*BOM_table6[[#This Row],[SKU Cost]]</f>
        <v>0</v>
      </c>
      <c r="V538" s="67"/>
      <c r="W538" s="65"/>
      <c r="X538" s="65"/>
      <c r="Y538" s="69"/>
      <c r="Z538" s="71"/>
      <c r="AA538" s="65"/>
      <c r="AB538" s="65"/>
      <c r="AC538" s="65"/>
    </row>
    <row r="539" spans="1:29" ht="15" customHeight="1" x14ac:dyDescent="0.25">
      <c r="A539" s="105" t="s">
        <v>160</v>
      </c>
      <c r="B539" s="64" t="s">
        <v>1071</v>
      </c>
      <c r="C539" s="65" t="s">
        <v>1072</v>
      </c>
      <c r="D539" s="65"/>
      <c r="E539" s="65" t="s">
        <v>1049</v>
      </c>
      <c r="F539" s="45" t="s">
        <v>1985</v>
      </c>
      <c r="G539" s="65">
        <v>1</v>
      </c>
      <c r="H539" s="65"/>
      <c r="I539" s="155"/>
      <c r="J539" s="65" t="s">
        <v>1319</v>
      </c>
      <c r="K539" s="65" t="s">
        <v>1060</v>
      </c>
      <c r="L539" s="65"/>
      <c r="M539" s="106">
        <v>1</v>
      </c>
      <c r="N539" s="67"/>
      <c r="O539" s="110">
        <f>IF(OR(ISBLANK(BOM_table6[[#This Row],[SKU QTY]]),BOM_table6[[#This Row],[SKU Cost]]=0),0,BOM_table6[[#This Row],[SKU Cost]]/BOM_table6[[#This Row],[SKU QTY]])</f>
        <v>0</v>
      </c>
      <c r="P539" s="110">
        <f>IF(OR(ISBLANK(BOM_table6[[#This Row],[ASM QTY]]),ISBLANK(BOM_table6[[#This Row],[Unit Cost]])),0,BOM_table6[[#This Row],[ASM QTY]]*BOM_table6[[#This Row],[Unit Cost]])</f>
        <v>0</v>
      </c>
      <c r="Q539" s="65"/>
      <c r="R539" s="80"/>
      <c r="S539" s="111">
        <f>BOM_table6[[#This Row],[ASM QTY]]*$Q$2+BOM_table6[[#This Row],[Spare QTY Needed]]-BOM_table6[[#This Row],[QTY in Inventory]]</f>
        <v>1</v>
      </c>
      <c r="T539" s="111">
        <f>ROUNDUP((BOM_table6[[#This Row],[QTY to Order]]/BOM_table6[[#This Row],[SKU QTY]]),0)</f>
        <v>1</v>
      </c>
      <c r="U539" s="110">
        <f>BOM_table6[[#This Row],[SKU QTY to Order]]*BOM_table6[[#This Row],[SKU Cost]]</f>
        <v>0</v>
      </c>
      <c r="V539" s="67"/>
      <c r="W539" s="65"/>
      <c r="X539" s="65"/>
      <c r="Y539" s="69"/>
      <c r="Z539" s="71"/>
      <c r="AA539" s="65"/>
      <c r="AB539" s="65"/>
      <c r="AC539" s="65"/>
    </row>
    <row r="540" spans="1:29" ht="15" customHeight="1" x14ac:dyDescent="0.25">
      <c r="A540" s="105" t="s">
        <v>160</v>
      </c>
      <c r="B540" s="64" t="s">
        <v>1073</v>
      </c>
      <c r="C540" s="65" t="s">
        <v>1074</v>
      </c>
      <c r="D540" s="65"/>
      <c r="E540" s="65" t="s">
        <v>1049</v>
      </c>
      <c r="F540" s="45" t="s">
        <v>1985</v>
      </c>
      <c r="G540" s="65">
        <v>1</v>
      </c>
      <c r="H540" s="65"/>
      <c r="I540" s="155"/>
      <c r="J540" s="65" t="s">
        <v>1319</v>
      </c>
      <c r="K540" s="65" t="s">
        <v>1060</v>
      </c>
      <c r="L540" s="65"/>
      <c r="M540" s="106">
        <v>1</v>
      </c>
      <c r="N540" s="67"/>
      <c r="O540" s="110">
        <f>IF(OR(ISBLANK(BOM_table6[[#This Row],[SKU QTY]]),BOM_table6[[#This Row],[SKU Cost]]=0),0,BOM_table6[[#This Row],[SKU Cost]]/BOM_table6[[#This Row],[SKU QTY]])</f>
        <v>0</v>
      </c>
      <c r="P540" s="110">
        <f>IF(OR(ISBLANK(BOM_table6[[#This Row],[ASM QTY]]),ISBLANK(BOM_table6[[#This Row],[Unit Cost]])),0,BOM_table6[[#This Row],[ASM QTY]]*BOM_table6[[#This Row],[Unit Cost]])</f>
        <v>0</v>
      </c>
      <c r="Q540" s="65"/>
      <c r="R540" s="80"/>
      <c r="S540" s="111">
        <f>BOM_table6[[#This Row],[ASM QTY]]*$Q$2+BOM_table6[[#This Row],[Spare QTY Needed]]-BOM_table6[[#This Row],[QTY in Inventory]]</f>
        <v>1</v>
      </c>
      <c r="T540" s="111">
        <f>ROUNDUP((BOM_table6[[#This Row],[QTY to Order]]/BOM_table6[[#This Row],[SKU QTY]]),0)</f>
        <v>1</v>
      </c>
      <c r="U540" s="110">
        <f>BOM_table6[[#This Row],[SKU QTY to Order]]*BOM_table6[[#This Row],[SKU Cost]]</f>
        <v>0</v>
      </c>
      <c r="V540" s="67"/>
      <c r="W540" s="65"/>
      <c r="X540" s="65"/>
      <c r="Y540" s="69"/>
      <c r="Z540" s="71"/>
      <c r="AA540" s="65"/>
      <c r="AB540" s="65"/>
      <c r="AC540" s="65"/>
    </row>
    <row r="541" spans="1:29" ht="15" customHeight="1" x14ac:dyDescent="0.25">
      <c r="A541" s="105" t="s">
        <v>160</v>
      </c>
      <c r="B541" s="64" t="s">
        <v>1075</v>
      </c>
      <c r="C541" s="65" t="s">
        <v>1076</v>
      </c>
      <c r="D541" s="65"/>
      <c r="E541" s="65" t="s">
        <v>1049</v>
      </c>
      <c r="F541" s="45" t="s">
        <v>1985</v>
      </c>
      <c r="G541" s="65">
        <v>1</v>
      </c>
      <c r="H541" s="65"/>
      <c r="I541" s="155"/>
      <c r="J541" s="65" t="s">
        <v>1319</v>
      </c>
      <c r="K541" s="65" t="s">
        <v>1060</v>
      </c>
      <c r="L541" s="65"/>
      <c r="M541" s="106">
        <v>1</v>
      </c>
      <c r="N541" s="67"/>
      <c r="O541" s="110">
        <f>IF(OR(ISBLANK(BOM_table6[[#This Row],[SKU QTY]]),BOM_table6[[#This Row],[SKU Cost]]=0),0,BOM_table6[[#This Row],[SKU Cost]]/BOM_table6[[#This Row],[SKU QTY]])</f>
        <v>0</v>
      </c>
      <c r="P541" s="110">
        <f>IF(OR(ISBLANK(BOM_table6[[#This Row],[ASM QTY]]),ISBLANK(BOM_table6[[#This Row],[Unit Cost]])),0,BOM_table6[[#This Row],[ASM QTY]]*BOM_table6[[#This Row],[Unit Cost]])</f>
        <v>0</v>
      </c>
      <c r="Q541" s="65"/>
      <c r="R541" s="80"/>
      <c r="S541" s="111">
        <f>BOM_table6[[#This Row],[ASM QTY]]*$Q$2+BOM_table6[[#This Row],[Spare QTY Needed]]-BOM_table6[[#This Row],[QTY in Inventory]]</f>
        <v>1</v>
      </c>
      <c r="T541" s="111">
        <f>ROUNDUP((BOM_table6[[#This Row],[QTY to Order]]/BOM_table6[[#This Row],[SKU QTY]]),0)</f>
        <v>1</v>
      </c>
      <c r="U541" s="110">
        <f>BOM_table6[[#This Row],[SKU QTY to Order]]*BOM_table6[[#This Row],[SKU Cost]]</f>
        <v>0</v>
      </c>
      <c r="V541" s="67"/>
      <c r="W541" s="65"/>
      <c r="X541" s="65"/>
      <c r="Y541" s="69"/>
      <c r="Z541" s="71"/>
      <c r="AA541" s="65"/>
      <c r="AB541" s="65"/>
      <c r="AC541" s="65"/>
    </row>
    <row r="542" spans="1:29" ht="15" customHeight="1" x14ac:dyDescent="0.25">
      <c r="A542" s="105" t="s">
        <v>160</v>
      </c>
      <c r="B542" s="64" t="s">
        <v>1077</v>
      </c>
      <c r="C542" s="65" t="s">
        <v>1078</v>
      </c>
      <c r="D542" s="65"/>
      <c r="E542" s="65" t="s">
        <v>1049</v>
      </c>
      <c r="F542" s="45" t="s">
        <v>1985</v>
      </c>
      <c r="G542" s="65">
        <v>1</v>
      </c>
      <c r="H542" s="65"/>
      <c r="I542" s="155"/>
      <c r="J542" s="65" t="s">
        <v>1319</v>
      </c>
      <c r="K542" s="65" t="s">
        <v>1060</v>
      </c>
      <c r="L542" s="65"/>
      <c r="M542" s="106">
        <v>1</v>
      </c>
      <c r="N542" s="67"/>
      <c r="O542" s="110">
        <f>IF(OR(ISBLANK(BOM_table6[[#This Row],[SKU QTY]]),BOM_table6[[#This Row],[SKU Cost]]=0),0,BOM_table6[[#This Row],[SKU Cost]]/BOM_table6[[#This Row],[SKU QTY]])</f>
        <v>0</v>
      </c>
      <c r="P542" s="110">
        <f>IF(OR(ISBLANK(BOM_table6[[#This Row],[ASM QTY]]),ISBLANK(BOM_table6[[#This Row],[Unit Cost]])),0,BOM_table6[[#This Row],[ASM QTY]]*BOM_table6[[#This Row],[Unit Cost]])</f>
        <v>0</v>
      </c>
      <c r="Q542" s="65"/>
      <c r="R542" s="80"/>
      <c r="S542" s="111">
        <f>BOM_table6[[#This Row],[ASM QTY]]*$Q$2+BOM_table6[[#This Row],[Spare QTY Needed]]-BOM_table6[[#This Row],[QTY in Inventory]]</f>
        <v>1</v>
      </c>
      <c r="T542" s="111">
        <f>ROUNDUP((BOM_table6[[#This Row],[QTY to Order]]/BOM_table6[[#This Row],[SKU QTY]]),0)</f>
        <v>1</v>
      </c>
      <c r="U542" s="110">
        <f>BOM_table6[[#This Row],[SKU QTY to Order]]*BOM_table6[[#This Row],[SKU Cost]]</f>
        <v>0</v>
      </c>
      <c r="V542" s="67"/>
      <c r="W542" s="65"/>
      <c r="X542" s="65"/>
      <c r="Y542" s="69"/>
      <c r="Z542" s="71"/>
      <c r="AA542" s="65"/>
      <c r="AB542" s="65"/>
      <c r="AC542" s="65"/>
    </row>
    <row r="543" spans="1:29" ht="15" customHeight="1" x14ac:dyDescent="0.25">
      <c r="A543" s="105" t="s">
        <v>160</v>
      </c>
      <c r="B543" s="64" t="s">
        <v>1079</v>
      </c>
      <c r="C543" s="65" t="s">
        <v>1080</v>
      </c>
      <c r="D543" s="65"/>
      <c r="E543" s="65" t="s">
        <v>1049</v>
      </c>
      <c r="F543" s="45" t="s">
        <v>1985</v>
      </c>
      <c r="G543" s="65">
        <v>1</v>
      </c>
      <c r="H543" s="65"/>
      <c r="I543" s="155"/>
      <c r="J543" s="65" t="s">
        <v>1319</v>
      </c>
      <c r="K543" s="65" t="s">
        <v>1060</v>
      </c>
      <c r="L543" s="65"/>
      <c r="M543" s="106">
        <v>1</v>
      </c>
      <c r="N543" s="67"/>
      <c r="O543" s="110">
        <f>IF(OR(ISBLANK(BOM_table6[[#This Row],[SKU QTY]]),BOM_table6[[#This Row],[SKU Cost]]=0),0,BOM_table6[[#This Row],[SKU Cost]]/BOM_table6[[#This Row],[SKU QTY]])</f>
        <v>0</v>
      </c>
      <c r="P543" s="110">
        <f>IF(OR(ISBLANK(BOM_table6[[#This Row],[ASM QTY]]),ISBLANK(BOM_table6[[#This Row],[Unit Cost]])),0,BOM_table6[[#This Row],[ASM QTY]]*BOM_table6[[#This Row],[Unit Cost]])</f>
        <v>0</v>
      </c>
      <c r="Q543" s="65"/>
      <c r="R543" s="80"/>
      <c r="S543" s="111">
        <f>BOM_table6[[#This Row],[ASM QTY]]*$Q$2+BOM_table6[[#This Row],[Spare QTY Needed]]-BOM_table6[[#This Row],[QTY in Inventory]]</f>
        <v>1</v>
      </c>
      <c r="T543" s="111">
        <f>ROUNDUP((BOM_table6[[#This Row],[QTY to Order]]/BOM_table6[[#This Row],[SKU QTY]]),0)</f>
        <v>1</v>
      </c>
      <c r="U543" s="110">
        <f>BOM_table6[[#This Row],[SKU QTY to Order]]*BOM_table6[[#This Row],[SKU Cost]]</f>
        <v>0</v>
      </c>
      <c r="V543" s="67"/>
      <c r="W543" s="65"/>
      <c r="X543" s="65"/>
      <c r="Y543" s="69"/>
      <c r="Z543" s="71"/>
      <c r="AA543" s="65"/>
      <c r="AB543" s="65"/>
      <c r="AC543" s="65"/>
    </row>
    <row r="544" spans="1:29" ht="15" customHeight="1" x14ac:dyDescent="0.25">
      <c r="A544" s="105" t="s">
        <v>160</v>
      </c>
      <c r="B544" s="64" t="s">
        <v>1081</v>
      </c>
      <c r="C544" s="65" t="s">
        <v>1082</v>
      </c>
      <c r="D544" s="65"/>
      <c r="E544" s="65" t="s">
        <v>1049</v>
      </c>
      <c r="F544" s="45" t="s">
        <v>1985</v>
      </c>
      <c r="G544" s="65">
        <v>2</v>
      </c>
      <c r="H544" s="65"/>
      <c r="I544" s="155"/>
      <c r="J544" s="65" t="s">
        <v>1319</v>
      </c>
      <c r="K544" s="65" t="s">
        <v>1060</v>
      </c>
      <c r="L544" s="65"/>
      <c r="M544" s="106">
        <v>1</v>
      </c>
      <c r="N544" s="67"/>
      <c r="O544" s="110">
        <f>IF(OR(ISBLANK(BOM_table6[[#This Row],[SKU QTY]]),BOM_table6[[#This Row],[SKU Cost]]=0),0,BOM_table6[[#This Row],[SKU Cost]]/BOM_table6[[#This Row],[SKU QTY]])</f>
        <v>0</v>
      </c>
      <c r="P544" s="110">
        <f>IF(OR(ISBLANK(BOM_table6[[#This Row],[ASM QTY]]),ISBLANK(BOM_table6[[#This Row],[Unit Cost]])),0,BOM_table6[[#This Row],[ASM QTY]]*BOM_table6[[#This Row],[Unit Cost]])</f>
        <v>0</v>
      </c>
      <c r="Q544" s="65"/>
      <c r="R544" s="80"/>
      <c r="S544" s="111">
        <f>BOM_table6[[#This Row],[ASM QTY]]*$Q$2+BOM_table6[[#This Row],[Spare QTY Needed]]-BOM_table6[[#This Row],[QTY in Inventory]]</f>
        <v>2</v>
      </c>
      <c r="T544" s="111">
        <f>ROUNDUP((BOM_table6[[#This Row],[QTY to Order]]/BOM_table6[[#This Row],[SKU QTY]]),0)</f>
        <v>2</v>
      </c>
      <c r="U544" s="110">
        <f>BOM_table6[[#This Row],[SKU QTY to Order]]*BOM_table6[[#This Row],[SKU Cost]]</f>
        <v>0</v>
      </c>
      <c r="V544" s="67"/>
      <c r="W544" s="65"/>
      <c r="X544" s="65"/>
      <c r="Y544" s="69"/>
      <c r="Z544" s="71"/>
      <c r="AA544" s="65"/>
      <c r="AB544" s="65"/>
      <c r="AC544" s="65"/>
    </row>
    <row r="545" spans="1:29" ht="15" customHeight="1" x14ac:dyDescent="0.25">
      <c r="A545" s="105" t="s">
        <v>160</v>
      </c>
      <c r="B545" s="64" t="s">
        <v>1138</v>
      </c>
      <c r="C545" s="65" t="s">
        <v>1139</v>
      </c>
      <c r="D545" s="65"/>
      <c r="E545" s="65" t="s">
        <v>1049</v>
      </c>
      <c r="F545" s="45" t="s">
        <v>1985</v>
      </c>
      <c r="G545" s="65">
        <v>1</v>
      </c>
      <c r="H545" s="65"/>
      <c r="I545" s="155"/>
      <c r="J545" s="65" t="s">
        <v>1319</v>
      </c>
      <c r="K545" s="65"/>
      <c r="L545" s="65"/>
      <c r="M545" s="106">
        <v>1</v>
      </c>
      <c r="N545" s="67"/>
      <c r="O545" s="110">
        <f>IF(OR(ISBLANK(BOM_table6[[#This Row],[SKU QTY]]),BOM_table6[[#This Row],[SKU Cost]]=0),0,BOM_table6[[#This Row],[SKU Cost]]/BOM_table6[[#This Row],[SKU QTY]])</f>
        <v>0</v>
      </c>
      <c r="P545" s="110">
        <f>IF(OR(ISBLANK(BOM_table6[[#This Row],[ASM QTY]]),ISBLANK(BOM_table6[[#This Row],[Unit Cost]])),0,BOM_table6[[#This Row],[ASM QTY]]*BOM_table6[[#This Row],[Unit Cost]])</f>
        <v>0</v>
      </c>
      <c r="Q545" s="65"/>
      <c r="R545" s="80"/>
      <c r="S545" s="111">
        <f>BOM_table6[[#This Row],[ASM QTY]]*$Q$2+BOM_table6[[#This Row],[Spare QTY Needed]]-BOM_table6[[#This Row],[QTY in Inventory]]</f>
        <v>1</v>
      </c>
      <c r="T545" s="111">
        <f>ROUNDUP((BOM_table6[[#This Row],[QTY to Order]]/BOM_table6[[#This Row],[SKU QTY]]),0)</f>
        <v>1</v>
      </c>
      <c r="U545" s="110">
        <f>BOM_table6[[#This Row],[SKU QTY to Order]]*BOM_table6[[#This Row],[SKU Cost]]</f>
        <v>0</v>
      </c>
      <c r="V545" s="67"/>
      <c r="W545" s="65"/>
      <c r="X545" s="65"/>
      <c r="Y545" s="69"/>
      <c r="Z545" s="71"/>
      <c r="AA545" s="65"/>
      <c r="AB545" s="65"/>
      <c r="AC545" s="65"/>
    </row>
    <row r="546" spans="1:29" ht="15" customHeight="1" x14ac:dyDescent="0.25">
      <c r="A546" s="105" t="s">
        <v>160</v>
      </c>
      <c r="B546" s="64" t="s">
        <v>1083</v>
      </c>
      <c r="C546" s="65" t="s">
        <v>1084</v>
      </c>
      <c r="D546" s="65"/>
      <c r="E546" s="65" t="s">
        <v>1049</v>
      </c>
      <c r="F546" s="45" t="s">
        <v>1985</v>
      </c>
      <c r="G546" s="65">
        <v>1</v>
      </c>
      <c r="H546" s="65"/>
      <c r="I546" s="155"/>
      <c r="J546" s="65" t="s">
        <v>1319</v>
      </c>
      <c r="K546" s="65" t="s">
        <v>1060</v>
      </c>
      <c r="L546" s="65"/>
      <c r="M546" s="106">
        <v>1</v>
      </c>
      <c r="N546" s="67"/>
      <c r="O546" s="110">
        <f>IF(OR(ISBLANK(BOM_table6[[#This Row],[SKU QTY]]),BOM_table6[[#This Row],[SKU Cost]]=0),0,BOM_table6[[#This Row],[SKU Cost]]/BOM_table6[[#This Row],[SKU QTY]])</f>
        <v>0</v>
      </c>
      <c r="P546" s="110">
        <f>IF(OR(ISBLANK(BOM_table6[[#This Row],[ASM QTY]]),ISBLANK(BOM_table6[[#This Row],[Unit Cost]])),0,BOM_table6[[#This Row],[ASM QTY]]*BOM_table6[[#This Row],[Unit Cost]])</f>
        <v>0</v>
      </c>
      <c r="Q546" s="65"/>
      <c r="R546" s="80"/>
      <c r="S546" s="111">
        <f>BOM_table6[[#This Row],[ASM QTY]]*$Q$2+BOM_table6[[#This Row],[Spare QTY Needed]]-BOM_table6[[#This Row],[QTY in Inventory]]</f>
        <v>1</v>
      </c>
      <c r="T546" s="111">
        <f>ROUNDUP((BOM_table6[[#This Row],[QTY to Order]]/BOM_table6[[#This Row],[SKU QTY]]),0)</f>
        <v>1</v>
      </c>
      <c r="U546" s="110">
        <f>BOM_table6[[#This Row],[SKU QTY to Order]]*BOM_table6[[#This Row],[SKU Cost]]</f>
        <v>0</v>
      </c>
      <c r="V546" s="67"/>
      <c r="W546" s="65"/>
      <c r="X546" s="65"/>
      <c r="Y546" s="69"/>
      <c r="Z546" s="71"/>
      <c r="AA546" s="65"/>
      <c r="AB546" s="65"/>
      <c r="AC546" s="65"/>
    </row>
    <row r="547" spans="1:29" ht="15" customHeight="1" x14ac:dyDescent="0.25">
      <c r="A547" s="105" t="s">
        <v>160</v>
      </c>
      <c r="B547" s="64" t="s">
        <v>1085</v>
      </c>
      <c r="C547" s="65" t="s">
        <v>1086</v>
      </c>
      <c r="D547" s="65"/>
      <c r="E547" s="65" t="s">
        <v>1049</v>
      </c>
      <c r="F547" s="45" t="s">
        <v>1985</v>
      </c>
      <c r="G547" s="65">
        <v>1</v>
      </c>
      <c r="H547" s="65"/>
      <c r="I547" s="155"/>
      <c r="J547" s="65" t="s">
        <v>1319</v>
      </c>
      <c r="K547" s="65" t="s">
        <v>1060</v>
      </c>
      <c r="L547" s="65"/>
      <c r="M547" s="106">
        <v>1</v>
      </c>
      <c r="N547" s="67"/>
      <c r="O547" s="110">
        <f>IF(OR(ISBLANK(BOM_table6[[#This Row],[SKU QTY]]),BOM_table6[[#This Row],[SKU Cost]]=0),0,BOM_table6[[#This Row],[SKU Cost]]/BOM_table6[[#This Row],[SKU QTY]])</f>
        <v>0</v>
      </c>
      <c r="P547" s="110">
        <f>IF(OR(ISBLANK(BOM_table6[[#This Row],[ASM QTY]]),ISBLANK(BOM_table6[[#This Row],[Unit Cost]])),0,BOM_table6[[#This Row],[ASM QTY]]*BOM_table6[[#This Row],[Unit Cost]])</f>
        <v>0</v>
      </c>
      <c r="Q547" s="65"/>
      <c r="R547" s="80"/>
      <c r="S547" s="111">
        <f>BOM_table6[[#This Row],[ASM QTY]]*$Q$2+BOM_table6[[#This Row],[Spare QTY Needed]]-BOM_table6[[#This Row],[QTY in Inventory]]</f>
        <v>1</v>
      </c>
      <c r="T547" s="111">
        <f>ROUNDUP((BOM_table6[[#This Row],[QTY to Order]]/BOM_table6[[#This Row],[SKU QTY]]),0)</f>
        <v>1</v>
      </c>
      <c r="U547" s="110">
        <f>BOM_table6[[#This Row],[SKU QTY to Order]]*BOM_table6[[#This Row],[SKU Cost]]</f>
        <v>0</v>
      </c>
      <c r="V547" s="67"/>
      <c r="W547" s="65"/>
      <c r="X547" s="65"/>
      <c r="Y547" s="69"/>
      <c r="Z547" s="71"/>
      <c r="AA547" s="65"/>
      <c r="AB547" s="65"/>
      <c r="AC547" s="65"/>
    </row>
    <row r="548" spans="1:29" ht="15" customHeight="1" x14ac:dyDescent="0.25">
      <c r="A548" s="105" t="s">
        <v>160</v>
      </c>
      <c r="B548" s="64" t="s">
        <v>1087</v>
      </c>
      <c r="C548" s="65" t="s">
        <v>1088</v>
      </c>
      <c r="D548" s="65"/>
      <c r="E548" s="65" t="s">
        <v>1049</v>
      </c>
      <c r="F548" s="45" t="s">
        <v>1985</v>
      </c>
      <c r="G548" s="65">
        <v>1</v>
      </c>
      <c r="H548" s="65"/>
      <c r="I548" s="155"/>
      <c r="J548" s="65" t="s">
        <v>1319</v>
      </c>
      <c r="K548" s="65" t="s">
        <v>1060</v>
      </c>
      <c r="L548" s="65"/>
      <c r="M548" s="106">
        <v>1</v>
      </c>
      <c r="N548" s="67"/>
      <c r="O548" s="110">
        <f>IF(OR(ISBLANK(BOM_table6[[#This Row],[SKU QTY]]),BOM_table6[[#This Row],[SKU Cost]]=0),0,BOM_table6[[#This Row],[SKU Cost]]/BOM_table6[[#This Row],[SKU QTY]])</f>
        <v>0</v>
      </c>
      <c r="P548" s="110">
        <f>IF(OR(ISBLANK(BOM_table6[[#This Row],[ASM QTY]]),ISBLANK(BOM_table6[[#This Row],[Unit Cost]])),0,BOM_table6[[#This Row],[ASM QTY]]*BOM_table6[[#This Row],[Unit Cost]])</f>
        <v>0</v>
      </c>
      <c r="Q548" s="65"/>
      <c r="R548" s="80"/>
      <c r="S548" s="111">
        <f>BOM_table6[[#This Row],[ASM QTY]]*$Q$2+BOM_table6[[#This Row],[Spare QTY Needed]]-BOM_table6[[#This Row],[QTY in Inventory]]</f>
        <v>1</v>
      </c>
      <c r="T548" s="111">
        <f>ROUNDUP((BOM_table6[[#This Row],[QTY to Order]]/BOM_table6[[#This Row],[SKU QTY]]),0)</f>
        <v>1</v>
      </c>
      <c r="U548" s="110">
        <f>BOM_table6[[#This Row],[SKU QTY to Order]]*BOM_table6[[#This Row],[SKU Cost]]</f>
        <v>0</v>
      </c>
      <c r="V548" s="67"/>
      <c r="W548" s="65"/>
      <c r="X548" s="65"/>
      <c r="Y548" s="69"/>
      <c r="Z548" s="71"/>
      <c r="AA548" s="65"/>
      <c r="AB548" s="65"/>
      <c r="AC548" s="65"/>
    </row>
    <row r="549" spans="1:29" ht="15" customHeight="1" x14ac:dyDescent="0.25">
      <c r="A549" s="105" t="s">
        <v>160</v>
      </c>
      <c r="B549" s="64" t="s">
        <v>1089</v>
      </c>
      <c r="C549" s="65" t="s">
        <v>1090</v>
      </c>
      <c r="D549" s="65"/>
      <c r="E549" s="65" t="s">
        <v>1049</v>
      </c>
      <c r="F549" s="45" t="s">
        <v>1985</v>
      </c>
      <c r="G549" s="65">
        <v>1</v>
      </c>
      <c r="H549" s="65"/>
      <c r="I549" s="155"/>
      <c r="J549" s="65" t="s">
        <v>1319</v>
      </c>
      <c r="K549" s="65" t="s">
        <v>1060</v>
      </c>
      <c r="L549" s="65"/>
      <c r="M549" s="106">
        <v>1</v>
      </c>
      <c r="N549" s="67"/>
      <c r="O549" s="110">
        <f>IF(OR(ISBLANK(BOM_table6[[#This Row],[SKU QTY]]),BOM_table6[[#This Row],[SKU Cost]]=0),0,BOM_table6[[#This Row],[SKU Cost]]/BOM_table6[[#This Row],[SKU QTY]])</f>
        <v>0</v>
      </c>
      <c r="P549" s="110">
        <f>IF(OR(ISBLANK(BOM_table6[[#This Row],[ASM QTY]]),ISBLANK(BOM_table6[[#This Row],[Unit Cost]])),0,BOM_table6[[#This Row],[ASM QTY]]*BOM_table6[[#This Row],[Unit Cost]])</f>
        <v>0</v>
      </c>
      <c r="Q549" s="65"/>
      <c r="R549" s="80"/>
      <c r="S549" s="111">
        <f>BOM_table6[[#This Row],[ASM QTY]]*$Q$2+BOM_table6[[#This Row],[Spare QTY Needed]]-BOM_table6[[#This Row],[QTY in Inventory]]</f>
        <v>1</v>
      </c>
      <c r="T549" s="111">
        <f>ROUNDUP((BOM_table6[[#This Row],[QTY to Order]]/BOM_table6[[#This Row],[SKU QTY]]),0)</f>
        <v>1</v>
      </c>
      <c r="U549" s="110">
        <f>BOM_table6[[#This Row],[SKU QTY to Order]]*BOM_table6[[#This Row],[SKU Cost]]</f>
        <v>0</v>
      </c>
      <c r="V549" s="67"/>
      <c r="W549" s="65"/>
      <c r="X549" s="65"/>
      <c r="Y549" s="69"/>
      <c r="Z549" s="71"/>
      <c r="AA549" s="65"/>
      <c r="AB549" s="65"/>
      <c r="AC549" s="65"/>
    </row>
    <row r="550" spans="1:29" ht="15" customHeight="1" x14ac:dyDescent="0.25">
      <c r="A550" s="105" t="s">
        <v>160</v>
      </c>
      <c r="B550" s="64" t="s">
        <v>1091</v>
      </c>
      <c r="C550" s="65" t="s">
        <v>1092</v>
      </c>
      <c r="D550" s="65"/>
      <c r="E550" s="65" t="s">
        <v>1049</v>
      </c>
      <c r="F550" s="45" t="s">
        <v>1985</v>
      </c>
      <c r="G550" s="65">
        <v>1</v>
      </c>
      <c r="H550" s="65"/>
      <c r="I550" s="155"/>
      <c r="J550" s="65" t="s">
        <v>1319</v>
      </c>
      <c r="K550" s="65" t="s">
        <v>1060</v>
      </c>
      <c r="L550" s="65"/>
      <c r="M550" s="106">
        <v>1</v>
      </c>
      <c r="N550" s="67"/>
      <c r="O550" s="110">
        <f>IF(OR(ISBLANK(BOM_table6[[#This Row],[SKU QTY]]),BOM_table6[[#This Row],[SKU Cost]]=0),0,BOM_table6[[#This Row],[SKU Cost]]/BOM_table6[[#This Row],[SKU QTY]])</f>
        <v>0</v>
      </c>
      <c r="P550" s="110">
        <f>IF(OR(ISBLANK(BOM_table6[[#This Row],[ASM QTY]]),ISBLANK(BOM_table6[[#This Row],[Unit Cost]])),0,BOM_table6[[#This Row],[ASM QTY]]*BOM_table6[[#This Row],[Unit Cost]])</f>
        <v>0</v>
      </c>
      <c r="Q550" s="65"/>
      <c r="R550" s="80"/>
      <c r="S550" s="111">
        <f>BOM_table6[[#This Row],[ASM QTY]]*$Q$2+BOM_table6[[#This Row],[Spare QTY Needed]]-BOM_table6[[#This Row],[QTY in Inventory]]</f>
        <v>1</v>
      </c>
      <c r="T550" s="111">
        <f>ROUNDUP((BOM_table6[[#This Row],[QTY to Order]]/BOM_table6[[#This Row],[SKU QTY]]),0)</f>
        <v>1</v>
      </c>
      <c r="U550" s="110">
        <f>BOM_table6[[#This Row],[SKU QTY to Order]]*BOM_table6[[#This Row],[SKU Cost]]</f>
        <v>0</v>
      </c>
      <c r="V550" s="67"/>
      <c r="W550" s="65"/>
      <c r="X550" s="65"/>
      <c r="Y550" s="69"/>
      <c r="Z550" s="71"/>
      <c r="AA550" s="65"/>
      <c r="AB550" s="65"/>
      <c r="AC550" s="65"/>
    </row>
    <row r="551" spans="1:29" ht="15" customHeight="1" x14ac:dyDescent="0.25">
      <c r="A551" s="105" t="s">
        <v>160</v>
      </c>
      <c r="B551" s="64" t="s">
        <v>1093</v>
      </c>
      <c r="C551" s="65" t="s">
        <v>1094</v>
      </c>
      <c r="D551" s="65"/>
      <c r="E551" s="65" t="s">
        <v>1049</v>
      </c>
      <c r="F551" s="45" t="s">
        <v>1985</v>
      </c>
      <c r="G551" s="65">
        <v>1</v>
      </c>
      <c r="H551" s="65"/>
      <c r="I551" s="155"/>
      <c r="J551" s="65" t="s">
        <v>1319</v>
      </c>
      <c r="K551" s="65" t="s">
        <v>1060</v>
      </c>
      <c r="L551" s="65"/>
      <c r="M551" s="106">
        <v>1</v>
      </c>
      <c r="N551" s="67"/>
      <c r="O551" s="110">
        <f>IF(OR(ISBLANK(BOM_table6[[#This Row],[SKU QTY]]),BOM_table6[[#This Row],[SKU Cost]]=0),0,BOM_table6[[#This Row],[SKU Cost]]/BOM_table6[[#This Row],[SKU QTY]])</f>
        <v>0</v>
      </c>
      <c r="P551" s="110">
        <f>IF(OR(ISBLANK(BOM_table6[[#This Row],[ASM QTY]]),ISBLANK(BOM_table6[[#This Row],[Unit Cost]])),0,BOM_table6[[#This Row],[ASM QTY]]*BOM_table6[[#This Row],[Unit Cost]])</f>
        <v>0</v>
      </c>
      <c r="Q551" s="65"/>
      <c r="R551" s="80"/>
      <c r="S551" s="111">
        <f>BOM_table6[[#This Row],[ASM QTY]]*$Q$2+BOM_table6[[#This Row],[Spare QTY Needed]]-BOM_table6[[#This Row],[QTY in Inventory]]</f>
        <v>1</v>
      </c>
      <c r="T551" s="111">
        <f>ROUNDUP((BOM_table6[[#This Row],[QTY to Order]]/BOM_table6[[#This Row],[SKU QTY]]),0)</f>
        <v>1</v>
      </c>
      <c r="U551" s="110">
        <f>BOM_table6[[#This Row],[SKU QTY to Order]]*BOM_table6[[#This Row],[SKU Cost]]</f>
        <v>0</v>
      </c>
      <c r="V551" s="67"/>
      <c r="W551" s="65"/>
      <c r="X551" s="65"/>
      <c r="Y551" s="69"/>
      <c r="Z551" s="71"/>
      <c r="AA551" s="65"/>
      <c r="AB551" s="65"/>
      <c r="AC551" s="65"/>
    </row>
    <row r="552" spans="1:29" ht="15" customHeight="1" x14ac:dyDescent="0.25">
      <c r="A552" s="105" t="s">
        <v>160</v>
      </c>
      <c r="B552" s="64" t="s">
        <v>1095</v>
      </c>
      <c r="C552" s="65" t="s">
        <v>1096</v>
      </c>
      <c r="D552" s="65"/>
      <c r="E552" s="65" t="s">
        <v>1049</v>
      </c>
      <c r="F552" s="45" t="s">
        <v>1985</v>
      </c>
      <c r="G552" s="65">
        <v>1</v>
      </c>
      <c r="H552" s="65"/>
      <c r="I552" s="155"/>
      <c r="J552" s="65" t="s">
        <v>1319</v>
      </c>
      <c r="K552" s="65" t="s">
        <v>1060</v>
      </c>
      <c r="L552" s="65"/>
      <c r="M552" s="106">
        <v>1</v>
      </c>
      <c r="N552" s="67"/>
      <c r="O552" s="110">
        <f>IF(OR(ISBLANK(BOM_table6[[#This Row],[SKU QTY]]),BOM_table6[[#This Row],[SKU Cost]]=0),0,BOM_table6[[#This Row],[SKU Cost]]/BOM_table6[[#This Row],[SKU QTY]])</f>
        <v>0</v>
      </c>
      <c r="P552" s="110">
        <f>IF(OR(ISBLANK(BOM_table6[[#This Row],[ASM QTY]]),ISBLANK(BOM_table6[[#This Row],[Unit Cost]])),0,BOM_table6[[#This Row],[ASM QTY]]*BOM_table6[[#This Row],[Unit Cost]])</f>
        <v>0</v>
      </c>
      <c r="Q552" s="65"/>
      <c r="R552" s="80"/>
      <c r="S552" s="111">
        <f>BOM_table6[[#This Row],[ASM QTY]]*$Q$2+BOM_table6[[#This Row],[Spare QTY Needed]]-BOM_table6[[#This Row],[QTY in Inventory]]</f>
        <v>1</v>
      </c>
      <c r="T552" s="111">
        <f>ROUNDUP((BOM_table6[[#This Row],[QTY to Order]]/BOM_table6[[#This Row],[SKU QTY]]),0)</f>
        <v>1</v>
      </c>
      <c r="U552" s="110">
        <f>BOM_table6[[#This Row],[SKU QTY to Order]]*BOM_table6[[#This Row],[SKU Cost]]</f>
        <v>0</v>
      </c>
      <c r="V552" s="67"/>
      <c r="W552" s="65"/>
      <c r="X552" s="65"/>
      <c r="Y552" s="69"/>
      <c r="Z552" s="71"/>
      <c r="AA552" s="65"/>
      <c r="AB552" s="65"/>
      <c r="AC552" s="65"/>
    </row>
    <row r="553" spans="1:29" ht="15" customHeight="1" x14ac:dyDescent="0.25">
      <c r="A553" s="105" t="s">
        <v>160</v>
      </c>
      <c r="B553" s="64" t="s">
        <v>1097</v>
      </c>
      <c r="C553" s="65" t="s">
        <v>1098</v>
      </c>
      <c r="D553" s="65"/>
      <c r="E553" s="65" t="s">
        <v>1049</v>
      </c>
      <c r="F553" s="45" t="s">
        <v>1985</v>
      </c>
      <c r="G553" s="65">
        <v>1</v>
      </c>
      <c r="H553" s="65"/>
      <c r="I553" s="155"/>
      <c r="J553" s="65" t="s">
        <v>1319</v>
      </c>
      <c r="K553" s="65" t="s">
        <v>1060</v>
      </c>
      <c r="L553" s="65"/>
      <c r="M553" s="106">
        <v>1</v>
      </c>
      <c r="N553" s="67"/>
      <c r="O553" s="110">
        <f>IF(OR(ISBLANK(BOM_table6[[#This Row],[SKU QTY]]),BOM_table6[[#This Row],[SKU Cost]]=0),0,BOM_table6[[#This Row],[SKU Cost]]/BOM_table6[[#This Row],[SKU QTY]])</f>
        <v>0</v>
      </c>
      <c r="P553" s="110">
        <f>IF(OR(ISBLANK(BOM_table6[[#This Row],[ASM QTY]]),ISBLANK(BOM_table6[[#This Row],[Unit Cost]])),0,BOM_table6[[#This Row],[ASM QTY]]*BOM_table6[[#This Row],[Unit Cost]])</f>
        <v>0</v>
      </c>
      <c r="Q553" s="65"/>
      <c r="R553" s="80"/>
      <c r="S553" s="111">
        <f>BOM_table6[[#This Row],[ASM QTY]]*$Q$2+BOM_table6[[#This Row],[Spare QTY Needed]]-BOM_table6[[#This Row],[QTY in Inventory]]</f>
        <v>1</v>
      </c>
      <c r="T553" s="111">
        <f>ROUNDUP((BOM_table6[[#This Row],[QTY to Order]]/BOM_table6[[#This Row],[SKU QTY]]),0)</f>
        <v>1</v>
      </c>
      <c r="U553" s="110">
        <f>BOM_table6[[#This Row],[SKU QTY to Order]]*BOM_table6[[#This Row],[SKU Cost]]</f>
        <v>0</v>
      </c>
      <c r="V553" s="67"/>
      <c r="W553" s="65"/>
      <c r="X553" s="65"/>
      <c r="Y553" s="69"/>
      <c r="Z553" s="71"/>
      <c r="AA553" s="65"/>
      <c r="AB553" s="65"/>
      <c r="AC553" s="65"/>
    </row>
    <row r="554" spans="1:29" ht="15" customHeight="1" x14ac:dyDescent="0.25">
      <c r="A554" s="105" t="s">
        <v>160</v>
      </c>
      <c r="B554" s="64" t="s">
        <v>1099</v>
      </c>
      <c r="C554" s="65" t="s">
        <v>1100</v>
      </c>
      <c r="D554" s="65"/>
      <c r="E554" s="65" t="s">
        <v>1049</v>
      </c>
      <c r="F554" s="45" t="s">
        <v>1985</v>
      </c>
      <c r="G554" s="65">
        <v>1</v>
      </c>
      <c r="H554" s="65"/>
      <c r="I554" s="155"/>
      <c r="J554" s="65" t="s">
        <v>1319</v>
      </c>
      <c r="K554" s="65" t="s">
        <v>1060</v>
      </c>
      <c r="L554" s="65"/>
      <c r="M554" s="106">
        <v>1</v>
      </c>
      <c r="N554" s="67"/>
      <c r="O554" s="110">
        <f>IF(OR(ISBLANK(BOM_table6[[#This Row],[SKU QTY]]),BOM_table6[[#This Row],[SKU Cost]]=0),0,BOM_table6[[#This Row],[SKU Cost]]/BOM_table6[[#This Row],[SKU QTY]])</f>
        <v>0</v>
      </c>
      <c r="P554" s="110">
        <f>IF(OR(ISBLANK(BOM_table6[[#This Row],[ASM QTY]]),ISBLANK(BOM_table6[[#This Row],[Unit Cost]])),0,BOM_table6[[#This Row],[ASM QTY]]*BOM_table6[[#This Row],[Unit Cost]])</f>
        <v>0</v>
      </c>
      <c r="Q554" s="65"/>
      <c r="R554" s="80"/>
      <c r="S554" s="111">
        <f>BOM_table6[[#This Row],[ASM QTY]]*$Q$2+BOM_table6[[#This Row],[Spare QTY Needed]]-BOM_table6[[#This Row],[QTY in Inventory]]</f>
        <v>1</v>
      </c>
      <c r="T554" s="111">
        <f>ROUNDUP((BOM_table6[[#This Row],[QTY to Order]]/BOM_table6[[#This Row],[SKU QTY]]),0)</f>
        <v>1</v>
      </c>
      <c r="U554" s="110">
        <f>BOM_table6[[#This Row],[SKU QTY to Order]]*BOM_table6[[#This Row],[SKU Cost]]</f>
        <v>0</v>
      </c>
      <c r="V554" s="67"/>
      <c r="W554" s="65"/>
      <c r="X554" s="65"/>
      <c r="Y554" s="69"/>
      <c r="Z554" s="71"/>
      <c r="AA554" s="65"/>
      <c r="AB554" s="65"/>
      <c r="AC554" s="65"/>
    </row>
    <row r="555" spans="1:29" ht="15" customHeight="1" x14ac:dyDescent="0.25">
      <c r="A555" s="105" t="s">
        <v>160</v>
      </c>
      <c r="B555" s="64" t="s">
        <v>1101</v>
      </c>
      <c r="C555" s="65" t="s">
        <v>1102</v>
      </c>
      <c r="D555" s="65"/>
      <c r="E555" s="65" t="s">
        <v>1049</v>
      </c>
      <c r="F555" s="45" t="s">
        <v>1985</v>
      </c>
      <c r="G555" s="65">
        <v>1</v>
      </c>
      <c r="H555" s="65"/>
      <c r="I555" s="155"/>
      <c r="J555" s="65" t="s">
        <v>1319</v>
      </c>
      <c r="K555" s="65" t="s">
        <v>1060</v>
      </c>
      <c r="L555" s="65"/>
      <c r="M555" s="106">
        <v>1</v>
      </c>
      <c r="N555" s="67"/>
      <c r="O555" s="110">
        <f>IF(OR(ISBLANK(BOM_table6[[#This Row],[SKU QTY]]),BOM_table6[[#This Row],[SKU Cost]]=0),0,BOM_table6[[#This Row],[SKU Cost]]/BOM_table6[[#This Row],[SKU QTY]])</f>
        <v>0</v>
      </c>
      <c r="P555" s="110">
        <f>IF(OR(ISBLANK(BOM_table6[[#This Row],[ASM QTY]]),ISBLANK(BOM_table6[[#This Row],[Unit Cost]])),0,BOM_table6[[#This Row],[ASM QTY]]*BOM_table6[[#This Row],[Unit Cost]])</f>
        <v>0</v>
      </c>
      <c r="Q555" s="65"/>
      <c r="R555" s="80"/>
      <c r="S555" s="111">
        <f>BOM_table6[[#This Row],[ASM QTY]]*$Q$2+BOM_table6[[#This Row],[Spare QTY Needed]]-BOM_table6[[#This Row],[QTY in Inventory]]</f>
        <v>1</v>
      </c>
      <c r="T555" s="111">
        <f>ROUNDUP((BOM_table6[[#This Row],[QTY to Order]]/BOM_table6[[#This Row],[SKU QTY]]),0)</f>
        <v>1</v>
      </c>
      <c r="U555" s="110">
        <f>BOM_table6[[#This Row],[SKU QTY to Order]]*BOM_table6[[#This Row],[SKU Cost]]</f>
        <v>0</v>
      </c>
      <c r="V555" s="67"/>
      <c r="W555" s="65"/>
      <c r="X555" s="65"/>
      <c r="Y555" s="69"/>
      <c r="Z555" s="71"/>
      <c r="AA555" s="65"/>
      <c r="AB555" s="65"/>
      <c r="AC555" s="65"/>
    </row>
    <row r="556" spans="1:29" ht="15" customHeight="1" x14ac:dyDescent="0.25">
      <c r="A556" s="105" t="s">
        <v>160</v>
      </c>
      <c r="B556" s="64" t="s">
        <v>1103</v>
      </c>
      <c r="C556" s="65" t="s">
        <v>1104</v>
      </c>
      <c r="D556" s="65"/>
      <c r="E556" s="65" t="s">
        <v>1049</v>
      </c>
      <c r="F556" s="45" t="s">
        <v>1985</v>
      </c>
      <c r="G556" s="65">
        <v>1</v>
      </c>
      <c r="H556" s="65"/>
      <c r="I556" s="155"/>
      <c r="J556" s="65" t="s">
        <v>1319</v>
      </c>
      <c r="K556" s="65" t="s">
        <v>1060</v>
      </c>
      <c r="L556" s="65"/>
      <c r="M556" s="106">
        <v>1</v>
      </c>
      <c r="N556" s="67"/>
      <c r="O556" s="110">
        <f>IF(OR(ISBLANK(BOM_table6[[#This Row],[SKU QTY]]),BOM_table6[[#This Row],[SKU Cost]]=0),0,BOM_table6[[#This Row],[SKU Cost]]/BOM_table6[[#This Row],[SKU QTY]])</f>
        <v>0</v>
      </c>
      <c r="P556" s="110">
        <f>IF(OR(ISBLANK(BOM_table6[[#This Row],[ASM QTY]]),ISBLANK(BOM_table6[[#This Row],[Unit Cost]])),0,BOM_table6[[#This Row],[ASM QTY]]*BOM_table6[[#This Row],[Unit Cost]])</f>
        <v>0</v>
      </c>
      <c r="Q556" s="65"/>
      <c r="R556" s="80"/>
      <c r="S556" s="111">
        <f>BOM_table6[[#This Row],[ASM QTY]]*$Q$2+BOM_table6[[#This Row],[Spare QTY Needed]]-BOM_table6[[#This Row],[QTY in Inventory]]</f>
        <v>1</v>
      </c>
      <c r="T556" s="111">
        <f>ROUNDUP((BOM_table6[[#This Row],[QTY to Order]]/BOM_table6[[#This Row],[SKU QTY]]),0)</f>
        <v>1</v>
      </c>
      <c r="U556" s="110">
        <f>BOM_table6[[#This Row],[SKU QTY to Order]]*BOM_table6[[#This Row],[SKU Cost]]</f>
        <v>0</v>
      </c>
      <c r="V556" s="67"/>
      <c r="W556" s="65"/>
      <c r="X556" s="65"/>
      <c r="Y556" s="69"/>
      <c r="Z556" s="71"/>
      <c r="AA556" s="65"/>
      <c r="AB556" s="65"/>
      <c r="AC556" s="65"/>
    </row>
    <row r="557" spans="1:29" ht="15" customHeight="1" x14ac:dyDescent="0.25">
      <c r="A557" s="105" t="s">
        <v>160</v>
      </c>
      <c r="B557" s="64" t="s">
        <v>1105</v>
      </c>
      <c r="C557" s="65" t="s">
        <v>1106</v>
      </c>
      <c r="D557" s="65"/>
      <c r="E557" s="65" t="s">
        <v>1049</v>
      </c>
      <c r="F557" s="45" t="s">
        <v>1985</v>
      </c>
      <c r="G557" s="65">
        <v>1</v>
      </c>
      <c r="H557" s="65"/>
      <c r="I557" s="155"/>
      <c r="J557" s="65" t="s">
        <v>1319</v>
      </c>
      <c r="K557" s="65" t="s">
        <v>1060</v>
      </c>
      <c r="L557" s="65"/>
      <c r="M557" s="106">
        <v>1</v>
      </c>
      <c r="N557" s="67"/>
      <c r="O557" s="110">
        <f>IF(OR(ISBLANK(BOM_table6[[#This Row],[SKU QTY]]),BOM_table6[[#This Row],[SKU Cost]]=0),0,BOM_table6[[#This Row],[SKU Cost]]/BOM_table6[[#This Row],[SKU QTY]])</f>
        <v>0</v>
      </c>
      <c r="P557" s="110">
        <f>IF(OR(ISBLANK(BOM_table6[[#This Row],[ASM QTY]]),ISBLANK(BOM_table6[[#This Row],[Unit Cost]])),0,BOM_table6[[#This Row],[ASM QTY]]*BOM_table6[[#This Row],[Unit Cost]])</f>
        <v>0</v>
      </c>
      <c r="Q557" s="65"/>
      <c r="R557" s="80"/>
      <c r="S557" s="111">
        <f>BOM_table6[[#This Row],[ASM QTY]]*$Q$2+BOM_table6[[#This Row],[Spare QTY Needed]]-BOM_table6[[#This Row],[QTY in Inventory]]</f>
        <v>1</v>
      </c>
      <c r="T557" s="111">
        <f>ROUNDUP((BOM_table6[[#This Row],[QTY to Order]]/BOM_table6[[#This Row],[SKU QTY]]),0)</f>
        <v>1</v>
      </c>
      <c r="U557" s="110">
        <f>BOM_table6[[#This Row],[SKU QTY to Order]]*BOM_table6[[#This Row],[SKU Cost]]</f>
        <v>0</v>
      </c>
      <c r="V557" s="67"/>
      <c r="W557" s="65"/>
      <c r="X557" s="65"/>
      <c r="Y557" s="69"/>
      <c r="Z557" s="71"/>
      <c r="AA557" s="65"/>
      <c r="AB557" s="65"/>
      <c r="AC557" s="65"/>
    </row>
    <row r="558" spans="1:29" ht="15" customHeight="1" x14ac:dyDescent="0.25">
      <c r="A558" s="105" t="s">
        <v>160</v>
      </c>
      <c r="B558" s="64" t="s">
        <v>1107</v>
      </c>
      <c r="C558" s="65" t="s">
        <v>1108</v>
      </c>
      <c r="D558" s="65"/>
      <c r="E558" s="65" t="s">
        <v>1049</v>
      </c>
      <c r="F558" s="45" t="s">
        <v>1985</v>
      </c>
      <c r="G558" s="65">
        <v>1</v>
      </c>
      <c r="H558" s="65"/>
      <c r="I558" s="155"/>
      <c r="J558" s="65" t="s">
        <v>1319</v>
      </c>
      <c r="K558" s="65" t="s">
        <v>1060</v>
      </c>
      <c r="L558" s="65"/>
      <c r="M558" s="106">
        <v>1</v>
      </c>
      <c r="N558" s="67"/>
      <c r="O558" s="110">
        <f>IF(OR(ISBLANK(BOM_table6[[#This Row],[SKU QTY]]),BOM_table6[[#This Row],[SKU Cost]]=0),0,BOM_table6[[#This Row],[SKU Cost]]/BOM_table6[[#This Row],[SKU QTY]])</f>
        <v>0</v>
      </c>
      <c r="P558" s="110">
        <f>IF(OR(ISBLANK(BOM_table6[[#This Row],[ASM QTY]]),ISBLANK(BOM_table6[[#This Row],[Unit Cost]])),0,BOM_table6[[#This Row],[ASM QTY]]*BOM_table6[[#This Row],[Unit Cost]])</f>
        <v>0</v>
      </c>
      <c r="Q558" s="65"/>
      <c r="R558" s="80"/>
      <c r="S558" s="111">
        <f>BOM_table6[[#This Row],[ASM QTY]]*$Q$2+BOM_table6[[#This Row],[Spare QTY Needed]]-BOM_table6[[#This Row],[QTY in Inventory]]</f>
        <v>1</v>
      </c>
      <c r="T558" s="111">
        <f>ROUNDUP((BOM_table6[[#This Row],[QTY to Order]]/BOM_table6[[#This Row],[SKU QTY]]),0)</f>
        <v>1</v>
      </c>
      <c r="U558" s="110">
        <f>BOM_table6[[#This Row],[SKU QTY to Order]]*BOM_table6[[#This Row],[SKU Cost]]</f>
        <v>0</v>
      </c>
      <c r="V558" s="67"/>
      <c r="W558" s="65"/>
      <c r="X558" s="65"/>
      <c r="Y558" s="69"/>
      <c r="Z558" s="71"/>
      <c r="AA558" s="65"/>
      <c r="AB558" s="65"/>
      <c r="AC558" s="65"/>
    </row>
    <row r="559" spans="1:29" ht="15" customHeight="1" x14ac:dyDescent="0.25">
      <c r="A559" s="105" t="s">
        <v>160</v>
      </c>
      <c r="B559" s="64" t="s">
        <v>1140</v>
      </c>
      <c r="C559" s="65" t="s">
        <v>1141</v>
      </c>
      <c r="D559" s="65"/>
      <c r="E559" s="65" t="s">
        <v>1049</v>
      </c>
      <c r="F559" s="45" t="s">
        <v>1985</v>
      </c>
      <c r="G559" s="65">
        <v>1</v>
      </c>
      <c r="H559" s="65"/>
      <c r="I559" s="155"/>
      <c r="J559" s="65" t="s">
        <v>1319</v>
      </c>
      <c r="K559" s="65"/>
      <c r="L559" s="65"/>
      <c r="M559" s="106">
        <v>1</v>
      </c>
      <c r="N559" s="67"/>
      <c r="O559" s="110">
        <f>IF(OR(ISBLANK(BOM_table6[[#This Row],[SKU QTY]]),BOM_table6[[#This Row],[SKU Cost]]=0),0,BOM_table6[[#This Row],[SKU Cost]]/BOM_table6[[#This Row],[SKU QTY]])</f>
        <v>0</v>
      </c>
      <c r="P559" s="110">
        <f>IF(OR(ISBLANK(BOM_table6[[#This Row],[ASM QTY]]),ISBLANK(BOM_table6[[#This Row],[Unit Cost]])),0,BOM_table6[[#This Row],[ASM QTY]]*BOM_table6[[#This Row],[Unit Cost]])</f>
        <v>0</v>
      </c>
      <c r="Q559" s="65"/>
      <c r="R559" s="80"/>
      <c r="S559" s="111">
        <f>BOM_table6[[#This Row],[ASM QTY]]*$Q$2+BOM_table6[[#This Row],[Spare QTY Needed]]-BOM_table6[[#This Row],[QTY in Inventory]]</f>
        <v>1</v>
      </c>
      <c r="T559" s="111">
        <f>ROUNDUP((BOM_table6[[#This Row],[QTY to Order]]/BOM_table6[[#This Row],[SKU QTY]]),0)</f>
        <v>1</v>
      </c>
      <c r="U559" s="110">
        <f>BOM_table6[[#This Row],[SKU QTY to Order]]*BOM_table6[[#This Row],[SKU Cost]]</f>
        <v>0</v>
      </c>
      <c r="V559" s="67"/>
      <c r="W559" s="65"/>
      <c r="X559" s="65"/>
      <c r="Y559" s="69"/>
      <c r="Z559" s="71"/>
      <c r="AA559" s="65"/>
      <c r="AB559" s="65"/>
      <c r="AC559" s="65"/>
    </row>
    <row r="560" spans="1:29" ht="15" customHeight="1" x14ac:dyDescent="0.25">
      <c r="A560" s="105" t="s">
        <v>160</v>
      </c>
      <c r="B560" s="64" t="s">
        <v>1109</v>
      </c>
      <c r="C560" s="65" t="s">
        <v>1110</v>
      </c>
      <c r="D560" s="65"/>
      <c r="E560" s="65" t="s">
        <v>1049</v>
      </c>
      <c r="F560" s="45" t="s">
        <v>1985</v>
      </c>
      <c r="G560" s="65">
        <v>1</v>
      </c>
      <c r="H560" s="65"/>
      <c r="I560" s="155"/>
      <c r="J560" s="65" t="s">
        <v>1319</v>
      </c>
      <c r="K560" s="65" t="s">
        <v>1060</v>
      </c>
      <c r="L560" s="65"/>
      <c r="M560" s="106">
        <v>1</v>
      </c>
      <c r="N560" s="67"/>
      <c r="O560" s="110">
        <f>IF(OR(ISBLANK(BOM_table6[[#This Row],[SKU QTY]]),BOM_table6[[#This Row],[SKU Cost]]=0),0,BOM_table6[[#This Row],[SKU Cost]]/BOM_table6[[#This Row],[SKU QTY]])</f>
        <v>0</v>
      </c>
      <c r="P560" s="110">
        <f>IF(OR(ISBLANK(BOM_table6[[#This Row],[ASM QTY]]),ISBLANK(BOM_table6[[#This Row],[Unit Cost]])),0,BOM_table6[[#This Row],[ASM QTY]]*BOM_table6[[#This Row],[Unit Cost]])</f>
        <v>0</v>
      </c>
      <c r="Q560" s="65"/>
      <c r="R560" s="80"/>
      <c r="S560" s="111">
        <f>BOM_table6[[#This Row],[ASM QTY]]*$Q$2+BOM_table6[[#This Row],[Spare QTY Needed]]-BOM_table6[[#This Row],[QTY in Inventory]]</f>
        <v>1</v>
      </c>
      <c r="T560" s="111">
        <f>ROUNDUP((BOM_table6[[#This Row],[QTY to Order]]/BOM_table6[[#This Row],[SKU QTY]]),0)</f>
        <v>1</v>
      </c>
      <c r="U560" s="110">
        <f>BOM_table6[[#This Row],[SKU QTY to Order]]*BOM_table6[[#This Row],[SKU Cost]]</f>
        <v>0</v>
      </c>
      <c r="V560" s="67"/>
      <c r="W560" s="65"/>
      <c r="X560" s="65"/>
      <c r="Y560" s="69"/>
      <c r="Z560" s="71"/>
      <c r="AA560" s="65"/>
      <c r="AB560" s="65"/>
      <c r="AC560" s="65"/>
    </row>
    <row r="561" spans="1:29" ht="15" customHeight="1" x14ac:dyDescent="0.25">
      <c r="A561" s="105" t="s">
        <v>160</v>
      </c>
      <c r="B561" s="64" t="s">
        <v>1111</v>
      </c>
      <c r="C561" s="65" t="s">
        <v>1112</v>
      </c>
      <c r="D561" s="65"/>
      <c r="E561" s="65" t="s">
        <v>1049</v>
      </c>
      <c r="F561" s="45" t="s">
        <v>1985</v>
      </c>
      <c r="G561" s="65">
        <v>1</v>
      </c>
      <c r="H561" s="65"/>
      <c r="I561" s="155"/>
      <c r="J561" s="65" t="s">
        <v>1319</v>
      </c>
      <c r="K561" s="65" t="s">
        <v>1060</v>
      </c>
      <c r="L561" s="65"/>
      <c r="M561" s="106">
        <v>1</v>
      </c>
      <c r="N561" s="67"/>
      <c r="O561" s="110">
        <f>IF(OR(ISBLANK(BOM_table6[[#This Row],[SKU QTY]]),BOM_table6[[#This Row],[SKU Cost]]=0),0,BOM_table6[[#This Row],[SKU Cost]]/BOM_table6[[#This Row],[SKU QTY]])</f>
        <v>0</v>
      </c>
      <c r="P561" s="110">
        <f>IF(OR(ISBLANK(BOM_table6[[#This Row],[ASM QTY]]),ISBLANK(BOM_table6[[#This Row],[Unit Cost]])),0,BOM_table6[[#This Row],[ASM QTY]]*BOM_table6[[#This Row],[Unit Cost]])</f>
        <v>0</v>
      </c>
      <c r="Q561" s="65"/>
      <c r="R561" s="80"/>
      <c r="S561" s="111">
        <f>BOM_table6[[#This Row],[ASM QTY]]*$Q$2+BOM_table6[[#This Row],[Spare QTY Needed]]-BOM_table6[[#This Row],[QTY in Inventory]]</f>
        <v>1</v>
      </c>
      <c r="T561" s="111">
        <f>ROUNDUP((BOM_table6[[#This Row],[QTY to Order]]/BOM_table6[[#This Row],[SKU QTY]]),0)</f>
        <v>1</v>
      </c>
      <c r="U561" s="110">
        <f>BOM_table6[[#This Row],[SKU QTY to Order]]*BOM_table6[[#This Row],[SKU Cost]]</f>
        <v>0</v>
      </c>
      <c r="V561" s="67"/>
      <c r="W561" s="65"/>
      <c r="X561" s="65"/>
      <c r="Y561" s="69"/>
      <c r="Z561" s="71"/>
      <c r="AA561" s="65"/>
      <c r="AB561" s="65"/>
      <c r="AC561" s="65"/>
    </row>
    <row r="562" spans="1:29" ht="15" customHeight="1" x14ac:dyDescent="0.25">
      <c r="A562" s="105" t="s">
        <v>160</v>
      </c>
      <c r="B562" s="64" t="s">
        <v>1113</v>
      </c>
      <c r="C562" s="65" t="s">
        <v>1114</v>
      </c>
      <c r="D562" s="65"/>
      <c r="E562" s="65" t="s">
        <v>1049</v>
      </c>
      <c r="F562" s="45" t="s">
        <v>1985</v>
      </c>
      <c r="G562" s="65">
        <v>1</v>
      </c>
      <c r="H562" s="65"/>
      <c r="I562" s="155"/>
      <c r="J562" s="65" t="s">
        <v>1319</v>
      </c>
      <c r="K562" s="65" t="s">
        <v>1060</v>
      </c>
      <c r="L562" s="65"/>
      <c r="M562" s="106">
        <v>1</v>
      </c>
      <c r="N562" s="67"/>
      <c r="O562" s="110">
        <f>IF(OR(ISBLANK(BOM_table6[[#This Row],[SKU QTY]]),BOM_table6[[#This Row],[SKU Cost]]=0),0,BOM_table6[[#This Row],[SKU Cost]]/BOM_table6[[#This Row],[SKU QTY]])</f>
        <v>0</v>
      </c>
      <c r="P562" s="110">
        <f>IF(OR(ISBLANK(BOM_table6[[#This Row],[ASM QTY]]),ISBLANK(BOM_table6[[#This Row],[Unit Cost]])),0,BOM_table6[[#This Row],[ASM QTY]]*BOM_table6[[#This Row],[Unit Cost]])</f>
        <v>0</v>
      </c>
      <c r="Q562" s="65"/>
      <c r="R562" s="80"/>
      <c r="S562" s="111">
        <f>BOM_table6[[#This Row],[ASM QTY]]*$Q$2+BOM_table6[[#This Row],[Spare QTY Needed]]-BOM_table6[[#This Row],[QTY in Inventory]]</f>
        <v>1</v>
      </c>
      <c r="T562" s="111">
        <f>ROUNDUP((BOM_table6[[#This Row],[QTY to Order]]/BOM_table6[[#This Row],[SKU QTY]]),0)</f>
        <v>1</v>
      </c>
      <c r="U562" s="110">
        <f>BOM_table6[[#This Row],[SKU QTY to Order]]*BOM_table6[[#This Row],[SKU Cost]]</f>
        <v>0</v>
      </c>
      <c r="V562" s="67"/>
      <c r="W562" s="65"/>
      <c r="X562" s="65"/>
      <c r="Y562" s="69"/>
      <c r="Z562" s="71"/>
      <c r="AA562" s="65"/>
      <c r="AB562" s="65"/>
      <c r="AC562" s="65"/>
    </row>
    <row r="563" spans="1:29" ht="15" customHeight="1" x14ac:dyDescent="0.25">
      <c r="A563" s="105" t="s">
        <v>160</v>
      </c>
      <c r="B563" s="64" t="s">
        <v>1115</v>
      </c>
      <c r="C563" s="65" t="s">
        <v>1116</v>
      </c>
      <c r="D563" s="65"/>
      <c r="E563" s="65" t="s">
        <v>1049</v>
      </c>
      <c r="F563" s="45" t="s">
        <v>1985</v>
      </c>
      <c r="G563" s="65">
        <v>1</v>
      </c>
      <c r="H563" s="65"/>
      <c r="I563" s="155"/>
      <c r="J563" s="65" t="s">
        <v>1319</v>
      </c>
      <c r="K563" s="65" t="s">
        <v>1060</v>
      </c>
      <c r="L563" s="65"/>
      <c r="M563" s="106">
        <v>1</v>
      </c>
      <c r="N563" s="67"/>
      <c r="O563" s="110">
        <f>IF(OR(ISBLANK(BOM_table6[[#This Row],[SKU QTY]]),BOM_table6[[#This Row],[SKU Cost]]=0),0,BOM_table6[[#This Row],[SKU Cost]]/BOM_table6[[#This Row],[SKU QTY]])</f>
        <v>0</v>
      </c>
      <c r="P563" s="110">
        <f>IF(OR(ISBLANK(BOM_table6[[#This Row],[ASM QTY]]),ISBLANK(BOM_table6[[#This Row],[Unit Cost]])),0,BOM_table6[[#This Row],[ASM QTY]]*BOM_table6[[#This Row],[Unit Cost]])</f>
        <v>0</v>
      </c>
      <c r="Q563" s="65"/>
      <c r="R563" s="80"/>
      <c r="S563" s="111">
        <f>BOM_table6[[#This Row],[ASM QTY]]*$Q$2+BOM_table6[[#This Row],[Spare QTY Needed]]-BOM_table6[[#This Row],[QTY in Inventory]]</f>
        <v>1</v>
      </c>
      <c r="T563" s="111">
        <f>ROUNDUP((BOM_table6[[#This Row],[QTY to Order]]/BOM_table6[[#This Row],[SKU QTY]]),0)</f>
        <v>1</v>
      </c>
      <c r="U563" s="110">
        <f>BOM_table6[[#This Row],[SKU QTY to Order]]*BOM_table6[[#This Row],[SKU Cost]]</f>
        <v>0</v>
      </c>
      <c r="V563" s="67"/>
      <c r="W563" s="65"/>
      <c r="X563" s="65"/>
      <c r="Y563" s="69"/>
      <c r="Z563" s="71"/>
      <c r="AA563" s="65"/>
      <c r="AB563" s="65"/>
      <c r="AC563" s="65"/>
    </row>
    <row r="564" spans="1:29" ht="15" customHeight="1" x14ac:dyDescent="0.25">
      <c r="A564" s="105" t="s">
        <v>160</v>
      </c>
      <c r="B564" s="64" t="s">
        <v>1117</v>
      </c>
      <c r="C564" s="65" t="s">
        <v>1118</v>
      </c>
      <c r="D564" s="65"/>
      <c r="E564" s="65" t="s">
        <v>1049</v>
      </c>
      <c r="F564" s="45" t="s">
        <v>1985</v>
      </c>
      <c r="G564" s="65">
        <v>1</v>
      </c>
      <c r="H564" s="65"/>
      <c r="I564" s="155"/>
      <c r="J564" s="65" t="s">
        <v>1319</v>
      </c>
      <c r="K564" s="65" t="s">
        <v>1060</v>
      </c>
      <c r="L564" s="65"/>
      <c r="M564" s="106">
        <v>1</v>
      </c>
      <c r="N564" s="67"/>
      <c r="O564" s="110">
        <f>IF(OR(ISBLANK(BOM_table6[[#This Row],[SKU QTY]]),BOM_table6[[#This Row],[SKU Cost]]=0),0,BOM_table6[[#This Row],[SKU Cost]]/BOM_table6[[#This Row],[SKU QTY]])</f>
        <v>0</v>
      </c>
      <c r="P564" s="110">
        <f>IF(OR(ISBLANK(BOM_table6[[#This Row],[ASM QTY]]),ISBLANK(BOM_table6[[#This Row],[Unit Cost]])),0,BOM_table6[[#This Row],[ASM QTY]]*BOM_table6[[#This Row],[Unit Cost]])</f>
        <v>0</v>
      </c>
      <c r="Q564" s="65"/>
      <c r="R564" s="80"/>
      <c r="S564" s="111">
        <f>BOM_table6[[#This Row],[ASM QTY]]*$Q$2+BOM_table6[[#This Row],[Spare QTY Needed]]-BOM_table6[[#This Row],[QTY in Inventory]]</f>
        <v>1</v>
      </c>
      <c r="T564" s="111">
        <f>ROUNDUP((BOM_table6[[#This Row],[QTY to Order]]/BOM_table6[[#This Row],[SKU QTY]]),0)</f>
        <v>1</v>
      </c>
      <c r="U564" s="110">
        <f>BOM_table6[[#This Row],[SKU QTY to Order]]*BOM_table6[[#This Row],[SKU Cost]]</f>
        <v>0</v>
      </c>
      <c r="V564" s="67"/>
      <c r="W564" s="65"/>
      <c r="X564" s="65"/>
      <c r="Y564" s="69"/>
      <c r="Z564" s="71"/>
      <c r="AA564" s="65"/>
      <c r="AB564" s="65"/>
      <c r="AC564" s="65"/>
    </row>
    <row r="565" spans="1:29" ht="15" customHeight="1" x14ac:dyDescent="0.25">
      <c r="A565" s="105" t="s">
        <v>160</v>
      </c>
      <c r="B565" s="64" t="s">
        <v>1119</v>
      </c>
      <c r="C565" s="65" t="s">
        <v>1120</v>
      </c>
      <c r="D565" s="65"/>
      <c r="E565" s="65" t="s">
        <v>1049</v>
      </c>
      <c r="F565" s="45" t="s">
        <v>1985</v>
      </c>
      <c r="G565" s="65">
        <v>1</v>
      </c>
      <c r="H565" s="65"/>
      <c r="I565" s="155"/>
      <c r="J565" s="65" t="s">
        <v>1319</v>
      </c>
      <c r="K565" s="65" t="s">
        <v>1060</v>
      </c>
      <c r="L565" s="65"/>
      <c r="M565" s="106">
        <v>1</v>
      </c>
      <c r="N565" s="67"/>
      <c r="O565" s="110">
        <f>IF(OR(ISBLANK(BOM_table6[[#This Row],[SKU QTY]]),BOM_table6[[#This Row],[SKU Cost]]=0),0,BOM_table6[[#This Row],[SKU Cost]]/BOM_table6[[#This Row],[SKU QTY]])</f>
        <v>0</v>
      </c>
      <c r="P565" s="110">
        <f>IF(OR(ISBLANK(BOM_table6[[#This Row],[ASM QTY]]),ISBLANK(BOM_table6[[#This Row],[Unit Cost]])),0,BOM_table6[[#This Row],[ASM QTY]]*BOM_table6[[#This Row],[Unit Cost]])</f>
        <v>0</v>
      </c>
      <c r="Q565" s="65"/>
      <c r="R565" s="80"/>
      <c r="S565" s="111">
        <f>BOM_table6[[#This Row],[ASM QTY]]*$Q$2+BOM_table6[[#This Row],[Spare QTY Needed]]-BOM_table6[[#This Row],[QTY in Inventory]]</f>
        <v>1</v>
      </c>
      <c r="T565" s="111">
        <f>ROUNDUP((BOM_table6[[#This Row],[QTY to Order]]/BOM_table6[[#This Row],[SKU QTY]]),0)</f>
        <v>1</v>
      </c>
      <c r="U565" s="110">
        <f>BOM_table6[[#This Row],[SKU QTY to Order]]*BOM_table6[[#This Row],[SKU Cost]]</f>
        <v>0</v>
      </c>
      <c r="V565" s="67"/>
      <c r="W565" s="65"/>
      <c r="X565" s="65"/>
      <c r="Y565" s="69"/>
      <c r="Z565" s="71"/>
      <c r="AA565" s="65"/>
      <c r="AB565" s="65"/>
      <c r="AC565" s="65"/>
    </row>
    <row r="566" spans="1:29" ht="15" customHeight="1" x14ac:dyDescent="0.25">
      <c r="A566" s="105" t="s">
        <v>160</v>
      </c>
      <c r="B566" s="64" t="s">
        <v>1142</v>
      </c>
      <c r="C566" s="65" t="s">
        <v>1143</v>
      </c>
      <c r="D566" s="65"/>
      <c r="E566" s="65" t="s">
        <v>1049</v>
      </c>
      <c r="F566" s="45" t="s">
        <v>1985</v>
      </c>
      <c r="G566" s="65">
        <v>1</v>
      </c>
      <c r="H566" s="65"/>
      <c r="I566" s="155"/>
      <c r="J566" s="65" t="s">
        <v>1319</v>
      </c>
      <c r="K566" s="65"/>
      <c r="L566" s="65"/>
      <c r="M566" s="106">
        <v>1</v>
      </c>
      <c r="N566" s="67"/>
      <c r="O566" s="110">
        <f>IF(OR(ISBLANK(BOM_table6[[#This Row],[SKU QTY]]),BOM_table6[[#This Row],[SKU Cost]]=0),0,BOM_table6[[#This Row],[SKU Cost]]/BOM_table6[[#This Row],[SKU QTY]])</f>
        <v>0</v>
      </c>
      <c r="P566" s="110">
        <f>IF(OR(ISBLANK(BOM_table6[[#This Row],[ASM QTY]]),ISBLANK(BOM_table6[[#This Row],[Unit Cost]])),0,BOM_table6[[#This Row],[ASM QTY]]*BOM_table6[[#This Row],[Unit Cost]])</f>
        <v>0</v>
      </c>
      <c r="Q566" s="65"/>
      <c r="R566" s="80"/>
      <c r="S566" s="111">
        <f>BOM_table6[[#This Row],[ASM QTY]]*$Q$2+BOM_table6[[#This Row],[Spare QTY Needed]]-BOM_table6[[#This Row],[QTY in Inventory]]</f>
        <v>1</v>
      </c>
      <c r="T566" s="111">
        <f>ROUNDUP((BOM_table6[[#This Row],[QTY to Order]]/BOM_table6[[#This Row],[SKU QTY]]),0)</f>
        <v>1</v>
      </c>
      <c r="U566" s="110">
        <f>BOM_table6[[#This Row],[SKU QTY to Order]]*BOM_table6[[#This Row],[SKU Cost]]</f>
        <v>0</v>
      </c>
      <c r="V566" s="67"/>
      <c r="W566" s="65"/>
      <c r="X566" s="65"/>
      <c r="Y566" s="69"/>
      <c r="Z566" s="71"/>
      <c r="AA566" s="65"/>
      <c r="AB566" s="65"/>
      <c r="AC566" s="65"/>
    </row>
    <row r="567" spans="1:29" ht="15" customHeight="1" x14ac:dyDescent="0.25">
      <c r="A567" s="105" t="s">
        <v>160</v>
      </c>
      <c r="B567" s="64" t="s">
        <v>1121</v>
      </c>
      <c r="C567" s="65" t="s">
        <v>1122</v>
      </c>
      <c r="D567" s="65"/>
      <c r="E567" s="65" t="s">
        <v>1049</v>
      </c>
      <c r="F567" s="45" t="s">
        <v>1985</v>
      </c>
      <c r="G567" s="65">
        <v>1</v>
      </c>
      <c r="H567" s="65"/>
      <c r="I567" s="155"/>
      <c r="J567" s="65" t="s">
        <v>1319</v>
      </c>
      <c r="K567" s="65" t="s">
        <v>1123</v>
      </c>
      <c r="L567" s="65"/>
      <c r="M567" s="106">
        <v>1</v>
      </c>
      <c r="N567" s="67"/>
      <c r="O567" s="110">
        <f>IF(OR(ISBLANK(BOM_table6[[#This Row],[SKU QTY]]),BOM_table6[[#This Row],[SKU Cost]]=0),0,BOM_table6[[#This Row],[SKU Cost]]/BOM_table6[[#This Row],[SKU QTY]])</f>
        <v>0</v>
      </c>
      <c r="P567" s="110">
        <f>IF(OR(ISBLANK(BOM_table6[[#This Row],[ASM QTY]]),ISBLANK(BOM_table6[[#This Row],[Unit Cost]])),0,BOM_table6[[#This Row],[ASM QTY]]*BOM_table6[[#This Row],[Unit Cost]])</f>
        <v>0</v>
      </c>
      <c r="Q567" s="65"/>
      <c r="R567" s="80"/>
      <c r="S567" s="111">
        <f>BOM_table6[[#This Row],[ASM QTY]]*$Q$2+BOM_table6[[#This Row],[Spare QTY Needed]]-BOM_table6[[#This Row],[QTY in Inventory]]</f>
        <v>1</v>
      </c>
      <c r="T567" s="111">
        <f>ROUNDUP((BOM_table6[[#This Row],[QTY to Order]]/BOM_table6[[#This Row],[SKU QTY]]),0)</f>
        <v>1</v>
      </c>
      <c r="U567" s="110">
        <f>BOM_table6[[#This Row],[SKU QTY to Order]]*BOM_table6[[#This Row],[SKU Cost]]</f>
        <v>0</v>
      </c>
      <c r="V567" s="67"/>
      <c r="W567" s="65"/>
      <c r="X567" s="65"/>
      <c r="Y567" s="69"/>
      <c r="Z567" s="71"/>
      <c r="AA567" s="65"/>
      <c r="AB567" s="65"/>
      <c r="AC567" s="65"/>
    </row>
    <row r="568" spans="1:29" ht="15" customHeight="1" x14ac:dyDescent="0.25">
      <c r="A568" s="105" t="s">
        <v>160</v>
      </c>
      <c r="B568" s="64" t="s">
        <v>1124</v>
      </c>
      <c r="C568" s="65" t="s">
        <v>1125</v>
      </c>
      <c r="D568" s="65"/>
      <c r="E568" s="65" t="s">
        <v>1049</v>
      </c>
      <c r="F568" s="45" t="s">
        <v>1985</v>
      </c>
      <c r="G568" s="65">
        <v>1</v>
      </c>
      <c r="H568" s="65"/>
      <c r="I568" s="155"/>
      <c r="J568" s="65" t="s">
        <v>1319</v>
      </c>
      <c r="K568" s="65" t="s">
        <v>1123</v>
      </c>
      <c r="L568" s="65"/>
      <c r="M568" s="106">
        <v>1</v>
      </c>
      <c r="N568" s="67"/>
      <c r="O568" s="110">
        <f>IF(OR(ISBLANK(BOM_table6[[#This Row],[SKU QTY]]),BOM_table6[[#This Row],[SKU Cost]]=0),0,BOM_table6[[#This Row],[SKU Cost]]/BOM_table6[[#This Row],[SKU QTY]])</f>
        <v>0</v>
      </c>
      <c r="P568" s="110">
        <f>IF(OR(ISBLANK(BOM_table6[[#This Row],[ASM QTY]]),ISBLANK(BOM_table6[[#This Row],[Unit Cost]])),0,BOM_table6[[#This Row],[ASM QTY]]*BOM_table6[[#This Row],[Unit Cost]])</f>
        <v>0</v>
      </c>
      <c r="Q568" s="65"/>
      <c r="R568" s="80"/>
      <c r="S568" s="111">
        <f>BOM_table6[[#This Row],[ASM QTY]]*$Q$2+BOM_table6[[#This Row],[Spare QTY Needed]]-BOM_table6[[#This Row],[QTY in Inventory]]</f>
        <v>1</v>
      </c>
      <c r="T568" s="111">
        <f>ROUNDUP((BOM_table6[[#This Row],[QTY to Order]]/BOM_table6[[#This Row],[SKU QTY]]),0)</f>
        <v>1</v>
      </c>
      <c r="U568" s="110">
        <f>BOM_table6[[#This Row],[SKU QTY to Order]]*BOM_table6[[#This Row],[SKU Cost]]</f>
        <v>0</v>
      </c>
      <c r="V568" s="67"/>
      <c r="W568" s="65"/>
      <c r="X568" s="65"/>
      <c r="Y568" s="69"/>
      <c r="Z568" s="71"/>
      <c r="AA568" s="65"/>
      <c r="AB568" s="65"/>
      <c r="AC568" s="65"/>
    </row>
    <row r="569" spans="1:29" ht="15" customHeight="1" x14ac:dyDescent="0.25">
      <c r="A569" s="105" t="s">
        <v>160</v>
      </c>
      <c r="B569" s="64" t="s">
        <v>1144</v>
      </c>
      <c r="C569" s="65" t="s">
        <v>1145</v>
      </c>
      <c r="D569" s="65"/>
      <c r="E569" s="65" t="s">
        <v>1049</v>
      </c>
      <c r="F569" s="45" t="s">
        <v>1985</v>
      </c>
      <c r="G569" s="65">
        <v>1</v>
      </c>
      <c r="H569" s="65"/>
      <c r="I569" s="155"/>
      <c r="J569" s="65" t="s">
        <v>1319</v>
      </c>
      <c r="K569" s="65"/>
      <c r="L569" s="65"/>
      <c r="M569" s="106">
        <v>1</v>
      </c>
      <c r="N569" s="67"/>
      <c r="O569" s="110">
        <f>IF(OR(ISBLANK(BOM_table6[[#This Row],[SKU QTY]]),BOM_table6[[#This Row],[SKU Cost]]=0),0,BOM_table6[[#This Row],[SKU Cost]]/BOM_table6[[#This Row],[SKU QTY]])</f>
        <v>0</v>
      </c>
      <c r="P569" s="110">
        <f>IF(OR(ISBLANK(BOM_table6[[#This Row],[ASM QTY]]),ISBLANK(BOM_table6[[#This Row],[Unit Cost]])),0,BOM_table6[[#This Row],[ASM QTY]]*BOM_table6[[#This Row],[Unit Cost]])</f>
        <v>0</v>
      </c>
      <c r="Q569" s="65"/>
      <c r="R569" s="80"/>
      <c r="S569" s="111">
        <f>BOM_table6[[#This Row],[ASM QTY]]*$Q$2+BOM_table6[[#This Row],[Spare QTY Needed]]-BOM_table6[[#This Row],[QTY in Inventory]]</f>
        <v>1</v>
      </c>
      <c r="T569" s="111">
        <f>ROUNDUP((BOM_table6[[#This Row],[QTY to Order]]/BOM_table6[[#This Row],[SKU QTY]]),0)</f>
        <v>1</v>
      </c>
      <c r="U569" s="110">
        <f>BOM_table6[[#This Row],[SKU QTY to Order]]*BOM_table6[[#This Row],[SKU Cost]]</f>
        <v>0</v>
      </c>
      <c r="V569" s="67"/>
      <c r="W569" s="65"/>
      <c r="X569" s="65"/>
      <c r="Y569" s="69"/>
      <c r="Z569" s="71"/>
      <c r="AA569" s="65"/>
      <c r="AB569" s="65"/>
      <c r="AC569" s="65"/>
    </row>
    <row r="570" spans="1:29" ht="15" customHeight="1" x14ac:dyDescent="0.25">
      <c r="A570" s="105" t="s">
        <v>160</v>
      </c>
      <c r="B570" s="64" t="s">
        <v>1126</v>
      </c>
      <c r="C570" s="65" t="s">
        <v>1127</v>
      </c>
      <c r="D570" s="65"/>
      <c r="E570" s="65" t="s">
        <v>1049</v>
      </c>
      <c r="F570" s="45" t="s">
        <v>1985</v>
      </c>
      <c r="G570" s="65">
        <v>1</v>
      </c>
      <c r="H570" s="65"/>
      <c r="I570" s="155"/>
      <c r="J570" s="65" t="s">
        <v>1319</v>
      </c>
      <c r="K570" s="65" t="s">
        <v>1123</v>
      </c>
      <c r="L570" s="65"/>
      <c r="M570" s="106">
        <v>1</v>
      </c>
      <c r="N570" s="67"/>
      <c r="O570" s="110">
        <f>IF(OR(ISBLANK(BOM_table6[[#This Row],[SKU QTY]]),BOM_table6[[#This Row],[SKU Cost]]=0),0,BOM_table6[[#This Row],[SKU Cost]]/BOM_table6[[#This Row],[SKU QTY]])</f>
        <v>0</v>
      </c>
      <c r="P570" s="110">
        <f>IF(OR(ISBLANK(BOM_table6[[#This Row],[ASM QTY]]),ISBLANK(BOM_table6[[#This Row],[Unit Cost]])),0,BOM_table6[[#This Row],[ASM QTY]]*BOM_table6[[#This Row],[Unit Cost]])</f>
        <v>0</v>
      </c>
      <c r="Q570" s="65"/>
      <c r="R570" s="80"/>
      <c r="S570" s="111">
        <f>BOM_table6[[#This Row],[ASM QTY]]*$Q$2+BOM_table6[[#This Row],[Spare QTY Needed]]-BOM_table6[[#This Row],[QTY in Inventory]]</f>
        <v>1</v>
      </c>
      <c r="T570" s="111">
        <f>ROUNDUP((BOM_table6[[#This Row],[QTY to Order]]/BOM_table6[[#This Row],[SKU QTY]]),0)</f>
        <v>1</v>
      </c>
      <c r="U570" s="110">
        <f>BOM_table6[[#This Row],[SKU QTY to Order]]*BOM_table6[[#This Row],[SKU Cost]]</f>
        <v>0</v>
      </c>
      <c r="V570" s="67"/>
      <c r="W570" s="65"/>
      <c r="X570" s="65"/>
      <c r="Y570" s="69"/>
      <c r="Z570" s="71"/>
      <c r="AA570" s="65"/>
      <c r="AB570" s="65"/>
      <c r="AC570" s="65"/>
    </row>
    <row r="571" spans="1:29" ht="15" customHeight="1" x14ac:dyDescent="0.25">
      <c r="A571" s="105" t="s">
        <v>160</v>
      </c>
      <c r="B571" s="64" t="s">
        <v>1128</v>
      </c>
      <c r="C571" s="65" t="s">
        <v>1129</v>
      </c>
      <c r="D571" s="65"/>
      <c r="E571" s="65" t="s">
        <v>1049</v>
      </c>
      <c r="F571" s="45" t="s">
        <v>1985</v>
      </c>
      <c r="G571" s="65">
        <v>1</v>
      </c>
      <c r="H571" s="65"/>
      <c r="I571" s="155"/>
      <c r="J571" s="65" t="s">
        <v>1319</v>
      </c>
      <c r="K571" s="65" t="s">
        <v>1123</v>
      </c>
      <c r="L571" s="65"/>
      <c r="M571" s="106">
        <v>1</v>
      </c>
      <c r="N571" s="67"/>
      <c r="O571" s="110">
        <f>IF(OR(ISBLANK(BOM_table6[[#This Row],[SKU QTY]]),BOM_table6[[#This Row],[SKU Cost]]=0),0,BOM_table6[[#This Row],[SKU Cost]]/BOM_table6[[#This Row],[SKU QTY]])</f>
        <v>0</v>
      </c>
      <c r="P571" s="110">
        <f>IF(OR(ISBLANK(BOM_table6[[#This Row],[ASM QTY]]),ISBLANK(BOM_table6[[#This Row],[Unit Cost]])),0,BOM_table6[[#This Row],[ASM QTY]]*BOM_table6[[#This Row],[Unit Cost]])</f>
        <v>0</v>
      </c>
      <c r="Q571" s="65"/>
      <c r="R571" s="80"/>
      <c r="S571" s="111">
        <f>BOM_table6[[#This Row],[ASM QTY]]*$Q$2+BOM_table6[[#This Row],[Spare QTY Needed]]-BOM_table6[[#This Row],[QTY in Inventory]]</f>
        <v>1</v>
      </c>
      <c r="T571" s="111">
        <f>ROUNDUP((BOM_table6[[#This Row],[QTY to Order]]/BOM_table6[[#This Row],[SKU QTY]]),0)</f>
        <v>1</v>
      </c>
      <c r="U571" s="110">
        <f>BOM_table6[[#This Row],[SKU QTY to Order]]*BOM_table6[[#This Row],[SKU Cost]]</f>
        <v>0</v>
      </c>
      <c r="V571" s="67"/>
      <c r="W571" s="65"/>
      <c r="X571" s="65"/>
      <c r="Y571" s="69"/>
      <c r="Z571" s="71"/>
      <c r="AA571" s="65"/>
      <c r="AB571" s="65"/>
      <c r="AC571" s="65"/>
    </row>
    <row r="572" spans="1:29" ht="15" customHeight="1" x14ac:dyDescent="0.25">
      <c r="A572" s="105" t="s">
        <v>160</v>
      </c>
      <c r="B572" s="64" t="s">
        <v>1130</v>
      </c>
      <c r="C572" s="65" t="s">
        <v>1131</v>
      </c>
      <c r="D572" s="65"/>
      <c r="E572" s="65" t="s">
        <v>1049</v>
      </c>
      <c r="F572" s="45" t="s">
        <v>1985</v>
      </c>
      <c r="G572" s="65">
        <v>1</v>
      </c>
      <c r="H572" s="65"/>
      <c r="I572" s="155"/>
      <c r="J572" s="65" t="s">
        <v>1319</v>
      </c>
      <c r="K572" s="65" t="s">
        <v>1123</v>
      </c>
      <c r="L572" s="65"/>
      <c r="M572" s="106">
        <v>1</v>
      </c>
      <c r="N572" s="67"/>
      <c r="O572" s="110">
        <f>IF(OR(ISBLANK(BOM_table6[[#This Row],[SKU QTY]]),BOM_table6[[#This Row],[SKU Cost]]=0),0,BOM_table6[[#This Row],[SKU Cost]]/BOM_table6[[#This Row],[SKU QTY]])</f>
        <v>0</v>
      </c>
      <c r="P572" s="110">
        <f>IF(OR(ISBLANK(BOM_table6[[#This Row],[ASM QTY]]),ISBLANK(BOM_table6[[#This Row],[Unit Cost]])),0,BOM_table6[[#This Row],[ASM QTY]]*BOM_table6[[#This Row],[Unit Cost]])</f>
        <v>0</v>
      </c>
      <c r="Q572" s="65"/>
      <c r="R572" s="80"/>
      <c r="S572" s="111">
        <f>BOM_table6[[#This Row],[ASM QTY]]*$Q$2+BOM_table6[[#This Row],[Spare QTY Needed]]-BOM_table6[[#This Row],[QTY in Inventory]]</f>
        <v>1</v>
      </c>
      <c r="T572" s="111">
        <f>ROUNDUP((BOM_table6[[#This Row],[QTY to Order]]/BOM_table6[[#This Row],[SKU QTY]]),0)</f>
        <v>1</v>
      </c>
      <c r="U572" s="110">
        <f>BOM_table6[[#This Row],[SKU QTY to Order]]*BOM_table6[[#This Row],[SKU Cost]]</f>
        <v>0</v>
      </c>
      <c r="V572" s="67"/>
      <c r="W572" s="65"/>
      <c r="X572" s="65"/>
      <c r="Y572" s="69"/>
      <c r="Z572" s="71"/>
      <c r="AA572" s="65"/>
      <c r="AB572" s="65"/>
      <c r="AC572" s="65"/>
    </row>
    <row r="573" spans="1:29" ht="15" customHeight="1" x14ac:dyDescent="0.25">
      <c r="A573" s="105" t="s">
        <v>160</v>
      </c>
      <c r="B573" s="64" t="s">
        <v>1146</v>
      </c>
      <c r="C573" s="65" t="s">
        <v>1147</v>
      </c>
      <c r="D573" s="65"/>
      <c r="E573" s="65" t="s">
        <v>1049</v>
      </c>
      <c r="F573" s="45" t="s">
        <v>1985</v>
      </c>
      <c r="G573" s="65">
        <v>2</v>
      </c>
      <c r="H573" s="65"/>
      <c r="I573" s="155"/>
      <c r="J573" s="65" t="s">
        <v>1319</v>
      </c>
      <c r="K573" s="65"/>
      <c r="L573" s="65"/>
      <c r="M573" s="106">
        <v>1</v>
      </c>
      <c r="N573" s="67"/>
      <c r="O573" s="110">
        <f>IF(OR(ISBLANK(BOM_table6[[#This Row],[SKU QTY]]),BOM_table6[[#This Row],[SKU Cost]]=0),0,BOM_table6[[#This Row],[SKU Cost]]/BOM_table6[[#This Row],[SKU QTY]])</f>
        <v>0</v>
      </c>
      <c r="P573" s="110">
        <f>IF(OR(ISBLANK(BOM_table6[[#This Row],[ASM QTY]]),ISBLANK(BOM_table6[[#This Row],[Unit Cost]])),0,BOM_table6[[#This Row],[ASM QTY]]*BOM_table6[[#This Row],[Unit Cost]])</f>
        <v>0</v>
      </c>
      <c r="Q573" s="65"/>
      <c r="R573" s="80"/>
      <c r="S573" s="111">
        <f>BOM_table6[[#This Row],[ASM QTY]]*$Q$2+BOM_table6[[#This Row],[Spare QTY Needed]]-BOM_table6[[#This Row],[QTY in Inventory]]</f>
        <v>2</v>
      </c>
      <c r="T573" s="111">
        <f>ROUNDUP((BOM_table6[[#This Row],[QTY to Order]]/BOM_table6[[#This Row],[SKU QTY]]),0)</f>
        <v>2</v>
      </c>
      <c r="U573" s="110">
        <f>BOM_table6[[#This Row],[SKU QTY to Order]]*BOM_table6[[#This Row],[SKU Cost]]</f>
        <v>0</v>
      </c>
      <c r="V573" s="67"/>
      <c r="W573" s="65"/>
      <c r="X573" s="65"/>
      <c r="Y573" s="69"/>
      <c r="Z573" s="71"/>
      <c r="AA573" s="65"/>
      <c r="AB573" s="65"/>
      <c r="AC573" s="65"/>
    </row>
    <row r="574" spans="1:29" ht="15" customHeight="1" x14ac:dyDescent="0.25">
      <c r="A574" s="105" t="s">
        <v>160</v>
      </c>
      <c r="B574" s="64" t="s">
        <v>1151</v>
      </c>
      <c r="C574" s="45" t="s">
        <v>1152</v>
      </c>
      <c r="D574" s="65"/>
      <c r="E574" s="65" t="s">
        <v>1153</v>
      </c>
      <c r="F574" s="45" t="s">
        <v>1985</v>
      </c>
      <c r="G574" s="65">
        <v>1</v>
      </c>
      <c r="H574" s="65"/>
      <c r="I574" s="155"/>
      <c r="J574" s="65" t="s">
        <v>1319</v>
      </c>
      <c r="K574" s="65" t="s">
        <v>1154</v>
      </c>
      <c r="L574" s="65"/>
      <c r="M574" s="106">
        <v>1</v>
      </c>
      <c r="N574" s="67"/>
      <c r="O574" s="110">
        <f>IF(OR(ISBLANK(BOM_table6[[#This Row],[SKU QTY]]),BOM_table6[[#This Row],[SKU Cost]]=0),0,BOM_table6[[#This Row],[SKU Cost]]/BOM_table6[[#This Row],[SKU QTY]])</f>
        <v>0</v>
      </c>
      <c r="P574" s="110">
        <f>IF(OR(ISBLANK(BOM_table6[[#This Row],[ASM QTY]]),ISBLANK(BOM_table6[[#This Row],[Unit Cost]])),0,BOM_table6[[#This Row],[ASM QTY]]*BOM_table6[[#This Row],[Unit Cost]])</f>
        <v>0</v>
      </c>
      <c r="Q574" s="65"/>
      <c r="R574" s="80"/>
      <c r="S574" s="111">
        <f>BOM_table6[[#This Row],[ASM QTY]]*$Q$2+BOM_table6[[#This Row],[Spare QTY Needed]]-BOM_table6[[#This Row],[QTY in Inventory]]</f>
        <v>1</v>
      </c>
      <c r="T574" s="111">
        <f>ROUNDUP((BOM_table6[[#This Row],[QTY to Order]]/BOM_table6[[#This Row],[SKU QTY]]),0)</f>
        <v>1</v>
      </c>
      <c r="U574" s="110">
        <f>BOM_table6[[#This Row],[SKU QTY to Order]]*BOM_table6[[#This Row],[SKU Cost]]</f>
        <v>0</v>
      </c>
      <c r="V574" s="67"/>
      <c r="W574" s="65"/>
      <c r="X574" s="65"/>
      <c r="Y574" s="69"/>
      <c r="Z574" s="71"/>
      <c r="AA574" s="65"/>
      <c r="AB574" s="65"/>
      <c r="AC574" s="65"/>
    </row>
    <row r="575" spans="1:29" ht="15" customHeight="1" x14ac:dyDescent="0.2">
      <c r="A575" s="105" t="s">
        <v>160</v>
      </c>
      <c r="B575" s="44" t="s">
        <v>1990</v>
      </c>
      <c r="C575" s="45" t="s">
        <v>1991</v>
      </c>
      <c r="D575" s="45"/>
      <c r="E575" s="45" t="s">
        <v>1621</v>
      </c>
      <c r="F575" s="45" t="s">
        <v>1985</v>
      </c>
      <c r="G575" s="45"/>
      <c r="H575" s="45"/>
      <c r="J575" s="65" t="s">
        <v>1319</v>
      </c>
      <c r="K575" s="45"/>
      <c r="L575" s="45"/>
      <c r="M575" s="106">
        <v>1</v>
      </c>
      <c r="N575" s="50"/>
      <c r="O575" s="110">
        <f>IF(OR(ISBLANK(BOM_table6[[#This Row],[SKU QTY]]),BOM_table6[[#This Row],[SKU Cost]]=0),0,BOM_table6[[#This Row],[SKU Cost]]/BOM_table6[[#This Row],[SKU QTY]])</f>
        <v>0</v>
      </c>
      <c r="P575" s="110">
        <f>IF(OR(ISBLANK(BOM_table6[[#This Row],[ASM QTY]]),ISBLANK(BOM_table6[[#This Row],[Unit Cost]])),0,BOM_table6[[#This Row],[ASM QTY]]*BOM_table6[[#This Row],[Unit Cost]])</f>
        <v>0</v>
      </c>
      <c r="Q575" s="45"/>
      <c r="R575" s="81"/>
      <c r="S575" s="111">
        <f>BOM_table6[[#This Row],[ASM QTY]]*$Q$2+BOM_table6[[#This Row],[Spare QTY Needed]]-BOM_table6[[#This Row],[QTY in Inventory]]</f>
        <v>0</v>
      </c>
      <c r="T575" s="111">
        <f>ROUNDUP((BOM_table6[[#This Row],[QTY to Order]]/BOM_table6[[#This Row],[SKU QTY]]),0)</f>
        <v>0</v>
      </c>
      <c r="U575" s="110">
        <f>BOM_table6[[#This Row],[SKU QTY to Order]]*BOM_table6[[#This Row],[SKU Cost]]</f>
        <v>0</v>
      </c>
      <c r="V575" s="50"/>
      <c r="W575" s="45"/>
      <c r="X575" s="45"/>
      <c r="Y575" s="63"/>
      <c r="Z575" s="156"/>
      <c r="AA575" s="45"/>
      <c r="AB575" s="45"/>
      <c r="AC575" s="45"/>
    </row>
    <row r="576" spans="1:29" ht="15" customHeight="1" x14ac:dyDescent="0.2">
      <c r="A576" s="105" t="s">
        <v>161</v>
      </c>
      <c r="B576" s="44" t="s">
        <v>290</v>
      </c>
      <c r="C576" s="45" t="s">
        <v>291</v>
      </c>
      <c r="D576" s="45"/>
      <c r="E576" s="45"/>
      <c r="F576" s="45" t="s">
        <v>811</v>
      </c>
      <c r="G576" s="45">
        <v>6</v>
      </c>
      <c r="H576" s="45"/>
      <c r="I576" s="43" t="s">
        <v>2329</v>
      </c>
      <c r="J576" s="45" t="s">
        <v>1321</v>
      </c>
      <c r="K576" s="45" t="s">
        <v>216</v>
      </c>
      <c r="L576" s="45"/>
      <c r="M576" s="106">
        <v>1</v>
      </c>
      <c r="N576" s="50">
        <f>8.33/10</f>
        <v>0.83299999999999996</v>
      </c>
      <c r="O576" s="110">
        <f>IF(OR(ISBLANK(BOM_table6[[#This Row],[SKU QTY]]),BOM_table6[[#This Row],[SKU Cost]]=0),0,BOM_table6[[#This Row],[SKU Cost]]/BOM_table6[[#This Row],[SKU QTY]])</f>
        <v>0.83299999999999996</v>
      </c>
      <c r="P576" s="110">
        <f>IF(OR(ISBLANK(BOM_table6[[#This Row],[ASM QTY]]),ISBLANK(BOM_table6[[#This Row],[Unit Cost]])),0,BOM_table6[[#This Row],[ASM QTY]]*BOM_table6[[#This Row],[Unit Cost]])</f>
        <v>4.9979999999999993</v>
      </c>
      <c r="Q576" s="45">
        <v>4</v>
      </c>
      <c r="R576" s="81"/>
      <c r="S576" s="111">
        <f>BOM_table6[[#This Row],[ASM QTY]]*$Q$2+BOM_table6[[#This Row],[Spare QTY Needed]]-BOM_table6[[#This Row],[QTY in Inventory]]</f>
        <v>10</v>
      </c>
      <c r="T576" s="111">
        <f>ROUNDUP((BOM_table6[[#This Row],[QTY to Order]]/BOM_table6[[#This Row],[SKU QTY]]),0)</f>
        <v>10</v>
      </c>
      <c r="U576" s="110">
        <f>BOM_table6[[#This Row],[SKU QTY to Order]]*BOM_table6[[#This Row],[SKU Cost]]</f>
        <v>8.33</v>
      </c>
      <c r="V576" s="62"/>
      <c r="W576" s="45" t="s">
        <v>2180</v>
      </c>
      <c r="X576" s="45" t="s">
        <v>2192</v>
      </c>
      <c r="Y576" s="54">
        <v>44923</v>
      </c>
      <c r="Z576" s="54"/>
      <c r="AA576" s="54">
        <v>44924</v>
      </c>
      <c r="AB576" s="45"/>
      <c r="AC576" s="45"/>
    </row>
    <row r="577" spans="1:29" ht="15" customHeight="1" x14ac:dyDescent="0.2">
      <c r="A577" s="105" t="s">
        <v>160</v>
      </c>
      <c r="B577" s="44" t="s">
        <v>1522</v>
      </c>
      <c r="C577" s="45" t="s">
        <v>1513</v>
      </c>
      <c r="D577" s="45"/>
      <c r="E577" s="45"/>
      <c r="F577" s="45" t="s">
        <v>811</v>
      </c>
      <c r="G577" s="45">
        <v>6</v>
      </c>
      <c r="H577" s="45"/>
      <c r="J577" s="45" t="s">
        <v>166</v>
      </c>
      <c r="K577" s="45" t="s">
        <v>216</v>
      </c>
      <c r="L577" s="45"/>
      <c r="M577" s="106">
        <v>1</v>
      </c>
      <c r="N577" s="50"/>
      <c r="O577" s="110">
        <f>IF(OR(ISBLANK(BOM_table6[[#This Row],[SKU QTY]]),BOM_table6[[#This Row],[SKU Cost]]=0),0,BOM_table6[[#This Row],[SKU Cost]]/BOM_table6[[#This Row],[SKU QTY]])</f>
        <v>0</v>
      </c>
      <c r="P577" s="110">
        <f>IF(OR(ISBLANK(BOM_table6[[#This Row],[ASM QTY]]),ISBLANK(BOM_table6[[#This Row],[Unit Cost]])),0,BOM_table6[[#This Row],[ASM QTY]]*BOM_table6[[#This Row],[Unit Cost]])</f>
        <v>0</v>
      </c>
      <c r="Q577" s="45"/>
      <c r="R577" s="81"/>
      <c r="S577" s="111">
        <f>BOM_table6[[#This Row],[ASM QTY]]*$Q$2+BOM_table6[[#This Row],[Spare QTY Needed]]-BOM_table6[[#This Row],[QTY in Inventory]]</f>
        <v>6</v>
      </c>
      <c r="T577" s="111">
        <f>ROUNDUP((BOM_table6[[#This Row],[QTY to Order]]/BOM_table6[[#This Row],[SKU QTY]]),0)</f>
        <v>6</v>
      </c>
      <c r="U577" s="110">
        <f>BOM_table6[[#This Row],[SKU QTY to Order]]*BOM_table6[[#This Row],[SKU Cost]]</f>
        <v>0</v>
      </c>
      <c r="V577" s="62"/>
      <c r="W577" s="45"/>
      <c r="X577" s="45"/>
      <c r="Y577" s="54"/>
      <c r="Z577" s="54"/>
      <c r="AA577" s="45"/>
      <c r="AB577" s="45"/>
      <c r="AC577" s="45"/>
    </row>
    <row r="578" spans="1:29" ht="15" customHeight="1" x14ac:dyDescent="0.2">
      <c r="A578" s="105" t="s">
        <v>160</v>
      </c>
      <c r="B578" s="44" t="s">
        <v>292</v>
      </c>
      <c r="C578" s="45" t="s">
        <v>293</v>
      </c>
      <c r="D578" s="45" t="s">
        <v>152</v>
      </c>
      <c r="E578" s="45" t="s">
        <v>1049</v>
      </c>
      <c r="F578" s="45" t="s">
        <v>811</v>
      </c>
      <c r="G578" s="45">
        <v>6</v>
      </c>
      <c r="H578" s="45"/>
      <c r="I578" s="75"/>
      <c r="J578" s="45" t="s">
        <v>169</v>
      </c>
      <c r="K578" s="45" t="s">
        <v>1395</v>
      </c>
      <c r="L578" s="45"/>
      <c r="M578" s="106">
        <v>1</v>
      </c>
      <c r="N578" s="50"/>
      <c r="O578" s="110">
        <f>IF(OR(ISBLANK(BOM_table6[[#This Row],[SKU QTY]]),BOM_table6[[#This Row],[SKU Cost]]=0),0,BOM_table6[[#This Row],[SKU Cost]]/BOM_table6[[#This Row],[SKU QTY]])</f>
        <v>0</v>
      </c>
      <c r="P578" s="110">
        <f>IF(OR(ISBLANK(BOM_table6[[#This Row],[ASM QTY]]),ISBLANK(BOM_table6[[#This Row],[Unit Cost]])),0,BOM_table6[[#This Row],[ASM QTY]]*BOM_table6[[#This Row],[Unit Cost]])</f>
        <v>0</v>
      </c>
      <c r="Q578" s="45"/>
      <c r="R578" s="81"/>
      <c r="S578" s="111">
        <f>BOM_table6[[#This Row],[ASM QTY]]*$Q$2+BOM_table6[[#This Row],[Spare QTY Needed]]-BOM_table6[[#This Row],[QTY in Inventory]]</f>
        <v>6</v>
      </c>
      <c r="T578" s="111">
        <f>ROUNDUP((BOM_table6[[#This Row],[QTY to Order]]/BOM_table6[[#This Row],[SKU QTY]]),0)</f>
        <v>6</v>
      </c>
      <c r="U578" s="110">
        <f>BOM_table6[[#This Row],[SKU QTY to Order]]*BOM_table6[[#This Row],[SKU Cost]]</f>
        <v>0</v>
      </c>
      <c r="V578" s="50"/>
      <c r="W578" s="45"/>
      <c r="X578" s="45"/>
      <c r="Y578" s="54"/>
      <c r="Z578" s="54"/>
      <c r="AA578" s="54"/>
      <c r="AB578" s="45"/>
      <c r="AC578" s="45"/>
    </row>
    <row r="579" spans="1:29" ht="15" customHeight="1" x14ac:dyDescent="0.2">
      <c r="A579" s="105" t="s">
        <v>159</v>
      </c>
      <c r="B579" s="44" t="s">
        <v>1382</v>
      </c>
      <c r="C579" s="65" t="s">
        <v>995</v>
      </c>
      <c r="D579" s="65"/>
      <c r="E579" s="65" t="s">
        <v>1044</v>
      </c>
      <c r="F579" s="65"/>
      <c r="G579" s="65">
        <v>62</v>
      </c>
      <c r="H579" s="45" t="s">
        <v>2175</v>
      </c>
      <c r="I579" s="43" t="s">
        <v>2219</v>
      </c>
      <c r="J579" s="65"/>
      <c r="K579" s="65" t="s">
        <v>1044</v>
      </c>
      <c r="L579" s="65"/>
      <c r="M579" s="106">
        <v>1</v>
      </c>
      <c r="N579" s="67">
        <v>134.22999999999999</v>
      </c>
      <c r="O579" s="110">
        <f>IF(OR(ISBLANK(BOM_table6[[#This Row],[SKU QTY]]),BOM_table6[[#This Row],[SKU Cost]]=0),0,BOM_table6[[#This Row],[SKU Cost]]/BOM_table6[[#This Row],[SKU QTY]])</f>
        <v>134.22999999999999</v>
      </c>
      <c r="P579" s="110">
        <f>IF(OR(ISBLANK(BOM_table6[[#This Row],[ASM QTY]]),ISBLANK(BOM_table6[[#This Row],[Unit Cost]])),0,BOM_table6[[#This Row],[ASM QTY]]*BOM_table6[[#This Row],[Unit Cost]])</f>
        <v>8322.26</v>
      </c>
      <c r="Q579" s="65"/>
      <c r="R579" s="80"/>
      <c r="S579" s="111">
        <f>BOM_table6[[#This Row],[ASM QTY]]*$Q$2+BOM_table6[[#This Row],[Spare QTY Needed]]-BOM_table6[[#This Row],[QTY in Inventory]]</f>
        <v>62</v>
      </c>
      <c r="T579" s="111">
        <f>ROUNDUP((BOM_table6[[#This Row],[QTY to Order]]/BOM_table6[[#This Row],[SKU QTY]]),0)</f>
        <v>62</v>
      </c>
      <c r="U579" s="110">
        <f>BOM_table6[[#This Row],[SKU QTY to Order]]*BOM_table6[[#This Row],[SKU Cost]]</f>
        <v>8322.26</v>
      </c>
      <c r="V579" s="50" t="s">
        <v>2218</v>
      </c>
      <c r="W579" s="45" t="s">
        <v>2191</v>
      </c>
      <c r="X579" s="45" t="s">
        <v>2234</v>
      </c>
      <c r="Y579" s="71">
        <v>44860</v>
      </c>
      <c r="Z579" s="71">
        <v>44902</v>
      </c>
      <c r="AA579" s="65"/>
      <c r="AB579" s="45"/>
      <c r="AC579" s="45"/>
    </row>
    <row r="580" spans="1:29" ht="15" customHeight="1" x14ac:dyDescent="0.2">
      <c r="A580" s="188" t="s">
        <v>159</v>
      </c>
      <c r="B580" s="188" t="s">
        <v>2249</v>
      </c>
      <c r="C580" s="189" t="s">
        <v>2250</v>
      </c>
      <c r="D580" s="189"/>
      <c r="E580" s="189" t="s">
        <v>2252</v>
      </c>
      <c r="F580" s="189"/>
      <c r="G580" s="189">
        <v>1</v>
      </c>
      <c r="H580" s="189" t="s">
        <v>2253</v>
      </c>
      <c r="I580" s="190"/>
      <c r="J580" s="189" t="s">
        <v>143</v>
      </c>
      <c r="K580" s="189" t="s">
        <v>2254</v>
      </c>
      <c r="L580" s="189"/>
      <c r="M580" s="189">
        <v>1</v>
      </c>
      <c r="N580" s="191">
        <v>14284.25</v>
      </c>
      <c r="O580" s="195">
        <f>IF(OR(ISBLANK(BOM_table6[[#This Row],[SKU QTY]]),BOM_table6[[#This Row],[SKU Cost]]=0),0,BOM_table6[[#This Row],[SKU Cost]]/BOM_table6[[#This Row],[SKU QTY]])</f>
        <v>14284.25</v>
      </c>
      <c r="P580" s="195">
        <f>IF(OR(ISBLANK(BOM_table6[[#This Row],[ASM QTY]]),ISBLANK(BOM_table6[[#This Row],[Unit Cost]])),0,BOM_table6[[#This Row],[ASM QTY]]*BOM_table6[[#This Row],[Unit Cost]])</f>
        <v>14284.25</v>
      </c>
      <c r="Q580" s="189"/>
      <c r="R580" s="192"/>
      <c r="S580" s="196">
        <f>BOM_table6[[#This Row],[ASM QTY]]*$Q$2+BOM_table6[[#This Row],[Spare QTY Needed]]-BOM_table6[[#This Row],[QTY in Inventory]]</f>
        <v>1</v>
      </c>
      <c r="T580" s="196">
        <f>ROUNDUP((BOM_table6[[#This Row],[QTY to Order]]/BOM_table6[[#This Row],[SKU QTY]]),0)</f>
        <v>1</v>
      </c>
      <c r="U580" s="195">
        <f>BOM_table6[[#This Row],[SKU QTY to Order]]*BOM_table6[[#This Row],[SKU Cost]]</f>
        <v>14284.25</v>
      </c>
      <c r="V580" s="191" t="s">
        <v>2255</v>
      </c>
      <c r="W580" s="189" t="s">
        <v>2180</v>
      </c>
      <c r="X580" s="189" t="s">
        <v>2256</v>
      </c>
      <c r="Y580" s="198">
        <v>44886</v>
      </c>
      <c r="Z580" s="197">
        <v>45005</v>
      </c>
      <c r="AA580" s="189"/>
      <c r="AB580" s="189"/>
      <c r="AC580" s="45"/>
    </row>
    <row r="581" spans="1:29" ht="15" customHeight="1" x14ac:dyDescent="0.2">
      <c r="A581" s="188" t="s">
        <v>159</v>
      </c>
      <c r="B581" s="188" t="s">
        <v>2249</v>
      </c>
      <c r="C581" s="189" t="s">
        <v>2251</v>
      </c>
      <c r="D581" s="189"/>
      <c r="E581" s="189" t="s">
        <v>2252</v>
      </c>
      <c r="F581" s="189"/>
      <c r="G581" s="189">
        <v>1</v>
      </c>
      <c r="H581" s="189" t="s">
        <v>2253</v>
      </c>
      <c r="I581" s="190"/>
      <c r="J581" s="189" t="s">
        <v>171</v>
      </c>
      <c r="K581" s="189" t="s">
        <v>2254</v>
      </c>
      <c r="L581" s="189"/>
      <c r="M581" s="189">
        <v>1</v>
      </c>
      <c r="N581" s="191">
        <v>6013.75</v>
      </c>
      <c r="O581" s="195">
        <f>IF(OR(ISBLANK(BOM_table6[[#This Row],[SKU QTY]]),BOM_table6[[#This Row],[SKU Cost]]=0),0,BOM_table6[[#This Row],[SKU Cost]]/BOM_table6[[#This Row],[SKU QTY]])</f>
        <v>6013.75</v>
      </c>
      <c r="P581" s="195">
        <f>IF(OR(ISBLANK(BOM_table6[[#This Row],[ASM QTY]]),ISBLANK(BOM_table6[[#This Row],[Unit Cost]])),0,BOM_table6[[#This Row],[ASM QTY]]*BOM_table6[[#This Row],[Unit Cost]])</f>
        <v>6013.75</v>
      </c>
      <c r="Q581" s="189"/>
      <c r="R581" s="192"/>
      <c r="S581" s="196">
        <f>BOM_table6[[#This Row],[ASM QTY]]*$Q$2+BOM_table6[[#This Row],[Spare QTY Needed]]-BOM_table6[[#This Row],[QTY in Inventory]]</f>
        <v>1</v>
      </c>
      <c r="T581" s="196">
        <f>ROUNDUP((BOM_table6[[#This Row],[QTY to Order]]/BOM_table6[[#This Row],[SKU QTY]]),0)</f>
        <v>1</v>
      </c>
      <c r="U581" s="195">
        <f>BOM_table6[[#This Row],[SKU QTY to Order]]*BOM_table6[[#This Row],[SKU Cost]]</f>
        <v>6013.75</v>
      </c>
      <c r="V581" s="191" t="s">
        <v>2255</v>
      </c>
      <c r="W581" s="189" t="s">
        <v>2180</v>
      </c>
      <c r="X581" s="189" t="s">
        <v>2256</v>
      </c>
      <c r="Y581" s="198">
        <v>44886</v>
      </c>
      <c r="Z581" s="197">
        <v>45005</v>
      </c>
      <c r="AA581" s="189"/>
      <c r="AB581" s="189"/>
      <c r="AC581" s="45"/>
    </row>
    <row r="582" spans="1:29" ht="15" customHeight="1" x14ac:dyDescent="0.2">
      <c r="A582" s="188" t="s">
        <v>159</v>
      </c>
      <c r="B582" s="188" t="s">
        <v>2249</v>
      </c>
      <c r="C582" s="189">
        <v>171558</v>
      </c>
      <c r="D582" s="189"/>
      <c r="E582" s="189" t="s">
        <v>2252</v>
      </c>
      <c r="F582" s="189"/>
      <c r="G582" s="189">
        <v>1</v>
      </c>
      <c r="H582" s="189" t="s">
        <v>2253</v>
      </c>
      <c r="I582" s="190"/>
      <c r="J582" s="189" t="s">
        <v>171</v>
      </c>
      <c r="K582" s="189" t="s">
        <v>2254</v>
      </c>
      <c r="L582" s="189"/>
      <c r="M582" s="189">
        <v>1</v>
      </c>
      <c r="N582" s="191">
        <v>544</v>
      </c>
      <c r="O582" s="195">
        <f>IF(OR(ISBLANK(BOM_table6[[#This Row],[SKU QTY]]),BOM_table6[[#This Row],[SKU Cost]]=0),0,BOM_table6[[#This Row],[SKU Cost]]/BOM_table6[[#This Row],[SKU QTY]])</f>
        <v>544</v>
      </c>
      <c r="P582" s="195">
        <f>IF(OR(ISBLANK(BOM_table6[[#This Row],[ASM QTY]]),ISBLANK(BOM_table6[[#This Row],[Unit Cost]])),0,BOM_table6[[#This Row],[ASM QTY]]*BOM_table6[[#This Row],[Unit Cost]])</f>
        <v>544</v>
      </c>
      <c r="Q582" s="189"/>
      <c r="R582" s="192"/>
      <c r="S582" s="196">
        <f>BOM_table6[[#This Row],[ASM QTY]]*$Q$2+BOM_table6[[#This Row],[Spare QTY Needed]]-BOM_table6[[#This Row],[QTY in Inventory]]</f>
        <v>1</v>
      </c>
      <c r="T582" s="196">
        <f>ROUNDUP((BOM_table6[[#This Row],[QTY to Order]]/BOM_table6[[#This Row],[SKU QTY]]),0)</f>
        <v>1</v>
      </c>
      <c r="U582" s="195">
        <f>BOM_table6[[#This Row],[SKU QTY to Order]]*BOM_table6[[#This Row],[SKU Cost]]</f>
        <v>544</v>
      </c>
      <c r="V582" s="191" t="s">
        <v>2255</v>
      </c>
      <c r="W582" s="189" t="s">
        <v>2180</v>
      </c>
      <c r="X582" s="189" t="s">
        <v>2256</v>
      </c>
      <c r="Y582" s="198">
        <v>44886</v>
      </c>
      <c r="Z582" s="197">
        <v>45005</v>
      </c>
      <c r="AA582" s="189"/>
      <c r="AB582" s="189"/>
      <c r="AC582" s="45"/>
    </row>
    <row r="583" spans="1:29" ht="15" customHeight="1" x14ac:dyDescent="0.2">
      <c r="A583" s="188" t="s">
        <v>159</v>
      </c>
      <c r="B583" s="188" t="s">
        <v>2249</v>
      </c>
      <c r="C583" s="189">
        <v>801944</v>
      </c>
      <c r="D583" s="189"/>
      <c r="E583" s="189" t="s">
        <v>2252</v>
      </c>
      <c r="F583" s="189"/>
      <c r="G583" s="189">
        <v>1</v>
      </c>
      <c r="H583" s="189" t="s">
        <v>2253</v>
      </c>
      <c r="I583" s="190"/>
      <c r="J583" s="189" t="s">
        <v>171</v>
      </c>
      <c r="K583" s="189" t="s">
        <v>2254</v>
      </c>
      <c r="L583" s="189"/>
      <c r="M583" s="189">
        <v>1</v>
      </c>
      <c r="N583" s="191">
        <v>888.25</v>
      </c>
      <c r="O583" s="195">
        <f>IF(OR(ISBLANK(BOM_table6[[#This Row],[SKU QTY]]),BOM_table6[[#This Row],[SKU Cost]]=0),0,BOM_table6[[#This Row],[SKU Cost]]/BOM_table6[[#This Row],[SKU QTY]])</f>
        <v>888.25</v>
      </c>
      <c r="P583" s="195">
        <f>IF(OR(ISBLANK(BOM_table6[[#This Row],[ASM QTY]]),ISBLANK(BOM_table6[[#This Row],[Unit Cost]])),0,BOM_table6[[#This Row],[ASM QTY]]*BOM_table6[[#This Row],[Unit Cost]])</f>
        <v>888.25</v>
      </c>
      <c r="Q583" s="189"/>
      <c r="R583" s="192"/>
      <c r="S583" s="196">
        <f>BOM_table6[[#This Row],[ASM QTY]]*$Q$2+BOM_table6[[#This Row],[Spare QTY Needed]]-BOM_table6[[#This Row],[QTY in Inventory]]</f>
        <v>1</v>
      </c>
      <c r="T583" s="196">
        <f>ROUNDUP((BOM_table6[[#This Row],[QTY to Order]]/BOM_table6[[#This Row],[SKU QTY]]),0)</f>
        <v>1</v>
      </c>
      <c r="U583" s="195">
        <f>BOM_table6[[#This Row],[SKU QTY to Order]]*BOM_table6[[#This Row],[SKU Cost]]</f>
        <v>888.25</v>
      </c>
      <c r="V583" s="191" t="s">
        <v>2255</v>
      </c>
      <c r="W583" s="189" t="s">
        <v>2180</v>
      </c>
      <c r="X583" s="189" t="s">
        <v>2256</v>
      </c>
      <c r="Y583" s="198">
        <v>44886</v>
      </c>
      <c r="Z583" s="197">
        <v>45005</v>
      </c>
      <c r="AA583" s="189"/>
      <c r="AB583" s="189"/>
      <c r="AC583" s="45"/>
    </row>
    <row r="584" spans="1:29" ht="15" customHeight="1" x14ac:dyDescent="0.2">
      <c r="A584" s="200" t="s">
        <v>159</v>
      </c>
      <c r="B584" s="200" t="s">
        <v>2283</v>
      </c>
      <c r="C584" s="201" t="s">
        <v>2282</v>
      </c>
      <c r="D584" s="201"/>
      <c r="E584" s="201" t="s">
        <v>1262</v>
      </c>
      <c r="F584" s="45" t="s">
        <v>2026</v>
      </c>
      <c r="G584" s="201">
        <v>1</v>
      </c>
      <c r="H584" s="201" t="s">
        <v>2177</v>
      </c>
      <c r="I584" s="202" t="s">
        <v>2284</v>
      </c>
      <c r="J584" s="201" t="s">
        <v>166</v>
      </c>
      <c r="K584" s="201" t="s">
        <v>1262</v>
      </c>
      <c r="L584" s="201"/>
      <c r="M584" s="201">
        <v>1</v>
      </c>
      <c r="N584" s="203">
        <v>203</v>
      </c>
      <c r="O584" s="204">
        <f>IF(OR(ISBLANK(BOM_table6[[#This Row],[SKU QTY]]),BOM_table6[[#This Row],[SKU Cost]]=0),0,BOM_table6[[#This Row],[SKU Cost]]/BOM_table6[[#This Row],[SKU QTY]])</f>
        <v>203</v>
      </c>
      <c r="P584" s="204">
        <f>IF(OR(ISBLANK(BOM_table6[[#This Row],[ASM QTY]]),ISBLANK(BOM_table6[[#This Row],[Unit Cost]])),0,BOM_table6[[#This Row],[ASM QTY]]*BOM_table6[[#This Row],[Unit Cost]])</f>
        <v>203</v>
      </c>
      <c r="Q584" s="201">
        <v>4</v>
      </c>
      <c r="R584" s="205"/>
      <c r="S584" s="206">
        <f>BOM_table6[[#This Row],[ASM QTY]]*$Q$2+BOM_table6[[#This Row],[Spare QTY Needed]]-BOM_table6[[#This Row],[QTY in Inventory]]</f>
        <v>5</v>
      </c>
      <c r="T584" s="206">
        <f>ROUNDUP((BOM_table6[[#This Row],[QTY to Order]]/BOM_table6[[#This Row],[SKU QTY]]),0)</f>
        <v>5</v>
      </c>
      <c r="U584" s="204">
        <f>BOM_table6[[#This Row],[SKU QTY to Order]]*BOM_table6[[#This Row],[SKU Cost]]</f>
        <v>1015</v>
      </c>
      <c r="V584" s="203" t="s">
        <v>2195</v>
      </c>
      <c r="W584" s="201" t="s">
        <v>2180</v>
      </c>
      <c r="X584" s="201" t="s">
        <v>2288</v>
      </c>
      <c r="Y584" s="208">
        <v>44902</v>
      </c>
      <c r="Z584" s="207">
        <v>44946</v>
      </c>
      <c r="AA584" s="201"/>
      <c r="AB584" s="201"/>
      <c r="AC584" s="45"/>
    </row>
    <row r="585" spans="1:29" ht="15" customHeight="1" x14ac:dyDescent="0.2">
      <c r="A585" s="105" t="s">
        <v>159</v>
      </c>
      <c r="B585" s="64" t="s">
        <v>1158</v>
      </c>
      <c r="C585" s="45" t="s">
        <v>1159</v>
      </c>
      <c r="D585" s="65"/>
      <c r="E585" s="65" t="s">
        <v>1160</v>
      </c>
      <c r="F585" s="45" t="s">
        <v>1974</v>
      </c>
      <c r="G585" s="65">
        <v>5</v>
      </c>
      <c r="H585" s="45" t="s">
        <v>2334</v>
      </c>
      <c r="I585" s="44" t="s">
        <v>2339</v>
      </c>
      <c r="J585" s="45" t="s">
        <v>166</v>
      </c>
      <c r="K585" s="65" t="s">
        <v>1160</v>
      </c>
      <c r="L585" s="65"/>
      <c r="M585" s="106">
        <v>1</v>
      </c>
      <c r="N585" s="67">
        <v>299</v>
      </c>
      <c r="O585" s="110">
        <f>IF(OR(ISBLANK(BOM_table6[[#This Row],[SKU QTY]]),BOM_table6[[#This Row],[SKU Cost]]=0),0,BOM_table6[[#This Row],[SKU Cost]]/BOM_table6[[#This Row],[SKU QTY]])</f>
        <v>299</v>
      </c>
      <c r="P585" s="110">
        <f>IF(OR(ISBLANK(BOM_table6[[#This Row],[ASM QTY]]),ISBLANK(BOM_table6[[#This Row],[Unit Cost]])),0,BOM_table6[[#This Row],[ASM QTY]]*BOM_table6[[#This Row],[Unit Cost]])</f>
        <v>1495</v>
      </c>
      <c r="Q585" s="65"/>
      <c r="R585" s="80">
        <v>0</v>
      </c>
      <c r="S585" s="111">
        <f>BOM_table6[[#This Row],[ASM QTY]]*$Q$2+BOM_table6[[#This Row],[Spare QTY Needed]]-BOM_table6[[#This Row],[QTY in Inventory]]</f>
        <v>5</v>
      </c>
      <c r="T585" s="111">
        <f>ROUNDUP((BOM_table6[[#This Row],[QTY to Order]]/BOM_table6[[#This Row],[SKU QTY]]),0)</f>
        <v>5</v>
      </c>
      <c r="U585" s="110">
        <f>BOM_table6[[#This Row],[SKU QTY to Order]]*BOM_table6[[#This Row],[SKU Cost]]</f>
        <v>1495</v>
      </c>
      <c r="V585" s="50" t="s">
        <v>2207</v>
      </c>
      <c r="W585" s="45" t="s">
        <v>2180</v>
      </c>
      <c r="X585" s="45" t="s">
        <v>2192</v>
      </c>
      <c r="Y585" s="69"/>
      <c r="Z585" s="71">
        <v>45017</v>
      </c>
      <c r="AA585" s="65"/>
      <c r="AB585" s="65"/>
      <c r="AC585" s="45" t="s">
        <v>2340</v>
      </c>
    </row>
    <row r="586" spans="1:29" ht="15" customHeight="1" x14ac:dyDescent="0.2">
      <c r="B586" s="44" t="s">
        <v>12</v>
      </c>
      <c r="C586" s="45">
        <f>SUBTOTAL(103,BOM_table6[Part Number])</f>
        <v>574</v>
      </c>
      <c r="D586" s="45"/>
      <c r="E586" s="45"/>
      <c r="F586" s="45"/>
      <c r="G586" s="45">
        <f>SUBTOTAL(109,BOM_table6[ASM QTY])</f>
        <v>1905</v>
      </c>
      <c r="H586" s="45"/>
      <c r="J586" s="45"/>
      <c r="K586" s="45"/>
      <c r="L586" s="45"/>
      <c r="M586" s="45"/>
      <c r="N586" s="45"/>
      <c r="O586" s="45"/>
      <c r="P586" s="50">
        <f>SUBTOTAL(109,BOM_table6[Assembly Cost])</f>
        <v>98954.405260000029</v>
      </c>
      <c r="Q586" s="45"/>
      <c r="R586" s="81"/>
      <c r="S586" s="45"/>
      <c r="T586" s="45"/>
      <c r="U586" s="50">
        <f>SUBTOTAL(109,BOM_table6[Order Cost])</f>
        <v>98366.14350000002</v>
      </c>
      <c r="V586" s="45"/>
      <c r="W586" s="45"/>
      <c r="X586" s="45"/>
      <c r="Y586" s="45"/>
      <c r="Z586" s="45" t="s">
        <v>1707</v>
      </c>
      <c r="AA586" s="45"/>
      <c r="AB586" s="55"/>
      <c r="AC586" s="55"/>
    </row>
    <row r="587" spans="1:29" ht="15" customHeight="1" x14ac:dyDescent="0.25">
      <c r="J587" s="44"/>
    </row>
    <row r="588" spans="1:29" ht="15" customHeight="1" x14ac:dyDescent="0.25">
      <c r="J588" s="44"/>
    </row>
    <row r="589" spans="1:29" ht="15" customHeight="1" x14ac:dyDescent="0.25">
      <c r="J589" s="44"/>
    </row>
    <row r="590" spans="1:29" ht="15" customHeight="1" x14ac:dyDescent="0.25">
      <c r="J590" s="44"/>
    </row>
    <row r="591" spans="1:29" ht="15" customHeight="1" x14ac:dyDescent="0.25">
      <c r="J591" s="44"/>
    </row>
    <row r="592" spans="1:29" ht="15" customHeight="1" x14ac:dyDescent="0.25">
      <c r="J592" s="44"/>
    </row>
    <row r="593" spans="9:18" ht="15" customHeight="1" x14ac:dyDescent="0.25">
      <c r="J593" s="44"/>
    </row>
    <row r="594" spans="9:18" ht="15" customHeight="1" x14ac:dyDescent="0.25">
      <c r="J594" s="44"/>
    </row>
    <row r="595" spans="9:18" ht="15" customHeight="1" x14ac:dyDescent="0.25">
      <c r="J595" s="44"/>
    </row>
    <row r="596" spans="9:18" ht="15" customHeight="1" x14ac:dyDescent="0.2">
      <c r="I596" s="44"/>
      <c r="J596" s="44"/>
      <c r="O596" s="44"/>
      <c r="R596" s="44"/>
    </row>
    <row r="597" spans="9:18" ht="15" customHeight="1" x14ac:dyDescent="0.2">
      <c r="I597" s="44"/>
      <c r="J597" s="44"/>
      <c r="O597" s="44"/>
      <c r="R597" s="44"/>
    </row>
    <row r="598" spans="9:18" ht="15" customHeight="1" x14ac:dyDescent="0.2">
      <c r="I598" s="44"/>
      <c r="J598" s="44"/>
      <c r="O598" s="44"/>
      <c r="R598" s="44"/>
    </row>
    <row r="599" spans="9:18" ht="15" customHeight="1" x14ac:dyDescent="0.2">
      <c r="I599" s="44"/>
      <c r="J599" s="44"/>
      <c r="O599" s="44"/>
      <c r="R599" s="44"/>
    </row>
    <row r="600" spans="9:18" ht="15" customHeight="1" x14ac:dyDescent="0.2">
      <c r="I600" s="44"/>
      <c r="J600" s="44"/>
      <c r="O600" s="44"/>
      <c r="R600" s="44"/>
    </row>
    <row r="601" spans="9:18" ht="15" customHeight="1" x14ac:dyDescent="0.2">
      <c r="I601" s="44"/>
      <c r="J601" s="44"/>
      <c r="O601" s="44"/>
      <c r="R601" s="44"/>
    </row>
    <row r="602" spans="9:18" ht="15" customHeight="1" x14ac:dyDescent="0.2">
      <c r="I602" s="44"/>
      <c r="J602" s="44"/>
      <c r="O602" s="44"/>
      <c r="R602" s="44"/>
    </row>
    <row r="603" spans="9:18" ht="15" customHeight="1" x14ac:dyDescent="0.2">
      <c r="I603" s="44"/>
      <c r="J603" s="44"/>
      <c r="O603" s="44"/>
      <c r="R603" s="44"/>
    </row>
    <row r="604" spans="9:18" ht="15" customHeight="1" x14ac:dyDescent="0.2">
      <c r="I604" s="44"/>
      <c r="J604" s="44"/>
      <c r="O604" s="44"/>
      <c r="R604" s="44"/>
    </row>
    <row r="605" spans="9:18" ht="15" customHeight="1" x14ac:dyDescent="0.2">
      <c r="I605" s="44"/>
      <c r="J605" s="44"/>
      <c r="O605" s="44"/>
      <c r="R605" s="44"/>
    </row>
    <row r="606" spans="9:18" ht="15" customHeight="1" x14ac:dyDescent="0.2">
      <c r="I606" s="44"/>
      <c r="J606" s="44"/>
      <c r="O606" s="44"/>
      <c r="R606" s="44"/>
    </row>
    <row r="607" spans="9:18" ht="15" customHeight="1" x14ac:dyDescent="0.2">
      <c r="I607" s="44"/>
      <c r="J607" s="44"/>
      <c r="O607" s="44"/>
      <c r="R607" s="44"/>
    </row>
    <row r="608" spans="9:18" ht="15" customHeight="1" x14ac:dyDescent="0.2">
      <c r="I608" s="44"/>
      <c r="J608" s="44"/>
      <c r="O608" s="44"/>
      <c r="R608" s="44"/>
    </row>
    <row r="609" s="44" customFormat="1" ht="15" customHeight="1" x14ac:dyDescent="0.2"/>
    <row r="610" s="44" customFormat="1" ht="15" customHeight="1" x14ac:dyDescent="0.2"/>
    <row r="611" s="44" customFormat="1" ht="15" customHeight="1" x14ac:dyDescent="0.2"/>
    <row r="612" s="44" customFormat="1" ht="15" customHeight="1" x14ac:dyDescent="0.2"/>
    <row r="613" s="44" customFormat="1" ht="15" customHeight="1" x14ac:dyDescent="0.2"/>
    <row r="614" s="44" customFormat="1" ht="15" customHeight="1" x14ac:dyDescent="0.2"/>
    <row r="615" s="44" customFormat="1" ht="15" customHeight="1" x14ac:dyDescent="0.2"/>
    <row r="616" s="44" customFormat="1" ht="15" customHeight="1" x14ac:dyDescent="0.2"/>
    <row r="617" s="44" customFormat="1" ht="15" customHeight="1" x14ac:dyDescent="0.2"/>
    <row r="618" s="44" customFormat="1" ht="15" customHeight="1" x14ac:dyDescent="0.2"/>
    <row r="619" s="44" customFormat="1" ht="15" customHeight="1" x14ac:dyDescent="0.2"/>
    <row r="620" s="44" customFormat="1" ht="15" customHeight="1" x14ac:dyDescent="0.2"/>
    <row r="621" s="44" customFormat="1" ht="15" customHeight="1" x14ac:dyDescent="0.2"/>
    <row r="622" s="44" customFormat="1" ht="15" customHeight="1" x14ac:dyDescent="0.2"/>
    <row r="623" s="44" customFormat="1" ht="15" customHeight="1" x14ac:dyDescent="0.2"/>
    <row r="624" s="44" customFormat="1" ht="15" customHeight="1" x14ac:dyDescent="0.2"/>
    <row r="625" s="44" customFormat="1" ht="15" customHeight="1" x14ac:dyDescent="0.2"/>
    <row r="626" s="44" customFormat="1" ht="15" customHeight="1" x14ac:dyDescent="0.2"/>
    <row r="627" s="44" customFormat="1" ht="15" customHeight="1" x14ac:dyDescent="0.2"/>
    <row r="628" s="44" customFormat="1" ht="15" customHeight="1" x14ac:dyDescent="0.2"/>
    <row r="629" s="44" customFormat="1" ht="15" customHeight="1" x14ac:dyDescent="0.2"/>
    <row r="630" s="44" customFormat="1" ht="15" customHeight="1" x14ac:dyDescent="0.2"/>
    <row r="631" s="44" customFormat="1" ht="15" customHeight="1" x14ac:dyDescent="0.2"/>
    <row r="632" s="44" customFormat="1" ht="15" customHeight="1" x14ac:dyDescent="0.2"/>
    <row r="633" s="44" customFormat="1" ht="15" customHeight="1" x14ac:dyDescent="0.2"/>
    <row r="634" s="44" customFormat="1" ht="15" customHeight="1" x14ac:dyDescent="0.2"/>
    <row r="635" s="44" customFormat="1" ht="15" customHeight="1" x14ac:dyDescent="0.2"/>
    <row r="636" s="44" customFormat="1" ht="15" customHeight="1" x14ac:dyDescent="0.2"/>
    <row r="637" s="44" customFormat="1" ht="15" customHeight="1" x14ac:dyDescent="0.2"/>
    <row r="638" s="44" customFormat="1" ht="15" customHeight="1" x14ac:dyDescent="0.2"/>
    <row r="639" s="44" customFormat="1" ht="15" customHeight="1" x14ac:dyDescent="0.2"/>
    <row r="640" s="44" customFormat="1" ht="15" customHeight="1" x14ac:dyDescent="0.2"/>
    <row r="641" s="44" customFormat="1" ht="15" customHeight="1" x14ac:dyDescent="0.2"/>
    <row r="642" s="44" customFormat="1" ht="15" customHeight="1" x14ac:dyDescent="0.2"/>
    <row r="643" s="44" customFormat="1" ht="15" customHeight="1" x14ac:dyDescent="0.2"/>
    <row r="644" s="44" customFormat="1" ht="15" customHeight="1" x14ac:dyDescent="0.2"/>
    <row r="645" s="44" customFormat="1" ht="15" customHeight="1" x14ac:dyDescent="0.2"/>
    <row r="646" s="44" customFormat="1" ht="15" customHeight="1" x14ac:dyDescent="0.2"/>
    <row r="647" s="44" customFormat="1" ht="15" customHeight="1" x14ac:dyDescent="0.2"/>
    <row r="648" s="44" customFormat="1" ht="15" customHeight="1" x14ac:dyDescent="0.2"/>
    <row r="649" s="44" customFormat="1" ht="15" customHeight="1" x14ac:dyDescent="0.2"/>
    <row r="650" s="44" customFormat="1" ht="15" customHeight="1" x14ac:dyDescent="0.2"/>
    <row r="651" s="44" customFormat="1" ht="15" customHeight="1" x14ac:dyDescent="0.2"/>
    <row r="652" s="44" customFormat="1" ht="15" customHeight="1" x14ac:dyDescent="0.2"/>
    <row r="653" s="44" customFormat="1" ht="15" customHeight="1" x14ac:dyDescent="0.2"/>
    <row r="654" s="44" customFormat="1" ht="15" customHeight="1" x14ac:dyDescent="0.2"/>
    <row r="655" s="44" customFormat="1" ht="15" customHeight="1" x14ac:dyDescent="0.2"/>
    <row r="656" s="44" customFormat="1" ht="15" customHeight="1" x14ac:dyDescent="0.2"/>
    <row r="657" s="44" customFormat="1" ht="15" customHeight="1" x14ac:dyDescent="0.2"/>
    <row r="658" s="44" customFormat="1" ht="15" customHeight="1" x14ac:dyDescent="0.2"/>
    <row r="659" s="44" customFormat="1" ht="15" customHeight="1" x14ac:dyDescent="0.2"/>
    <row r="660" s="44" customFormat="1" ht="15" customHeight="1" x14ac:dyDescent="0.2"/>
    <row r="661" s="44" customFormat="1" ht="15" customHeight="1" x14ac:dyDescent="0.2"/>
    <row r="662" s="44" customFormat="1" ht="15" customHeight="1" x14ac:dyDescent="0.2"/>
    <row r="663" s="44" customFormat="1" ht="15" customHeight="1" x14ac:dyDescent="0.2"/>
    <row r="664" s="44" customFormat="1" ht="15" customHeight="1" x14ac:dyDescent="0.2"/>
    <row r="665" s="44" customFormat="1" ht="15" customHeight="1" x14ac:dyDescent="0.2"/>
    <row r="666" s="44" customFormat="1" ht="15" customHeight="1" x14ac:dyDescent="0.2"/>
    <row r="667" s="44" customFormat="1" ht="15" customHeight="1" x14ac:dyDescent="0.2"/>
    <row r="668" s="44" customFormat="1" ht="15" customHeight="1" x14ac:dyDescent="0.2"/>
    <row r="669" s="44" customFormat="1" ht="15" customHeight="1" x14ac:dyDescent="0.2"/>
    <row r="670" s="44" customFormat="1" ht="15" customHeight="1" x14ac:dyDescent="0.2"/>
    <row r="671" s="44" customFormat="1" ht="15" customHeight="1" x14ac:dyDescent="0.2"/>
    <row r="672" s="44" customFormat="1" ht="15" customHeight="1" x14ac:dyDescent="0.2"/>
    <row r="673" s="44" customFormat="1" ht="15" customHeight="1" x14ac:dyDescent="0.2"/>
    <row r="674" s="44" customFormat="1" ht="15" customHeight="1" x14ac:dyDescent="0.2"/>
    <row r="675" s="44" customFormat="1" ht="15" customHeight="1" x14ac:dyDescent="0.2"/>
    <row r="676" s="44" customFormat="1" ht="15" customHeight="1" x14ac:dyDescent="0.2"/>
    <row r="677" s="44" customFormat="1" ht="15" customHeight="1" x14ac:dyDescent="0.2"/>
    <row r="678" s="44" customFormat="1" ht="15" customHeight="1" x14ac:dyDescent="0.2"/>
    <row r="679" s="44" customFormat="1" ht="15" customHeight="1" x14ac:dyDescent="0.2"/>
    <row r="680" s="44" customFormat="1" ht="15" customHeight="1" x14ac:dyDescent="0.2"/>
    <row r="681" s="44" customFormat="1" ht="15" customHeight="1" x14ac:dyDescent="0.2"/>
    <row r="682" s="44" customFormat="1" ht="15" customHeight="1" x14ac:dyDescent="0.2"/>
    <row r="683" s="44" customFormat="1" ht="15" customHeight="1" x14ac:dyDescent="0.2"/>
    <row r="684" s="44" customFormat="1" ht="15" customHeight="1" x14ac:dyDescent="0.2"/>
    <row r="685" s="44" customFormat="1" ht="15" customHeight="1" x14ac:dyDescent="0.2"/>
    <row r="686" s="44" customFormat="1" ht="15" customHeight="1" x14ac:dyDescent="0.2"/>
    <row r="687" s="44" customFormat="1" ht="15" customHeight="1" x14ac:dyDescent="0.2"/>
    <row r="688" s="44" customFormat="1" ht="15" customHeight="1" x14ac:dyDescent="0.2"/>
    <row r="689" s="44" customFormat="1" ht="15" customHeight="1" x14ac:dyDescent="0.2"/>
    <row r="690" s="44" customFormat="1" ht="15" customHeight="1" x14ac:dyDescent="0.2"/>
    <row r="691" s="44" customFormat="1" ht="15" customHeight="1" x14ac:dyDescent="0.2"/>
    <row r="692" s="44" customFormat="1" ht="15" customHeight="1" x14ac:dyDescent="0.2"/>
    <row r="693" s="44" customFormat="1" ht="15" customHeight="1" x14ac:dyDescent="0.2"/>
    <row r="694" s="44" customFormat="1" ht="15" customHeight="1" x14ac:dyDescent="0.2"/>
    <row r="695" s="44" customFormat="1" ht="15" customHeight="1" x14ac:dyDescent="0.2"/>
    <row r="696" s="44" customFormat="1" ht="15" customHeight="1" x14ac:dyDescent="0.2"/>
    <row r="697" s="44" customFormat="1" ht="15" customHeight="1" x14ac:dyDescent="0.2"/>
    <row r="698" s="44" customFormat="1" ht="15" customHeight="1" x14ac:dyDescent="0.2"/>
  </sheetData>
  <phoneticPr fontId="37" type="noConversion"/>
  <conditionalFormatting sqref="G565:H566 A345:B345 A92:B92 A551:E563 G551:I555 G557:I563 G556:H556 A548:E549 G548:I549 A565:E569 G567:I569 F548:F569 A533:H534 A570:I576 A7:B7 A500:B500 C503:H503 G504:H504 A504:E504 C515:E515 A536:I547 J536:J578 A248:E248 K577:R578 D7:P7 AD17:AL32 D345:AB345 D92:G92 A4:AB6 G248:AB248 J533:AB534 A535:AB535 J503:AB504 A516:AB532 K536:AB576 A8:AB16 R7:AB7 Y577:AB578 J17:AB32 A472:H472 A33:AB54 A55:G80 I55:AB80 A81:AB91 A93:G129 A381:G381 A383:G389 D473:H492 H381:AB389 A493:AB499 D500:AB500 A501:AB501 C502:AB502 G515:AB515 A505:AB514 A325:H326 H92:AB111 H117:AB129 H112:W116 Y112:AB116 A276:AB277 A275:W275 Y275:AB275 A280:AB290 A278:W279 Y278:AB279 A291:W295 Y291:AB295 J325:AB326 J472:AB492 A148:AB247 A146:H147 J146:AB147 A130:AB145 A249:AB274 A296:AB324 A327:AB344 A390:AB471 M4:M584 O4:P584 S4:U584 A4:A584 AC4:AC585 A579:AB585 A346:AB380">
    <cfRule type="expression" dxfId="242" priority="218">
      <formula>ISNUMBER(FIND("SUPPRESSED",$A4))</formula>
    </cfRule>
  </conditionalFormatting>
  <conditionalFormatting sqref="AA551:AB563 AA565:AC576 AA383:AC453 AC106:AC499 AA455:AC549 AA4:AC381 AA579:AC585">
    <cfRule type="expression" dxfId="241" priority="216">
      <formula>AND(NOT(ISBLANK($Z4)),ISBLANK($AA4),TODAY()&gt;$Z4)</formula>
    </cfRule>
  </conditionalFormatting>
  <conditionalFormatting sqref="Z437">
    <cfRule type="expression" dxfId="240" priority="204">
      <formula>AND(NOT(ISBLANK($Z437)),ISBLANK($AA437),TODAY()&gt;$Z437)</formula>
    </cfRule>
  </conditionalFormatting>
  <conditionalFormatting sqref="Z423">
    <cfRule type="expression" dxfId="239" priority="203">
      <formula>AND(NOT(ISBLANK($Z423)),ISBLANK($AA423),TODAY()&gt;$Z423)</formula>
    </cfRule>
  </conditionalFormatting>
  <conditionalFormatting sqref="Z422">
    <cfRule type="expression" dxfId="238" priority="202">
      <formula>AND(NOT(ISBLANK($Z422)),ISBLANK($AA422),TODAY()&gt;$Z422)</formula>
    </cfRule>
  </conditionalFormatting>
  <conditionalFormatting sqref="Z421">
    <cfRule type="expression" dxfId="237" priority="201">
      <formula>AND(NOT(ISBLANK($Z421)),ISBLANK($AA421),TODAY()&gt;$Z421)</formula>
    </cfRule>
  </conditionalFormatting>
  <conditionalFormatting sqref="Z420">
    <cfRule type="expression" dxfId="236" priority="200">
      <formula>AND(NOT(ISBLANK($Z420)),ISBLANK($AA420),TODAY()&gt;$Z420)</formula>
    </cfRule>
  </conditionalFormatting>
  <conditionalFormatting sqref="Z419">
    <cfRule type="expression" dxfId="235" priority="199">
      <formula>AND(NOT(ISBLANK($Z419)),ISBLANK($AA419),TODAY()&gt;$Z419)</formula>
    </cfRule>
  </conditionalFormatting>
  <conditionalFormatting sqref="Z404">
    <cfRule type="expression" dxfId="234" priority="198">
      <formula>AND(NOT(ISBLANK($Z404)),ISBLANK($AA404),TODAY()&gt;$Z404)</formula>
    </cfRule>
  </conditionalFormatting>
  <conditionalFormatting sqref="AA454:AB454">
    <cfRule type="expression" dxfId="233" priority="189">
      <formula>AND(NOT(ISBLANK($Z454)),ISBLANK($AA454),TODAY()&gt;$Z454)</formula>
    </cfRule>
  </conditionalFormatting>
  <conditionalFormatting sqref="A577:H578 U577:W578">
    <cfRule type="expression" dxfId="232" priority="170">
      <formula>ISNUMBER(FIND("SUPPRESSED",$A577))</formula>
    </cfRule>
  </conditionalFormatting>
  <conditionalFormatting sqref="AA577:AB578">
    <cfRule type="expression" dxfId="231" priority="168">
      <formula>AND(NOT(ISBLANK($Z577)),ISBLANK($AA577),TODAY()&gt;$Z577)</formula>
    </cfRule>
  </conditionalFormatting>
  <conditionalFormatting sqref="I577:I578">
    <cfRule type="expression" dxfId="230" priority="153">
      <formula>ISNUMBER(FIND("SUPPRESSED",$A577))</formula>
    </cfRule>
  </conditionalFormatting>
  <conditionalFormatting sqref="I556">
    <cfRule type="expression" dxfId="229" priority="147">
      <formula>ISNUMBER(FIND("SUPPRESSED",$A556))</formula>
    </cfRule>
  </conditionalFormatting>
  <conditionalFormatting sqref="A564:E564 G564:I564">
    <cfRule type="expression" dxfId="228" priority="138">
      <formula>ISNUMBER(FIND("SUPPRESSED",$A564))</formula>
    </cfRule>
  </conditionalFormatting>
  <conditionalFormatting sqref="AA564:AB564">
    <cfRule type="expression" dxfId="227" priority="136">
      <formula>AND(NOT(ISBLANK($Z564)),ISBLANK($AA564),TODAY()&gt;$Z564)</formula>
    </cfRule>
  </conditionalFormatting>
  <conditionalFormatting sqref="I533:I534">
    <cfRule type="expression" dxfId="226" priority="226">
      <formula>ISNUMBER(FIND("SUPPRESSED",$A565))</formula>
    </cfRule>
  </conditionalFormatting>
  <conditionalFormatting sqref="I565:I566">
    <cfRule type="expression" dxfId="225" priority="133">
      <formula>ISNUMBER(FIND("SUPPRESSED",$A548))</formula>
    </cfRule>
  </conditionalFormatting>
  <conditionalFormatting sqref="A382:G382">
    <cfRule type="expression" dxfId="224" priority="126">
      <formula>ISNUMBER(FIND("SUPPRESSED",$A382))</formula>
    </cfRule>
  </conditionalFormatting>
  <conditionalFormatting sqref="AA382:AB382">
    <cfRule type="expression" dxfId="223" priority="124">
      <formula>AND(NOT(ISBLANK($Z382)),ISBLANK($AA382),TODAY()&gt;$Z382)</formula>
    </cfRule>
  </conditionalFormatting>
  <conditionalFormatting sqref="X577:X578">
    <cfRule type="expression" dxfId="222" priority="122">
      <formula>ISNUMBER(FIND("SUPPRESSED",$A577))</formula>
    </cfRule>
  </conditionalFormatting>
  <conditionalFormatting sqref="A550:E550 G550:I550">
    <cfRule type="expression" dxfId="221" priority="113">
      <formula>ISNUMBER(FIND("SUPPRESSED",$A550))</formula>
    </cfRule>
  </conditionalFormatting>
  <conditionalFormatting sqref="AA550:AB550">
    <cfRule type="expression" dxfId="220" priority="111">
      <formula>AND(NOT(ISBLANK($Z550)),ISBLANK($AA550),TODAY()&gt;$Z550)</formula>
    </cfRule>
  </conditionalFormatting>
  <conditionalFormatting sqref="F521:F529">
    <cfRule type="expression" dxfId="219" priority="291">
      <formula>ISNUMBER(FIND("SUPPRESSED",$A546))</formula>
    </cfRule>
  </conditionalFormatting>
  <conditionalFormatting sqref="F498:F503">
    <cfRule type="expression" dxfId="218" priority="297">
      <formula>ISNUMBER(FIND("SUPPRESSED",$A545))</formula>
    </cfRule>
  </conditionalFormatting>
  <conditionalFormatting sqref="F516:F520">
    <cfRule type="expression" dxfId="217" priority="305">
      <formula>ISNUMBER(FIND("SUPPRESSED",$A552))</formula>
    </cfRule>
  </conditionalFormatting>
  <conditionalFormatting sqref="F514">
    <cfRule type="expression" dxfId="216" priority="306">
      <formula>ISNUMBER(FIND("SUPPRESSED",$A552))</formula>
    </cfRule>
  </conditionalFormatting>
  <conditionalFormatting sqref="F505:F513">
    <cfRule type="expression" dxfId="215" priority="307">
      <formula>ISNUMBER(FIND("SUPPRESSED",$A546))</formula>
    </cfRule>
  </conditionalFormatting>
  <conditionalFormatting sqref="F511:F513">
    <cfRule type="expression" dxfId="214" priority="335">
      <formula>ISNUMBER(FIND("SUPPRESSED",$A553))</formula>
    </cfRule>
  </conditionalFormatting>
  <conditionalFormatting sqref="F516:F520">
    <cfRule type="expression" dxfId="213" priority="41">
      <formula>ISNUMBER(FIND("SUPPRESSED",$A554))</formula>
    </cfRule>
  </conditionalFormatting>
  <conditionalFormatting sqref="F516 I326 X112:X116">
    <cfRule type="expression" dxfId="212" priority="337">
      <formula>ISNUMBER(FIND("SUPPRESSED",$A111))</formula>
    </cfRule>
  </conditionalFormatting>
  <conditionalFormatting sqref="F515">
    <cfRule type="expression" dxfId="211" priority="38">
      <formula>ISNUMBER(FIND("SUPPRESSED",$A515))</formula>
    </cfRule>
  </conditionalFormatting>
  <conditionalFormatting sqref="F515">
    <cfRule type="expression" dxfId="210" priority="39">
      <formula>ISNUMBER(FIND("SUPPRESSED",$A551))</formula>
    </cfRule>
  </conditionalFormatting>
  <conditionalFormatting sqref="F515">
    <cfRule type="expression" dxfId="209" priority="37">
      <formula>ISNUMBER(FIND("SUPPRESSED",$A553))</formula>
    </cfRule>
  </conditionalFormatting>
  <conditionalFormatting sqref="F515">
    <cfRule type="expression" dxfId="208" priority="40">
      <formula>ISNUMBER(FIND("SUPPRESSED",#REF!))</formula>
    </cfRule>
  </conditionalFormatting>
  <conditionalFormatting sqref="F504">
    <cfRule type="expression" dxfId="207" priority="35">
      <formula>ISNUMBER(FIND("SUPPRESSED",$A504))</formula>
    </cfRule>
  </conditionalFormatting>
  <conditionalFormatting sqref="F504">
    <cfRule type="expression" dxfId="206" priority="36">
      <formula>ISNUMBER(FIND("SUPPRESSED",$A551))</formula>
    </cfRule>
  </conditionalFormatting>
  <conditionalFormatting sqref="K217:AA217">
    <cfRule type="expression" dxfId="205" priority="341">
      <formula>ISNUMBER(FIND("SUPPRESSED",#REF!))</formula>
    </cfRule>
  </conditionalFormatting>
  <conditionalFormatting sqref="A29:A30 C29:D30 G32:I32 A17:E28 A31:D32 E32 G17:I28 E29:I31">
    <cfRule type="expression" dxfId="204" priority="29">
      <formula>ISNUMBER(FIND("SUPPRESSED",$A17))</formula>
    </cfRule>
  </conditionalFormatting>
  <conditionalFormatting sqref="AF17:AF32">
    <cfRule type="expression" dxfId="203" priority="28">
      <formula>AND(#REF!&lt;&gt;$S17,NOT(ISBLANK(#REF!)))</formula>
    </cfRule>
  </conditionalFormatting>
  <conditionalFormatting sqref="AK17:AL32">
    <cfRule type="expression" dxfId="202" priority="27">
      <formula>AND(NOT(ISBLANK($Z17)),ISBLANK($AA17),TODAY()&gt;$Z17)</formula>
    </cfRule>
  </conditionalFormatting>
  <conditionalFormatting sqref="AG17:AH32">
    <cfRule type="expression" dxfId="201" priority="26">
      <formula>AND(NOT(ISBLANK(#REF!)),#REF!&lt;&gt;$U17)</formula>
    </cfRule>
  </conditionalFormatting>
  <conditionalFormatting sqref="F30">
    <cfRule type="expression" dxfId="200" priority="30">
      <formula>ISNUMBER(FIND("SUPPRESSED",$A559))</formula>
    </cfRule>
  </conditionalFormatting>
  <conditionalFormatting sqref="F29">
    <cfRule type="expression" dxfId="199" priority="31">
      <formula>ISNUMBER(FIND("SUPPRESSED",$A559))</formula>
    </cfRule>
  </conditionalFormatting>
  <conditionalFormatting sqref="F30">
    <cfRule type="expression" dxfId="198" priority="25">
      <formula>ISNUMBER(FIND("SUPPRESSED",$A560))</formula>
    </cfRule>
  </conditionalFormatting>
  <conditionalFormatting sqref="F17">
    <cfRule type="expression" dxfId="197" priority="24">
      <formula>ISNUMBER(FIND("SUPPRESSED",$A17))</formula>
    </cfRule>
  </conditionalFormatting>
  <conditionalFormatting sqref="F18">
    <cfRule type="expression" dxfId="196" priority="23">
      <formula>ISNUMBER(FIND("SUPPRESSED",$A18))</formula>
    </cfRule>
  </conditionalFormatting>
  <conditionalFormatting sqref="F19">
    <cfRule type="expression" dxfId="195" priority="22">
      <formula>ISNUMBER(FIND("SUPPRESSED",$A19))</formula>
    </cfRule>
  </conditionalFormatting>
  <conditionalFormatting sqref="F32">
    <cfRule type="expression" dxfId="194" priority="21">
      <formula>ISNUMBER(FIND("SUPPRESSED",$A32))</formula>
    </cfRule>
  </conditionalFormatting>
  <conditionalFormatting sqref="F20">
    <cfRule type="expression" dxfId="193" priority="20">
      <formula>ISNUMBER(FIND("SUPPRESSED",$A20))</formula>
    </cfRule>
  </conditionalFormatting>
  <conditionalFormatting sqref="F21">
    <cfRule type="expression" dxfId="192" priority="19">
      <formula>ISNUMBER(FIND("SUPPRESSED",$A21))</formula>
    </cfRule>
  </conditionalFormatting>
  <conditionalFormatting sqref="F22:F28">
    <cfRule type="expression" dxfId="191" priority="18">
      <formula>ISNUMBER(FIND("SUPPRESSED",$A22))</formula>
    </cfRule>
  </conditionalFormatting>
  <conditionalFormatting sqref="Q19">
    <cfRule type="expression" dxfId="190" priority="413">
      <formula>ISNUMBER(FIND("SUPPRESSED",$A7))</formula>
    </cfRule>
  </conditionalFormatting>
  <conditionalFormatting sqref="AC551:AC563">
    <cfRule type="expression" dxfId="189" priority="16">
      <formula>AND(NOT(ISBLANK($Z551)),ISBLANK($AA551),TODAY()&gt;$Z551)</formula>
    </cfRule>
  </conditionalFormatting>
  <conditionalFormatting sqref="AC454">
    <cfRule type="expression" dxfId="188" priority="15">
      <formula>AND(NOT(ISBLANK($Z454)),ISBLANK($AA454),TODAY()&gt;$Z454)</formula>
    </cfRule>
  </conditionalFormatting>
  <conditionalFormatting sqref="AC577:AC578">
    <cfRule type="expression" dxfId="187" priority="14">
      <formula>AND(NOT(ISBLANK($Z577)),ISBLANK($AA577),TODAY()&gt;$Z577)</formula>
    </cfRule>
  </conditionalFormatting>
  <conditionalFormatting sqref="AC564">
    <cfRule type="expression" dxfId="186" priority="13">
      <formula>AND(NOT(ISBLANK($Z564)),ISBLANK($AA564),TODAY()&gt;$Z564)</formula>
    </cfRule>
  </conditionalFormatting>
  <conditionalFormatting sqref="AC382">
    <cfRule type="expression" dxfId="185" priority="12">
      <formula>AND(NOT(ISBLANK($Z382)),ISBLANK($AA382),TODAY()&gt;$Z382)</formula>
    </cfRule>
  </conditionalFormatting>
  <conditionalFormatting sqref="AC550">
    <cfRule type="expression" dxfId="184" priority="11">
      <formula>AND(NOT(ISBLANK($Z550)),ISBLANK($AA550),TODAY()&gt;$Z550)</formula>
    </cfRule>
  </conditionalFormatting>
  <conditionalFormatting sqref="H54:H77">
    <cfRule type="expression" dxfId="183" priority="498">
      <formula>ISNUMBER(FIND("SUPPRESSED",$A57))</formula>
    </cfRule>
  </conditionalFormatting>
  <conditionalFormatting sqref="I503">
    <cfRule type="expression" dxfId="182" priority="10">
      <formula>ISNUMBER(FIND("SUPPRESSED",$A503))</formula>
    </cfRule>
  </conditionalFormatting>
  <conditionalFormatting sqref="I504">
    <cfRule type="expression" dxfId="181" priority="9">
      <formula>ISNUMBER(FIND("SUPPRESSED",$A504))</formula>
    </cfRule>
  </conditionalFormatting>
  <conditionalFormatting sqref="X275">
    <cfRule type="expression" dxfId="180" priority="8">
      <formula>ISNUMBER(FIND("SUPPRESSED",$A274))</formula>
    </cfRule>
  </conditionalFormatting>
  <conditionalFormatting sqref="X278">
    <cfRule type="expression" dxfId="179" priority="7">
      <formula>ISNUMBER(FIND("SUPPRESSED",$A277))</formula>
    </cfRule>
  </conditionalFormatting>
  <conditionalFormatting sqref="X279">
    <cfRule type="expression" dxfId="178" priority="6">
      <formula>ISNUMBER(FIND("SUPPRESSED",$A278))</formula>
    </cfRule>
  </conditionalFormatting>
  <conditionalFormatting sqref="X291">
    <cfRule type="expression" dxfId="177" priority="5">
      <formula>ISNUMBER(FIND("SUPPRESSED",$A290))</formula>
    </cfRule>
  </conditionalFormatting>
  <conditionalFormatting sqref="X292">
    <cfRule type="expression" dxfId="176" priority="4">
      <formula>ISNUMBER(FIND("SUPPRESSED",$A291))</formula>
    </cfRule>
  </conditionalFormatting>
  <conditionalFormatting sqref="X293">
    <cfRule type="expression" dxfId="175" priority="3">
      <formula>ISNUMBER(FIND("SUPPRESSED",$A292))</formula>
    </cfRule>
  </conditionalFormatting>
  <conditionalFormatting sqref="X294">
    <cfRule type="expression" dxfId="174" priority="2">
      <formula>ISNUMBER(FIND("SUPPRESSED",$A293))</formula>
    </cfRule>
  </conditionalFormatting>
  <conditionalFormatting sqref="X295">
    <cfRule type="expression" dxfId="173" priority="1">
      <formula>ISNUMBER(FIND("SUPPRESSED",$A294))</formula>
    </cfRule>
  </conditionalFormatting>
  <conditionalFormatting sqref="I111">
    <cfRule type="expression" dxfId="172" priority="500">
      <formula>ISNUMBER(FIND("SUPPRESSED",$A146))</formula>
    </cfRule>
  </conditionalFormatting>
  <dataValidations count="3">
    <dataValidation type="list" allowBlank="1" showErrorMessage="1" sqref="A587:A697" xr:uid="{00000000-0002-0000-0400-000000000000}">
      <formula1>StatusList</formula1>
    </dataValidation>
    <dataValidation type="list" allowBlank="1" showInputMessage="1" showErrorMessage="1" sqref="A4:A585" xr:uid="{00000000-0002-0000-0400-000001000000}">
      <formula1>StatusList</formula1>
    </dataValidation>
    <dataValidation type="list" allowBlank="1" showErrorMessage="1" sqref="J4:J585" xr:uid="{00000000-0002-0000-0400-000002000000}">
      <formula1>TypeList</formula1>
    </dataValidation>
  </dataValidations>
  <hyperlinks>
    <hyperlink ref="I38" r:id="rId1" xr:uid="{00000000-0004-0000-0400-000000000000}"/>
    <hyperlink ref="I390" r:id="rId2" xr:uid="{00000000-0004-0000-0400-000001000000}"/>
    <hyperlink ref="I171" r:id="rId3" display="Leadtec link" xr:uid="{00000000-0004-0000-0400-000002000000}"/>
    <hyperlink ref="I436" r:id="rId4" xr:uid="{00000000-0004-0000-0400-000003000000}"/>
    <hyperlink ref="AB117" r:id="rId5" xr:uid="{00000000-0004-0000-0400-000004000000}"/>
    <hyperlink ref="AB499" r:id="rId6" xr:uid="{00000000-0004-0000-0400-000005000000}"/>
    <hyperlink ref="AB105" r:id="rId7" xr:uid="{00000000-0004-0000-0400-000006000000}"/>
  </hyperlinks>
  <printOptions gridLines="1"/>
  <pageMargins left="0.7" right="0.7" top="0.75" bottom="0.75" header="0.3" footer="0.3"/>
  <pageSetup scale="19" orientation="landscape" r:id="rId8"/>
  <legacyDrawing r:id="rId9"/>
  <tableParts count="1">
    <tablePart r:id="rId10"/>
  </tableParts>
  <extLst>
    <ext xmlns:x14="http://schemas.microsoft.com/office/spreadsheetml/2009/9/main" uri="{78C0D931-6437-407d-A8EE-F0AAD7539E65}">
      <x14:conditionalFormattings>
        <x14:conditionalFormatting xmlns:xm="http://schemas.microsoft.com/office/excel/2006/main">
          <x14:cfRule type="cellIs" priority="219" operator="equal" id="{23278239-E83C-4CB5-A9FF-4F6CBC278C1F}">
            <xm:f>'HOW TO USE'!$A$49</xm:f>
            <x14:dxf>
              <font>
                <color auto="1"/>
              </font>
              <fill>
                <patternFill patternType="solid">
                  <fgColor rgb="FF000000"/>
                  <bgColor rgb="FFFF0000"/>
                </patternFill>
              </fill>
              <border>
                <left/>
                <right/>
                <top/>
                <bottom/>
              </border>
            </x14:dxf>
          </x14:cfRule>
          <x14:cfRule type="cellIs" priority="220" operator="equal" id="{D8E8E068-6EE7-4C08-B0D1-B7814E4037EF}">
            <xm:f>'HOW TO USE'!$A$50</xm:f>
            <x14:dxf>
              <fill>
                <patternFill patternType="solid">
                  <fgColor rgb="FF0070C0"/>
                  <bgColor rgb="FFFFC000"/>
                </patternFill>
              </fill>
              <border>
                <left/>
                <right/>
                <top/>
                <bottom/>
              </border>
            </x14:dxf>
          </x14:cfRule>
          <x14:cfRule type="cellIs" priority="221" operator="equal" id="{76D51AB2-99A2-4E51-BA90-30B905935FB9}">
            <xm:f>'HOW TO USE'!$A$51</xm:f>
            <x14:dxf>
              <fill>
                <patternFill patternType="solid">
                  <fgColor rgb="FFFF0000"/>
                  <bgColor rgb="FFFFFF00"/>
                </patternFill>
              </fill>
              <border>
                <left/>
                <right/>
                <top/>
                <bottom/>
              </border>
            </x14:dxf>
          </x14:cfRule>
          <x14:cfRule type="cellIs" priority="222" operator="equal" id="{43B230A8-D2A8-4EF7-90D7-ACAB80B14AED}">
            <xm:f>'HOW TO USE'!$A$52</xm:f>
            <x14:dxf>
              <fill>
                <patternFill>
                  <bgColor rgb="FF92D050"/>
                </patternFill>
              </fill>
            </x14:dxf>
          </x14:cfRule>
          <x14:cfRule type="cellIs" priority="223" operator="equal" id="{6EADFD4F-E224-45B3-A51B-16BF80267322}">
            <xm:f>'HOW TO USE'!$A$54</xm:f>
            <x14:dxf>
              <fill>
                <patternFill patternType="solid">
                  <fgColor rgb="FF00B050"/>
                  <bgColor rgb="FF00B050"/>
                </patternFill>
              </fill>
              <border>
                <left/>
                <right/>
                <top/>
                <bottom/>
              </border>
            </x14:dxf>
          </x14:cfRule>
          <x14:cfRule type="cellIs" priority="224" operator="equal" id="{19CD392A-58A2-4D54-A687-0E76570C21EF}">
            <xm:f>'HOW TO USE'!$A$55</xm:f>
            <x14:dxf>
              <fill>
                <patternFill>
                  <bgColor rgb="FF0070C0"/>
                </patternFill>
              </fill>
            </x14:dxf>
          </x14:cfRule>
          <xm:sqref>A4:A585</xm:sqref>
        </x14:conditionalFormatting>
        <x14:conditionalFormatting xmlns:xm="http://schemas.microsoft.com/office/excel/2006/main">
          <x14:cfRule type="cellIs" priority="192" operator="equal" id="{0FFF760B-D24D-450B-9F8F-4CAD5F621C46}">
            <xm:f>'HOW TO USE'!$A$49</xm:f>
            <x14:dxf>
              <font>
                <color auto="1"/>
              </font>
              <fill>
                <patternFill patternType="solid">
                  <fgColor rgb="FF000000"/>
                  <bgColor rgb="FFFF0000"/>
                </patternFill>
              </fill>
              <border>
                <left/>
                <right/>
                <top/>
                <bottom/>
              </border>
            </x14:dxf>
          </x14:cfRule>
          <x14:cfRule type="cellIs" priority="193" operator="equal" id="{6B2680D1-B955-4BC5-A991-B8F974AFEC6A}">
            <xm:f>'HOW TO USE'!$A$50</xm:f>
            <x14:dxf>
              <fill>
                <patternFill patternType="solid">
                  <fgColor rgb="FF0070C0"/>
                  <bgColor rgb="FFFFC000"/>
                </patternFill>
              </fill>
              <border>
                <left/>
                <right/>
                <top/>
                <bottom/>
              </border>
            </x14:dxf>
          </x14:cfRule>
          <x14:cfRule type="cellIs" priority="194" operator="equal" id="{2ECA4ABC-1E36-48F3-B47B-8A142AF7763B}">
            <xm:f>'HOW TO USE'!$A$51</xm:f>
            <x14:dxf>
              <fill>
                <patternFill patternType="solid">
                  <fgColor rgb="FFFF0000"/>
                  <bgColor rgb="FFFFFF00"/>
                </patternFill>
              </fill>
              <border>
                <left/>
                <right/>
                <top/>
                <bottom/>
              </border>
            </x14:dxf>
          </x14:cfRule>
          <x14:cfRule type="cellIs" priority="195" operator="equal" id="{056257C1-10E3-415E-88D2-304ED6E1E06E}">
            <xm:f>'HOW TO USE'!$A$52</xm:f>
            <x14:dxf>
              <fill>
                <patternFill>
                  <bgColor rgb="FF92D050"/>
                </patternFill>
              </fill>
            </x14:dxf>
          </x14:cfRule>
          <x14:cfRule type="cellIs" priority="196" operator="equal" id="{41E4C079-49B9-4C42-8123-FB19C5F0BC0E}">
            <xm:f>'HOW TO USE'!$A$54</xm:f>
            <x14:dxf>
              <fill>
                <patternFill patternType="solid">
                  <fgColor rgb="FF00B050"/>
                  <bgColor rgb="FF00B050"/>
                </patternFill>
              </fill>
              <border>
                <left/>
                <right/>
                <top/>
                <bottom/>
              </border>
            </x14:dxf>
          </x14:cfRule>
          <x14:cfRule type="cellIs" priority="197" operator="equal" id="{B3BEB803-5B75-45AC-8BF7-6E3F78D8AD8D}">
            <xm:f>'HOW TO USE'!$A$55</xm:f>
            <x14:dxf>
              <fill>
                <patternFill>
                  <bgColor rgb="FF0070C0"/>
                </patternFill>
              </fill>
            </x14:dxf>
          </x14:cfRule>
          <xm:sqref>A454</xm:sqref>
        </x14:conditionalFormatting>
        <x14:conditionalFormatting xmlns:xm="http://schemas.microsoft.com/office/excel/2006/main">
          <x14:cfRule type="cellIs" priority="171" operator="equal" id="{D813781D-938C-4701-8B58-CE363CC06092}">
            <xm:f>'HOW TO USE'!$A$49</xm:f>
            <x14:dxf>
              <font>
                <color auto="1"/>
              </font>
              <fill>
                <patternFill patternType="solid">
                  <fgColor rgb="FF000000"/>
                  <bgColor rgb="FFFF0000"/>
                </patternFill>
              </fill>
              <border>
                <left/>
                <right/>
                <top/>
                <bottom/>
              </border>
            </x14:dxf>
          </x14:cfRule>
          <x14:cfRule type="cellIs" priority="172" operator="equal" id="{968B179A-6E65-4C74-A442-E34FF7B26C50}">
            <xm:f>'HOW TO USE'!$A$50</xm:f>
            <x14:dxf>
              <fill>
                <patternFill patternType="solid">
                  <fgColor rgb="FF0070C0"/>
                  <bgColor rgb="FFFFC000"/>
                </patternFill>
              </fill>
              <border>
                <left/>
                <right/>
                <top/>
                <bottom/>
              </border>
            </x14:dxf>
          </x14:cfRule>
          <x14:cfRule type="cellIs" priority="173" operator="equal" id="{5F2E1C06-1E8A-42EC-8B33-373354D939F5}">
            <xm:f>'HOW TO USE'!$A$51</xm:f>
            <x14:dxf>
              <fill>
                <patternFill patternType="solid">
                  <fgColor rgb="FFFF0000"/>
                  <bgColor rgb="FFFFFF00"/>
                </patternFill>
              </fill>
              <border>
                <left/>
                <right/>
                <top/>
                <bottom/>
              </border>
            </x14:dxf>
          </x14:cfRule>
          <x14:cfRule type="cellIs" priority="174" operator="equal" id="{A92004C2-7336-41EA-B0EC-E9F01F540B96}">
            <xm:f>'HOW TO USE'!$A$52</xm:f>
            <x14:dxf>
              <fill>
                <patternFill>
                  <bgColor rgb="FF92D050"/>
                </patternFill>
              </fill>
            </x14:dxf>
          </x14:cfRule>
          <x14:cfRule type="cellIs" priority="175" operator="equal" id="{A2D5BD21-6251-43F3-A544-B8228267AECC}">
            <xm:f>'HOW TO USE'!$A$54</xm:f>
            <x14:dxf>
              <fill>
                <patternFill patternType="solid">
                  <fgColor rgb="FF00B050"/>
                  <bgColor rgb="FF00B050"/>
                </patternFill>
              </fill>
              <border>
                <left/>
                <right/>
                <top/>
                <bottom/>
              </border>
            </x14:dxf>
          </x14:cfRule>
          <x14:cfRule type="cellIs" priority="176" operator="equal" id="{06F7E9A3-8822-4A79-BDDE-366223AC79C4}">
            <xm:f>'HOW TO USE'!$A$55</xm:f>
            <x14:dxf>
              <fill>
                <patternFill>
                  <bgColor rgb="FF0070C0"/>
                </patternFill>
              </fill>
            </x14:dxf>
          </x14:cfRule>
          <xm:sqref>A577:A578</xm:sqref>
        </x14:conditionalFormatting>
        <x14:conditionalFormatting xmlns:xm="http://schemas.microsoft.com/office/excel/2006/main">
          <x14:cfRule type="cellIs" priority="139" operator="equal" id="{BFEE3688-98E0-4C9E-A4A5-1D5AAB678EA9}">
            <xm:f>'HOW TO USE'!$A$49</xm:f>
            <x14:dxf>
              <font>
                <color auto="1"/>
              </font>
              <fill>
                <patternFill patternType="solid">
                  <fgColor rgb="FF000000"/>
                  <bgColor rgb="FFFF0000"/>
                </patternFill>
              </fill>
              <border>
                <left/>
                <right/>
                <top/>
                <bottom/>
              </border>
            </x14:dxf>
          </x14:cfRule>
          <x14:cfRule type="cellIs" priority="140" operator="equal" id="{9D0B02DF-810D-4DED-BB4C-E8A992C03598}">
            <xm:f>'HOW TO USE'!$A$50</xm:f>
            <x14:dxf>
              <fill>
                <patternFill patternType="solid">
                  <fgColor rgb="FF0070C0"/>
                  <bgColor rgb="FFFFC000"/>
                </patternFill>
              </fill>
              <border>
                <left/>
                <right/>
                <top/>
                <bottom/>
              </border>
            </x14:dxf>
          </x14:cfRule>
          <x14:cfRule type="cellIs" priority="141" operator="equal" id="{AB6E6D47-BA9F-4DB1-861E-56AC58419DAF}">
            <xm:f>'HOW TO USE'!$A$51</xm:f>
            <x14:dxf>
              <fill>
                <patternFill patternType="solid">
                  <fgColor rgb="FFFF0000"/>
                  <bgColor rgb="FFFFFF00"/>
                </patternFill>
              </fill>
              <border>
                <left/>
                <right/>
                <top/>
                <bottom/>
              </border>
            </x14:dxf>
          </x14:cfRule>
          <x14:cfRule type="cellIs" priority="142" operator="equal" id="{33EF2D6C-C5C4-40BB-B521-9762BBE99568}">
            <xm:f>'HOW TO USE'!$A$52</xm:f>
            <x14:dxf>
              <fill>
                <patternFill>
                  <bgColor rgb="FF92D050"/>
                </patternFill>
              </fill>
            </x14:dxf>
          </x14:cfRule>
          <x14:cfRule type="cellIs" priority="143" operator="equal" id="{05F07A7A-61FD-4FA2-AE43-42D2F4CCB236}">
            <xm:f>'HOW TO USE'!$A$54</xm:f>
            <x14:dxf>
              <fill>
                <patternFill patternType="solid">
                  <fgColor rgb="FF00B050"/>
                  <bgColor rgb="FF00B050"/>
                </patternFill>
              </fill>
              <border>
                <left/>
                <right/>
                <top/>
                <bottom/>
              </border>
            </x14:dxf>
          </x14:cfRule>
          <x14:cfRule type="cellIs" priority="144" operator="equal" id="{41EF46DA-1F44-4980-9575-F5292B08496F}">
            <xm:f>'HOW TO USE'!$A$55</xm:f>
            <x14:dxf>
              <fill>
                <patternFill>
                  <bgColor rgb="FF0070C0"/>
                </patternFill>
              </fill>
            </x14:dxf>
          </x14:cfRule>
          <xm:sqref>A564</xm:sqref>
        </x14:conditionalFormatting>
        <x14:conditionalFormatting xmlns:xm="http://schemas.microsoft.com/office/excel/2006/main">
          <x14:cfRule type="cellIs" priority="127" operator="equal" id="{96F10FF3-D0F7-4584-9917-C661D61B37BD}">
            <xm:f>'HOW TO USE'!$A$49</xm:f>
            <x14:dxf>
              <font>
                <color auto="1"/>
              </font>
              <fill>
                <patternFill patternType="solid">
                  <fgColor rgb="FF000000"/>
                  <bgColor rgb="FFFF0000"/>
                </patternFill>
              </fill>
              <border>
                <left/>
                <right/>
                <top/>
                <bottom/>
              </border>
            </x14:dxf>
          </x14:cfRule>
          <x14:cfRule type="cellIs" priority="128" operator="equal" id="{A0EBCDA2-39A0-4510-ACEB-F2B60F0474B8}">
            <xm:f>'HOW TO USE'!$A$50</xm:f>
            <x14:dxf>
              <fill>
                <patternFill patternType="solid">
                  <fgColor rgb="FF0070C0"/>
                  <bgColor rgb="FFFFC000"/>
                </patternFill>
              </fill>
              <border>
                <left/>
                <right/>
                <top/>
                <bottom/>
              </border>
            </x14:dxf>
          </x14:cfRule>
          <x14:cfRule type="cellIs" priority="129" operator="equal" id="{931C7CF7-D68C-4BA3-8B00-8E91BEEFF42B}">
            <xm:f>'HOW TO USE'!$A$51</xm:f>
            <x14:dxf>
              <fill>
                <patternFill patternType="solid">
                  <fgColor rgb="FFFF0000"/>
                  <bgColor rgb="FFFFFF00"/>
                </patternFill>
              </fill>
              <border>
                <left/>
                <right/>
                <top/>
                <bottom/>
              </border>
            </x14:dxf>
          </x14:cfRule>
          <x14:cfRule type="cellIs" priority="130" operator="equal" id="{2F14647C-41BE-4AE6-914D-7BB145FC1815}">
            <xm:f>'HOW TO USE'!$A$52</xm:f>
            <x14:dxf>
              <fill>
                <patternFill>
                  <bgColor rgb="FF92D050"/>
                </patternFill>
              </fill>
            </x14:dxf>
          </x14:cfRule>
          <x14:cfRule type="cellIs" priority="131" operator="equal" id="{213EA8B7-2B1E-44C0-9EA7-20B1A41BC1DC}">
            <xm:f>'HOW TO USE'!$A$54</xm:f>
            <x14:dxf>
              <fill>
                <patternFill patternType="solid">
                  <fgColor rgb="FF00B050"/>
                  <bgColor rgb="FF00B050"/>
                </patternFill>
              </fill>
              <border>
                <left/>
                <right/>
                <top/>
                <bottom/>
              </border>
            </x14:dxf>
          </x14:cfRule>
          <x14:cfRule type="cellIs" priority="132" operator="equal" id="{DCFF8FD2-4006-42AE-9C1C-45EBAD806837}">
            <xm:f>'HOW TO USE'!$A$55</xm:f>
            <x14:dxf>
              <fill>
                <patternFill>
                  <bgColor rgb="FF0070C0"/>
                </patternFill>
              </fill>
            </x14:dxf>
          </x14:cfRule>
          <xm:sqref>A382</xm:sqref>
        </x14:conditionalFormatting>
        <x14:conditionalFormatting xmlns:xm="http://schemas.microsoft.com/office/excel/2006/main">
          <x14:cfRule type="cellIs" priority="114" operator="equal" id="{4F980A85-620E-4004-92C2-8BC7D317EA78}">
            <xm:f>'HOW TO USE'!$A$49</xm:f>
            <x14:dxf>
              <font>
                <color auto="1"/>
              </font>
              <fill>
                <patternFill patternType="solid">
                  <fgColor rgb="FF000000"/>
                  <bgColor rgb="FFFF0000"/>
                </patternFill>
              </fill>
              <border>
                <left/>
                <right/>
                <top/>
                <bottom/>
              </border>
            </x14:dxf>
          </x14:cfRule>
          <x14:cfRule type="cellIs" priority="115" operator="equal" id="{E81E9BD9-296F-4596-BE36-62867FF2826A}">
            <xm:f>'HOW TO USE'!$A$50</xm:f>
            <x14:dxf>
              <fill>
                <patternFill patternType="solid">
                  <fgColor rgb="FF0070C0"/>
                  <bgColor rgb="FFFFC000"/>
                </patternFill>
              </fill>
              <border>
                <left/>
                <right/>
                <top/>
                <bottom/>
              </border>
            </x14:dxf>
          </x14:cfRule>
          <x14:cfRule type="cellIs" priority="116" operator="equal" id="{CCF3F1DC-1C21-4CDC-97C8-6BC7894CDB40}">
            <xm:f>'HOW TO USE'!$A$51</xm:f>
            <x14:dxf>
              <fill>
                <patternFill patternType="solid">
                  <fgColor rgb="FFFF0000"/>
                  <bgColor rgb="FFFFFF00"/>
                </patternFill>
              </fill>
              <border>
                <left/>
                <right/>
                <top/>
                <bottom/>
              </border>
            </x14:dxf>
          </x14:cfRule>
          <x14:cfRule type="cellIs" priority="117" operator="equal" id="{8CF53F85-A512-4521-A9B3-6A100CD975C1}">
            <xm:f>'HOW TO USE'!$A$52</xm:f>
            <x14:dxf>
              <fill>
                <patternFill>
                  <bgColor rgb="FF92D050"/>
                </patternFill>
              </fill>
            </x14:dxf>
          </x14:cfRule>
          <x14:cfRule type="cellIs" priority="118" operator="equal" id="{E48C1FD9-7F1C-4F79-8D98-E7C919784EBA}">
            <xm:f>'HOW TO USE'!$A$54</xm:f>
            <x14:dxf>
              <fill>
                <patternFill patternType="solid">
                  <fgColor rgb="FF00B050"/>
                  <bgColor rgb="FF00B050"/>
                </patternFill>
              </fill>
              <border>
                <left/>
                <right/>
                <top/>
                <bottom/>
              </border>
            </x14:dxf>
          </x14:cfRule>
          <x14:cfRule type="cellIs" priority="119" operator="equal" id="{A50036E0-7E3C-4404-9D2C-A1F4547EC7A1}">
            <xm:f>'HOW TO USE'!$A$55</xm:f>
            <x14:dxf>
              <fill>
                <patternFill>
                  <bgColor rgb="FF0070C0"/>
                </patternFill>
              </fill>
            </x14:dxf>
          </x14:cfRule>
          <xm:sqref>A550</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sheetPr>
  <dimension ref="A1:AF313"/>
  <sheetViews>
    <sheetView showGridLines="0" zoomScaleNormal="100" workbookViewId="0">
      <pane xSplit="3" ySplit="4" topLeftCell="D83" activePane="bottomRight" state="frozen"/>
      <selection pane="topRight" activeCell="C1" sqref="C1"/>
      <selection pane="bottomLeft" activeCell="A4" sqref="A4"/>
      <selection pane="bottomRight" activeCell="E29" sqref="E29"/>
    </sheetView>
  </sheetViews>
  <sheetFormatPr defaultColWidth="14.5703125" defaultRowHeight="15" customHeight="1" x14ac:dyDescent="0.25"/>
  <cols>
    <col min="1" max="1" width="14.5703125" style="44"/>
    <col min="2" max="2" width="30.7109375" style="44" customWidth="1"/>
    <col min="3" max="3" width="51.140625" style="44" customWidth="1"/>
    <col min="4" max="4" width="26.42578125" style="44" bestFit="1" customWidth="1"/>
    <col min="5" max="5" width="33.42578125" style="44" customWidth="1"/>
    <col min="6" max="7" width="14.5703125" style="44"/>
    <col min="8" max="8" width="18.42578125" style="44" customWidth="1"/>
    <col min="10" max="10" width="54.5703125" customWidth="1"/>
    <col min="11" max="11" width="14.5703125" style="44"/>
    <col min="12" max="12" width="17.85546875" customWidth="1"/>
    <col min="13" max="15" width="14.5703125" style="44"/>
    <col min="17" max="19" width="14.5703125" style="44"/>
    <col min="20" max="20" width="18.140625" style="44" customWidth="1"/>
    <col min="21" max="23" width="14.5703125" style="44"/>
    <col min="24" max="24" width="24.5703125" style="44" customWidth="1"/>
    <col min="25" max="25" width="24.5703125" style="178" customWidth="1"/>
    <col min="26" max="27" width="14.5703125" style="44" hidden="1" customWidth="1"/>
    <col min="28" max="29" width="14.5703125" style="44"/>
    <col min="30" max="30" width="29.140625" style="44" customWidth="1"/>
    <col min="31" max="31" width="47.85546875" style="44" customWidth="1"/>
    <col min="32" max="16384" width="14.5703125" style="44"/>
  </cols>
  <sheetData>
    <row r="1" spans="1:32" ht="15" hidden="1" customHeight="1" x14ac:dyDescent="0.2">
      <c r="A1" s="46" t="str">
        <f ca="1">MID(CELL("filename",A1),FIND("]",CELL("filename",A1))+1,255)&amp;" Bill of Materials"</f>
        <v>Payload Noses Bill of Materials</v>
      </c>
      <c r="B1" s="46"/>
      <c r="C1" s="46"/>
      <c r="D1" s="48" t="s">
        <v>164</v>
      </c>
      <c r="E1" s="48"/>
      <c r="F1" s="48"/>
      <c r="G1" s="48"/>
      <c r="H1" s="48"/>
      <c r="I1" s="48"/>
      <c r="J1" s="57"/>
      <c r="K1" s="49" t="s">
        <v>173</v>
      </c>
      <c r="L1" s="49"/>
      <c r="M1" s="49"/>
      <c r="N1" s="49"/>
      <c r="O1" s="49"/>
      <c r="P1" s="49"/>
      <c r="Q1" s="49"/>
      <c r="R1" s="49"/>
      <c r="S1" s="49"/>
      <c r="T1" s="49"/>
      <c r="U1" s="49"/>
      <c r="V1" s="49"/>
      <c r="W1" s="47" t="s">
        <v>174</v>
      </c>
      <c r="X1" s="47"/>
      <c r="Y1" s="177"/>
      <c r="Z1" s="47"/>
      <c r="AA1" s="47"/>
      <c r="AB1" s="47"/>
      <c r="AC1" s="47"/>
      <c r="AD1" s="47"/>
      <c r="AE1" s="47"/>
    </row>
    <row r="2" spans="1:32" ht="15" customHeight="1" x14ac:dyDescent="0.2">
      <c r="A2" s="46"/>
      <c r="B2" s="46"/>
      <c r="C2" s="46"/>
      <c r="D2" s="48"/>
      <c r="E2" s="48"/>
      <c r="F2" s="48"/>
      <c r="G2" s="48"/>
      <c r="H2" s="48"/>
      <c r="I2" s="48"/>
      <c r="J2" s="57"/>
      <c r="K2" s="49"/>
      <c r="L2" s="49"/>
      <c r="M2" s="49"/>
      <c r="N2" s="49"/>
      <c r="O2" s="49"/>
      <c r="P2" s="49"/>
      <c r="Q2" s="49"/>
      <c r="R2" s="49"/>
      <c r="S2" s="49"/>
      <c r="T2" s="49"/>
      <c r="U2" s="49"/>
      <c r="V2" s="49"/>
      <c r="W2" s="47"/>
      <c r="X2" s="47"/>
      <c r="Y2" s="177"/>
      <c r="Z2" s="47"/>
      <c r="AA2" s="47"/>
      <c r="AB2" s="47"/>
      <c r="AC2" s="47"/>
      <c r="AD2" s="47"/>
      <c r="AE2" s="47"/>
    </row>
    <row r="3" spans="1:32" ht="15" customHeight="1" x14ac:dyDescent="0.2">
      <c r="A3" s="46"/>
      <c r="B3" s="46"/>
      <c r="C3" s="46"/>
      <c r="D3" s="48"/>
      <c r="E3" s="48"/>
      <c r="F3" s="48"/>
      <c r="G3" s="48"/>
      <c r="H3" s="48"/>
      <c r="I3" s="48"/>
      <c r="J3" s="57"/>
      <c r="K3" s="49"/>
      <c r="L3" s="49" t="s">
        <v>2089</v>
      </c>
      <c r="M3" s="44">
        <v>1</v>
      </c>
      <c r="N3" s="49"/>
      <c r="O3" s="49" t="s">
        <v>2090</v>
      </c>
      <c r="P3" s="49"/>
      <c r="Q3" s="52">
        <v>1</v>
      </c>
      <c r="R3" s="49"/>
      <c r="S3" s="49"/>
      <c r="T3" s="49"/>
      <c r="U3" s="49"/>
      <c r="V3" s="49"/>
      <c r="W3" s="47"/>
      <c r="X3" s="47"/>
      <c r="Y3" s="177"/>
      <c r="Z3" s="47"/>
      <c r="AA3" s="47"/>
      <c r="AB3" s="47"/>
      <c r="AC3" s="47"/>
      <c r="AD3" s="47"/>
      <c r="AE3" s="47"/>
    </row>
    <row r="4" spans="1:32" ht="15" customHeight="1" x14ac:dyDescent="0.2">
      <c r="A4" s="44" t="s">
        <v>163</v>
      </c>
      <c r="B4" s="44" t="s">
        <v>2085</v>
      </c>
      <c r="C4" s="44" t="s">
        <v>2</v>
      </c>
      <c r="D4" s="48" t="s">
        <v>192</v>
      </c>
      <c r="E4" s="48" t="s">
        <v>179</v>
      </c>
      <c r="F4" s="48" t="s">
        <v>15</v>
      </c>
      <c r="G4" s="48" t="s">
        <v>162</v>
      </c>
      <c r="H4" s="48" t="s">
        <v>191</v>
      </c>
      <c r="I4" s="48" t="s">
        <v>203</v>
      </c>
      <c r="J4" s="57" t="s">
        <v>202</v>
      </c>
      <c r="K4" s="49" t="s">
        <v>190</v>
      </c>
      <c r="L4" s="49" t="s">
        <v>189</v>
      </c>
      <c r="M4" s="49" t="s">
        <v>155</v>
      </c>
      <c r="N4" s="49" t="s">
        <v>188</v>
      </c>
      <c r="O4" s="49" t="s">
        <v>185</v>
      </c>
      <c r="P4" s="49" t="s">
        <v>186</v>
      </c>
      <c r="Q4" s="49" t="s">
        <v>193</v>
      </c>
      <c r="R4" s="49" t="s">
        <v>175</v>
      </c>
      <c r="S4" s="49" t="s">
        <v>184</v>
      </c>
      <c r="T4" s="49" t="s">
        <v>2084</v>
      </c>
      <c r="U4" s="49" t="s">
        <v>197</v>
      </c>
      <c r="V4" s="49" t="s">
        <v>187</v>
      </c>
      <c r="W4" s="47" t="s">
        <v>201</v>
      </c>
      <c r="X4" s="47" t="s">
        <v>198</v>
      </c>
      <c r="Y4" s="177" t="s">
        <v>165</v>
      </c>
      <c r="Z4" s="47" t="s">
        <v>206</v>
      </c>
      <c r="AA4" s="47" t="s">
        <v>194</v>
      </c>
      <c r="AB4" s="47" t="s">
        <v>195</v>
      </c>
      <c r="AC4" s="47" t="s">
        <v>196</v>
      </c>
      <c r="AD4" s="184" t="s">
        <v>2161</v>
      </c>
      <c r="AE4" s="184" t="s">
        <v>2162</v>
      </c>
      <c r="AF4" s="185" t="s">
        <v>2167</v>
      </c>
    </row>
    <row r="5" spans="1:32" ht="15" customHeight="1" x14ac:dyDescent="0.2">
      <c r="A5" s="143" t="s">
        <v>160</v>
      </c>
      <c r="B5" s="44" t="s">
        <v>2103</v>
      </c>
      <c r="C5" s="44" t="s">
        <v>2091</v>
      </c>
      <c r="D5" s="144" t="s">
        <v>2092</v>
      </c>
      <c r="E5" s="45" t="s">
        <v>2097</v>
      </c>
      <c r="F5" s="144"/>
      <c r="G5" s="144">
        <v>1</v>
      </c>
      <c r="H5" s="144" t="s">
        <v>1049</v>
      </c>
      <c r="I5" s="144"/>
      <c r="J5" s="43"/>
      <c r="K5" s="144" t="s">
        <v>1320</v>
      </c>
      <c r="L5" s="144"/>
      <c r="M5" s="126">
        <v>1</v>
      </c>
      <c r="N5" s="145"/>
      <c r="O5" s="51">
        <f>IF(OR(ISBLANK(BOM_table7[[#This Row],[SKU QTY]]),BOM_table7[[#This Row],[SKU Cost]]=0),0,BOM_table7[[#This Row],[SKU Cost]]/BOM_table7[[#This Row],[SKU QTY]])</f>
        <v>0</v>
      </c>
      <c r="P5" s="146">
        <f>IF(OR(ISBLANK(BOM_table7[[#This Row],[ASM QTY]]),ISBLANK(BOM_table7[[#This Row],[Unit Cost]])),0,BOM_table7[[#This Row],[ASM QTY]]*BOM_table7[[#This Row],[Unit Cost]])</f>
        <v>0</v>
      </c>
      <c r="Q5" s="144"/>
      <c r="R5" s="144"/>
      <c r="S5" s="93">
        <f>IF(B5="Shared All",$M$3,1)*IF(B5="Shared Science+Docking",2,1)*IF(B5="Shared Docking+Multibeam",2,1)*BOM_table7[[#This Row],[ASM QTY]]*$Q$3+BOM_table7[[#This Row],[Spare QTY Needed]]-BOM_table7[[#This Row],[QTY in Inventory]]</f>
        <v>1</v>
      </c>
      <c r="T5" s="51">
        <f>ROUNDUP((BOM_table7[[#This Row],[QTY to Order]]/BOM_table7[[#This Row],[SKU QTY]]),0)</f>
        <v>1</v>
      </c>
      <c r="U5" s="100">
        <f>BOM_table7[[#This Row],[SKU QTY to Order]]*BOM_table7[[#This Row],[SKU Cost]]</f>
        <v>0</v>
      </c>
      <c r="V5" s="145"/>
      <c r="W5" s="144"/>
      <c r="X5" s="144"/>
      <c r="Y5" s="148"/>
      <c r="Z5" s="145"/>
      <c r="AA5" s="144"/>
      <c r="AB5" s="144"/>
      <c r="AC5" s="144"/>
      <c r="AD5" s="182"/>
      <c r="AE5" s="182"/>
      <c r="AF5" s="182"/>
    </row>
    <row r="6" spans="1:32" ht="15" customHeight="1" x14ac:dyDescent="0.2">
      <c r="A6" s="143" t="s">
        <v>159</v>
      </c>
      <c r="B6" s="44" t="s">
        <v>2103</v>
      </c>
      <c r="C6" s="127" t="s">
        <v>1639</v>
      </c>
      <c r="D6" s="126">
        <v>200507</v>
      </c>
      <c r="E6" s="45" t="s">
        <v>2097</v>
      </c>
      <c r="F6" s="126"/>
      <c r="G6" s="126">
        <v>1</v>
      </c>
      <c r="H6" s="126" t="s">
        <v>1640</v>
      </c>
      <c r="I6" s="45"/>
      <c r="J6" s="43"/>
      <c r="K6" s="126" t="s">
        <v>166</v>
      </c>
      <c r="L6" s="126" t="s">
        <v>1640</v>
      </c>
      <c r="M6" s="126">
        <v>1</v>
      </c>
      <c r="N6" s="128"/>
      <c r="O6" s="51">
        <f>IF(OR(ISBLANK(BOM_table7[[#This Row],[SKU QTY]]),BOM_table7[[#This Row],[SKU Cost]]=0),0,BOM_table7[[#This Row],[SKU Cost]]/BOM_table7[[#This Row],[SKU QTY]])</f>
        <v>0</v>
      </c>
      <c r="P6" s="146">
        <f>IF(OR(ISBLANK(BOM_table7[[#This Row],[ASM QTY]]),ISBLANK(BOM_table7[[#This Row],[Unit Cost]])),0,BOM_table7[[#This Row],[ASM QTY]]*BOM_table7[[#This Row],[Unit Cost]])</f>
        <v>0</v>
      </c>
      <c r="Q6" s="126">
        <v>0</v>
      </c>
      <c r="R6" s="126">
        <v>0</v>
      </c>
      <c r="S6" s="93">
        <f>IF(B6="Shared All",$M$3,1)*IF(B6="Shared Science+Docking",2,1)*IF(B6="Shared Docking+Multibeam",2,1)*BOM_table7[[#This Row],[ASM QTY]]*$Q$3+BOM_table7[[#This Row],[Spare QTY Needed]]-BOM_table7[[#This Row],[QTY in Inventory]]</f>
        <v>1</v>
      </c>
      <c r="T6" s="51">
        <f>ROUNDUP((BOM_table7[[#This Row],[QTY to Order]]/BOM_table7[[#This Row],[SKU QTY]]),0)</f>
        <v>1</v>
      </c>
      <c r="U6" s="100">
        <f>BOM_table7[[#This Row],[SKU QTY to Order]]*BOM_table7[[#This Row],[SKU Cost]]</f>
        <v>0</v>
      </c>
      <c r="V6" s="128"/>
      <c r="W6" s="45" t="s">
        <v>2165</v>
      </c>
      <c r="X6" s="45" t="s">
        <v>2166</v>
      </c>
      <c r="Y6" s="130">
        <v>44749</v>
      </c>
      <c r="Z6" s="128"/>
      <c r="AA6" s="126"/>
      <c r="AB6" s="130"/>
      <c r="AC6" s="126"/>
      <c r="AD6" s="182"/>
      <c r="AE6" s="182"/>
      <c r="AF6" s="182" t="s">
        <v>2168</v>
      </c>
    </row>
    <row r="7" spans="1:32" ht="15" customHeight="1" x14ac:dyDescent="0.25">
      <c r="A7" s="143" t="s">
        <v>160</v>
      </c>
      <c r="B7" s="44" t="s">
        <v>2103</v>
      </c>
      <c r="C7" s="155" t="s">
        <v>2016</v>
      </c>
      <c r="D7" s="45" t="s">
        <v>2015</v>
      </c>
      <c r="E7" s="159" t="s">
        <v>2002</v>
      </c>
      <c r="F7" s="45"/>
      <c r="G7" s="45">
        <v>1</v>
      </c>
      <c r="H7" s="45" t="s">
        <v>199</v>
      </c>
      <c r="I7" s="45"/>
      <c r="J7" s="43"/>
      <c r="K7" s="45" t="s">
        <v>166</v>
      </c>
      <c r="L7" s="45"/>
      <c r="M7" s="126">
        <v>1</v>
      </c>
      <c r="N7" s="50"/>
      <c r="O7" s="51">
        <f>IF(OR(ISBLANK(BOM_table7[[#This Row],[SKU QTY]]),BOM_table7[[#This Row],[SKU Cost]]=0),0,BOM_table7[[#This Row],[SKU Cost]]/BOM_table7[[#This Row],[SKU QTY]])</f>
        <v>0</v>
      </c>
      <c r="P7" s="146">
        <f>IF(OR(ISBLANK(BOM_table7[[#This Row],[ASM QTY]]),ISBLANK(BOM_table7[[#This Row],[Unit Cost]])),0,BOM_table7[[#This Row],[ASM QTY]]*BOM_table7[[#This Row],[Unit Cost]])</f>
        <v>0</v>
      </c>
      <c r="Q7" s="45"/>
      <c r="R7" s="45"/>
      <c r="S7" s="93">
        <f>IF(B7="Shared All",$M$3,1)*IF(B7="Shared Science+Docking",2,1)*IF(B7="Shared Docking+Multibeam",2,1)*BOM_table7[[#This Row],[ASM QTY]]*$Q$3+BOM_table7[[#This Row],[Spare QTY Needed]]-BOM_table7[[#This Row],[QTY in Inventory]]</f>
        <v>1</v>
      </c>
      <c r="T7" s="51">
        <f>ROUNDUP((BOM_table7[[#This Row],[QTY to Order]]/BOM_table7[[#This Row],[SKU QTY]]),0)</f>
        <v>1</v>
      </c>
      <c r="U7" s="100">
        <f>BOM_table7[[#This Row],[SKU QTY to Order]]*BOM_table7[[#This Row],[SKU Cost]]</f>
        <v>0</v>
      </c>
      <c r="V7" s="50"/>
      <c r="W7" s="45"/>
      <c r="X7" s="45"/>
      <c r="Y7" s="54"/>
      <c r="Z7" s="50"/>
      <c r="AA7" s="45"/>
      <c r="AB7" s="54"/>
      <c r="AC7" s="54"/>
      <c r="AD7" s="183"/>
      <c r="AE7" s="183"/>
      <c r="AF7" s="182"/>
    </row>
    <row r="8" spans="1:32" ht="15" customHeight="1" x14ac:dyDescent="0.25">
      <c r="A8" s="143" t="s">
        <v>160</v>
      </c>
      <c r="B8" s="44" t="s">
        <v>2103</v>
      </c>
      <c r="C8" s="155" t="s">
        <v>2021</v>
      </c>
      <c r="D8" s="159" t="s">
        <v>2022</v>
      </c>
      <c r="E8" s="159" t="s">
        <v>2002</v>
      </c>
      <c r="F8" s="45"/>
      <c r="G8" s="45">
        <v>1</v>
      </c>
      <c r="H8" s="45" t="s">
        <v>199</v>
      </c>
      <c r="I8" s="45"/>
      <c r="J8" s="43"/>
      <c r="K8" s="45" t="s">
        <v>166</v>
      </c>
      <c r="L8" s="45"/>
      <c r="M8" s="126">
        <v>1</v>
      </c>
      <c r="N8" s="50"/>
      <c r="O8" s="51">
        <f>IF(OR(ISBLANK(BOM_table7[[#This Row],[SKU QTY]]),BOM_table7[[#This Row],[SKU Cost]]=0),0,BOM_table7[[#This Row],[SKU Cost]]/BOM_table7[[#This Row],[SKU QTY]])</f>
        <v>0</v>
      </c>
      <c r="P8" s="146">
        <f>IF(OR(ISBLANK(BOM_table7[[#This Row],[ASM QTY]]),ISBLANK(BOM_table7[[#This Row],[Unit Cost]])),0,BOM_table7[[#This Row],[ASM QTY]]*BOM_table7[[#This Row],[Unit Cost]])</f>
        <v>0</v>
      </c>
      <c r="Q8" s="45"/>
      <c r="R8" s="45"/>
      <c r="S8" s="93">
        <f>IF(B8="Shared All",$M$3,1)*IF(B8="Shared Science+Docking",2,1)*IF(B8="Shared Docking+Multibeam",2,1)*BOM_table7[[#This Row],[ASM QTY]]*$Q$3+BOM_table7[[#This Row],[Spare QTY Needed]]-BOM_table7[[#This Row],[QTY in Inventory]]</f>
        <v>1</v>
      </c>
      <c r="T8" s="51">
        <f>ROUNDUP((BOM_table7[[#This Row],[QTY to Order]]/BOM_table7[[#This Row],[SKU QTY]]),0)</f>
        <v>1</v>
      </c>
      <c r="U8" s="100">
        <f>BOM_table7[[#This Row],[SKU QTY to Order]]*BOM_table7[[#This Row],[SKU Cost]]</f>
        <v>0</v>
      </c>
      <c r="V8" s="50"/>
      <c r="W8" s="45"/>
      <c r="X8" s="45"/>
      <c r="Y8" s="54"/>
      <c r="Z8" s="50"/>
      <c r="AA8" s="45"/>
      <c r="AB8" s="54"/>
      <c r="AC8" s="54"/>
      <c r="AD8" s="183"/>
      <c r="AE8" s="183"/>
      <c r="AF8" s="182"/>
    </row>
    <row r="9" spans="1:32" ht="15" customHeight="1" x14ac:dyDescent="0.25">
      <c r="A9" s="143" t="s">
        <v>160</v>
      </c>
      <c r="B9" s="44" t="s">
        <v>2103</v>
      </c>
      <c r="C9" s="155" t="s">
        <v>2072</v>
      </c>
      <c r="D9" s="45" t="s">
        <v>2071</v>
      </c>
      <c r="E9" s="159" t="s">
        <v>2002</v>
      </c>
      <c r="F9" s="45"/>
      <c r="G9" s="45">
        <v>1</v>
      </c>
      <c r="H9" s="45" t="s">
        <v>199</v>
      </c>
      <c r="I9" s="45"/>
      <c r="J9" s="155"/>
      <c r="K9" s="45" t="s">
        <v>166</v>
      </c>
      <c r="L9" s="45"/>
      <c r="M9" s="126">
        <v>1</v>
      </c>
      <c r="N9" s="50"/>
      <c r="O9" s="51">
        <f>IF(OR(ISBLANK(BOM_table7[[#This Row],[SKU QTY]]),BOM_table7[[#This Row],[SKU Cost]]=0),0,BOM_table7[[#This Row],[SKU Cost]]/BOM_table7[[#This Row],[SKU QTY]])</f>
        <v>0</v>
      </c>
      <c r="P9" s="146">
        <f>IF(OR(ISBLANK(BOM_table7[[#This Row],[ASM QTY]]),ISBLANK(BOM_table7[[#This Row],[Unit Cost]])),0,BOM_table7[[#This Row],[ASM QTY]]*BOM_table7[[#This Row],[Unit Cost]])</f>
        <v>0</v>
      </c>
      <c r="Q9" s="45"/>
      <c r="R9" s="45"/>
      <c r="S9" s="93">
        <f>IF(B9="Shared All",$M$3,1)*IF(B9="Shared Science+Docking",2,1)*IF(B9="Shared Docking+Multibeam",2,1)*BOM_table7[[#This Row],[ASM QTY]]*$Q$3+BOM_table7[[#This Row],[Spare QTY Needed]]-BOM_table7[[#This Row],[QTY in Inventory]]</f>
        <v>1</v>
      </c>
      <c r="T9" s="51">
        <f>ROUNDUP((BOM_table7[[#This Row],[QTY to Order]]/BOM_table7[[#This Row],[SKU QTY]]),0)</f>
        <v>1</v>
      </c>
      <c r="U9" s="100">
        <f>BOM_table7[[#This Row],[SKU QTY to Order]]*BOM_table7[[#This Row],[SKU Cost]]</f>
        <v>0</v>
      </c>
      <c r="V9" s="50"/>
      <c r="W9" s="45"/>
      <c r="X9" s="45"/>
      <c r="Y9" s="54"/>
      <c r="Z9" s="50"/>
      <c r="AA9" s="45"/>
      <c r="AB9" s="54"/>
      <c r="AC9" s="54"/>
      <c r="AD9" s="183"/>
      <c r="AE9" s="183"/>
      <c r="AF9" s="182"/>
    </row>
    <row r="10" spans="1:32" ht="15" customHeight="1" x14ac:dyDescent="0.25">
      <c r="A10" s="143" t="s">
        <v>160</v>
      </c>
      <c r="B10" s="44" t="s">
        <v>2103</v>
      </c>
      <c r="C10" s="155" t="s">
        <v>2017</v>
      </c>
      <c r="D10" s="45" t="s">
        <v>2015</v>
      </c>
      <c r="E10" s="159" t="s">
        <v>2002</v>
      </c>
      <c r="F10" s="45"/>
      <c r="G10" s="45">
        <v>1</v>
      </c>
      <c r="H10" s="45" t="s">
        <v>199</v>
      </c>
      <c r="I10" s="45"/>
      <c r="J10" s="43"/>
      <c r="K10" s="45" t="s">
        <v>166</v>
      </c>
      <c r="L10" s="45"/>
      <c r="M10" s="126">
        <v>1</v>
      </c>
      <c r="N10" s="50"/>
      <c r="O10" s="51">
        <f>IF(OR(ISBLANK(BOM_table7[[#This Row],[SKU QTY]]),BOM_table7[[#This Row],[SKU Cost]]=0),0,BOM_table7[[#This Row],[SKU Cost]]/BOM_table7[[#This Row],[SKU QTY]])</f>
        <v>0</v>
      </c>
      <c r="P10" s="146">
        <f>IF(OR(ISBLANK(BOM_table7[[#This Row],[ASM QTY]]),ISBLANK(BOM_table7[[#This Row],[Unit Cost]])),0,BOM_table7[[#This Row],[ASM QTY]]*BOM_table7[[#This Row],[Unit Cost]])</f>
        <v>0</v>
      </c>
      <c r="Q10" s="45"/>
      <c r="R10" s="45"/>
      <c r="S10" s="93">
        <f>IF(B10="Shared All",$M$3,1)*IF(B10="Shared Science+Docking",2,1)*IF(B10="Shared Docking+Multibeam",2,1)*BOM_table7[[#This Row],[ASM QTY]]*$Q$3+BOM_table7[[#This Row],[Spare QTY Needed]]-BOM_table7[[#This Row],[QTY in Inventory]]</f>
        <v>1</v>
      </c>
      <c r="T10" s="51">
        <f>ROUNDUP((BOM_table7[[#This Row],[QTY to Order]]/BOM_table7[[#This Row],[SKU QTY]]),0)</f>
        <v>1</v>
      </c>
      <c r="U10" s="100">
        <f>BOM_table7[[#This Row],[SKU QTY to Order]]*BOM_table7[[#This Row],[SKU Cost]]</f>
        <v>0</v>
      </c>
      <c r="V10" s="50"/>
      <c r="W10" s="45"/>
      <c r="X10" s="45"/>
      <c r="Y10" s="54"/>
      <c r="Z10" s="50"/>
      <c r="AA10" s="45"/>
      <c r="AB10" s="54"/>
      <c r="AC10" s="54"/>
      <c r="AD10" s="183"/>
      <c r="AE10" s="183"/>
      <c r="AF10" s="182"/>
    </row>
    <row r="11" spans="1:32" ht="15" customHeight="1" x14ac:dyDescent="0.25">
      <c r="A11" s="143" t="s">
        <v>160</v>
      </c>
      <c r="B11" s="44" t="s">
        <v>2103</v>
      </c>
      <c r="C11" s="155" t="s">
        <v>2018</v>
      </c>
      <c r="D11" s="159" t="s">
        <v>2022</v>
      </c>
      <c r="E11" s="159" t="s">
        <v>2002</v>
      </c>
      <c r="F11" s="45"/>
      <c r="G11" s="45">
        <v>1</v>
      </c>
      <c r="H11" s="45" t="s">
        <v>199</v>
      </c>
      <c r="I11" s="45"/>
      <c r="J11" s="43"/>
      <c r="K11" s="45" t="s">
        <v>166</v>
      </c>
      <c r="L11" s="45"/>
      <c r="M11" s="126">
        <v>1</v>
      </c>
      <c r="N11" s="50"/>
      <c r="O11" s="51">
        <f>IF(OR(ISBLANK(BOM_table7[[#This Row],[SKU QTY]]),BOM_table7[[#This Row],[SKU Cost]]=0),0,BOM_table7[[#This Row],[SKU Cost]]/BOM_table7[[#This Row],[SKU QTY]])</f>
        <v>0</v>
      </c>
      <c r="P11" s="146">
        <f>IF(OR(ISBLANK(BOM_table7[[#This Row],[ASM QTY]]),ISBLANK(BOM_table7[[#This Row],[Unit Cost]])),0,BOM_table7[[#This Row],[ASM QTY]]*BOM_table7[[#This Row],[Unit Cost]])</f>
        <v>0</v>
      </c>
      <c r="Q11" s="45"/>
      <c r="R11" s="45"/>
      <c r="S11" s="93">
        <f>IF(B11="Shared All",$M$3,1)*IF(B11="Shared Science+Docking",2,1)*IF(B11="Shared Docking+Multibeam",2,1)*BOM_table7[[#This Row],[ASM QTY]]*$Q$3+BOM_table7[[#This Row],[Spare QTY Needed]]-BOM_table7[[#This Row],[QTY in Inventory]]</f>
        <v>1</v>
      </c>
      <c r="T11" s="51">
        <f>ROUNDUP((BOM_table7[[#This Row],[QTY to Order]]/BOM_table7[[#This Row],[SKU QTY]]),0)</f>
        <v>1</v>
      </c>
      <c r="U11" s="100">
        <f>BOM_table7[[#This Row],[SKU QTY to Order]]*BOM_table7[[#This Row],[SKU Cost]]</f>
        <v>0</v>
      </c>
      <c r="V11" s="50"/>
      <c r="W11" s="45"/>
      <c r="X11" s="45"/>
      <c r="Y11" s="54"/>
      <c r="Z11" s="50"/>
      <c r="AA11" s="45"/>
      <c r="AB11" s="54"/>
      <c r="AC11" s="54"/>
      <c r="AD11" s="183"/>
      <c r="AE11" s="183"/>
      <c r="AF11" s="182"/>
    </row>
    <row r="12" spans="1:32" ht="15" customHeight="1" x14ac:dyDescent="0.25">
      <c r="A12" s="143" t="s">
        <v>160</v>
      </c>
      <c r="B12" s="44" t="s">
        <v>2103</v>
      </c>
      <c r="C12" s="155" t="s">
        <v>2019</v>
      </c>
      <c r="D12" s="45" t="s">
        <v>2015</v>
      </c>
      <c r="E12" s="159" t="s">
        <v>2002</v>
      </c>
      <c r="F12" s="45"/>
      <c r="G12" s="45">
        <v>1</v>
      </c>
      <c r="H12" s="45" t="s">
        <v>199</v>
      </c>
      <c r="I12" s="45"/>
      <c r="J12" s="43"/>
      <c r="K12" s="45" t="s">
        <v>166</v>
      </c>
      <c r="L12" s="45"/>
      <c r="M12" s="126">
        <v>1</v>
      </c>
      <c r="N12" s="50"/>
      <c r="O12" s="51">
        <f>IF(OR(ISBLANK(BOM_table7[[#This Row],[SKU QTY]]),BOM_table7[[#This Row],[SKU Cost]]=0),0,BOM_table7[[#This Row],[SKU Cost]]/BOM_table7[[#This Row],[SKU QTY]])</f>
        <v>0</v>
      </c>
      <c r="P12" s="146">
        <f>IF(OR(ISBLANK(BOM_table7[[#This Row],[ASM QTY]]),ISBLANK(BOM_table7[[#This Row],[Unit Cost]])),0,BOM_table7[[#This Row],[ASM QTY]]*BOM_table7[[#This Row],[Unit Cost]])</f>
        <v>0</v>
      </c>
      <c r="Q12" s="45"/>
      <c r="R12" s="45"/>
      <c r="S12" s="93">
        <f>IF(B12="Shared All",$M$3,1)*IF(B12="Shared Science+Docking",2,1)*IF(B12="Shared Docking+Multibeam",2,1)*BOM_table7[[#This Row],[ASM QTY]]*$Q$3+BOM_table7[[#This Row],[Spare QTY Needed]]-BOM_table7[[#This Row],[QTY in Inventory]]</f>
        <v>1</v>
      </c>
      <c r="T12" s="51">
        <f>ROUNDUP((BOM_table7[[#This Row],[QTY to Order]]/BOM_table7[[#This Row],[SKU QTY]]),0)</f>
        <v>1</v>
      </c>
      <c r="U12" s="100">
        <f>BOM_table7[[#This Row],[SKU QTY to Order]]*BOM_table7[[#This Row],[SKU Cost]]</f>
        <v>0</v>
      </c>
      <c r="V12" s="50"/>
      <c r="W12" s="45"/>
      <c r="X12" s="45"/>
      <c r="Y12" s="54"/>
      <c r="Z12" s="50"/>
      <c r="AA12" s="45"/>
      <c r="AB12" s="54"/>
      <c r="AC12" s="54"/>
      <c r="AD12" s="183"/>
      <c r="AE12" s="183"/>
      <c r="AF12" s="182"/>
    </row>
    <row r="13" spans="1:32" ht="15" customHeight="1" x14ac:dyDescent="0.25">
      <c r="A13" s="143" t="s">
        <v>160</v>
      </c>
      <c r="B13" s="44" t="s">
        <v>2103</v>
      </c>
      <c r="C13" s="155" t="s">
        <v>2020</v>
      </c>
      <c r="D13" s="45" t="s">
        <v>2015</v>
      </c>
      <c r="E13" s="159" t="s">
        <v>2002</v>
      </c>
      <c r="F13" s="45"/>
      <c r="G13" s="45">
        <v>1</v>
      </c>
      <c r="H13" s="45" t="s">
        <v>199</v>
      </c>
      <c r="I13" s="45"/>
      <c r="J13" s="43"/>
      <c r="K13" s="45" t="s">
        <v>166</v>
      </c>
      <c r="L13" s="45"/>
      <c r="M13" s="126">
        <v>1</v>
      </c>
      <c r="N13" s="50"/>
      <c r="O13" s="51">
        <f>IF(OR(ISBLANK(BOM_table7[[#This Row],[SKU QTY]]),BOM_table7[[#This Row],[SKU Cost]]=0),0,BOM_table7[[#This Row],[SKU Cost]]/BOM_table7[[#This Row],[SKU QTY]])</f>
        <v>0</v>
      </c>
      <c r="P13" s="146">
        <f>IF(OR(ISBLANK(BOM_table7[[#This Row],[ASM QTY]]),ISBLANK(BOM_table7[[#This Row],[Unit Cost]])),0,BOM_table7[[#This Row],[ASM QTY]]*BOM_table7[[#This Row],[Unit Cost]])</f>
        <v>0</v>
      </c>
      <c r="Q13" s="45"/>
      <c r="R13" s="45"/>
      <c r="S13" s="93">
        <f>IF(B13="Shared All",$M$3,1)*IF(B13="Shared Science+Docking",2,1)*IF(B13="Shared Docking+Multibeam",2,1)*BOM_table7[[#This Row],[ASM QTY]]*$Q$3+BOM_table7[[#This Row],[Spare QTY Needed]]-BOM_table7[[#This Row],[QTY in Inventory]]</f>
        <v>1</v>
      </c>
      <c r="T13" s="51">
        <f>ROUNDUP((BOM_table7[[#This Row],[QTY to Order]]/BOM_table7[[#This Row],[SKU QTY]]),0)</f>
        <v>1</v>
      </c>
      <c r="U13" s="100">
        <f>BOM_table7[[#This Row],[SKU QTY to Order]]*BOM_table7[[#This Row],[SKU Cost]]</f>
        <v>0</v>
      </c>
      <c r="V13" s="50"/>
      <c r="W13" s="45"/>
      <c r="X13" s="45"/>
      <c r="Y13" s="54"/>
      <c r="Z13" s="50"/>
      <c r="AA13" s="45"/>
      <c r="AB13" s="54"/>
      <c r="AC13" s="54"/>
      <c r="AD13" s="183"/>
      <c r="AE13" s="183"/>
      <c r="AF13" s="182"/>
    </row>
    <row r="14" spans="1:32" ht="15" customHeight="1" x14ac:dyDescent="0.25">
      <c r="A14" s="143" t="s">
        <v>160</v>
      </c>
      <c r="B14" s="44" t="s">
        <v>2118</v>
      </c>
      <c r="C14" s="155" t="s">
        <v>2014</v>
      </c>
      <c r="D14" s="45"/>
      <c r="E14" s="45" t="s">
        <v>2027</v>
      </c>
      <c r="F14" s="45"/>
      <c r="G14" s="45">
        <v>1</v>
      </c>
      <c r="H14" s="45" t="s">
        <v>1430</v>
      </c>
      <c r="I14" s="45"/>
      <c r="J14" s="43" t="s">
        <v>2023</v>
      </c>
      <c r="K14" s="45" t="s">
        <v>169</v>
      </c>
      <c r="L14" s="45"/>
      <c r="M14" s="126">
        <v>1</v>
      </c>
      <c r="N14" s="50"/>
      <c r="O14" s="51">
        <f>IF(OR(ISBLANK(BOM_table7[[#This Row],[SKU QTY]]),BOM_table7[[#This Row],[SKU Cost]]=0),0,BOM_table7[[#This Row],[SKU Cost]]/BOM_table7[[#This Row],[SKU QTY]])</f>
        <v>0</v>
      </c>
      <c r="P14" s="146">
        <f>IF(OR(ISBLANK(BOM_table7[[#This Row],[ASM QTY]]),ISBLANK(BOM_table7[[#This Row],[Unit Cost]])),0,BOM_table7[[#This Row],[ASM QTY]]*BOM_table7[[#This Row],[Unit Cost]])</f>
        <v>0</v>
      </c>
      <c r="Q14" s="45"/>
      <c r="R14" s="45"/>
      <c r="S14" s="93">
        <f>IF(B14="Shared All",$M$3,1)*IF(B14="Shared Science+Docking",2,1)*IF(B14="Shared Docking+Multibeam",2,1)*BOM_table7[[#This Row],[ASM QTY]]*$Q$3+BOM_table7[[#This Row],[Spare QTY Needed]]-BOM_table7[[#This Row],[QTY in Inventory]]</f>
        <v>1</v>
      </c>
      <c r="T14" s="51">
        <f>ROUNDUP((BOM_table7[[#This Row],[QTY to Order]]/BOM_table7[[#This Row],[SKU QTY]]),0)</f>
        <v>1</v>
      </c>
      <c r="U14" s="100">
        <f>BOM_table7[[#This Row],[SKU QTY to Order]]*BOM_table7[[#This Row],[SKU Cost]]</f>
        <v>0</v>
      </c>
      <c r="V14" s="50"/>
      <c r="W14" s="45"/>
      <c r="X14" s="45"/>
      <c r="Y14" s="54"/>
      <c r="Z14" s="50"/>
      <c r="AA14" s="45"/>
      <c r="AB14" s="54"/>
      <c r="AC14" s="54"/>
      <c r="AD14" s="183"/>
      <c r="AE14" s="183"/>
      <c r="AF14" s="182"/>
    </row>
    <row r="15" spans="1:32" ht="15" customHeight="1" x14ac:dyDescent="0.2">
      <c r="A15" s="143" t="s">
        <v>160</v>
      </c>
      <c r="B15" s="44" t="s">
        <v>2088</v>
      </c>
      <c r="C15" s="143" t="s">
        <v>1851</v>
      </c>
      <c r="D15" s="144">
        <v>107541</v>
      </c>
      <c r="E15" s="144" t="s">
        <v>1850</v>
      </c>
      <c r="F15" s="144" t="s">
        <v>152</v>
      </c>
      <c r="G15" s="144">
        <v>1</v>
      </c>
      <c r="H15" s="144" t="s">
        <v>1430</v>
      </c>
      <c r="I15" s="144"/>
      <c r="J15" s="150"/>
      <c r="K15" s="144" t="s">
        <v>169</v>
      </c>
      <c r="L15" s="45" t="s">
        <v>1528</v>
      </c>
      <c r="M15" s="126">
        <v>1</v>
      </c>
      <c r="N15" s="145"/>
      <c r="O15" s="51">
        <f>IF(OR(ISBLANK(BOM_table7[[#This Row],[SKU QTY]]),BOM_table7[[#This Row],[SKU Cost]]=0),0,BOM_table7[[#This Row],[SKU Cost]]/BOM_table7[[#This Row],[SKU QTY]])</f>
        <v>0</v>
      </c>
      <c r="P15" s="146">
        <f>IF(OR(ISBLANK(BOM_table7[[#This Row],[ASM QTY]]),ISBLANK(BOM_table7[[#This Row],[Unit Cost]])),0,BOM_table7[[#This Row],[ASM QTY]]*BOM_table7[[#This Row],[Unit Cost]])</f>
        <v>0</v>
      </c>
      <c r="Q15" s="144"/>
      <c r="R15" s="144"/>
      <c r="S15" s="93">
        <f>IF(B15="Shared All",$M$3,1)*IF(B15="Shared Science+Docking",2,1)*IF(B15="Shared Docking+Multibeam",2,1)*BOM_table7[[#This Row],[ASM QTY]]*$Q$3+BOM_table7[[#This Row],[Spare QTY Needed]]-BOM_table7[[#This Row],[QTY in Inventory]]</f>
        <v>1</v>
      </c>
      <c r="T15" s="146">
        <f>ROUNDUP((BOM_table7[[#This Row],[QTY to Order]]/BOM_table7[[#This Row],[SKU QTY]]),0)</f>
        <v>1</v>
      </c>
      <c r="U15" s="100">
        <f>BOM_table7[[#This Row],[SKU QTY to Order]]*BOM_table7[[#This Row],[SKU Cost]]</f>
        <v>0</v>
      </c>
      <c r="V15" s="45"/>
      <c r="W15" s="45"/>
      <c r="X15" s="148"/>
      <c r="Y15" s="144"/>
      <c r="Z15" s="144"/>
      <c r="AA15" s="148"/>
      <c r="AB15" s="148"/>
      <c r="AC15" s="149"/>
      <c r="AD15" s="182"/>
      <c r="AE15" s="182"/>
      <c r="AF15" s="182"/>
    </row>
    <row r="16" spans="1:32" ht="15" customHeight="1" x14ac:dyDescent="0.2">
      <c r="A16" s="143" t="s">
        <v>160</v>
      </c>
      <c r="B16" s="44" t="s">
        <v>2088</v>
      </c>
      <c r="C16" s="143" t="s">
        <v>1849</v>
      </c>
      <c r="D16" s="144">
        <v>107553</v>
      </c>
      <c r="E16" s="144" t="s">
        <v>1855</v>
      </c>
      <c r="F16" s="144" t="s">
        <v>152</v>
      </c>
      <c r="G16" s="144">
        <v>2</v>
      </c>
      <c r="H16" s="144" t="s">
        <v>1430</v>
      </c>
      <c r="I16" s="144"/>
      <c r="J16" s="150"/>
      <c r="K16" s="144" t="s">
        <v>169</v>
      </c>
      <c r="L16" s="45" t="s">
        <v>1528</v>
      </c>
      <c r="M16" s="126">
        <v>1</v>
      </c>
      <c r="N16" s="145"/>
      <c r="O16" s="51">
        <f>IF(OR(ISBLANK(BOM_table7[[#This Row],[SKU QTY]]),BOM_table7[[#This Row],[SKU Cost]]=0),0,BOM_table7[[#This Row],[SKU Cost]]/BOM_table7[[#This Row],[SKU QTY]])</f>
        <v>0</v>
      </c>
      <c r="P16" s="146">
        <f>IF(OR(ISBLANK(BOM_table7[[#This Row],[ASM QTY]]),ISBLANK(BOM_table7[[#This Row],[Unit Cost]])),0,BOM_table7[[#This Row],[ASM QTY]]*BOM_table7[[#This Row],[Unit Cost]])</f>
        <v>0</v>
      </c>
      <c r="Q16" s="144"/>
      <c r="R16" s="144"/>
      <c r="S16" s="93">
        <f>IF(B16="Shared All",$M$3,1)*IF(B16="Shared Science+Docking",2,1)*IF(B16="Shared Docking+Multibeam",2,1)*BOM_table7[[#This Row],[ASM QTY]]*$Q$3+BOM_table7[[#This Row],[Spare QTY Needed]]-BOM_table7[[#This Row],[QTY in Inventory]]</f>
        <v>2</v>
      </c>
      <c r="T16" s="146">
        <f>ROUNDUP((BOM_table7[[#This Row],[QTY to Order]]/BOM_table7[[#This Row],[SKU QTY]]),0)</f>
        <v>2</v>
      </c>
      <c r="U16" s="100">
        <f>BOM_table7[[#This Row],[SKU QTY to Order]]*BOM_table7[[#This Row],[SKU Cost]]</f>
        <v>0</v>
      </c>
      <c r="V16" s="45"/>
      <c r="W16" s="45"/>
      <c r="X16" s="148"/>
      <c r="Y16" s="144"/>
      <c r="Z16" s="144"/>
      <c r="AA16" s="148"/>
      <c r="AB16" s="148"/>
      <c r="AC16" s="149"/>
      <c r="AD16" s="182"/>
      <c r="AE16" s="182"/>
      <c r="AF16" s="182"/>
    </row>
    <row r="17" spans="1:32" ht="15" customHeight="1" x14ac:dyDescent="0.2">
      <c r="A17" s="143" t="s">
        <v>160</v>
      </c>
      <c r="B17" s="44" t="s">
        <v>2088</v>
      </c>
      <c r="C17" s="44" t="s">
        <v>2044</v>
      </c>
      <c r="D17" s="144" t="s">
        <v>2046</v>
      </c>
      <c r="E17" s="144" t="s">
        <v>1855</v>
      </c>
      <c r="F17" s="144"/>
      <c r="G17" s="144">
        <v>1</v>
      </c>
      <c r="H17" s="144" t="s">
        <v>1930</v>
      </c>
      <c r="I17" s="144"/>
      <c r="J17" s="150"/>
      <c r="K17" s="144" t="s">
        <v>166</v>
      </c>
      <c r="L17" s="144"/>
      <c r="M17" s="126">
        <v>1</v>
      </c>
      <c r="N17" s="145"/>
      <c r="O17" s="51">
        <f>IF(OR(ISBLANK(BOM_table7[[#This Row],[SKU QTY]]),BOM_table7[[#This Row],[SKU Cost]]=0),0,BOM_table7[[#This Row],[SKU Cost]]/BOM_table7[[#This Row],[SKU QTY]])</f>
        <v>0</v>
      </c>
      <c r="P17" s="146">
        <f>IF(OR(ISBLANK(BOM_table7[[#This Row],[ASM QTY]]),ISBLANK(BOM_table7[[#This Row],[Unit Cost]])),0,BOM_table7[[#This Row],[ASM QTY]]*BOM_table7[[#This Row],[Unit Cost]])</f>
        <v>0</v>
      </c>
      <c r="Q17" s="144"/>
      <c r="R17" s="144"/>
      <c r="S17" s="93">
        <f>IF(B17="Shared All",$M$3,1)*IF(B17="Shared Science+Docking",2,1)*IF(B17="Shared Docking+Multibeam",2,1)*BOM_table7[[#This Row],[ASM QTY]]*$Q$3+BOM_table7[[#This Row],[Spare QTY Needed]]-BOM_table7[[#This Row],[QTY in Inventory]]</f>
        <v>1</v>
      </c>
      <c r="T17" s="146">
        <f>ROUNDUP((BOM_table7[[#This Row],[QTY to Order]]/BOM_table7[[#This Row],[SKU QTY]]),0)</f>
        <v>1</v>
      </c>
      <c r="U17" s="100">
        <f>BOM_table7[[#This Row],[SKU QTY to Order]]*BOM_table7[[#This Row],[SKU Cost]]</f>
        <v>0</v>
      </c>
      <c r="V17" s="144"/>
      <c r="W17" s="144"/>
      <c r="X17" s="148"/>
      <c r="Y17" s="144"/>
      <c r="Z17" s="144"/>
      <c r="AA17" s="148"/>
      <c r="AB17" s="148"/>
      <c r="AC17" s="149"/>
      <c r="AD17" s="182"/>
      <c r="AE17" s="182"/>
      <c r="AF17" s="182"/>
    </row>
    <row r="18" spans="1:32" ht="15" customHeight="1" x14ac:dyDescent="0.2">
      <c r="A18" s="143" t="s">
        <v>160</v>
      </c>
      <c r="B18" s="44" t="s">
        <v>2088</v>
      </c>
      <c r="C18" s="44" t="s">
        <v>2045</v>
      </c>
      <c r="D18" s="144" t="s">
        <v>2054</v>
      </c>
      <c r="E18" s="144" t="s">
        <v>1855</v>
      </c>
      <c r="F18" s="144"/>
      <c r="G18" s="144">
        <v>1</v>
      </c>
      <c r="H18" s="144" t="s">
        <v>1930</v>
      </c>
      <c r="I18" s="144"/>
      <c r="J18" s="150"/>
      <c r="K18" s="144" t="s">
        <v>166</v>
      </c>
      <c r="L18" s="144"/>
      <c r="M18" s="126">
        <v>1</v>
      </c>
      <c r="N18" s="145"/>
      <c r="O18" s="51">
        <f>IF(OR(ISBLANK(BOM_table7[[#This Row],[SKU QTY]]),BOM_table7[[#This Row],[SKU Cost]]=0),0,BOM_table7[[#This Row],[SKU Cost]]/BOM_table7[[#This Row],[SKU QTY]])</f>
        <v>0</v>
      </c>
      <c r="P18" s="146">
        <f>IF(OR(ISBLANK(BOM_table7[[#This Row],[ASM QTY]]),ISBLANK(BOM_table7[[#This Row],[Unit Cost]])),0,BOM_table7[[#This Row],[ASM QTY]]*BOM_table7[[#This Row],[Unit Cost]])</f>
        <v>0</v>
      </c>
      <c r="Q18" s="144"/>
      <c r="R18" s="144"/>
      <c r="S18" s="93">
        <f>IF(B18="Shared All",$M$3,1)*IF(B18="Shared Science+Docking",2,1)*IF(B18="Shared Docking+Multibeam",2,1)*BOM_table7[[#This Row],[ASM QTY]]*$Q$3+BOM_table7[[#This Row],[Spare QTY Needed]]-BOM_table7[[#This Row],[QTY in Inventory]]</f>
        <v>1</v>
      </c>
      <c r="T18" s="146">
        <f>ROUNDUP((BOM_table7[[#This Row],[QTY to Order]]/BOM_table7[[#This Row],[SKU QTY]]),0)</f>
        <v>1</v>
      </c>
      <c r="U18" s="100">
        <f>BOM_table7[[#This Row],[SKU QTY to Order]]*BOM_table7[[#This Row],[SKU Cost]]</f>
        <v>0</v>
      </c>
      <c r="V18" s="45"/>
      <c r="W18" s="45"/>
      <c r="X18" s="148"/>
      <c r="Y18" s="144"/>
      <c r="Z18" s="144"/>
      <c r="AA18" s="148"/>
      <c r="AB18" s="148"/>
      <c r="AC18" s="149"/>
      <c r="AD18" s="182"/>
      <c r="AE18" s="182"/>
      <c r="AF18" s="182"/>
    </row>
    <row r="19" spans="1:32" ht="15" customHeight="1" x14ac:dyDescent="0.2">
      <c r="A19" s="143" t="s">
        <v>160</v>
      </c>
      <c r="B19" s="44" t="s">
        <v>2088</v>
      </c>
      <c r="C19" s="143" t="s">
        <v>1852</v>
      </c>
      <c r="D19" s="144" t="s">
        <v>1853</v>
      </c>
      <c r="E19" s="144" t="s">
        <v>1855</v>
      </c>
      <c r="F19" s="144"/>
      <c r="G19" s="144">
        <v>3</v>
      </c>
      <c r="H19" s="144" t="s">
        <v>1929</v>
      </c>
      <c r="I19" s="144"/>
      <c r="J19" s="150"/>
      <c r="K19" s="144" t="s">
        <v>166</v>
      </c>
      <c r="L19" s="144"/>
      <c r="M19" s="126">
        <v>1</v>
      </c>
      <c r="N19" s="145"/>
      <c r="O19" s="51">
        <f>IF(OR(ISBLANK(BOM_table7[[#This Row],[SKU QTY]]),BOM_table7[[#This Row],[SKU Cost]]=0),0,BOM_table7[[#This Row],[SKU Cost]]/BOM_table7[[#This Row],[SKU QTY]])</f>
        <v>0</v>
      </c>
      <c r="P19" s="146">
        <f>IF(OR(ISBLANK(BOM_table7[[#This Row],[ASM QTY]]),ISBLANK(BOM_table7[[#This Row],[Unit Cost]])),0,BOM_table7[[#This Row],[ASM QTY]]*BOM_table7[[#This Row],[Unit Cost]])</f>
        <v>0</v>
      </c>
      <c r="Q19" s="144"/>
      <c r="R19" s="144"/>
      <c r="S19" s="93">
        <f>IF(B19="Shared All",$M$3,1)*IF(B19="Shared Science+Docking",2,1)*IF(B19="Shared Docking+Multibeam",2,1)*BOM_table7[[#This Row],[ASM QTY]]*$Q$3+BOM_table7[[#This Row],[Spare QTY Needed]]-BOM_table7[[#This Row],[QTY in Inventory]]</f>
        <v>3</v>
      </c>
      <c r="T19" s="146">
        <f>ROUNDUP((BOM_table7[[#This Row],[QTY to Order]]/BOM_table7[[#This Row],[SKU QTY]]),0)</f>
        <v>3</v>
      </c>
      <c r="U19" s="100">
        <f>BOM_table7[[#This Row],[SKU QTY to Order]]*BOM_table7[[#This Row],[SKU Cost]]</f>
        <v>0</v>
      </c>
      <c r="V19" s="144"/>
      <c r="W19" s="144"/>
      <c r="X19" s="148"/>
      <c r="Y19" s="144"/>
      <c r="Z19" s="144"/>
      <c r="AA19" s="148"/>
      <c r="AB19" s="148"/>
      <c r="AC19" s="149"/>
      <c r="AD19" s="182"/>
      <c r="AE19" s="182"/>
      <c r="AF19" s="182"/>
    </row>
    <row r="20" spans="1:32" ht="15" customHeight="1" x14ac:dyDescent="0.2">
      <c r="A20" s="143" t="s">
        <v>160</v>
      </c>
      <c r="B20" s="44" t="s">
        <v>2088</v>
      </c>
      <c r="C20" s="143" t="s">
        <v>1845</v>
      </c>
      <c r="D20" s="144">
        <v>107006</v>
      </c>
      <c r="E20" s="144" t="s">
        <v>1846</v>
      </c>
      <c r="F20" s="144" t="s">
        <v>233</v>
      </c>
      <c r="G20" s="144">
        <v>1</v>
      </c>
      <c r="H20" s="144" t="s">
        <v>1430</v>
      </c>
      <c r="I20" s="144"/>
      <c r="J20" s="150"/>
      <c r="K20" s="144" t="s">
        <v>169</v>
      </c>
      <c r="L20" s="45" t="s">
        <v>1528</v>
      </c>
      <c r="M20" s="126">
        <v>1</v>
      </c>
      <c r="N20" s="145"/>
      <c r="O20" s="51">
        <f>IF(OR(ISBLANK(BOM_table7[[#This Row],[SKU QTY]]),BOM_table7[[#This Row],[SKU Cost]]=0),0,BOM_table7[[#This Row],[SKU Cost]]/BOM_table7[[#This Row],[SKU QTY]])</f>
        <v>0</v>
      </c>
      <c r="P20" s="146">
        <f>IF(OR(ISBLANK(BOM_table7[[#This Row],[ASM QTY]]),ISBLANK(BOM_table7[[#This Row],[Unit Cost]])),0,BOM_table7[[#This Row],[ASM QTY]]*BOM_table7[[#This Row],[Unit Cost]])</f>
        <v>0</v>
      </c>
      <c r="Q20" s="144"/>
      <c r="R20" s="144"/>
      <c r="S20" s="93">
        <f>IF(B20="Shared All",$M$3,1)*IF(B20="Shared Science+Docking",2,1)*IF(B20="Shared Docking+Multibeam",2,1)*BOM_table7[[#This Row],[ASM QTY]]*$Q$3+BOM_table7[[#This Row],[Spare QTY Needed]]-BOM_table7[[#This Row],[QTY in Inventory]]</f>
        <v>1</v>
      </c>
      <c r="T20" s="146">
        <f>ROUNDUP((BOM_table7[[#This Row],[QTY to Order]]/BOM_table7[[#This Row],[SKU QTY]]),0)</f>
        <v>1</v>
      </c>
      <c r="U20" s="100">
        <f>BOM_table7[[#This Row],[SKU QTY to Order]]*BOM_table7[[#This Row],[SKU Cost]]</f>
        <v>0</v>
      </c>
      <c r="V20" s="45"/>
      <c r="W20" s="45"/>
      <c r="X20" s="148"/>
      <c r="Y20" s="144"/>
      <c r="Z20" s="144"/>
      <c r="AA20" s="148"/>
      <c r="AB20" s="148"/>
      <c r="AC20" s="149"/>
      <c r="AD20" s="182"/>
      <c r="AE20" s="182"/>
      <c r="AF20" s="182"/>
    </row>
    <row r="21" spans="1:32" ht="15" customHeight="1" x14ac:dyDescent="0.2">
      <c r="A21" s="143" t="s">
        <v>160</v>
      </c>
      <c r="B21" s="44" t="s">
        <v>2088</v>
      </c>
      <c r="C21" s="143" t="s">
        <v>1833</v>
      </c>
      <c r="D21" s="144">
        <v>107009</v>
      </c>
      <c r="E21" s="144" t="s">
        <v>1836</v>
      </c>
      <c r="F21" s="144" t="s">
        <v>233</v>
      </c>
      <c r="G21" s="144">
        <v>1</v>
      </c>
      <c r="H21" s="144" t="s">
        <v>1430</v>
      </c>
      <c r="I21" s="144"/>
      <c r="J21" s="150"/>
      <c r="K21" s="144" t="s">
        <v>169</v>
      </c>
      <c r="L21" s="45" t="s">
        <v>1528</v>
      </c>
      <c r="M21" s="126">
        <v>1</v>
      </c>
      <c r="N21" s="145"/>
      <c r="O21" s="51">
        <f>IF(OR(ISBLANK(BOM_table7[[#This Row],[SKU QTY]]),BOM_table7[[#This Row],[SKU Cost]]=0),0,BOM_table7[[#This Row],[SKU Cost]]/BOM_table7[[#This Row],[SKU QTY]])</f>
        <v>0</v>
      </c>
      <c r="P21" s="146">
        <f>IF(OR(ISBLANK(BOM_table7[[#This Row],[ASM QTY]]),ISBLANK(BOM_table7[[#This Row],[Unit Cost]])),0,BOM_table7[[#This Row],[ASM QTY]]*BOM_table7[[#This Row],[Unit Cost]])</f>
        <v>0</v>
      </c>
      <c r="Q21" s="144"/>
      <c r="R21" s="144"/>
      <c r="S21" s="93">
        <f>IF(B21="Shared All",$M$3,1)*IF(B21="Shared Science+Docking",2,1)*IF(B21="Shared Docking+Multibeam",2,1)*BOM_table7[[#This Row],[ASM QTY]]*$Q$3+BOM_table7[[#This Row],[Spare QTY Needed]]-BOM_table7[[#This Row],[QTY in Inventory]]</f>
        <v>1</v>
      </c>
      <c r="T21" s="146">
        <f>ROUNDUP((BOM_table7[[#This Row],[QTY to Order]]/BOM_table7[[#This Row],[SKU QTY]]),0)</f>
        <v>1</v>
      </c>
      <c r="U21" s="100">
        <f>BOM_table7[[#This Row],[SKU QTY to Order]]*BOM_table7[[#This Row],[SKU Cost]]</f>
        <v>0</v>
      </c>
      <c r="V21" s="45"/>
      <c r="W21" s="45"/>
      <c r="X21" s="148"/>
      <c r="Y21" s="144"/>
      <c r="Z21" s="144"/>
      <c r="AA21" s="148"/>
      <c r="AB21" s="148"/>
      <c r="AC21" s="149"/>
      <c r="AD21" s="182"/>
      <c r="AE21" s="182"/>
      <c r="AF21" s="182"/>
    </row>
    <row r="22" spans="1:32" ht="15" customHeight="1" x14ac:dyDescent="0.2">
      <c r="A22" s="143" t="s">
        <v>160</v>
      </c>
      <c r="B22" s="44" t="s">
        <v>2088</v>
      </c>
      <c r="C22" s="143" t="s">
        <v>1837</v>
      </c>
      <c r="D22" s="144">
        <v>104919</v>
      </c>
      <c r="E22" s="144" t="s">
        <v>1847</v>
      </c>
      <c r="F22" s="144" t="s">
        <v>152</v>
      </c>
      <c r="G22" s="144">
        <v>4</v>
      </c>
      <c r="H22" s="144" t="s">
        <v>1430</v>
      </c>
      <c r="I22" s="144"/>
      <c r="J22" s="150"/>
      <c r="K22" s="144" t="s">
        <v>169</v>
      </c>
      <c r="L22" s="45" t="s">
        <v>1528</v>
      </c>
      <c r="M22" s="126">
        <v>1</v>
      </c>
      <c r="N22" s="145"/>
      <c r="O22" s="51">
        <f>IF(OR(ISBLANK(BOM_table7[[#This Row],[SKU QTY]]),BOM_table7[[#This Row],[SKU Cost]]=0),0,BOM_table7[[#This Row],[SKU Cost]]/BOM_table7[[#This Row],[SKU QTY]])</f>
        <v>0</v>
      </c>
      <c r="P22" s="146">
        <f>IF(OR(ISBLANK(BOM_table7[[#This Row],[ASM QTY]]),ISBLANK(BOM_table7[[#This Row],[Unit Cost]])),0,BOM_table7[[#This Row],[ASM QTY]]*BOM_table7[[#This Row],[Unit Cost]])</f>
        <v>0</v>
      </c>
      <c r="Q22" s="144"/>
      <c r="R22" s="144"/>
      <c r="S22" s="93">
        <f>IF(B22="Shared All",$M$3,1)*IF(B22="Shared Science+Docking",2,1)*IF(B22="Shared Docking+Multibeam",2,1)*BOM_table7[[#This Row],[ASM QTY]]*$Q$3+BOM_table7[[#This Row],[Spare QTY Needed]]-BOM_table7[[#This Row],[QTY in Inventory]]</f>
        <v>4</v>
      </c>
      <c r="T22" s="146">
        <f>ROUNDUP((BOM_table7[[#This Row],[QTY to Order]]/BOM_table7[[#This Row],[SKU QTY]]),0)</f>
        <v>4</v>
      </c>
      <c r="U22" s="100">
        <f>BOM_table7[[#This Row],[SKU QTY to Order]]*BOM_table7[[#This Row],[SKU Cost]]</f>
        <v>0</v>
      </c>
      <c r="V22" s="45"/>
      <c r="W22" s="45"/>
      <c r="X22" s="148"/>
      <c r="Y22" s="144"/>
      <c r="Z22" s="144"/>
      <c r="AA22" s="148"/>
      <c r="AB22" s="148"/>
      <c r="AC22" s="149"/>
      <c r="AD22" s="182"/>
      <c r="AE22" s="182"/>
      <c r="AF22" s="182"/>
    </row>
    <row r="23" spans="1:32" ht="15" customHeight="1" x14ac:dyDescent="0.2">
      <c r="A23" s="143" t="s">
        <v>160</v>
      </c>
      <c r="B23" s="44" t="s">
        <v>2088</v>
      </c>
      <c r="C23" s="143" t="s">
        <v>1838</v>
      </c>
      <c r="D23" s="144">
        <v>105489</v>
      </c>
      <c r="E23" s="144" t="s">
        <v>1847</v>
      </c>
      <c r="F23" s="144" t="s">
        <v>152</v>
      </c>
      <c r="G23" s="144">
        <v>2</v>
      </c>
      <c r="H23" s="144" t="s">
        <v>1430</v>
      </c>
      <c r="I23" s="144"/>
      <c r="J23" s="150"/>
      <c r="K23" s="144" t="s">
        <v>169</v>
      </c>
      <c r="L23" s="45" t="s">
        <v>1528</v>
      </c>
      <c r="M23" s="126">
        <v>1</v>
      </c>
      <c r="N23" s="145"/>
      <c r="O23" s="51">
        <f>IF(OR(ISBLANK(BOM_table7[[#This Row],[SKU QTY]]),BOM_table7[[#This Row],[SKU Cost]]=0),0,BOM_table7[[#This Row],[SKU Cost]]/BOM_table7[[#This Row],[SKU QTY]])</f>
        <v>0</v>
      </c>
      <c r="P23" s="146">
        <f>IF(OR(ISBLANK(BOM_table7[[#This Row],[ASM QTY]]),ISBLANK(BOM_table7[[#This Row],[Unit Cost]])),0,BOM_table7[[#This Row],[ASM QTY]]*BOM_table7[[#This Row],[Unit Cost]])</f>
        <v>0</v>
      </c>
      <c r="Q23" s="144"/>
      <c r="R23" s="144"/>
      <c r="S23" s="93">
        <f>IF(B23="Shared All",$M$3,1)*IF(B23="Shared Science+Docking",2,1)*IF(B23="Shared Docking+Multibeam",2,1)*BOM_table7[[#This Row],[ASM QTY]]*$Q$3+BOM_table7[[#This Row],[Spare QTY Needed]]-BOM_table7[[#This Row],[QTY in Inventory]]</f>
        <v>2</v>
      </c>
      <c r="T23" s="146">
        <f>ROUNDUP((BOM_table7[[#This Row],[QTY to Order]]/BOM_table7[[#This Row],[SKU QTY]]),0)</f>
        <v>2</v>
      </c>
      <c r="U23" s="100">
        <f>BOM_table7[[#This Row],[SKU QTY to Order]]*BOM_table7[[#This Row],[SKU Cost]]</f>
        <v>0</v>
      </c>
      <c r="V23" s="45"/>
      <c r="W23" s="45"/>
      <c r="X23" s="148"/>
      <c r="Y23" s="144"/>
      <c r="Z23" s="144"/>
      <c r="AA23" s="148"/>
      <c r="AB23" s="148"/>
      <c r="AC23" s="149"/>
      <c r="AD23" s="182"/>
      <c r="AE23" s="182"/>
      <c r="AF23" s="182"/>
    </row>
    <row r="24" spans="1:32" ht="15" customHeight="1" x14ac:dyDescent="0.2">
      <c r="A24" s="143" t="s">
        <v>160</v>
      </c>
      <c r="B24" s="44" t="s">
        <v>2088</v>
      </c>
      <c r="C24" s="143" t="s">
        <v>1839</v>
      </c>
      <c r="D24" s="144">
        <v>107552</v>
      </c>
      <c r="E24" s="144" t="s">
        <v>1847</v>
      </c>
      <c r="F24" s="144" t="s">
        <v>233</v>
      </c>
      <c r="G24" s="144">
        <v>2</v>
      </c>
      <c r="H24" s="144" t="s">
        <v>1430</v>
      </c>
      <c r="I24" s="144"/>
      <c r="J24" s="150"/>
      <c r="K24" s="144" t="s">
        <v>169</v>
      </c>
      <c r="L24" s="45" t="s">
        <v>1528</v>
      </c>
      <c r="M24" s="126">
        <v>1</v>
      </c>
      <c r="N24" s="145"/>
      <c r="O24" s="51">
        <f>IF(OR(ISBLANK(BOM_table7[[#This Row],[SKU QTY]]),BOM_table7[[#This Row],[SKU Cost]]=0),0,BOM_table7[[#This Row],[SKU Cost]]/BOM_table7[[#This Row],[SKU QTY]])</f>
        <v>0</v>
      </c>
      <c r="P24" s="146">
        <f>IF(OR(ISBLANK(BOM_table7[[#This Row],[ASM QTY]]),ISBLANK(BOM_table7[[#This Row],[Unit Cost]])),0,BOM_table7[[#This Row],[ASM QTY]]*BOM_table7[[#This Row],[Unit Cost]])</f>
        <v>0</v>
      </c>
      <c r="Q24" s="144"/>
      <c r="R24" s="144"/>
      <c r="S24" s="93">
        <f>IF(B24="Shared All",$M$3,1)*IF(B24="Shared Science+Docking",2,1)*IF(B24="Shared Docking+Multibeam",2,1)*BOM_table7[[#This Row],[ASM QTY]]*$Q$3+BOM_table7[[#This Row],[Spare QTY Needed]]-BOM_table7[[#This Row],[QTY in Inventory]]</f>
        <v>2</v>
      </c>
      <c r="T24" s="146">
        <f>ROUNDUP((BOM_table7[[#This Row],[QTY to Order]]/BOM_table7[[#This Row],[SKU QTY]]),0)</f>
        <v>2</v>
      </c>
      <c r="U24" s="100">
        <f>BOM_table7[[#This Row],[SKU QTY to Order]]*BOM_table7[[#This Row],[SKU Cost]]</f>
        <v>0</v>
      </c>
      <c r="V24" s="45"/>
      <c r="W24" s="45"/>
      <c r="X24" s="148"/>
      <c r="Y24" s="144"/>
      <c r="Z24" s="144"/>
      <c r="AA24" s="148"/>
      <c r="AB24" s="148"/>
      <c r="AC24" s="149"/>
      <c r="AD24" s="182"/>
      <c r="AE24" s="182"/>
      <c r="AF24" s="182"/>
    </row>
    <row r="25" spans="1:32" ht="15" customHeight="1" x14ac:dyDescent="0.2">
      <c r="A25" s="143" t="s">
        <v>160</v>
      </c>
      <c r="B25" s="44" t="s">
        <v>2088</v>
      </c>
      <c r="C25" s="143" t="s">
        <v>1840</v>
      </c>
      <c r="D25" s="144">
        <v>107008</v>
      </c>
      <c r="E25" s="144" t="s">
        <v>1847</v>
      </c>
      <c r="F25" s="144" t="s">
        <v>152</v>
      </c>
      <c r="G25" s="144">
        <v>2</v>
      </c>
      <c r="H25" s="144" t="s">
        <v>1430</v>
      </c>
      <c r="I25" s="144"/>
      <c r="J25" s="150"/>
      <c r="K25" s="144" t="s">
        <v>169</v>
      </c>
      <c r="L25" s="45" t="s">
        <v>1528</v>
      </c>
      <c r="M25" s="126">
        <v>1</v>
      </c>
      <c r="N25" s="145"/>
      <c r="O25" s="51">
        <f>IF(OR(ISBLANK(BOM_table7[[#This Row],[SKU QTY]]),BOM_table7[[#This Row],[SKU Cost]]=0),0,BOM_table7[[#This Row],[SKU Cost]]/BOM_table7[[#This Row],[SKU QTY]])</f>
        <v>0</v>
      </c>
      <c r="P25" s="146">
        <f>IF(OR(ISBLANK(BOM_table7[[#This Row],[ASM QTY]]),ISBLANK(BOM_table7[[#This Row],[Unit Cost]])),0,BOM_table7[[#This Row],[ASM QTY]]*BOM_table7[[#This Row],[Unit Cost]])</f>
        <v>0</v>
      </c>
      <c r="Q25" s="144"/>
      <c r="R25" s="144"/>
      <c r="S25" s="93">
        <f>IF(B25="Shared All",$M$3,1)*IF(B25="Shared Science+Docking",2,1)*IF(B25="Shared Docking+Multibeam",2,1)*BOM_table7[[#This Row],[ASM QTY]]*$Q$3+BOM_table7[[#This Row],[Spare QTY Needed]]-BOM_table7[[#This Row],[QTY in Inventory]]</f>
        <v>2</v>
      </c>
      <c r="T25" s="146">
        <f>ROUNDUP((BOM_table7[[#This Row],[QTY to Order]]/BOM_table7[[#This Row],[SKU QTY]]),0)</f>
        <v>2</v>
      </c>
      <c r="U25" s="100">
        <f>BOM_table7[[#This Row],[SKU QTY to Order]]*BOM_table7[[#This Row],[SKU Cost]]</f>
        <v>0</v>
      </c>
      <c r="V25" s="45"/>
      <c r="W25" s="45"/>
      <c r="X25" s="148"/>
      <c r="Y25" s="144"/>
      <c r="Z25" s="144"/>
      <c r="AA25" s="148"/>
      <c r="AB25" s="148"/>
      <c r="AC25" s="149"/>
      <c r="AD25" s="182"/>
      <c r="AE25" s="182"/>
      <c r="AF25" s="182"/>
    </row>
    <row r="26" spans="1:32" ht="15" customHeight="1" x14ac:dyDescent="0.2">
      <c r="A26" s="143" t="s">
        <v>160</v>
      </c>
      <c r="B26" s="44" t="s">
        <v>2088</v>
      </c>
      <c r="C26" s="143" t="s">
        <v>1841</v>
      </c>
      <c r="D26" s="144" t="s">
        <v>1842</v>
      </c>
      <c r="E26" s="144" t="s">
        <v>1847</v>
      </c>
      <c r="F26" s="144"/>
      <c r="G26" s="144">
        <v>2</v>
      </c>
      <c r="H26" s="144" t="s">
        <v>1274</v>
      </c>
      <c r="I26" s="144"/>
      <c r="J26" s="150"/>
      <c r="K26" s="144" t="s">
        <v>166</v>
      </c>
      <c r="L26" s="144"/>
      <c r="M26" s="126">
        <v>1</v>
      </c>
      <c r="N26" s="145"/>
      <c r="O26" s="51">
        <f>IF(OR(ISBLANK(BOM_table7[[#This Row],[SKU QTY]]),BOM_table7[[#This Row],[SKU Cost]]=0),0,BOM_table7[[#This Row],[SKU Cost]]/BOM_table7[[#This Row],[SKU QTY]])</f>
        <v>0</v>
      </c>
      <c r="P26" s="146">
        <f>IF(OR(ISBLANK(BOM_table7[[#This Row],[ASM QTY]]),ISBLANK(BOM_table7[[#This Row],[Unit Cost]])),0,BOM_table7[[#This Row],[ASM QTY]]*BOM_table7[[#This Row],[Unit Cost]])</f>
        <v>0</v>
      </c>
      <c r="Q26" s="144"/>
      <c r="R26" s="144"/>
      <c r="S26" s="93">
        <f>IF(B26="Shared All",$M$3,1)*IF(B26="Shared Science+Docking",2,1)*IF(B26="Shared Docking+Multibeam",2,1)*BOM_table7[[#This Row],[ASM QTY]]*$Q$3+BOM_table7[[#This Row],[Spare QTY Needed]]-BOM_table7[[#This Row],[QTY in Inventory]]</f>
        <v>2</v>
      </c>
      <c r="T26" s="146">
        <f>ROUNDUP((BOM_table7[[#This Row],[QTY to Order]]/BOM_table7[[#This Row],[SKU QTY]]),0)</f>
        <v>2</v>
      </c>
      <c r="U26" s="100">
        <f>BOM_table7[[#This Row],[SKU QTY to Order]]*BOM_table7[[#This Row],[SKU Cost]]</f>
        <v>0</v>
      </c>
      <c r="V26" s="45"/>
      <c r="W26" s="45"/>
      <c r="X26" s="148"/>
      <c r="Y26" s="144"/>
      <c r="Z26" s="144"/>
      <c r="AA26" s="148"/>
      <c r="AB26" s="148"/>
      <c r="AC26" s="149"/>
      <c r="AD26" s="182"/>
      <c r="AE26" s="182"/>
      <c r="AF26" s="182"/>
    </row>
    <row r="27" spans="1:32" ht="15" customHeight="1" x14ac:dyDescent="0.2">
      <c r="A27" s="143" t="s">
        <v>160</v>
      </c>
      <c r="B27" s="44" t="s">
        <v>2088</v>
      </c>
      <c r="C27" s="143" t="s">
        <v>1843</v>
      </c>
      <c r="D27" s="144" t="s">
        <v>1844</v>
      </c>
      <c r="E27" s="144" t="s">
        <v>1847</v>
      </c>
      <c r="F27" s="144"/>
      <c r="G27" s="144">
        <v>2</v>
      </c>
      <c r="H27" s="144" t="s">
        <v>1274</v>
      </c>
      <c r="I27" s="144"/>
      <c r="J27" s="150"/>
      <c r="K27" s="144" t="s">
        <v>166</v>
      </c>
      <c r="L27" s="144"/>
      <c r="M27" s="126">
        <v>1</v>
      </c>
      <c r="N27" s="145"/>
      <c r="O27" s="51">
        <f>IF(OR(ISBLANK(BOM_table7[[#This Row],[SKU QTY]]),BOM_table7[[#This Row],[SKU Cost]]=0),0,BOM_table7[[#This Row],[SKU Cost]]/BOM_table7[[#This Row],[SKU QTY]])</f>
        <v>0</v>
      </c>
      <c r="P27" s="146">
        <f>IF(OR(ISBLANK(BOM_table7[[#This Row],[ASM QTY]]),ISBLANK(BOM_table7[[#This Row],[Unit Cost]])),0,BOM_table7[[#This Row],[ASM QTY]]*BOM_table7[[#This Row],[Unit Cost]])</f>
        <v>0</v>
      </c>
      <c r="Q27" s="144"/>
      <c r="R27" s="144"/>
      <c r="S27" s="93">
        <f>IF(B27="Shared All",$M$3,1)*IF(B27="Shared Science+Docking",2,1)*IF(B27="Shared Docking+Multibeam",2,1)*BOM_table7[[#This Row],[ASM QTY]]*$Q$3+BOM_table7[[#This Row],[Spare QTY Needed]]-BOM_table7[[#This Row],[QTY in Inventory]]</f>
        <v>2</v>
      </c>
      <c r="T27" s="146">
        <f>ROUNDUP((BOM_table7[[#This Row],[QTY to Order]]/BOM_table7[[#This Row],[SKU QTY]]),0)</f>
        <v>2</v>
      </c>
      <c r="U27" s="100">
        <f>BOM_table7[[#This Row],[SKU QTY to Order]]*BOM_table7[[#This Row],[SKU Cost]]</f>
        <v>0</v>
      </c>
      <c r="V27" s="45"/>
      <c r="W27" s="45"/>
      <c r="X27" s="148"/>
      <c r="Y27" s="144"/>
      <c r="Z27" s="144"/>
      <c r="AA27" s="148"/>
      <c r="AB27" s="148"/>
      <c r="AC27" s="149"/>
      <c r="AD27" s="182"/>
      <c r="AE27" s="182"/>
      <c r="AF27" s="182"/>
    </row>
    <row r="28" spans="1:32" ht="15" customHeight="1" x14ac:dyDescent="0.2">
      <c r="A28" s="143" t="s">
        <v>160</v>
      </c>
      <c r="B28" s="44" t="s">
        <v>2088</v>
      </c>
      <c r="C28" s="143" t="s">
        <v>1811</v>
      </c>
      <c r="D28" s="144">
        <v>107548</v>
      </c>
      <c r="E28" s="144" t="s">
        <v>1812</v>
      </c>
      <c r="F28" s="144" t="s">
        <v>364</v>
      </c>
      <c r="G28" s="144">
        <v>1</v>
      </c>
      <c r="H28" s="144" t="s">
        <v>1430</v>
      </c>
      <c r="I28" s="144"/>
      <c r="J28" s="43"/>
      <c r="K28" s="144" t="s">
        <v>169</v>
      </c>
      <c r="L28" s="45" t="s">
        <v>1528</v>
      </c>
      <c r="M28" s="126">
        <v>1</v>
      </c>
      <c r="N28" s="145"/>
      <c r="O28" s="51">
        <f>IF(OR(ISBLANK(BOM_table7[[#This Row],[SKU QTY]]),BOM_table7[[#This Row],[SKU Cost]]=0),0,BOM_table7[[#This Row],[SKU Cost]]/BOM_table7[[#This Row],[SKU QTY]])</f>
        <v>0</v>
      </c>
      <c r="P28" s="146">
        <f>IF(OR(ISBLANK(BOM_table7[[#This Row],[ASM QTY]]),ISBLANK(BOM_table7[[#This Row],[Unit Cost]])),0,BOM_table7[[#This Row],[ASM QTY]]*BOM_table7[[#This Row],[Unit Cost]])</f>
        <v>0</v>
      </c>
      <c r="Q28" s="144"/>
      <c r="R28" s="144"/>
      <c r="S28" s="93">
        <f>IF(B28="Shared All",$M$3,1)*IF(B28="Shared Science+Docking",2,1)*IF(B28="Shared Docking+Multibeam",2,1)*BOM_table7[[#This Row],[ASM QTY]]*$Q$3+BOM_table7[[#This Row],[Spare QTY Needed]]-BOM_table7[[#This Row],[QTY in Inventory]]</f>
        <v>1</v>
      </c>
      <c r="T28" s="146">
        <f>ROUNDUP((BOM_table7[[#This Row],[QTY to Order]]/BOM_table7[[#This Row],[SKU QTY]]),0)</f>
        <v>1</v>
      </c>
      <c r="U28" s="100">
        <f>BOM_table7[[#This Row],[SKU QTY to Order]]*BOM_table7[[#This Row],[SKU Cost]]</f>
        <v>0</v>
      </c>
      <c r="V28" s="45"/>
      <c r="W28" s="45"/>
      <c r="X28" s="148"/>
      <c r="Y28" s="144"/>
      <c r="Z28" s="144"/>
      <c r="AA28" s="148"/>
      <c r="AB28" s="148"/>
      <c r="AC28" s="149"/>
      <c r="AD28" s="182"/>
      <c r="AE28" s="182"/>
      <c r="AF28" s="182"/>
    </row>
    <row r="29" spans="1:32" ht="15" customHeight="1" x14ac:dyDescent="0.2">
      <c r="A29" s="143" t="s">
        <v>160</v>
      </c>
      <c r="B29" s="44" t="s">
        <v>2088</v>
      </c>
      <c r="C29" s="143" t="s">
        <v>1813</v>
      </c>
      <c r="D29" s="144">
        <v>107550</v>
      </c>
      <c r="E29" s="144" t="s">
        <v>1812</v>
      </c>
      <c r="F29" s="144" t="s">
        <v>233</v>
      </c>
      <c r="G29" s="144">
        <v>1</v>
      </c>
      <c r="H29" s="144" t="s">
        <v>1430</v>
      </c>
      <c r="I29" s="144"/>
      <c r="J29" s="150"/>
      <c r="K29" s="144" t="s">
        <v>169</v>
      </c>
      <c r="L29" s="144"/>
      <c r="M29" s="126">
        <v>1</v>
      </c>
      <c r="N29" s="145"/>
      <c r="O29" s="51">
        <f>IF(OR(ISBLANK(BOM_table7[[#This Row],[SKU QTY]]),BOM_table7[[#This Row],[SKU Cost]]=0),0,BOM_table7[[#This Row],[SKU Cost]]/BOM_table7[[#This Row],[SKU QTY]])</f>
        <v>0</v>
      </c>
      <c r="P29" s="146">
        <f>IF(OR(ISBLANK(BOM_table7[[#This Row],[ASM QTY]]),ISBLANK(BOM_table7[[#This Row],[Unit Cost]])),0,BOM_table7[[#This Row],[ASM QTY]]*BOM_table7[[#This Row],[Unit Cost]])</f>
        <v>0</v>
      </c>
      <c r="Q29" s="144"/>
      <c r="R29" s="144"/>
      <c r="S29" s="93">
        <f>IF(B29="Shared All",$M$3,1)*IF(B29="Shared Science+Docking",2,1)*IF(B29="Shared Docking+Multibeam",2,1)*BOM_table7[[#This Row],[ASM QTY]]*$Q$3+BOM_table7[[#This Row],[Spare QTY Needed]]-BOM_table7[[#This Row],[QTY in Inventory]]</f>
        <v>1</v>
      </c>
      <c r="T29" s="146">
        <f>ROUNDUP((BOM_table7[[#This Row],[QTY to Order]]/BOM_table7[[#This Row],[SKU QTY]]),0)</f>
        <v>1</v>
      </c>
      <c r="U29" s="100">
        <f>BOM_table7[[#This Row],[SKU QTY to Order]]*BOM_table7[[#This Row],[SKU Cost]]</f>
        <v>0</v>
      </c>
      <c r="V29" s="144"/>
      <c r="W29" s="144"/>
      <c r="X29" s="148"/>
      <c r="Y29" s="144"/>
      <c r="Z29" s="144"/>
      <c r="AA29" s="148"/>
      <c r="AB29" s="148"/>
      <c r="AC29" s="149"/>
      <c r="AD29" s="182"/>
      <c r="AE29" s="182"/>
      <c r="AF29" s="182"/>
    </row>
    <row r="30" spans="1:32" ht="15" customHeight="1" x14ac:dyDescent="0.2">
      <c r="A30" s="143" t="s">
        <v>160</v>
      </c>
      <c r="B30" s="44" t="s">
        <v>2088</v>
      </c>
      <c r="C30" s="44" t="s">
        <v>2079</v>
      </c>
      <c r="D30" s="144">
        <v>107550</v>
      </c>
      <c r="E30" s="144" t="s">
        <v>1812</v>
      </c>
      <c r="F30" s="144" t="s">
        <v>233</v>
      </c>
      <c r="G30" s="144">
        <v>1</v>
      </c>
      <c r="H30" s="144" t="s">
        <v>1430</v>
      </c>
      <c r="I30" s="144"/>
      <c r="J30" s="43" t="s">
        <v>2080</v>
      </c>
      <c r="K30" s="144" t="s">
        <v>169</v>
      </c>
      <c r="L30" s="144"/>
      <c r="M30" s="126">
        <v>1</v>
      </c>
      <c r="N30" s="145"/>
      <c r="O30" s="51">
        <f>IF(OR(ISBLANK(BOM_table7[[#This Row],[SKU QTY]]),BOM_table7[[#This Row],[SKU Cost]]=0),0,BOM_table7[[#This Row],[SKU Cost]]/BOM_table7[[#This Row],[SKU QTY]])</f>
        <v>0</v>
      </c>
      <c r="P30" s="146">
        <f>IF(OR(ISBLANK(BOM_table7[[#This Row],[ASM QTY]]),ISBLANK(BOM_table7[[#This Row],[Unit Cost]])),0,BOM_table7[[#This Row],[ASM QTY]]*BOM_table7[[#This Row],[Unit Cost]])</f>
        <v>0</v>
      </c>
      <c r="Q30" s="144"/>
      <c r="R30" s="144"/>
      <c r="S30" s="93">
        <f>IF(B30="Shared All",$M$3,1)*IF(B30="Shared Science+Docking",2,1)*IF(B30="Shared Docking+Multibeam",2,1)*BOM_table7[[#This Row],[ASM QTY]]*$Q$3+BOM_table7[[#This Row],[Spare QTY Needed]]-BOM_table7[[#This Row],[QTY in Inventory]]</f>
        <v>1</v>
      </c>
      <c r="T30" s="146">
        <f>ROUNDUP((BOM_table7[[#This Row],[QTY to Order]]/BOM_table7[[#This Row],[SKU QTY]]),0)</f>
        <v>1</v>
      </c>
      <c r="U30" s="100">
        <f>BOM_table7[[#This Row],[SKU QTY to Order]]*BOM_table7[[#This Row],[SKU Cost]]</f>
        <v>0</v>
      </c>
      <c r="V30" s="144"/>
      <c r="W30" s="144"/>
      <c r="X30" s="148"/>
      <c r="Y30" s="144"/>
      <c r="Z30" s="144"/>
      <c r="AA30" s="148"/>
      <c r="AB30" s="148"/>
      <c r="AC30" s="149"/>
      <c r="AD30" s="182"/>
      <c r="AE30" s="182"/>
      <c r="AF30" s="182"/>
    </row>
    <row r="31" spans="1:32" ht="15" customHeight="1" x14ac:dyDescent="0.2">
      <c r="A31" s="143" t="s">
        <v>160</v>
      </c>
      <c r="B31" s="44" t="s">
        <v>2088</v>
      </c>
      <c r="C31" s="143" t="s">
        <v>1814</v>
      </c>
      <c r="D31" s="144">
        <v>107549</v>
      </c>
      <c r="E31" s="144" t="s">
        <v>1812</v>
      </c>
      <c r="F31" s="144" t="s">
        <v>233</v>
      </c>
      <c r="G31" s="144">
        <v>1</v>
      </c>
      <c r="H31" s="144" t="s">
        <v>1430</v>
      </c>
      <c r="I31" s="144"/>
      <c r="J31" s="150"/>
      <c r="K31" s="144" t="s">
        <v>169</v>
      </c>
      <c r="L31" s="45" t="s">
        <v>1528</v>
      </c>
      <c r="M31" s="126">
        <v>1</v>
      </c>
      <c r="N31" s="145"/>
      <c r="O31" s="51">
        <f>IF(OR(ISBLANK(BOM_table7[[#This Row],[SKU QTY]]),BOM_table7[[#This Row],[SKU Cost]]=0),0,BOM_table7[[#This Row],[SKU Cost]]/BOM_table7[[#This Row],[SKU QTY]])</f>
        <v>0</v>
      </c>
      <c r="P31" s="146">
        <f>IF(OR(ISBLANK(BOM_table7[[#This Row],[ASM QTY]]),ISBLANK(BOM_table7[[#This Row],[Unit Cost]])),0,BOM_table7[[#This Row],[ASM QTY]]*BOM_table7[[#This Row],[Unit Cost]])</f>
        <v>0</v>
      </c>
      <c r="Q31" s="144"/>
      <c r="R31" s="144"/>
      <c r="S31" s="93">
        <f>IF(B31="Shared All",$M$3,1)*IF(B31="Shared Science+Docking",2,1)*IF(B31="Shared Docking+Multibeam",2,1)*BOM_table7[[#This Row],[ASM QTY]]*$Q$3+BOM_table7[[#This Row],[Spare QTY Needed]]-BOM_table7[[#This Row],[QTY in Inventory]]</f>
        <v>1</v>
      </c>
      <c r="T31" s="146">
        <f>ROUNDUP((BOM_table7[[#This Row],[QTY to Order]]/BOM_table7[[#This Row],[SKU QTY]]),0)</f>
        <v>1</v>
      </c>
      <c r="U31" s="100">
        <f>BOM_table7[[#This Row],[SKU QTY to Order]]*BOM_table7[[#This Row],[SKU Cost]]</f>
        <v>0</v>
      </c>
      <c r="V31" s="45"/>
      <c r="W31" s="45"/>
      <c r="X31" s="148"/>
      <c r="Y31" s="144"/>
      <c r="Z31" s="144"/>
      <c r="AA31" s="148"/>
      <c r="AB31" s="148"/>
      <c r="AC31" s="149"/>
      <c r="AD31" s="182"/>
      <c r="AE31" s="182"/>
      <c r="AF31" s="182"/>
    </row>
    <row r="32" spans="1:32" ht="15" customHeight="1" x14ac:dyDescent="0.2">
      <c r="A32" s="143" t="s">
        <v>160</v>
      </c>
      <c r="B32" s="44" t="s">
        <v>2088</v>
      </c>
      <c r="C32" s="143" t="s">
        <v>1815</v>
      </c>
      <c r="D32" s="144">
        <v>107568</v>
      </c>
      <c r="E32" s="144" t="s">
        <v>1812</v>
      </c>
      <c r="F32" s="144" t="s">
        <v>233</v>
      </c>
      <c r="G32" s="144">
        <v>1</v>
      </c>
      <c r="H32" s="144" t="s">
        <v>1430</v>
      </c>
      <c r="I32" s="144"/>
      <c r="J32" s="150"/>
      <c r="K32" s="144" t="s">
        <v>169</v>
      </c>
      <c r="L32" s="144"/>
      <c r="M32" s="126">
        <v>1</v>
      </c>
      <c r="N32" s="145"/>
      <c r="O32" s="51">
        <f>IF(OR(ISBLANK(BOM_table7[[#This Row],[SKU QTY]]),BOM_table7[[#This Row],[SKU Cost]]=0),0,BOM_table7[[#This Row],[SKU Cost]]/BOM_table7[[#This Row],[SKU QTY]])</f>
        <v>0</v>
      </c>
      <c r="P32" s="146">
        <f>IF(OR(ISBLANK(BOM_table7[[#This Row],[ASM QTY]]),ISBLANK(BOM_table7[[#This Row],[Unit Cost]])),0,BOM_table7[[#This Row],[ASM QTY]]*BOM_table7[[#This Row],[Unit Cost]])</f>
        <v>0</v>
      </c>
      <c r="Q32" s="144"/>
      <c r="R32" s="144"/>
      <c r="S32" s="93">
        <f>IF(B32="Shared All",$M$3,1)*IF(B32="Shared Science+Docking",2,1)*IF(B32="Shared Docking+Multibeam",2,1)*BOM_table7[[#This Row],[ASM QTY]]*$Q$3+BOM_table7[[#This Row],[Spare QTY Needed]]-BOM_table7[[#This Row],[QTY in Inventory]]</f>
        <v>1</v>
      </c>
      <c r="T32" s="146">
        <f>ROUNDUP((BOM_table7[[#This Row],[QTY to Order]]/BOM_table7[[#This Row],[SKU QTY]]),0)</f>
        <v>1</v>
      </c>
      <c r="U32" s="100">
        <f>BOM_table7[[#This Row],[SKU QTY to Order]]*BOM_table7[[#This Row],[SKU Cost]]</f>
        <v>0</v>
      </c>
      <c r="V32" s="144"/>
      <c r="W32" s="144"/>
      <c r="X32" s="148"/>
      <c r="Y32" s="144"/>
      <c r="Z32" s="144"/>
      <c r="AA32" s="148"/>
      <c r="AB32" s="148"/>
      <c r="AC32" s="149"/>
      <c r="AD32" s="182"/>
      <c r="AE32" s="182"/>
      <c r="AF32" s="182"/>
    </row>
    <row r="33" spans="1:32" ht="15" customHeight="1" x14ac:dyDescent="0.2">
      <c r="A33" s="143" t="s">
        <v>160</v>
      </c>
      <c r="B33" s="44" t="s">
        <v>2088</v>
      </c>
      <c r="C33" s="143" t="s">
        <v>1816</v>
      </c>
      <c r="D33" s="144">
        <v>107564</v>
      </c>
      <c r="E33" s="144" t="s">
        <v>1812</v>
      </c>
      <c r="F33" s="144" t="s">
        <v>233</v>
      </c>
      <c r="G33" s="144">
        <v>1</v>
      </c>
      <c r="H33" s="144" t="s">
        <v>1430</v>
      </c>
      <c r="I33" s="144"/>
      <c r="J33" s="150"/>
      <c r="K33" s="144" t="s">
        <v>169</v>
      </c>
      <c r="L33" s="144"/>
      <c r="M33" s="126">
        <v>1</v>
      </c>
      <c r="N33" s="145"/>
      <c r="O33" s="51">
        <f>IF(OR(ISBLANK(BOM_table7[[#This Row],[SKU QTY]]),BOM_table7[[#This Row],[SKU Cost]]=0),0,BOM_table7[[#This Row],[SKU Cost]]/BOM_table7[[#This Row],[SKU QTY]])</f>
        <v>0</v>
      </c>
      <c r="P33" s="146">
        <f>IF(OR(ISBLANK(BOM_table7[[#This Row],[ASM QTY]]),ISBLANK(BOM_table7[[#This Row],[Unit Cost]])),0,BOM_table7[[#This Row],[ASM QTY]]*BOM_table7[[#This Row],[Unit Cost]])</f>
        <v>0</v>
      </c>
      <c r="Q33" s="144"/>
      <c r="R33" s="144"/>
      <c r="S33" s="93">
        <f>IF(B33="Shared All",$M$3,1)*IF(B33="Shared Science+Docking",2,1)*IF(B33="Shared Docking+Multibeam",2,1)*BOM_table7[[#This Row],[ASM QTY]]*$Q$3+BOM_table7[[#This Row],[Spare QTY Needed]]-BOM_table7[[#This Row],[QTY in Inventory]]</f>
        <v>1</v>
      </c>
      <c r="T33" s="146">
        <f>ROUNDUP((BOM_table7[[#This Row],[QTY to Order]]/BOM_table7[[#This Row],[SKU QTY]]),0)</f>
        <v>1</v>
      </c>
      <c r="U33" s="100">
        <f>BOM_table7[[#This Row],[SKU QTY to Order]]*BOM_table7[[#This Row],[SKU Cost]]</f>
        <v>0</v>
      </c>
      <c r="V33" s="144"/>
      <c r="W33" s="144"/>
      <c r="X33" s="148"/>
      <c r="Y33" s="144"/>
      <c r="Z33" s="144"/>
      <c r="AA33" s="148"/>
      <c r="AB33" s="148"/>
      <c r="AC33" s="149"/>
      <c r="AD33" s="182"/>
      <c r="AE33" s="182"/>
      <c r="AF33" s="182"/>
    </row>
    <row r="34" spans="1:32" ht="15" customHeight="1" x14ac:dyDescent="0.2">
      <c r="A34" s="143" t="s">
        <v>160</v>
      </c>
      <c r="B34" s="44" t="s">
        <v>2088</v>
      </c>
      <c r="C34" s="143" t="s">
        <v>1834</v>
      </c>
      <c r="D34" s="144">
        <v>107542</v>
      </c>
      <c r="E34" s="144" t="s">
        <v>1812</v>
      </c>
      <c r="F34" s="144" t="s">
        <v>152</v>
      </c>
      <c r="G34" s="144">
        <v>1</v>
      </c>
      <c r="H34" s="144" t="s">
        <v>1430</v>
      </c>
      <c r="I34" s="144"/>
      <c r="J34" s="150"/>
      <c r="K34" s="144" t="s">
        <v>169</v>
      </c>
      <c r="L34" s="144"/>
      <c r="M34" s="126">
        <v>1</v>
      </c>
      <c r="N34" s="145"/>
      <c r="O34" s="51">
        <f>IF(OR(ISBLANK(BOM_table7[[#This Row],[SKU QTY]]),BOM_table7[[#This Row],[SKU Cost]]=0),0,BOM_table7[[#This Row],[SKU Cost]]/BOM_table7[[#This Row],[SKU QTY]])</f>
        <v>0</v>
      </c>
      <c r="P34" s="146">
        <f>IF(OR(ISBLANK(BOM_table7[[#This Row],[ASM QTY]]),ISBLANK(BOM_table7[[#This Row],[Unit Cost]])),0,BOM_table7[[#This Row],[ASM QTY]]*BOM_table7[[#This Row],[Unit Cost]])</f>
        <v>0</v>
      </c>
      <c r="Q34" s="144"/>
      <c r="R34" s="144"/>
      <c r="S34" s="93">
        <f>IF(B34="Shared All",$M$3,1)*IF(B34="Shared Science+Docking",2,1)*IF(B34="Shared Docking+Multibeam",2,1)*BOM_table7[[#This Row],[ASM QTY]]*$Q$3+BOM_table7[[#This Row],[Spare QTY Needed]]-BOM_table7[[#This Row],[QTY in Inventory]]</f>
        <v>1</v>
      </c>
      <c r="T34" s="146">
        <f>ROUNDUP((BOM_table7[[#This Row],[QTY to Order]]/BOM_table7[[#This Row],[SKU QTY]]),0)</f>
        <v>1</v>
      </c>
      <c r="U34" s="100">
        <f>BOM_table7[[#This Row],[SKU QTY to Order]]*BOM_table7[[#This Row],[SKU Cost]]</f>
        <v>0</v>
      </c>
      <c r="V34" s="144"/>
      <c r="W34" s="144"/>
      <c r="X34" s="148"/>
      <c r="Y34" s="144"/>
      <c r="Z34" s="144"/>
      <c r="AA34" s="148"/>
      <c r="AB34" s="148"/>
      <c r="AC34" s="149"/>
      <c r="AD34" s="182"/>
      <c r="AE34" s="182"/>
      <c r="AF34" s="182"/>
    </row>
    <row r="35" spans="1:32" ht="15" customHeight="1" x14ac:dyDescent="0.2">
      <c r="A35" s="143" t="s">
        <v>160</v>
      </c>
      <c r="B35" s="44" t="s">
        <v>2088</v>
      </c>
      <c r="C35" s="143" t="s">
        <v>1835</v>
      </c>
      <c r="D35" s="144">
        <v>107545</v>
      </c>
      <c r="E35" s="144" t="s">
        <v>1812</v>
      </c>
      <c r="F35" s="144" t="s">
        <v>152</v>
      </c>
      <c r="G35" s="144">
        <v>1</v>
      </c>
      <c r="H35" s="144" t="s">
        <v>1430</v>
      </c>
      <c r="I35" s="144"/>
      <c r="J35" s="150"/>
      <c r="K35" s="144" t="s">
        <v>169</v>
      </c>
      <c r="L35" s="144"/>
      <c r="M35" s="126">
        <v>1</v>
      </c>
      <c r="N35" s="145"/>
      <c r="O35" s="51">
        <f>IF(OR(ISBLANK(BOM_table7[[#This Row],[SKU QTY]]),BOM_table7[[#This Row],[SKU Cost]]=0),0,BOM_table7[[#This Row],[SKU Cost]]/BOM_table7[[#This Row],[SKU QTY]])</f>
        <v>0</v>
      </c>
      <c r="P35" s="146">
        <f>IF(OR(ISBLANK(BOM_table7[[#This Row],[ASM QTY]]),ISBLANK(BOM_table7[[#This Row],[Unit Cost]])),0,BOM_table7[[#This Row],[ASM QTY]]*BOM_table7[[#This Row],[Unit Cost]])</f>
        <v>0</v>
      </c>
      <c r="Q35" s="144"/>
      <c r="R35" s="144"/>
      <c r="S35" s="93">
        <f>IF(B35="Shared All",$M$3,1)*IF(B35="Shared Science+Docking",2,1)*IF(B35="Shared Docking+Multibeam",2,1)*BOM_table7[[#This Row],[ASM QTY]]*$Q$3+BOM_table7[[#This Row],[Spare QTY Needed]]-BOM_table7[[#This Row],[QTY in Inventory]]</f>
        <v>1</v>
      </c>
      <c r="T35" s="146">
        <f>ROUNDUP((BOM_table7[[#This Row],[QTY to Order]]/BOM_table7[[#This Row],[SKU QTY]]),0)</f>
        <v>1</v>
      </c>
      <c r="U35" s="100">
        <f>BOM_table7[[#This Row],[SKU QTY to Order]]*BOM_table7[[#This Row],[SKU Cost]]</f>
        <v>0</v>
      </c>
      <c r="V35" s="144"/>
      <c r="W35" s="144"/>
      <c r="X35" s="148"/>
      <c r="Y35" s="144"/>
      <c r="Z35" s="144"/>
      <c r="AA35" s="148"/>
      <c r="AB35" s="148"/>
      <c r="AC35" s="149"/>
      <c r="AD35" s="182"/>
      <c r="AE35" s="182"/>
      <c r="AF35" s="182"/>
    </row>
    <row r="36" spans="1:32" ht="15" customHeight="1" x14ac:dyDescent="0.2">
      <c r="A36" s="143" t="s">
        <v>160</v>
      </c>
      <c r="B36" s="44" t="s">
        <v>2088</v>
      </c>
      <c r="C36" s="143" t="s">
        <v>1848</v>
      </c>
      <c r="D36" s="144">
        <v>107540</v>
      </c>
      <c r="E36" s="144" t="s">
        <v>1812</v>
      </c>
      <c r="F36" s="144" t="s">
        <v>152</v>
      </c>
      <c r="G36" s="144">
        <v>1</v>
      </c>
      <c r="H36" s="144" t="s">
        <v>1430</v>
      </c>
      <c r="I36" s="144"/>
      <c r="J36" s="150"/>
      <c r="K36" s="144" t="s">
        <v>169</v>
      </c>
      <c r="L36" s="144"/>
      <c r="M36" s="126">
        <v>1</v>
      </c>
      <c r="N36" s="145"/>
      <c r="O36" s="51">
        <f>IF(OR(ISBLANK(BOM_table7[[#This Row],[SKU QTY]]),BOM_table7[[#This Row],[SKU Cost]]=0),0,BOM_table7[[#This Row],[SKU Cost]]/BOM_table7[[#This Row],[SKU QTY]])</f>
        <v>0</v>
      </c>
      <c r="P36" s="146">
        <f>IF(OR(ISBLANK(BOM_table7[[#This Row],[ASM QTY]]),ISBLANK(BOM_table7[[#This Row],[Unit Cost]])),0,BOM_table7[[#This Row],[ASM QTY]]*BOM_table7[[#This Row],[Unit Cost]])</f>
        <v>0</v>
      </c>
      <c r="Q36" s="144"/>
      <c r="R36" s="144"/>
      <c r="S36" s="93">
        <f>IF(B36="Shared All",$M$3,1)*IF(B36="Shared Science+Docking",2,1)*IF(B36="Shared Docking+Multibeam",2,1)*BOM_table7[[#This Row],[ASM QTY]]*$Q$3+BOM_table7[[#This Row],[Spare QTY Needed]]-BOM_table7[[#This Row],[QTY in Inventory]]</f>
        <v>1</v>
      </c>
      <c r="T36" s="146">
        <f>ROUNDUP((BOM_table7[[#This Row],[QTY to Order]]/BOM_table7[[#This Row],[SKU QTY]]),0)</f>
        <v>1</v>
      </c>
      <c r="U36" s="100">
        <f>BOM_table7[[#This Row],[SKU QTY to Order]]*BOM_table7[[#This Row],[SKU Cost]]</f>
        <v>0</v>
      </c>
      <c r="V36" s="144"/>
      <c r="W36" s="144"/>
      <c r="X36" s="148"/>
      <c r="Y36" s="144"/>
      <c r="Z36" s="144"/>
      <c r="AA36" s="148"/>
      <c r="AB36" s="148"/>
      <c r="AC36" s="149"/>
      <c r="AD36" s="182"/>
      <c r="AE36" s="182"/>
      <c r="AF36" s="182"/>
    </row>
    <row r="37" spans="1:32" ht="15" customHeight="1" x14ac:dyDescent="0.2">
      <c r="A37" s="143" t="s">
        <v>160</v>
      </c>
      <c r="B37" s="44" t="s">
        <v>2088</v>
      </c>
      <c r="C37" s="143" t="s">
        <v>1854</v>
      </c>
      <c r="D37" s="144">
        <v>107557</v>
      </c>
      <c r="E37" s="144" t="s">
        <v>1812</v>
      </c>
      <c r="F37" s="144" t="s">
        <v>152</v>
      </c>
      <c r="G37" s="144">
        <v>1</v>
      </c>
      <c r="H37" s="144" t="s">
        <v>1430</v>
      </c>
      <c r="I37" s="144"/>
      <c r="J37" s="150"/>
      <c r="K37" s="144" t="s">
        <v>169</v>
      </c>
      <c r="L37" s="144"/>
      <c r="M37" s="126">
        <v>1</v>
      </c>
      <c r="N37" s="145"/>
      <c r="O37" s="51">
        <f>IF(OR(ISBLANK(BOM_table7[[#This Row],[SKU QTY]]),BOM_table7[[#This Row],[SKU Cost]]=0),0,BOM_table7[[#This Row],[SKU Cost]]/BOM_table7[[#This Row],[SKU QTY]])</f>
        <v>0</v>
      </c>
      <c r="P37" s="146">
        <f>IF(OR(ISBLANK(BOM_table7[[#This Row],[ASM QTY]]),ISBLANK(BOM_table7[[#This Row],[Unit Cost]])),0,BOM_table7[[#This Row],[ASM QTY]]*BOM_table7[[#This Row],[Unit Cost]])</f>
        <v>0</v>
      </c>
      <c r="Q37" s="144"/>
      <c r="R37" s="144"/>
      <c r="S37" s="93">
        <f>IF(B37="Shared All",$M$3,1)*IF(B37="Shared Science+Docking",2,1)*IF(B37="Shared Docking+Multibeam",2,1)*BOM_table7[[#This Row],[ASM QTY]]*$Q$3+BOM_table7[[#This Row],[Spare QTY Needed]]-BOM_table7[[#This Row],[QTY in Inventory]]</f>
        <v>1</v>
      </c>
      <c r="T37" s="146">
        <f>ROUNDUP((BOM_table7[[#This Row],[QTY to Order]]/BOM_table7[[#This Row],[SKU QTY]]),0)</f>
        <v>1</v>
      </c>
      <c r="U37" s="100">
        <f>BOM_table7[[#This Row],[SKU QTY to Order]]*BOM_table7[[#This Row],[SKU Cost]]</f>
        <v>0</v>
      </c>
      <c r="V37" s="144"/>
      <c r="W37" s="144"/>
      <c r="X37" s="148"/>
      <c r="Y37" s="144"/>
      <c r="Z37" s="144"/>
      <c r="AA37" s="148"/>
      <c r="AB37" s="148"/>
      <c r="AC37" s="149"/>
      <c r="AD37" s="182"/>
      <c r="AE37" s="182"/>
      <c r="AF37" s="182"/>
    </row>
    <row r="38" spans="1:32" ht="15" customHeight="1" x14ac:dyDescent="0.2">
      <c r="A38" s="143" t="s">
        <v>160</v>
      </c>
      <c r="B38" s="44" t="s">
        <v>2088</v>
      </c>
      <c r="C38" s="143" t="s">
        <v>1860</v>
      </c>
      <c r="D38" s="144">
        <v>107561</v>
      </c>
      <c r="E38" s="144" t="s">
        <v>1812</v>
      </c>
      <c r="F38" s="144" t="s">
        <v>233</v>
      </c>
      <c r="G38" s="144">
        <v>1</v>
      </c>
      <c r="H38" s="144" t="s">
        <v>1430</v>
      </c>
      <c r="I38" s="144"/>
      <c r="J38" s="150"/>
      <c r="K38" s="144" t="s">
        <v>169</v>
      </c>
      <c r="L38" s="144"/>
      <c r="M38" s="126">
        <v>1</v>
      </c>
      <c r="N38" s="145"/>
      <c r="O38" s="51">
        <f>IF(OR(ISBLANK(BOM_table7[[#This Row],[SKU QTY]]),BOM_table7[[#This Row],[SKU Cost]]=0),0,BOM_table7[[#This Row],[SKU Cost]]/BOM_table7[[#This Row],[SKU QTY]])</f>
        <v>0</v>
      </c>
      <c r="P38" s="146">
        <f>IF(OR(ISBLANK(BOM_table7[[#This Row],[ASM QTY]]),ISBLANK(BOM_table7[[#This Row],[Unit Cost]])),0,BOM_table7[[#This Row],[ASM QTY]]*BOM_table7[[#This Row],[Unit Cost]])</f>
        <v>0</v>
      </c>
      <c r="Q38" s="144"/>
      <c r="R38" s="144"/>
      <c r="S38" s="93">
        <f>IF(B38="Shared All",$M$3,1)*IF(B38="Shared Science+Docking",2,1)*IF(B38="Shared Docking+Multibeam",2,1)*BOM_table7[[#This Row],[ASM QTY]]*$Q$3+BOM_table7[[#This Row],[Spare QTY Needed]]-BOM_table7[[#This Row],[QTY in Inventory]]</f>
        <v>1</v>
      </c>
      <c r="T38" s="146">
        <f>ROUNDUP((BOM_table7[[#This Row],[QTY to Order]]/BOM_table7[[#This Row],[SKU QTY]]),0)</f>
        <v>1</v>
      </c>
      <c r="U38" s="100">
        <f>BOM_table7[[#This Row],[SKU QTY to Order]]*BOM_table7[[#This Row],[SKU Cost]]</f>
        <v>0</v>
      </c>
      <c r="V38" s="144"/>
      <c r="W38" s="144"/>
      <c r="X38" s="148"/>
      <c r="Y38" s="144"/>
      <c r="Z38" s="144"/>
      <c r="AA38" s="148"/>
      <c r="AB38" s="148"/>
      <c r="AC38" s="149"/>
      <c r="AD38" s="182"/>
      <c r="AE38" s="182"/>
      <c r="AF38" s="182"/>
    </row>
    <row r="39" spans="1:32" ht="15" customHeight="1" x14ac:dyDescent="0.2">
      <c r="A39" s="143" t="s">
        <v>160</v>
      </c>
      <c r="B39" s="44" t="s">
        <v>2088</v>
      </c>
      <c r="C39" s="44" t="s">
        <v>2057</v>
      </c>
      <c r="D39" s="144">
        <v>103837</v>
      </c>
      <c r="E39" s="144" t="s">
        <v>1812</v>
      </c>
      <c r="F39" s="144"/>
      <c r="G39" s="144">
        <v>1</v>
      </c>
      <c r="H39" s="45" t="s">
        <v>2052</v>
      </c>
      <c r="I39" s="144"/>
      <c r="J39" s="150"/>
      <c r="K39" s="144" t="s">
        <v>167</v>
      </c>
      <c r="L39" s="45" t="s">
        <v>2052</v>
      </c>
      <c r="M39" s="126">
        <v>1</v>
      </c>
      <c r="N39" s="145"/>
      <c r="O39" s="51">
        <f>IF(OR(ISBLANK(BOM_table7[[#This Row],[SKU QTY]]),BOM_table7[[#This Row],[SKU Cost]]=0),0,BOM_table7[[#This Row],[SKU Cost]]/BOM_table7[[#This Row],[SKU QTY]])</f>
        <v>0</v>
      </c>
      <c r="P39" s="146">
        <f>IF(OR(ISBLANK(BOM_table7[[#This Row],[ASM QTY]]),ISBLANK(BOM_table7[[#This Row],[Unit Cost]])),0,BOM_table7[[#This Row],[ASM QTY]]*BOM_table7[[#This Row],[Unit Cost]])</f>
        <v>0</v>
      </c>
      <c r="Q39" s="144"/>
      <c r="R39" s="144"/>
      <c r="S39" s="93">
        <f>IF(B39="Shared All",$M$3,1)*IF(B39="Shared Science+Docking",2,1)*IF(B39="Shared Docking+Multibeam",2,1)*BOM_table7[[#This Row],[ASM QTY]]*$Q$3+BOM_table7[[#This Row],[Spare QTY Needed]]-BOM_table7[[#This Row],[QTY in Inventory]]</f>
        <v>1</v>
      </c>
      <c r="T39" s="146">
        <f>ROUNDUP((BOM_table7[[#This Row],[QTY to Order]]/BOM_table7[[#This Row],[SKU QTY]]),0)</f>
        <v>1</v>
      </c>
      <c r="U39" s="100">
        <f>BOM_table7[[#This Row],[SKU QTY to Order]]*BOM_table7[[#This Row],[SKU Cost]]</f>
        <v>0</v>
      </c>
      <c r="V39" s="45"/>
      <c r="W39" s="45"/>
      <c r="X39" s="148"/>
      <c r="Y39" s="144"/>
      <c r="Z39" s="144"/>
      <c r="AA39" s="148"/>
      <c r="AB39" s="148"/>
      <c r="AC39" s="149"/>
      <c r="AD39" s="182"/>
      <c r="AE39" s="182"/>
      <c r="AF39" s="182"/>
    </row>
    <row r="40" spans="1:32" ht="15" customHeight="1" x14ac:dyDescent="0.2">
      <c r="A40" s="143" t="s">
        <v>160</v>
      </c>
      <c r="B40" s="44" t="s">
        <v>2088</v>
      </c>
      <c r="C40" s="143" t="s">
        <v>1868</v>
      </c>
      <c r="D40" s="144" t="s">
        <v>2056</v>
      </c>
      <c r="E40" s="144" t="s">
        <v>1812</v>
      </c>
      <c r="F40" s="144"/>
      <c r="G40" s="144">
        <v>1</v>
      </c>
      <c r="H40" s="45" t="s">
        <v>2052</v>
      </c>
      <c r="I40" s="144"/>
      <c r="J40" s="150"/>
      <c r="K40" s="144" t="s">
        <v>167</v>
      </c>
      <c r="L40" s="144"/>
      <c r="M40" s="126">
        <v>1</v>
      </c>
      <c r="N40" s="145"/>
      <c r="O40" s="51">
        <f>IF(OR(ISBLANK(BOM_table7[[#This Row],[SKU QTY]]),BOM_table7[[#This Row],[SKU Cost]]=0),0,BOM_table7[[#This Row],[SKU Cost]]/BOM_table7[[#This Row],[SKU QTY]])</f>
        <v>0</v>
      </c>
      <c r="P40" s="146">
        <f>IF(OR(ISBLANK(BOM_table7[[#This Row],[ASM QTY]]),ISBLANK(BOM_table7[[#This Row],[Unit Cost]])),0,BOM_table7[[#This Row],[ASM QTY]]*BOM_table7[[#This Row],[Unit Cost]])</f>
        <v>0</v>
      </c>
      <c r="Q40" s="144"/>
      <c r="R40" s="144"/>
      <c r="S40" s="93">
        <f>IF(B40="Shared All",$M$3,1)*IF(B40="Shared Science+Docking",2,1)*IF(B40="Shared Docking+Multibeam",2,1)*BOM_table7[[#This Row],[ASM QTY]]*$Q$3+BOM_table7[[#This Row],[Spare QTY Needed]]-BOM_table7[[#This Row],[QTY in Inventory]]</f>
        <v>1</v>
      </c>
      <c r="T40" s="146">
        <f>ROUNDUP((BOM_table7[[#This Row],[QTY to Order]]/BOM_table7[[#This Row],[SKU QTY]]),0)</f>
        <v>1</v>
      </c>
      <c r="U40" s="100">
        <f>BOM_table7[[#This Row],[SKU QTY to Order]]*BOM_table7[[#This Row],[SKU Cost]]</f>
        <v>0</v>
      </c>
      <c r="V40" s="45"/>
      <c r="W40" s="45"/>
      <c r="X40" s="148"/>
      <c r="Y40" s="144"/>
      <c r="Z40" s="144"/>
      <c r="AA40" s="148"/>
      <c r="AB40" s="148"/>
      <c r="AC40" s="149"/>
      <c r="AD40" s="182"/>
      <c r="AE40" s="182"/>
      <c r="AF40" s="182"/>
    </row>
    <row r="41" spans="1:32" ht="15" customHeight="1" x14ac:dyDescent="0.2">
      <c r="A41" s="143" t="s">
        <v>160</v>
      </c>
      <c r="B41" s="44" t="s">
        <v>2088</v>
      </c>
      <c r="C41" s="143" t="s">
        <v>1869</v>
      </c>
      <c r="D41" s="144">
        <v>106990</v>
      </c>
      <c r="E41" s="144" t="s">
        <v>1812</v>
      </c>
      <c r="F41" s="144" t="s">
        <v>152</v>
      </c>
      <c r="G41" s="144">
        <v>1</v>
      </c>
      <c r="H41" s="144" t="s">
        <v>1430</v>
      </c>
      <c r="I41" s="144"/>
      <c r="J41" s="150"/>
      <c r="K41" s="144" t="s">
        <v>169</v>
      </c>
      <c r="L41" s="45" t="s">
        <v>1528</v>
      </c>
      <c r="M41" s="126">
        <v>1</v>
      </c>
      <c r="N41" s="145"/>
      <c r="O41" s="51">
        <f>IF(OR(ISBLANK(BOM_table7[[#This Row],[SKU QTY]]),BOM_table7[[#This Row],[SKU Cost]]=0),0,BOM_table7[[#This Row],[SKU Cost]]/BOM_table7[[#This Row],[SKU QTY]])</f>
        <v>0</v>
      </c>
      <c r="P41" s="146">
        <f>IF(OR(ISBLANK(BOM_table7[[#This Row],[ASM QTY]]),ISBLANK(BOM_table7[[#This Row],[Unit Cost]])),0,BOM_table7[[#This Row],[ASM QTY]]*BOM_table7[[#This Row],[Unit Cost]])</f>
        <v>0</v>
      </c>
      <c r="Q41" s="144"/>
      <c r="R41" s="144"/>
      <c r="S41" s="93">
        <f>IF(B41="Shared All",$M$3,1)*IF(B41="Shared Science+Docking",2,1)*IF(B41="Shared Docking+Multibeam",2,1)*BOM_table7[[#This Row],[ASM QTY]]*$Q$3+BOM_table7[[#This Row],[Spare QTY Needed]]-BOM_table7[[#This Row],[QTY in Inventory]]</f>
        <v>1</v>
      </c>
      <c r="T41" s="146">
        <f>ROUNDUP((BOM_table7[[#This Row],[QTY to Order]]/BOM_table7[[#This Row],[SKU QTY]]),0)</f>
        <v>1</v>
      </c>
      <c r="U41" s="100">
        <f>BOM_table7[[#This Row],[SKU QTY to Order]]*BOM_table7[[#This Row],[SKU Cost]]</f>
        <v>0</v>
      </c>
      <c r="V41" s="45"/>
      <c r="W41" s="45"/>
      <c r="X41" s="148"/>
      <c r="Y41" s="144"/>
      <c r="Z41" s="144"/>
      <c r="AA41" s="148"/>
      <c r="AB41" s="148"/>
      <c r="AC41" s="149"/>
      <c r="AD41" s="182"/>
      <c r="AE41" s="182"/>
      <c r="AF41" s="182"/>
    </row>
    <row r="42" spans="1:32" ht="15" customHeight="1" x14ac:dyDescent="0.2">
      <c r="A42" s="143" t="s">
        <v>160</v>
      </c>
      <c r="B42" s="44" t="s">
        <v>2088</v>
      </c>
      <c r="C42" s="143" t="s">
        <v>1870</v>
      </c>
      <c r="D42" s="144">
        <v>107592</v>
      </c>
      <c r="E42" s="144" t="s">
        <v>1812</v>
      </c>
      <c r="F42" s="144" t="s">
        <v>152</v>
      </c>
      <c r="G42" s="144">
        <v>1</v>
      </c>
      <c r="H42" s="144" t="s">
        <v>1430</v>
      </c>
      <c r="I42" s="144"/>
      <c r="J42" s="150"/>
      <c r="K42" s="144" t="s">
        <v>169</v>
      </c>
      <c r="L42" s="45" t="s">
        <v>1528</v>
      </c>
      <c r="M42" s="126">
        <v>1</v>
      </c>
      <c r="N42" s="145"/>
      <c r="O42" s="51">
        <f>IF(OR(ISBLANK(BOM_table7[[#This Row],[SKU QTY]]),BOM_table7[[#This Row],[SKU Cost]]=0),0,BOM_table7[[#This Row],[SKU Cost]]/BOM_table7[[#This Row],[SKU QTY]])</f>
        <v>0</v>
      </c>
      <c r="P42" s="146">
        <f>IF(OR(ISBLANK(BOM_table7[[#This Row],[ASM QTY]]),ISBLANK(BOM_table7[[#This Row],[Unit Cost]])),0,BOM_table7[[#This Row],[ASM QTY]]*BOM_table7[[#This Row],[Unit Cost]])</f>
        <v>0</v>
      </c>
      <c r="Q42" s="144"/>
      <c r="R42" s="144"/>
      <c r="S42" s="93">
        <f>IF(B42="Shared All",$M$3,1)*IF(B42="Shared Science+Docking",2,1)*IF(B42="Shared Docking+Multibeam",2,1)*BOM_table7[[#This Row],[ASM QTY]]*$Q$3+BOM_table7[[#This Row],[Spare QTY Needed]]-BOM_table7[[#This Row],[QTY in Inventory]]</f>
        <v>1</v>
      </c>
      <c r="T42" s="146">
        <f>ROUNDUP((BOM_table7[[#This Row],[QTY to Order]]/BOM_table7[[#This Row],[SKU QTY]]),0)</f>
        <v>1</v>
      </c>
      <c r="U42" s="100">
        <f>BOM_table7[[#This Row],[SKU QTY to Order]]*BOM_table7[[#This Row],[SKU Cost]]</f>
        <v>0</v>
      </c>
      <c r="V42" s="45"/>
      <c r="W42" s="45"/>
      <c r="X42" s="148"/>
      <c r="Y42" s="144"/>
      <c r="Z42" s="144"/>
      <c r="AA42" s="148"/>
      <c r="AB42" s="148"/>
      <c r="AC42" s="149"/>
      <c r="AD42" s="182"/>
      <c r="AE42" s="182"/>
      <c r="AF42" s="182"/>
    </row>
    <row r="43" spans="1:32" ht="15" customHeight="1" x14ac:dyDescent="0.2">
      <c r="A43" s="143" t="s">
        <v>160</v>
      </c>
      <c r="B43" s="44" t="s">
        <v>2088</v>
      </c>
      <c r="C43" s="143" t="s">
        <v>1871</v>
      </c>
      <c r="D43" s="144">
        <v>107556</v>
      </c>
      <c r="E43" s="144" t="s">
        <v>1812</v>
      </c>
      <c r="F43" s="144" t="s">
        <v>152</v>
      </c>
      <c r="G43" s="144">
        <v>1</v>
      </c>
      <c r="H43" s="144" t="s">
        <v>1430</v>
      </c>
      <c r="I43" s="144"/>
      <c r="J43" s="150"/>
      <c r="K43" s="144" t="s">
        <v>169</v>
      </c>
      <c r="L43" s="144"/>
      <c r="M43" s="126">
        <v>1</v>
      </c>
      <c r="N43" s="145"/>
      <c r="O43" s="51">
        <f>IF(OR(ISBLANK(BOM_table7[[#This Row],[SKU QTY]]),BOM_table7[[#This Row],[SKU Cost]]=0),0,BOM_table7[[#This Row],[SKU Cost]]/BOM_table7[[#This Row],[SKU QTY]])</f>
        <v>0</v>
      </c>
      <c r="P43" s="146">
        <f>IF(OR(ISBLANK(BOM_table7[[#This Row],[ASM QTY]]),ISBLANK(BOM_table7[[#This Row],[Unit Cost]])),0,BOM_table7[[#This Row],[ASM QTY]]*BOM_table7[[#This Row],[Unit Cost]])</f>
        <v>0</v>
      </c>
      <c r="Q43" s="144"/>
      <c r="R43" s="144"/>
      <c r="S43" s="93">
        <f>IF(B43="Shared All",$M$3,1)*IF(B43="Shared Science+Docking",2,1)*IF(B43="Shared Docking+Multibeam",2,1)*BOM_table7[[#This Row],[ASM QTY]]*$Q$3+BOM_table7[[#This Row],[Spare QTY Needed]]-BOM_table7[[#This Row],[QTY in Inventory]]</f>
        <v>1</v>
      </c>
      <c r="T43" s="146">
        <f>ROUNDUP((BOM_table7[[#This Row],[QTY to Order]]/BOM_table7[[#This Row],[SKU QTY]]),0)</f>
        <v>1</v>
      </c>
      <c r="U43" s="100">
        <f>BOM_table7[[#This Row],[SKU QTY to Order]]*BOM_table7[[#This Row],[SKU Cost]]</f>
        <v>0</v>
      </c>
      <c r="V43" s="144"/>
      <c r="W43" s="144"/>
      <c r="X43" s="148"/>
      <c r="Y43" s="144"/>
      <c r="Z43" s="144"/>
      <c r="AA43" s="148"/>
      <c r="AB43" s="148"/>
      <c r="AC43" s="149"/>
      <c r="AD43" s="182"/>
      <c r="AE43" s="182"/>
      <c r="AF43" s="182"/>
    </row>
    <row r="44" spans="1:32" ht="15" customHeight="1" x14ac:dyDescent="0.2">
      <c r="A44" s="143" t="s">
        <v>160</v>
      </c>
      <c r="B44" s="44" t="s">
        <v>2088</v>
      </c>
      <c r="C44" s="143" t="s">
        <v>1881</v>
      </c>
      <c r="D44" s="144" t="s">
        <v>1882</v>
      </c>
      <c r="E44" s="144" t="s">
        <v>1812</v>
      </c>
      <c r="F44" s="144"/>
      <c r="G44" s="144">
        <v>1</v>
      </c>
      <c r="H44" s="144" t="s">
        <v>864</v>
      </c>
      <c r="I44" s="144"/>
      <c r="J44" s="150"/>
      <c r="K44" s="144" t="s">
        <v>166</v>
      </c>
      <c r="L44" s="144"/>
      <c r="M44" s="126">
        <v>1</v>
      </c>
      <c r="N44" s="145"/>
      <c r="O44" s="51">
        <f>IF(OR(ISBLANK(BOM_table7[[#This Row],[SKU QTY]]),BOM_table7[[#This Row],[SKU Cost]]=0),0,BOM_table7[[#This Row],[SKU Cost]]/BOM_table7[[#This Row],[SKU QTY]])</f>
        <v>0</v>
      </c>
      <c r="P44" s="146">
        <f>IF(OR(ISBLANK(BOM_table7[[#This Row],[ASM QTY]]),ISBLANK(BOM_table7[[#This Row],[Unit Cost]])),0,BOM_table7[[#This Row],[ASM QTY]]*BOM_table7[[#This Row],[Unit Cost]])</f>
        <v>0</v>
      </c>
      <c r="Q44" s="144"/>
      <c r="R44" s="144"/>
      <c r="S44" s="93">
        <f>IF(B44="Shared All",$M$3,1)*IF(B44="Shared Science+Docking",2,1)*IF(B44="Shared Docking+Multibeam",2,1)*BOM_table7[[#This Row],[ASM QTY]]*$Q$3+BOM_table7[[#This Row],[Spare QTY Needed]]-BOM_table7[[#This Row],[QTY in Inventory]]</f>
        <v>1</v>
      </c>
      <c r="T44" s="146">
        <f>ROUNDUP((BOM_table7[[#This Row],[QTY to Order]]/BOM_table7[[#This Row],[SKU QTY]]),0)</f>
        <v>1</v>
      </c>
      <c r="U44" s="100">
        <f>BOM_table7[[#This Row],[SKU QTY to Order]]*BOM_table7[[#This Row],[SKU Cost]]</f>
        <v>0</v>
      </c>
      <c r="V44" s="144"/>
      <c r="W44" s="144"/>
      <c r="X44" s="148"/>
      <c r="Y44" s="144"/>
      <c r="Z44" s="144"/>
      <c r="AA44" s="148"/>
      <c r="AB44" s="148"/>
      <c r="AC44" s="149"/>
      <c r="AD44" s="182"/>
      <c r="AE44" s="182"/>
      <c r="AF44" s="182"/>
    </row>
    <row r="45" spans="1:32" ht="15" customHeight="1" x14ac:dyDescent="0.2">
      <c r="A45" s="143" t="s">
        <v>160</v>
      </c>
      <c r="B45" s="44" t="s">
        <v>2088</v>
      </c>
      <c r="C45" s="143" t="s">
        <v>1883</v>
      </c>
      <c r="D45" s="144">
        <v>107591</v>
      </c>
      <c r="E45" s="144" t="s">
        <v>1812</v>
      </c>
      <c r="F45" s="144" t="s">
        <v>152</v>
      </c>
      <c r="G45" s="144">
        <v>1</v>
      </c>
      <c r="H45" s="144" t="s">
        <v>1430</v>
      </c>
      <c r="I45" s="144"/>
      <c r="J45" s="150"/>
      <c r="K45" s="144" t="s">
        <v>169</v>
      </c>
      <c r="L45" s="45" t="s">
        <v>1528</v>
      </c>
      <c r="M45" s="126">
        <v>1</v>
      </c>
      <c r="N45" s="145"/>
      <c r="O45" s="51">
        <f>IF(OR(ISBLANK(BOM_table7[[#This Row],[SKU QTY]]),BOM_table7[[#This Row],[SKU Cost]]=0),0,BOM_table7[[#This Row],[SKU Cost]]/BOM_table7[[#This Row],[SKU QTY]])</f>
        <v>0</v>
      </c>
      <c r="P45" s="146">
        <f>IF(OR(ISBLANK(BOM_table7[[#This Row],[ASM QTY]]),ISBLANK(BOM_table7[[#This Row],[Unit Cost]])),0,BOM_table7[[#This Row],[ASM QTY]]*BOM_table7[[#This Row],[Unit Cost]])</f>
        <v>0</v>
      </c>
      <c r="Q45" s="144"/>
      <c r="R45" s="144"/>
      <c r="S45" s="93">
        <f>IF(B45="Shared All",$M$3,1)*IF(B45="Shared Science+Docking",2,1)*IF(B45="Shared Docking+Multibeam",2,1)*BOM_table7[[#This Row],[ASM QTY]]*$Q$3+BOM_table7[[#This Row],[Spare QTY Needed]]-BOM_table7[[#This Row],[QTY in Inventory]]</f>
        <v>1</v>
      </c>
      <c r="T45" s="146">
        <f>ROUNDUP((BOM_table7[[#This Row],[QTY to Order]]/BOM_table7[[#This Row],[SKU QTY]]),0)</f>
        <v>1</v>
      </c>
      <c r="U45" s="100">
        <f>BOM_table7[[#This Row],[SKU QTY to Order]]*BOM_table7[[#This Row],[SKU Cost]]</f>
        <v>0</v>
      </c>
      <c r="V45" s="45"/>
      <c r="W45" s="45"/>
      <c r="X45" s="148"/>
      <c r="Y45" s="144"/>
      <c r="Z45" s="144"/>
      <c r="AA45" s="148"/>
      <c r="AB45" s="148"/>
      <c r="AC45" s="149"/>
      <c r="AD45" s="182"/>
      <c r="AE45" s="182"/>
      <c r="AF45" s="182"/>
    </row>
    <row r="46" spans="1:32" ht="15" customHeight="1" x14ac:dyDescent="0.2">
      <c r="A46" s="143" t="s">
        <v>160</v>
      </c>
      <c r="B46" s="44" t="s">
        <v>2088</v>
      </c>
      <c r="C46" s="143" t="s">
        <v>1885</v>
      </c>
      <c r="D46" s="144"/>
      <c r="E46" s="144" t="s">
        <v>1812</v>
      </c>
      <c r="F46" s="144"/>
      <c r="G46" s="144">
        <v>1</v>
      </c>
      <c r="H46" s="144" t="s">
        <v>1430</v>
      </c>
      <c r="I46" s="144"/>
      <c r="J46" s="150"/>
      <c r="K46" s="144" t="s">
        <v>169</v>
      </c>
      <c r="L46" s="144"/>
      <c r="M46" s="126">
        <v>1</v>
      </c>
      <c r="N46" s="145"/>
      <c r="O46" s="51">
        <f>IF(OR(ISBLANK(BOM_table7[[#This Row],[SKU QTY]]),BOM_table7[[#This Row],[SKU Cost]]=0),0,BOM_table7[[#This Row],[SKU Cost]]/BOM_table7[[#This Row],[SKU QTY]])</f>
        <v>0</v>
      </c>
      <c r="P46" s="146">
        <f>IF(OR(ISBLANK(BOM_table7[[#This Row],[ASM QTY]]),ISBLANK(BOM_table7[[#This Row],[Unit Cost]])),0,BOM_table7[[#This Row],[ASM QTY]]*BOM_table7[[#This Row],[Unit Cost]])</f>
        <v>0</v>
      </c>
      <c r="Q46" s="144"/>
      <c r="R46" s="144"/>
      <c r="S46" s="93">
        <f>IF(B46="Shared All",$M$3,1)*IF(B46="Shared Science+Docking",2,1)*IF(B46="Shared Docking+Multibeam",2,1)*BOM_table7[[#This Row],[ASM QTY]]*$Q$3+BOM_table7[[#This Row],[Spare QTY Needed]]-BOM_table7[[#This Row],[QTY in Inventory]]</f>
        <v>1</v>
      </c>
      <c r="T46" s="146">
        <f>ROUNDUP((BOM_table7[[#This Row],[QTY to Order]]/BOM_table7[[#This Row],[SKU QTY]]),0)</f>
        <v>1</v>
      </c>
      <c r="U46" s="100">
        <f>BOM_table7[[#This Row],[SKU QTY to Order]]*BOM_table7[[#This Row],[SKU Cost]]</f>
        <v>0</v>
      </c>
      <c r="V46" s="144"/>
      <c r="W46" s="144"/>
      <c r="X46" s="148"/>
      <c r="Y46" s="144"/>
      <c r="Z46" s="144"/>
      <c r="AA46" s="148"/>
      <c r="AB46" s="148"/>
      <c r="AC46" s="149"/>
      <c r="AD46" s="182"/>
      <c r="AE46" s="182"/>
      <c r="AF46" s="182"/>
    </row>
    <row r="47" spans="1:32" ht="15" customHeight="1" x14ac:dyDescent="0.2">
      <c r="A47" s="143" t="s">
        <v>160</v>
      </c>
      <c r="B47" s="44" t="s">
        <v>2088</v>
      </c>
      <c r="C47" s="44" t="s">
        <v>2048</v>
      </c>
      <c r="D47" s="45" t="s">
        <v>2049</v>
      </c>
      <c r="E47" s="144" t="s">
        <v>1812</v>
      </c>
      <c r="F47" s="45"/>
      <c r="G47" s="45">
        <v>3</v>
      </c>
      <c r="H47" s="144" t="s">
        <v>1274</v>
      </c>
      <c r="I47" s="144"/>
      <c r="J47" s="43"/>
      <c r="K47" s="144" t="s">
        <v>166</v>
      </c>
      <c r="L47" s="45"/>
      <c r="M47" s="126">
        <v>1</v>
      </c>
      <c r="N47" s="50"/>
      <c r="O47" s="51">
        <f>IF(OR(ISBLANK(BOM_table7[[#This Row],[SKU QTY]]),BOM_table7[[#This Row],[SKU Cost]]=0),0,BOM_table7[[#This Row],[SKU Cost]]/BOM_table7[[#This Row],[SKU QTY]])</f>
        <v>0</v>
      </c>
      <c r="P47" s="146">
        <f>IF(OR(ISBLANK(BOM_table7[[#This Row],[ASM QTY]]),ISBLANK(BOM_table7[[#This Row],[Unit Cost]])),0,BOM_table7[[#This Row],[ASM QTY]]*BOM_table7[[#This Row],[Unit Cost]])</f>
        <v>0</v>
      </c>
      <c r="Q47" s="45"/>
      <c r="R47" s="45"/>
      <c r="S47" s="93">
        <f>IF(B47="Shared All",$M$3,1)*IF(B47="Shared Science+Docking",2,1)*IF(B47="Shared Docking+Multibeam",2,1)*BOM_table7[[#This Row],[ASM QTY]]*$Q$3+BOM_table7[[#This Row],[Spare QTY Needed]]-BOM_table7[[#This Row],[QTY in Inventory]]</f>
        <v>3</v>
      </c>
      <c r="T47" s="51">
        <f>ROUNDUP((BOM_table7[[#This Row],[QTY to Order]]/BOM_table7[[#This Row],[SKU QTY]]),0)</f>
        <v>3</v>
      </c>
      <c r="U47" s="100">
        <f>BOM_table7[[#This Row],[SKU QTY to Order]]*BOM_table7[[#This Row],[SKU Cost]]</f>
        <v>0</v>
      </c>
      <c r="V47" s="45"/>
      <c r="W47" s="45"/>
      <c r="X47" s="54"/>
      <c r="Y47" s="45"/>
      <c r="Z47" s="45"/>
      <c r="AA47" s="54"/>
      <c r="AB47" s="54"/>
      <c r="AC47" s="56"/>
      <c r="AD47" s="182"/>
      <c r="AE47" s="182"/>
      <c r="AF47" s="182"/>
    </row>
    <row r="48" spans="1:32" ht="15" customHeight="1" x14ac:dyDescent="0.2">
      <c r="A48" s="143" t="s">
        <v>160</v>
      </c>
      <c r="B48" s="44" t="s">
        <v>2088</v>
      </c>
      <c r="C48" s="143" t="s">
        <v>1886</v>
      </c>
      <c r="D48" s="144">
        <v>105471</v>
      </c>
      <c r="E48" s="144" t="s">
        <v>1812</v>
      </c>
      <c r="F48" s="144"/>
      <c r="G48" s="144">
        <v>1</v>
      </c>
      <c r="H48" s="45" t="s">
        <v>2052</v>
      </c>
      <c r="I48" s="144"/>
      <c r="J48" s="43" t="s">
        <v>2075</v>
      </c>
      <c r="K48" s="144" t="s">
        <v>169</v>
      </c>
      <c r="L48" s="45" t="s">
        <v>2076</v>
      </c>
      <c r="M48" s="126">
        <v>1</v>
      </c>
      <c r="N48" s="145"/>
      <c r="O48" s="51">
        <f>IF(OR(ISBLANK(BOM_table7[[#This Row],[SKU QTY]]),BOM_table7[[#This Row],[SKU Cost]]=0),0,BOM_table7[[#This Row],[SKU Cost]]/BOM_table7[[#This Row],[SKU QTY]])</f>
        <v>0</v>
      </c>
      <c r="P48" s="146">
        <f>IF(OR(ISBLANK(BOM_table7[[#This Row],[ASM QTY]]),ISBLANK(BOM_table7[[#This Row],[Unit Cost]])),0,BOM_table7[[#This Row],[ASM QTY]]*BOM_table7[[#This Row],[Unit Cost]])</f>
        <v>0</v>
      </c>
      <c r="Q48" s="144"/>
      <c r="R48" s="144"/>
      <c r="S48" s="93">
        <f>IF(B48="Shared All",$M$3,1)*IF(B48="Shared Science+Docking",2,1)*IF(B48="Shared Docking+Multibeam",2,1)*BOM_table7[[#This Row],[ASM QTY]]*$Q$3+BOM_table7[[#This Row],[Spare QTY Needed]]-BOM_table7[[#This Row],[QTY in Inventory]]</f>
        <v>1</v>
      </c>
      <c r="T48" s="146">
        <f>ROUNDUP((BOM_table7[[#This Row],[QTY to Order]]/BOM_table7[[#This Row],[SKU QTY]]),0)</f>
        <v>1</v>
      </c>
      <c r="U48" s="100">
        <f>BOM_table7[[#This Row],[SKU QTY to Order]]*BOM_table7[[#This Row],[SKU Cost]]</f>
        <v>0</v>
      </c>
      <c r="V48" s="45"/>
      <c r="W48" s="45"/>
      <c r="X48" s="148"/>
      <c r="Y48" s="144"/>
      <c r="Z48" s="144"/>
      <c r="AA48" s="148"/>
      <c r="AB48" s="148"/>
      <c r="AC48" s="149"/>
      <c r="AD48" s="182"/>
      <c r="AE48" s="182"/>
      <c r="AF48" s="182"/>
    </row>
    <row r="49" spans="1:32" ht="15" customHeight="1" x14ac:dyDescent="0.2">
      <c r="A49" s="143" t="s">
        <v>160</v>
      </c>
      <c r="B49" s="44" t="s">
        <v>2088</v>
      </c>
      <c r="C49" s="143" t="s">
        <v>1895</v>
      </c>
      <c r="D49" s="144" t="s">
        <v>1896</v>
      </c>
      <c r="E49" s="144" t="s">
        <v>1812</v>
      </c>
      <c r="F49" s="144"/>
      <c r="G49" s="144">
        <v>1</v>
      </c>
      <c r="H49" s="144" t="s">
        <v>1897</v>
      </c>
      <c r="I49" s="144"/>
      <c r="J49" s="150"/>
      <c r="K49" s="144" t="s">
        <v>166</v>
      </c>
      <c r="L49" s="144"/>
      <c r="M49" s="126">
        <v>1</v>
      </c>
      <c r="N49" s="145"/>
      <c r="O49" s="51">
        <f>IF(OR(ISBLANK(BOM_table7[[#This Row],[SKU QTY]]),BOM_table7[[#This Row],[SKU Cost]]=0),0,BOM_table7[[#This Row],[SKU Cost]]/BOM_table7[[#This Row],[SKU QTY]])</f>
        <v>0</v>
      </c>
      <c r="P49" s="146">
        <f>IF(OR(ISBLANK(BOM_table7[[#This Row],[ASM QTY]]),ISBLANK(BOM_table7[[#This Row],[Unit Cost]])),0,BOM_table7[[#This Row],[ASM QTY]]*BOM_table7[[#This Row],[Unit Cost]])</f>
        <v>0</v>
      </c>
      <c r="Q49" s="144"/>
      <c r="R49" s="144"/>
      <c r="S49" s="93">
        <f>IF(B49="Shared All",$M$3,1)*IF(B49="Shared Science+Docking",2,1)*IF(B49="Shared Docking+Multibeam",2,1)*BOM_table7[[#This Row],[ASM QTY]]*$Q$3+BOM_table7[[#This Row],[Spare QTY Needed]]-BOM_table7[[#This Row],[QTY in Inventory]]</f>
        <v>1</v>
      </c>
      <c r="T49" s="146">
        <f>ROUNDUP((BOM_table7[[#This Row],[QTY to Order]]/BOM_table7[[#This Row],[SKU QTY]]),0)</f>
        <v>1</v>
      </c>
      <c r="U49" s="100">
        <f>BOM_table7[[#This Row],[SKU QTY to Order]]*BOM_table7[[#This Row],[SKU Cost]]</f>
        <v>0</v>
      </c>
      <c r="V49" s="144"/>
      <c r="W49" s="144"/>
      <c r="X49" s="148"/>
      <c r="Y49" s="144"/>
      <c r="Z49" s="144"/>
      <c r="AA49" s="148"/>
      <c r="AB49" s="148"/>
      <c r="AC49" s="149"/>
      <c r="AD49" s="182"/>
      <c r="AE49" s="182"/>
      <c r="AF49" s="182"/>
    </row>
    <row r="50" spans="1:32" ht="15" customHeight="1" x14ac:dyDescent="0.2">
      <c r="A50" s="143" t="s">
        <v>160</v>
      </c>
      <c r="B50" s="44" t="s">
        <v>2088</v>
      </c>
      <c r="C50" s="143" t="s">
        <v>1898</v>
      </c>
      <c r="D50" s="144">
        <v>108592</v>
      </c>
      <c r="E50" s="144" t="s">
        <v>1812</v>
      </c>
      <c r="F50" s="144" t="s">
        <v>152</v>
      </c>
      <c r="G50" s="144">
        <v>1</v>
      </c>
      <c r="H50" s="144" t="s">
        <v>1430</v>
      </c>
      <c r="I50" s="144"/>
      <c r="J50" s="150"/>
      <c r="K50" s="144" t="s">
        <v>169</v>
      </c>
      <c r="L50" s="144"/>
      <c r="M50" s="126">
        <v>1</v>
      </c>
      <c r="N50" s="145"/>
      <c r="O50" s="51">
        <f>IF(OR(ISBLANK(BOM_table7[[#This Row],[SKU QTY]]),BOM_table7[[#This Row],[SKU Cost]]=0),0,BOM_table7[[#This Row],[SKU Cost]]/BOM_table7[[#This Row],[SKU QTY]])</f>
        <v>0</v>
      </c>
      <c r="P50" s="146">
        <f>IF(OR(ISBLANK(BOM_table7[[#This Row],[ASM QTY]]),ISBLANK(BOM_table7[[#This Row],[Unit Cost]])),0,BOM_table7[[#This Row],[ASM QTY]]*BOM_table7[[#This Row],[Unit Cost]])</f>
        <v>0</v>
      </c>
      <c r="Q50" s="144"/>
      <c r="R50" s="144"/>
      <c r="S50" s="93">
        <f>IF(B50="Shared All",$M$3,1)*IF(B50="Shared Science+Docking",2,1)*IF(B50="Shared Docking+Multibeam",2,1)*BOM_table7[[#This Row],[ASM QTY]]*$Q$3+BOM_table7[[#This Row],[Spare QTY Needed]]-BOM_table7[[#This Row],[QTY in Inventory]]</f>
        <v>1</v>
      </c>
      <c r="T50" s="146">
        <f>ROUNDUP((BOM_table7[[#This Row],[QTY to Order]]/BOM_table7[[#This Row],[SKU QTY]]),0)</f>
        <v>1</v>
      </c>
      <c r="U50" s="100">
        <f>BOM_table7[[#This Row],[SKU QTY to Order]]*BOM_table7[[#This Row],[SKU Cost]]</f>
        <v>0</v>
      </c>
      <c r="V50" s="144"/>
      <c r="W50" s="144"/>
      <c r="X50" s="148"/>
      <c r="Y50" s="144"/>
      <c r="Z50" s="144"/>
      <c r="AA50" s="148"/>
      <c r="AB50" s="148"/>
      <c r="AC50" s="149"/>
      <c r="AD50" s="182"/>
      <c r="AE50" s="182"/>
      <c r="AF50" s="182"/>
    </row>
    <row r="51" spans="1:32" ht="15" customHeight="1" x14ac:dyDescent="0.2">
      <c r="A51" s="143" t="s">
        <v>160</v>
      </c>
      <c r="B51" s="44" t="s">
        <v>2088</v>
      </c>
      <c r="C51" s="143" t="s">
        <v>1909</v>
      </c>
      <c r="D51" s="144">
        <v>103102</v>
      </c>
      <c r="E51" s="144" t="s">
        <v>1812</v>
      </c>
      <c r="F51" s="144"/>
      <c r="G51" s="144">
        <v>3</v>
      </c>
      <c r="H51" s="45" t="s">
        <v>2052</v>
      </c>
      <c r="I51" s="144"/>
      <c r="J51" s="150"/>
      <c r="K51" s="144" t="s">
        <v>167</v>
      </c>
      <c r="L51" s="45" t="s">
        <v>2052</v>
      </c>
      <c r="M51" s="126">
        <v>1</v>
      </c>
      <c r="N51" s="145"/>
      <c r="O51" s="51">
        <f>IF(OR(ISBLANK(BOM_table7[[#This Row],[SKU QTY]]),BOM_table7[[#This Row],[SKU Cost]]=0),0,BOM_table7[[#This Row],[SKU Cost]]/BOM_table7[[#This Row],[SKU QTY]])</f>
        <v>0</v>
      </c>
      <c r="P51" s="146">
        <f>IF(OR(ISBLANK(BOM_table7[[#This Row],[ASM QTY]]),ISBLANK(BOM_table7[[#This Row],[Unit Cost]])),0,BOM_table7[[#This Row],[ASM QTY]]*BOM_table7[[#This Row],[Unit Cost]])</f>
        <v>0</v>
      </c>
      <c r="Q51" s="144"/>
      <c r="R51" s="144"/>
      <c r="S51" s="93">
        <f>IF(B51="Shared All",$M$3,1)*IF(B51="Shared Science+Docking",2,1)*IF(B51="Shared Docking+Multibeam",2,1)*BOM_table7[[#This Row],[ASM QTY]]*$Q$3+BOM_table7[[#This Row],[Spare QTY Needed]]-BOM_table7[[#This Row],[QTY in Inventory]]</f>
        <v>3</v>
      </c>
      <c r="T51" s="146">
        <f>ROUNDUP((BOM_table7[[#This Row],[QTY to Order]]/BOM_table7[[#This Row],[SKU QTY]]),0)</f>
        <v>3</v>
      </c>
      <c r="U51" s="100">
        <f>BOM_table7[[#This Row],[SKU QTY to Order]]*BOM_table7[[#This Row],[SKU Cost]]</f>
        <v>0</v>
      </c>
      <c r="V51" s="45"/>
      <c r="W51" s="45"/>
      <c r="X51" s="148"/>
      <c r="Y51" s="144"/>
      <c r="Z51" s="144"/>
      <c r="AA51" s="148"/>
      <c r="AB51" s="148"/>
      <c r="AC51" s="149"/>
      <c r="AD51" s="182"/>
      <c r="AE51" s="182"/>
      <c r="AF51" s="182"/>
    </row>
    <row r="52" spans="1:32" ht="15" customHeight="1" x14ac:dyDescent="0.2">
      <c r="A52" s="143" t="s">
        <v>160</v>
      </c>
      <c r="B52" s="44" t="s">
        <v>2088</v>
      </c>
      <c r="C52" s="169" t="s">
        <v>2053</v>
      </c>
      <c r="D52" s="144">
        <v>105460</v>
      </c>
      <c r="E52" s="144" t="s">
        <v>1812</v>
      </c>
      <c r="F52" s="144"/>
      <c r="G52" s="144">
        <v>1</v>
      </c>
      <c r="H52" s="45" t="s">
        <v>2052</v>
      </c>
      <c r="I52" s="144"/>
      <c r="J52" s="43"/>
      <c r="K52" s="144" t="s">
        <v>167</v>
      </c>
      <c r="L52" s="45" t="s">
        <v>2052</v>
      </c>
      <c r="M52" s="126">
        <v>1</v>
      </c>
      <c r="N52" s="145"/>
      <c r="O52" s="51">
        <f>IF(OR(ISBLANK(BOM_table7[[#This Row],[SKU QTY]]),BOM_table7[[#This Row],[SKU Cost]]=0),0,BOM_table7[[#This Row],[SKU Cost]]/BOM_table7[[#This Row],[SKU QTY]])</f>
        <v>0</v>
      </c>
      <c r="P52" s="146">
        <f>IF(OR(ISBLANK(BOM_table7[[#This Row],[ASM QTY]]),ISBLANK(BOM_table7[[#This Row],[Unit Cost]])),0,BOM_table7[[#This Row],[ASM QTY]]*BOM_table7[[#This Row],[Unit Cost]])</f>
        <v>0</v>
      </c>
      <c r="Q52" s="144"/>
      <c r="R52" s="144"/>
      <c r="S52" s="93">
        <f>IF(B52="Shared All",$M$3,1)*IF(B52="Shared Science+Docking",2,1)*IF(B52="Shared Docking+Multibeam",2,1)*BOM_table7[[#This Row],[ASM QTY]]*$Q$3+BOM_table7[[#This Row],[Spare QTY Needed]]-BOM_table7[[#This Row],[QTY in Inventory]]</f>
        <v>1</v>
      </c>
      <c r="T52" s="146">
        <f>ROUNDUP((BOM_table7[[#This Row],[QTY to Order]]/BOM_table7[[#This Row],[SKU QTY]]),0)</f>
        <v>1</v>
      </c>
      <c r="U52" s="100">
        <f>BOM_table7[[#This Row],[SKU QTY to Order]]*BOM_table7[[#This Row],[SKU Cost]]</f>
        <v>0</v>
      </c>
      <c r="V52" s="144"/>
      <c r="W52" s="144"/>
      <c r="X52" s="148"/>
      <c r="Y52" s="144"/>
      <c r="Z52" s="144"/>
      <c r="AA52" s="148"/>
      <c r="AB52" s="148"/>
      <c r="AC52" s="149"/>
      <c r="AD52" s="182"/>
      <c r="AE52" s="182"/>
      <c r="AF52" s="182"/>
    </row>
    <row r="53" spans="1:32" ht="15" customHeight="1" x14ac:dyDescent="0.2">
      <c r="A53" s="143" t="s">
        <v>160</v>
      </c>
      <c r="B53" s="44" t="s">
        <v>2088</v>
      </c>
      <c r="C53" s="143" t="s">
        <v>1910</v>
      </c>
      <c r="D53" s="144" t="s">
        <v>1911</v>
      </c>
      <c r="E53" s="144" t="s">
        <v>1812</v>
      </c>
      <c r="F53" s="144"/>
      <c r="G53" s="144">
        <v>28</v>
      </c>
      <c r="H53" s="144" t="s">
        <v>1274</v>
      </c>
      <c r="I53" s="144"/>
      <c r="J53" s="150"/>
      <c r="K53" s="144" t="s">
        <v>166</v>
      </c>
      <c r="L53" s="144"/>
      <c r="M53" s="126">
        <v>1</v>
      </c>
      <c r="N53" s="145"/>
      <c r="O53" s="51">
        <f>IF(OR(ISBLANK(BOM_table7[[#This Row],[SKU QTY]]),BOM_table7[[#This Row],[SKU Cost]]=0),0,BOM_table7[[#This Row],[SKU Cost]]/BOM_table7[[#This Row],[SKU QTY]])</f>
        <v>0</v>
      </c>
      <c r="P53" s="146">
        <f>IF(OR(ISBLANK(BOM_table7[[#This Row],[ASM QTY]]),ISBLANK(BOM_table7[[#This Row],[Unit Cost]])),0,BOM_table7[[#This Row],[ASM QTY]]*BOM_table7[[#This Row],[Unit Cost]])</f>
        <v>0</v>
      </c>
      <c r="Q53" s="144"/>
      <c r="R53" s="144"/>
      <c r="S53" s="93">
        <f>IF(B53="Shared All",$M$3,1)*IF(B53="Shared Science+Docking",2,1)*IF(B53="Shared Docking+Multibeam",2,1)*BOM_table7[[#This Row],[ASM QTY]]*$Q$3+BOM_table7[[#This Row],[Spare QTY Needed]]-BOM_table7[[#This Row],[QTY in Inventory]]</f>
        <v>28</v>
      </c>
      <c r="T53" s="146">
        <f>ROUNDUP((BOM_table7[[#This Row],[QTY to Order]]/BOM_table7[[#This Row],[SKU QTY]]),0)</f>
        <v>28</v>
      </c>
      <c r="U53" s="100">
        <f>BOM_table7[[#This Row],[SKU QTY to Order]]*BOM_table7[[#This Row],[SKU Cost]]</f>
        <v>0</v>
      </c>
      <c r="V53" s="45"/>
      <c r="W53" s="45"/>
      <c r="X53" s="148"/>
      <c r="Y53" s="144"/>
      <c r="Z53" s="144"/>
      <c r="AA53" s="148"/>
      <c r="AB53" s="148"/>
      <c r="AC53" s="149"/>
      <c r="AD53" s="182"/>
      <c r="AE53" s="182"/>
      <c r="AF53" s="182"/>
    </row>
    <row r="54" spans="1:32" ht="15" customHeight="1" x14ac:dyDescent="0.2">
      <c r="A54" s="143" t="s">
        <v>161</v>
      </c>
      <c r="B54" s="44" t="s">
        <v>2088</v>
      </c>
      <c r="C54" s="143" t="s">
        <v>1912</v>
      </c>
      <c r="D54" s="144" t="s">
        <v>360</v>
      </c>
      <c r="E54" s="144" t="s">
        <v>1812</v>
      </c>
      <c r="F54" s="144"/>
      <c r="G54" s="144">
        <v>12</v>
      </c>
      <c r="H54" s="144" t="s">
        <v>1274</v>
      </c>
      <c r="I54" s="144"/>
      <c r="J54" s="150"/>
      <c r="K54" s="144" t="s">
        <v>166</v>
      </c>
      <c r="L54" s="144"/>
      <c r="M54" s="126">
        <v>1</v>
      </c>
      <c r="N54" s="145"/>
      <c r="O54" s="51">
        <f>IF(OR(ISBLANK(BOM_table7[[#This Row],[SKU QTY]]),BOM_table7[[#This Row],[SKU Cost]]=0),0,BOM_table7[[#This Row],[SKU Cost]]/BOM_table7[[#This Row],[SKU QTY]])</f>
        <v>0</v>
      </c>
      <c r="P54" s="146">
        <f>IF(OR(ISBLANK(BOM_table7[[#This Row],[ASM QTY]]),ISBLANK(BOM_table7[[#This Row],[Unit Cost]])),0,BOM_table7[[#This Row],[ASM QTY]]*BOM_table7[[#This Row],[Unit Cost]])</f>
        <v>0</v>
      </c>
      <c r="Q54" s="144"/>
      <c r="R54" s="144"/>
      <c r="S54" s="93">
        <f>IF(B54="Shared All",$M$3,1)*IF(B54="Shared Science+Docking",2,1)*IF(B54="Shared Docking+Multibeam",2,1)*BOM_table7[[#This Row],[ASM QTY]]*$Q$3+BOM_table7[[#This Row],[Spare QTY Needed]]-BOM_table7[[#This Row],[QTY in Inventory]]</f>
        <v>12</v>
      </c>
      <c r="T54" s="146">
        <f>ROUNDUP((BOM_table7[[#This Row],[QTY to Order]]/BOM_table7[[#This Row],[SKU QTY]]),0)</f>
        <v>12</v>
      </c>
      <c r="U54" s="100">
        <f>BOM_table7[[#This Row],[SKU QTY to Order]]*BOM_table7[[#This Row],[SKU Cost]]</f>
        <v>0</v>
      </c>
      <c r="V54" s="45"/>
      <c r="W54" s="45"/>
      <c r="X54" s="148"/>
      <c r="Y54" s="144"/>
      <c r="Z54" s="144"/>
      <c r="AA54" s="148"/>
      <c r="AB54" s="148"/>
      <c r="AC54" s="149"/>
      <c r="AD54" s="182"/>
      <c r="AE54" s="182"/>
      <c r="AF54" s="182"/>
    </row>
    <row r="55" spans="1:32" ht="15" customHeight="1" x14ac:dyDescent="0.2">
      <c r="A55" s="143" t="s">
        <v>160</v>
      </c>
      <c r="B55" s="44" t="s">
        <v>2088</v>
      </c>
      <c r="C55" s="143" t="s">
        <v>1913</v>
      </c>
      <c r="D55" s="144" t="s">
        <v>1914</v>
      </c>
      <c r="E55" s="144" t="s">
        <v>1812</v>
      </c>
      <c r="F55" s="144"/>
      <c r="G55" s="144">
        <v>14</v>
      </c>
      <c r="H55" s="144" t="s">
        <v>1274</v>
      </c>
      <c r="I55" s="144"/>
      <c r="J55" s="150"/>
      <c r="K55" s="144" t="s">
        <v>166</v>
      </c>
      <c r="L55" s="144"/>
      <c r="M55" s="126">
        <v>1</v>
      </c>
      <c r="N55" s="145"/>
      <c r="O55" s="51">
        <f>IF(OR(ISBLANK(BOM_table7[[#This Row],[SKU QTY]]),BOM_table7[[#This Row],[SKU Cost]]=0),0,BOM_table7[[#This Row],[SKU Cost]]/BOM_table7[[#This Row],[SKU QTY]])</f>
        <v>0</v>
      </c>
      <c r="P55" s="146">
        <f>IF(OR(ISBLANK(BOM_table7[[#This Row],[ASM QTY]]),ISBLANK(BOM_table7[[#This Row],[Unit Cost]])),0,BOM_table7[[#This Row],[ASM QTY]]*BOM_table7[[#This Row],[Unit Cost]])</f>
        <v>0</v>
      </c>
      <c r="Q55" s="144"/>
      <c r="R55" s="144"/>
      <c r="S55" s="93">
        <f>IF(B55="Shared All",$M$3,1)*IF(B55="Shared Science+Docking",2,1)*IF(B55="Shared Docking+Multibeam",2,1)*BOM_table7[[#This Row],[ASM QTY]]*$Q$3+BOM_table7[[#This Row],[Spare QTY Needed]]-BOM_table7[[#This Row],[QTY in Inventory]]</f>
        <v>14</v>
      </c>
      <c r="T55" s="146">
        <f>ROUNDUP((BOM_table7[[#This Row],[QTY to Order]]/BOM_table7[[#This Row],[SKU QTY]]),0)</f>
        <v>14</v>
      </c>
      <c r="U55" s="100">
        <f>BOM_table7[[#This Row],[SKU QTY to Order]]*BOM_table7[[#This Row],[SKU Cost]]</f>
        <v>0</v>
      </c>
      <c r="V55" s="45"/>
      <c r="W55" s="45"/>
      <c r="X55" s="148"/>
      <c r="Y55" s="144"/>
      <c r="Z55" s="144"/>
      <c r="AA55" s="148"/>
      <c r="AB55" s="148"/>
      <c r="AC55" s="149"/>
      <c r="AD55" s="182"/>
      <c r="AE55" s="182"/>
      <c r="AF55" s="182"/>
    </row>
    <row r="56" spans="1:32" ht="15" customHeight="1" x14ac:dyDescent="0.2">
      <c r="A56" s="143" t="s">
        <v>160</v>
      </c>
      <c r="B56" s="44" t="s">
        <v>2088</v>
      </c>
      <c r="C56" s="143" t="s">
        <v>1915</v>
      </c>
      <c r="D56" s="144" t="s">
        <v>1773</v>
      </c>
      <c r="E56" s="144" t="s">
        <v>1812</v>
      </c>
      <c r="F56" s="144"/>
      <c r="G56" s="144">
        <v>2</v>
      </c>
      <c r="H56" s="144" t="s">
        <v>1274</v>
      </c>
      <c r="I56" s="144"/>
      <c r="J56" s="150"/>
      <c r="K56" s="144" t="s">
        <v>166</v>
      </c>
      <c r="L56" s="144"/>
      <c r="M56" s="126">
        <v>1</v>
      </c>
      <c r="N56" s="145"/>
      <c r="O56" s="51">
        <f>IF(OR(ISBLANK(BOM_table7[[#This Row],[SKU QTY]]),BOM_table7[[#This Row],[SKU Cost]]=0),0,BOM_table7[[#This Row],[SKU Cost]]/BOM_table7[[#This Row],[SKU QTY]])</f>
        <v>0</v>
      </c>
      <c r="P56" s="146">
        <f>IF(OR(ISBLANK(BOM_table7[[#This Row],[ASM QTY]]),ISBLANK(BOM_table7[[#This Row],[Unit Cost]])),0,BOM_table7[[#This Row],[ASM QTY]]*BOM_table7[[#This Row],[Unit Cost]])</f>
        <v>0</v>
      </c>
      <c r="Q56" s="144"/>
      <c r="R56" s="144"/>
      <c r="S56" s="93">
        <f>IF(B56="Shared All",$M$3,1)*IF(B56="Shared Science+Docking",2,1)*IF(B56="Shared Docking+Multibeam",2,1)*BOM_table7[[#This Row],[ASM QTY]]*$Q$3+BOM_table7[[#This Row],[Spare QTY Needed]]-BOM_table7[[#This Row],[QTY in Inventory]]</f>
        <v>2</v>
      </c>
      <c r="T56" s="146">
        <f>ROUNDUP((BOM_table7[[#This Row],[QTY to Order]]/BOM_table7[[#This Row],[SKU QTY]]),0)</f>
        <v>2</v>
      </c>
      <c r="U56" s="100">
        <f>BOM_table7[[#This Row],[SKU QTY to Order]]*BOM_table7[[#This Row],[SKU Cost]]</f>
        <v>0</v>
      </c>
      <c r="V56" s="45"/>
      <c r="W56" s="45"/>
      <c r="X56" s="148"/>
      <c r="Y56" s="144"/>
      <c r="Z56" s="144"/>
      <c r="AA56" s="148"/>
      <c r="AB56" s="148"/>
      <c r="AC56" s="149"/>
      <c r="AD56" s="182"/>
      <c r="AE56" s="182"/>
      <c r="AF56" s="182"/>
    </row>
    <row r="57" spans="1:32" ht="15" customHeight="1" x14ac:dyDescent="0.2">
      <c r="A57" s="143" t="s">
        <v>160</v>
      </c>
      <c r="B57" s="44" t="s">
        <v>2088</v>
      </c>
      <c r="C57" s="143" t="s">
        <v>1916</v>
      </c>
      <c r="D57" s="144" t="s">
        <v>1733</v>
      </c>
      <c r="E57" s="144" t="s">
        <v>1812</v>
      </c>
      <c r="F57" s="144"/>
      <c r="G57" s="144">
        <v>4</v>
      </c>
      <c r="H57" s="144" t="s">
        <v>1274</v>
      </c>
      <c r="I57" s="144"/>
      <c r="J57" s="150"/>
      <c r="K57" s="144" t="s">
        <v>166</v>
      </c>
      <c r="L57" s="144"/>
      <c r="M57" s="126">
        <v>1</v>
      </c>
      <c r="N57" s="145"/>
      <c r="O57" s="51">
        <f>IF(OR(ISBLANK(BOM_table7[[#This Row],[SKU QTY]]),BOM_table7[[#This Row],[SKU Cost]]=0),0,BOM_table7[[#This Row],[SKU Cost]]/BOM_table7[[#This Row],[SKU QTY]])</f>
        <v>0</v>
      </c>
      <c r="P57" s="146">
        <f>IF(OR(ISBLANK(BOM_table7[[#This Row],[ASM QTY]]),ISBLANK(BOM_table7[[#This Row],[Unit Cost]])),0,BOM_table7[[#This Row],[ASM QTY]]*BOM_table7[[#This Row],[Unit Cost]])</f>
        <v>0</v>
      </c>
      <c r="Q57" s="144"/>
      <c r="R57" s="144"/>
      <c r="S57" s="93">
        <f>IF(B57="Shared All",$M$3,1)*IF(B57="Shared Science+Docking",2,1)*IF(B57="Shared Docking+Multibeam",2,1)*BOM_table7[[#This Row],[ASM QTY]]*$Q$3+BOM_table7[[#This Row],[Spare QTY Needed]]-BOM_table7[[#This Row],[QTY in Inventory]]</f>
        <v>4</v>
      </c>
      <c r="T57" s="146">
        <f>ROUNDUP((BOM_table7[[#This Row],[QTY to Order]]/BOM_table7[[#This Row],[SKU QTY]]),0)</f>
        <v>4</v>
      </c>
      <c r="U57" s="100">
        <f>BOM_table7[[#This Row],[SKU QTY to Order]]*BOM_table7[[#This Row],[SKU Cost]]</f>
        <v>0</v>
      </c>
      <c r="V57" s="45"/>
      <c r="W57" s="45"/>
      <c r="X57" s="148"/>
      <c r="Y57" s="144"/>
      <c r="Z57" s="144"/>
      <c r="AA57" s="148"/>
      <c r="AB57" s="148"/>
      <c r="AC57" s="149"/>
      <c r="AD57" s="182"/>
      <c r="AE57" s="182"/>
      <c r="AF57" s="182"/>
    </row>
    <row r="58" spans="1:32" ht="15" customHeight="1" x14ac:dyDescent="0.2">
      <c r="A58" s="143" t="s">
        <v>160</v>
      </c>
      <c r="B58" s="44" t="s">
        <v>2088</v>
      </c>
      <c r="C58" s="143" t="s">
        <v>1919</v>
      </c>
      <c r="D58" s="144" t="s">
        <v>1917</v>
      </c>
      <c r="E58" s="144" t="s">
        <v>1812</v>
      </c>
      <c r="F58" s="144"/>
      <c r="G58" s="144">
        <v>2</v>
      </c>
      <c r="H58" s="144" t="s">
        <v>1274</v>
      </c>
      <c r="I58" s="144"/>
      <c r="J58" s="150"/>
      <c r="K58" s="144" t="s">
        <v>166</v>
      </c>
      <c r="L58" s="144"/>
      <c r="M58" s="126">
        <v>1</v>
      </c>
      <c r="N58" s="145"/>
      <c r="O58" s="51">
        <f>IF(OR(ISBLANK(BOM_table7[[#This Row],[SKU QTY]]),BOM_table7[[#This Row],[SKU Cost]]=0),0,BOM_table7[[#This Row],[SKU Cost]]/BOM_table7[[#This Row],[SKU QTY]])</f>
        <v>0</v>
      </c>
      <c r="P58" s="146">
        <f>IF(OR(ISBLANK(BOM_table7[[#This Row],[ASM QTY]]),ISBLANK(BOM_table7[[#This Row],[Unit Cost]])),0,BOM_table7[[#This Row],[ASM QTY]]*BOM_table7[[#This Row],[Unit Cost]])</f>
        <v>0</v>
      </c>
      <c r="Q58" s="144"/>
      <c r="R58" s="144"/>
      <c r="S58" s="93">
        <f>IF(B58="Shared All",$M$3,1)*IF(B58="Shared Science+Docking",2,1)*IF(B58="Shared Docking+Multibeam",2,1)*BOM_table7[[#This Row],[ASM QTY]]*$Q$3+BOM_table7[[#This Row],[Spare QTY Needed]]-BOM_table7[[#This Row],[QTY in Inventory]]</f>
        <v>2</v>
      </c>
      <c r="T58" s="146">
        <f>ROUNDUP((BOM_table7[[#This Row],[QTY to Order]]/BOM_table7[[#This Row],[SKU QTY]]),0)</f>
        <v>2</v>
      </c>
      <c r="U58" s="100">
        <f>BOM_table7[[#This Row],[SKU QTY to Order]]*BOM_table7[[#This Row],[SKU Cost]]</f>
        <v>0</v>
      </c>
      <c r="V58" s="45"/>
      <c r="W58" s="45"/>
      <c r="X58" s="148"/>
      <c r="Y58" s="144"/>
      <c r="Z58" s="144"/>
      <c r="AA58" s="148"/>
      <c r="AB58" s="148"/>
      <c r="AC58" s="149"/>
      <c r="AD58" s="182"/>
      <c r="AE58" s="182"/>
      <c r="AF58" s="182"/>
    </row>
    <row r="59" spans="1:32" ht="15" customHeight="1" x14ac:dyDescent="0.2">
      <c r="A59" s="143" t="s">
        <v>160</v>
      </c>
      <c r="B59" s="44" t="s">
        <v>2088</v>
      </c>
      <c r="C59" s="143" t="s">
        <v>1918</v>
      </c>
      <c r="D59" s="144" t="s">
        <v>1920</v>
      </c>
      <c r="E59" s="144" t="s">
        <v>1812</v>
      </c>
      <c r="F59" s="144"/>
      <c r="G59" s="144">
        <v>1</v>
      </c>
      <c r="H59" s="144" t="s">
        <v>1274</v>
      </c>
      <c r="I59" s="144"/>
      <c r="J59" s="150"/>
      <c r="K59" s="144" t="s">
        <v>166</v>
      </c>
      <c r="L59" s="144"/>
      <c r="M59" s="126">
        <v>1</v>
      </c>
      <c r="N59" s="145"/>
      <c r="O59" s="51">
        <f>IF(OR(ISBLANK(BOM_table7[[#This Row],[SKU QTY]]),BOM_table7[[#This Row],[SKU Cost]]=0),0,BOM_table7[[#This Row],[SKU Cost]]/BOM_table7[[#This Row],[SKU QTY]])</f>
        <v>0</v>
      </c>
      <c r="P59" s="146">
        <f>IF(OR(ISBLANK(BOM_table7[[#This Row],[ASM QTY]]),ISBLANK(BOM_table7[[#This Row],[Unit Cost]])),0,BOM_table7[[#This Row],[ASM QTY]]*BOM_table7[[#This Row],[Unit Cost]])</f>
        <v>0</v>
      </c>
      <c r="Q59" s="144"/>
      <c r="R59" s="144"/>
      <c r="S59" s="93">
        <f>IF(B59="Shared All",$M$3,1)*IF(B59="Shared Science+Docking",2,1)*IF(B59="Shared Docking+Multibeam",2,1)*BOM_table7[[#This Row],[ASM QTY]]*$Q$3+BOM_table7[[#This Row],[Spare QTY Needed]]-BOM_table7[[#This Row],[QTY in Inventory]]</f>
        <v>1</v>
      </c>
      <c r="T59" s="146">
        <f>ROUNDUP((BOM_table7[[#This Row],[QTY to Order]]/BOM_table7[[#This Row],[SKU QTY]]),0)</f>
        <v>1</v>
      </c>
      <c r="U59" s="100">
        <f>BOM_table7[[#This Row],[SKU QTY to Order]]*BOM_table7[[#This Row],[SKU Cost]]</f>
        <v>0</v>
      </c>
      <c r="V59" s="45"/>
      <c r="W59" s="45"/>
      <c r="X59" s="148"/>
      <c r="Y59" s="144"/>
      <c r="Z59" s="144"/>
      <c r="AA59" s="148"/>
      <c r="AB59" s="148"/>
      <c r="AC59" s="149"/>
      <c r="AD59" s="182"/>
      <c r="AE59" s="182"/>
      <c r="AF59" s="182"/>
    </row>
    <row r="60" spans="1:32" ht="15" customHeight="1" x14ac:dyDescent="0.2">
      <c r="A60" s="143" t="s">
        <v>160</v>
      </c>
      <c r="B60" s="44" t="s">
        <v>2088</v>
      </c>
      <c r="C60" s="143" t="s">
        <v>1921</v>
      </c>
      <c r="D60" s="144" t="s">
        <v>1922</v>
      </c>
      <c r="E60" s="144" t="s">
        <v>1812</v>
      </c>
      <c r="F60" s="144"/>
      <c r="G60" s="144">
        <v>1</v>
      </c>
      <c r="H60" s="144" t="s">
        <v>316</v>
      </c>
      <c r="I60" s="144"/>
      <c r="J60" s="43"/>
      <c r="K60" s="144" t="s">
        <v>166</v>
      </c>
      <c r="L60" s="144"/>
      <c r="M60" s="126">
        <v>1</v>
      </c>
      <c r="N60" s="145"/>
      <c r="O60" s="51">
        <f>IF(OR(ISBLANK(BOM_table7[[#This Row],[SKU QTY]]),BOM_table7[[#This Row],[SKU Cost]]=0),0,BOM_table7[[#This Row],[SKU Cost]]/BOM_table7[[#This Row],[SKU QTY]])</f>
        <v>0</v>
      </c>
      <c r="P60" s="146">
        <f>IF(OR(ISBLANK(BOM_table7[[#This Row],[ASM QTY]]),ISBLANK(BOM_table7[[#This Row],[Unit Cost]])),0,BOM_table7[[#This Row],[ASM QTY]]*BOM_table7[[#This Row],[Unit Cost]])</f>
        <v>0</v>
      </c>
      <c r="Q60" s="144"/>
      <c r="R60" s="144"/>
      <c r="S60" s="93">
        <f>IF(B60="Shared All",$M$3,1)*IF(B60="Shared Science+Docking",2,1)*IF(B60="Shared Docking+Multibeam",2,1)*BOM_table7[[#This Row],[ASM QTY]]*$Q$3+BOM_table7[[#This Row],[Spare QTY Needed]]-BOM_table7[[#This Row],[QTY in Inventory]]</f>
        <v>1</v>
      </c>
      <c r="T60" s="146">
        <f>ROUNDUP((BOM_table7[[#This Row],[QTY to Order]]/BOM_table7[[#This Row],[SKU QTY]]),0)</f>
        <v>1</v>
      </c>
      <c r="U60" s="100">
        <f>BOM_table7[[#This Row],[SKU QTY to Order]]*BOM_table7[[#This Row],[SKU Cost]]</f>
        <v>0</v>
      </c>
      <c r="V60" s="144"/>
      <c r="W60" s="144"/>
      <c r="X60" s="148"/>
      <c r="Y60" s="144"/>
      <c r="Z60" s="144"/>
      <c r="AA60" s="148"/>
      <c r="AB60" s="148"/>
      <c r="AC60" s="149"/>
      <c r="AD60" s="182"/>
      <c r="AE60" s="182"/>
      <c r="AF60" s="182"/>
    </row>
    <row r="61" spans="1:32" ht="15" customHeight="1" x14ac:dyDescent="0.2">
      <c r="A61" s="143" t="s">
        <v>160</v>
      </c>
      <c r="B61" s="44" t="s">
        <v>2088</v>
      </c>
      <c r="C61" s="143" t="s">
        <v>1923</v>
      </c>
      <c r="D61" s="144" t="s">
        <v>1924</v>
      </c>
      <c r="E61" s="144" t="s">
        <v>1812</v>
      </c>
      <c r="F61" s="144"/>
      <c r="G61" s="144">
        <v>1</v>
      </c>
      <c r="H61" s="144" t="s">
        <v>316</v>
      </c>
      <c r="I61" s="144"/>
      <c r="J61" s="43"/>
      <c r="K61" s="144" t="s">
        <v>166</v>
      </c>
      <c r="L61" s="144"/>
      <c r="M61" s="126">
        <v>1</v>
      </c>
      <c r="N61" s="145"/>
      <c r="O61" s="51">
        <f>IF(OR(ISBLANK(BOM_table7[[#This Row],[SKU QTY]]),BOM_table7[[#This Row],[SKU Cost]]=0),0,BOM_table7[[#This Row],[SKU Cost]]/BOM_table7[[#This Row],[SKU QTY]])</f>
        <v>0</v>
      </c>
      <c r="P61" s="146">
        <f>IF(OR(ISBLANK(BOM_table7[[#This Row],[ASM QTY]]),ISBLANK(BOM_table7[[#This Row],[Unit Cost]])),0,BOM_table7[[#This Row],[ASM QTY]]*BOM_table7[[#This Row],[Unit Cost]])</f>
        <v>0</v>
      </c>
      <c r="Q61" s="144"/>
      <c r="R61" s="144"/>
      <c r="S61" s="93">
        <f>IF(B61="Shared All",$M$3,1)*IF(B61="Shared Science+Docking",2,1)*IF(B61="Shared Docking+Multibeam",2,1)*BOM_table7[[#This Row],[ASM QTY]]*$Q$3+BOM_table7[[#This Row],[Spare QTY Needed]]-BOM_table7[[#This Row],[QTY in Inventory]]</f>
        <v>1</v>
      </c>
      <c r="T61" s="146">
        <f>ROUNDUP((BOM_table7[[#This Row],[QTY to Order]]/BOM_table7[[#This Row],[SKU QTY]]),0)</f>
        <v>1</v>
      </c>
      <c r="U61" s="100">
        <f>BOM_table7[[#This Row],[SKU QTY to Order]]*BOM_table7[[#This Row],[SKU Cost]]</f>
        <v>0</v>
      </c>
      <c r="V61" s="144"/>
      <c r="W61" s="144"/>
      <c r="X61" s="148"/>
      <c r="Y61" s="144"/>
      <c r="Z61" s="144"/>
      <c r="AA61" s="148"/>
      <c r="AB61" s="148"/>
      <c r="AC61" s="149"/>
      <c r="AD61" s="182"/>
      <c r="AE61" s="182"/>
      <c r="AF61" s="182"/>
    </row>
    <row r="62" spans="1:32" ht="15" customHeight="1" x14ac:dyDescent="0.2">
      <c r="A62" s="143" t="s">
        <v>160</v>
      </c>
      <c r="B62" s="44" t="s">
        <v>2088</v>
      </c>
      <c r="C62" s="143" t="s">
        <v>1925</v>
      </c>
      <c r="D62" s="144" t="s">
        <v>1926</v>
      </c>
      <c r="E62" s="144" t="s">
        <v>1812</v>
      </c>
      <c r="F62" s="144"/>
      <c r="G62" s="144">
        <v>1</v>
      </c>
      <c r="H62" s="144" t="s">
        <v>1274</v>
      </c>
      <c r="I62" s="144"/>
      <c r="J62" s="43" t="s">
        <v>2119</v>
      </c>
      <c r="K62" s="144" t="s">
        <v>166</v>
      </c>
      <c r="L62" s="144"/>
      <c r="M62" s="126">
        <v>1</v>
      </c>
      <c r="N62" s="145"/>
      <c r="O62" s="51">
        <f>IF(OR(ISBLANK(BOM_table7[[#This Row],[SKU QTY]]),BOM_table7[[#This Row],[SKU Cost]]=0),0,BOM_table7[[#This Row],[SKU Cost]]/BOM_table7[[#This Row],[SKU QTY]])</f>
        <v>0</v>
      </c>
      <c r="P62" s="146">
        <f>IF(OR(ISBLANK(BOM_table7[[#This Row],[ASM QTY]]),ISBLANK(BOM_table7[[#This Row],[Unit Cost]])),0,BOM_table7[[#This Row],[ASM QTY]]*BOM_table7[[#This Row],[Unit Cost]])</f>
        <v>0</v>
      </c>
      <c r="Q62" s="144"/>
      <c r="R62" s="144"/>
      <c r="S62" s="93">
        <f>IF(B62="Shared All",$M$3,1)*IF(B62="Shared Science+Docking",2,1)*IF(B62="Shared Docking+Multibeam",2,1)*BOM_table7[[#This Row],[ASM QTY]]*$Q$3+BOM_table7[[#This Row],[Spare QTY Needed]]-BOM_table7[[#This Row],[QTY in Inventory]]</f>
        <v>1</v>
      </c>
      <c r="T62" s="146">
        <f>ROUNDUP((BOM_table7[[#This Row],[QTY to Order]]/BOM_table7[[#This Row],[SKU QTY]]),0)</f>
        <v>1</v>
      </c>
      <c r="U62" s="100">
        <f>BOM_table7[[#This Row],[SKU QTY to Order]]*BOM_table7[[#This Row],[SKU Cost]]</f>
        <v>0</v>
      </c>
      <c r="V62" s="144"/>
      <c r="W62" s="144"/>
      <c r="X62" s="148"/>
      <c r="Y62" s="144"/>
      <c r="Z62" s="144"/>
      <c r="AA62" s="148"/>
      <c r="AB62" s="148"/>
      <c r="AC62" s="149"/>
      <c r="AD62" s="182"/>
      <c r="AE62" s="182"/>
      <c r="AF62" s="182"/>
    </row>
    <row r="63" spans="1:32" ht="15" customHeight="1" x14ac:dyDescent="0.2">
      <c r="A63" s="143" t="s">
        <v>160</v>
      </c>
      <c r="B63" s="44" t="s">
        <v>2088</v>
      </c>
      <c r="C63" s="44" t="s">
        <v>2030</v>
      </c>
      <c r="D63" s="45" t="s">
        <v>2029</v>
      </c>
      <c r="E63" s="144" t="s">
        <v>1812</v>
      </c>
      <c r="F63" s="144"/>
      <c r="G63" s="144">
        <v>1</v>
      </c>
      <c r="H63" s="144" t="s">
        <v>1809</v>
      </c>
      <c r="I63" s="144"/>
      <c r="J63" s="150"/>
      <c r="K63" s="144" t="s">
        <v>166</v>
      </c>
      <c r="L63" s="45" t="s">
        <v>2060</v>
      </c>
      <c r="M63" s="126">
        <v>1</v>
      </c>
      <c r="N63" s="145"/>
      <c r="O63" s="51">
        <f>IF(OR(ISBLANK(BOM_table7[[#This Row],[SKU QTY]]),BOM_table7[[#This Row],[SKU Cost]]=0),0,BOM_table7[[#This Row],[SKU Cost]]/BOM_table7[[#This Row],[SKU QTY]])</f>
        <v>0</v>
      </c>
      <c r="P63" s="146">
        <f>IF(OR(ISBLANK(BOM_table7[[#This Row],[ASM QTY]]),ISBLANK(BOM_table7[[#This Row],[Unit Cost]])),0,BOM_table7[[#This Row],[ASM QTY]]*BOM_table7[[#This Row],[Unit Cost]])</f>
        <v>0</v>
      </c>
      <c r="Q63" s="144"/>
      <c r="R63" s="144"/>
      <c r="S63" s="93">
        <f>IF(B63="Shared All",$M$3,1)*IF(B63="Shared Science+Docking",2,1)*IF(B63="Shared Docking+Multibeam",2,1)*BOM_table7[[#This Row],[ASM QTY]]*$Q$3+BOM_table7[[#This Row],[Spare QTY Needed]]-BOM_table7[[#This Row],[QTY in Inventory]]</f>
        <v>1</v>
      </c>
      <c r="T63" s="146">
        <f>ROUNDUP((BOM_table7[[#This Row],[QTY to Order]]/BOM_table7[[#This Row],[SKU QTY]]),0)</f>
        <v>1</v>
      </c>
      <c r="U63" s="100">
        <f>BOM_table7[[#This Row],[SKU QTY to Order]]*BOM_table7[[#This Row],[SKU Cost]]</f>
        <v>0</v>
      </c>
      <c r="V63" s="45"/>
      <c r="W63" s="45"/>
      <c r="X63" s="148"/>
      <c r="Y63" s="144"/>
      <c r="Z63" s="45"/>
      <c r="AA63" s="148"/>
      <c r="AB63" s="148"/>
      <c r="AC63" s="149"/>
      <c r="AD63" s="182"/>
      <c r="AE63" s="182"/>
      <c r="AF63" s="182"/>
    </row>
    <row r="64" spans="1:32" ht="15" customHeight="1" x14ac:dyDescent="0.2">
      <c r="A64" s="143" t="s">
        <v>160</v>
      </c>
      <c r="B64" s="44" t="s">
        <v>2088</v>
      </c>
      <c r="C64" s="143" t="s">
        <v>1927</v>
      </c>
      <c r="D64" s="144"/>
      <c r="E64" s="144" t="s">
        <v>1812</v>
      </c>
      <c r="F64" s="144"/>
      <c r="G64" s="144">
        <v>1</v>
      </c>
      <c r="H64" s="144" t="s">
        <v>1430</v>
      </c>
      <c r="I64" s="144"/>
      <c r="J64" s="150"/>
      <c r="K64" s="144" t="s">
        <v>867</v>
      </c>
      <c r="L64" s="144"/>
      <c r="M64" s="126">
        <v>1</v>
      </c>
      <c r="N64" s="145"/>
      <c r="O64" s="51">
        <f>IF(OR(ISBLANK(BOM_table7[[#This Row],[SKU QTY]]),BOM_table7[[#This Row],[SKU Cost]]=0),0,BOM_table7[[#This Row],[SKU Cost]]/BOM_table7[[#This Row],[SKU QTY]])</f>
        <v>0</v>
      </c>
      <c r="P64" s="146">
        <f>IF(OR(ISBLANK(BOM_table7[[#This Row],[ASM QTY]]),ISBLANK(BOM_table7[[#This Row],[Unit Cost]])),0,BOM_table7[[#This Row],[ASM QTY]]*BOM_table7[[#This Row],[Unit Cost]])</f>
        <v>0</v>
      </c>
      <c r="Q64" s="144"/>
      <c r="R64" s="144"/>
      <c r="S64" s="93">
        <f>IF(B64="Shared All",$M$3,1)*IF(B64="Shared Science+Docking",2,1)*IF(B64="Shared Docking+Multibeam",2,1)*BOM_table7[[#This Row],[ASM QTY]]*$Q$3+BOM_table7[[#This Row],[Spare QTY Needed]]-BOM_table7[[#This Row],[QTY in Inventory]]</f>
        <v>1</v>
      </c>
      <c r="T64" s="146">
        <f>ROUNDUP((BOM_table7[[#This Row],[QTY to Order]]/BOM_table7[[#This Row],[SKU QTY]]),0)</f>
        <v>1</v>
      </c>
      <c r="U64" s="100">
        <f>BOM_table7[[#This Row],[SKU QTY to Order]]*BOM_table7[[#This Row],[SKU Cost]]</f>
        <v>0</v>
      </c>
      <c r="V64" s="144"/>
      <c r="W64" s="144"/>
      <c r="X64" s="148"/>
      <c r="Y64" s="144"/>
      <c r="Z64" s="144"/>
      <c r="AA64" s="148"/>
      <c r="AB64" s="148"/>
      <c r="AC64" s="149"/>
      <c r="AD64" s="182"/>
      <c r="AE64" s="182"/>
      <c r="AF64" s="182"/>
    </row>
    <row r="65" spans="1:32" ht="15" customHeight="1" x14ac:dyDescent="0.2">
      <c r="A65" s="143" t="s">
        <v>160</v>
      </c>
      <c r="B65" s="44" t="s">
        <v>2088</v>
      </c>
      <c r="C65" s="143" t="s">
        <v>1928</v>
      </c>
      <c r="D65" s="144"/>
      <c r="E65" s="144" t="s">
        <v>1812</v>
      </c>
      <c r="F65" s="144"/>
      <c r="G65" s="144">
        <v>1</v>
      </c>
      <c r="H65" s="144" t="s">
        <v>1430</v>
      </c>
      <c r="I65" s="144"/>
      <c r="J65" s="150"/>
      <c r="K65" s="144" t="s">
        <v>867</v>
      </c>
      <c r="L65" s="144"/>
      <c r="M65" s="126">
        <v>1</v>
      </c>
      <c r="N65" s="145"/>
      <c r="O65" s="51">
        <f>IF(OR(ISBLANK(BOM_table7[[#This Row],[SKU QTY]]),BOM_table7[[#This Row],[SKU Cost]]=0),0,BOM_table7[[#This Row],[SKU Cost]]/BOM_table7[[#This Row],[SKU QTY]])</f>
        <v>0</v>
      </c>
      <c r="P65" s="146">
        <f>IF(OR(ISBLANK(BOM_table7[[#This Row],[ASM QTY]]),ISBLANK(BOM_table7[[#This Row],[Unit Cost]])),0,BOM_table7[[#This Row],[ASM QTY]]*BOM_table7[[#This Row],[Unit Cost]])</f>
        <v>0</v>
      </c>
      <c r="Q65" s="144"/>
      <c r="R65" s="144"/>
      <c r="S65" s="93">
        <f>IF(B65="Shared All",$M$3,1)*IF(B65="Shared Science+Docking",2,1)*IF(B65="Shared Docking+Multibeam",2,1)*BOM_table7[[#This Row],[ASM QTY]]*$Q$3+BOM_table7[[#This Row],[Spare QTY Needed]]-BOM_table7[[#This Row],[QTY in Inventory]]</f>
        <v>1</v>
      </c>
      <c r="T65" s="146">
        <f>ROUNDUP((BOM_table7[[#This Row],[QTY to Order]]/BOM_table7[[#This Row],[SKU QTY]]),0)</f>
        <v>1</v>
      </c>
      <c r="U65" s="100">
        <f>BOM_table7[[#This Row],[SKU QTY to Order]]*BOM_table7[[#This Row],[SKU Cost]]</f>
        <v>0</v>
      </c>
      <c r="V65" s="144"/>
      <c r="W65" s="144"/>
      <c r="X65" s="148"/>
      <c r="Y65" s="144"/>
      <c r="Z65" s="144"/>
      <c r="AA65" s="148"/>
      <c r="AB65" s="148"/>
      <c r="AC65" s="149"/>
      <c r="AD65" s="182"/>
      <c r="AE65" s="182"/>
      <c r="AF65" s="182"/>
    </row>
    <row r="66" spans="1:32" ht="15" customHeight="1" x14ac:dyDescent="0.2">
      <c r="A66" s="143" t="s">
        <v>160</v>
      </c>
      <c r="B66" s="44" t="s">
        <v>2088</v>
      </c>
      <c r="C66" s="170" t="s">
        <v>2081</v>
      </c>
      <c r="D66" s="180" t="s">
        <v>2082</v>
      </c>
      <c r="E66" s="144" t="s">
        <v>1812</v>
      </c>
      <c r="F66" s="171"/>
      <c r="G66" s="171">
        <v>3</v>
      </c>
      <c r="H66" s="45" t="s">
        <v>1929</v>
      </c>
      <c r="I66" s="45"/>
      <c r="J66" s="43" t="s">
        <v>2083</v>
      </c>
      <c r="K66" s="171" t="s">
        <v>166</v>
      </c>
      <c r="L66" s="171"/>
      <c r="M66" s="126">
        <v>1</v>
      </c>
      <c r="N66" s="173"/>
      <c r="O66" s="51">
        <f>IF(OR(ISBLANK(BOM_table7[[#This Row],[SKU QTY]]),BOM_table7[[#This Row],[SKU Cost]]=0),0,BOM_table7[[#This Row],[SKU Cost]]/BOM_table7[[#This Row],[SKU QTY]])</f>
        <v>0</v>
      </c>
      <c r="P66" s="146">
        <f>IF(OR(ISBLANK(BOM_table7[[#This Row],[ASM QTY]]),ISBLANK(BOM_table7[[#This Row],[Unit Cost]])),0,BOM_table7[[#This Row],[ASM QTY]]*BOM_table7[[#This Row],[Unit Cost]])</f>
        <v>0</v>
      </c>
      <c r="Q66" s="171"/>
      <c r="R66" s="171"/>
      <c r="S66" s="93">
        <f>IF(B66="Shared All",$M$3,1)*IF(B66="Shared Science+Docking",2,1)*IF(B66="Shared Docking+Multibeam",2,1)*BOM_table7[[#This Row],[ASM QTY]]*$Q$3+BOM_table7[[#This Row],[Spare QTY Needed]]-BOM_table7[[#This Row],[QTY in Inventory]]</f>
        <v>3</v>
      </c>
      <c r="T66" s="174">
        <f>ROUNDUP((BOM_table7[[#This Row],[QTY to Order]]/BOM_table7[[#This Row],[SKU QTY]]),0)</f>
        <v>3</v>
      </c>
      <c r="U66" s="100">
        <f>BOM_table7[[#This Row],[SKU QTY to Order]]*BOM_table7[[#This Row],[SKU Cost]]</f>
        <v>0</v>
      </c>
      <c r="V66" s="171"/>
      <c r="W66" s="171"/>
      <c r="X66" s="179"/>
      <c r="Y66" s="171"/>
      <c r="Z66" s="171"/>
      <c r="AA66" s="175"/>
      <c r="AB66" s="175"/>
      <c r="AC66" s="176"/>
      <c r="AD66" s="182"/>
      <c r="AE66" s="182"/>
      <c r="AF66" s="182"/>
    </row>
    <row r="67" spans="1:32" ht="15" customHeight="1" x14ac:dyDescent="0.2">
      <c r="A67" s="143" t="s">
        <v>160</v>
      </c>
      <c r="B67" s="44" t="s">
        <v>2103</v>
      </c>
      <c r="C67" s="143" t="s">
        <v>1745</v>
      </c>
      <c r="D67" s="144" t="s">
        <v>1746</v>
      </c>
      <c r="E67" s="144" t="s">
        <v>1755</v>
      </c>
      <c r="F67" s="144"/>
      <c r="G67" s="144">
        <v>1</v>
      </c>
      <c r="H67" s="98" t="s">
        <v>1049</v>
      </c>
      <c r="I67" s="144"/>
      <c r="J67" s="150"/>
      <c r="K67" s="144" t="s">
        <v>1320</v>
      </c>
      <c r="L67" s="144"/>
      <c r="M67" s="126">
        <v>1</v>
      </c>
      <c r="N67" s="145"/>
      <c r="O67" s="51">
        <f>IF(OR(ISBLANK(BOM_table7[[#This Row],[SKU QTY]]),BOM_table7[[#This Row],[SKU Cost]]=0),0,BOM_table7[[#This Row],[SKU Cost]]/BOM_table7[[#This Row],[SKU QTY]])</f>
        <v>0</v>
      </c>
      <c r="P67" s="146">
        <f>IF(OR(ISBLANK(BOM_table7[[#This Row],[ASM QTY]]),ISBLANK(BOM_table7[[#This Row],[Unit Cost]])),0,BOM_table7[[#This Row],[ASM QTY]]*BOM_table7[[#This Row],[Unit Cost]])</f>
        <v>0</v>
      </c>
      <c r="Q67" s="144"/>
      <c r="R67" s="144"/>
      <c r="S67" s="93">
        <f>IF(B67="Shared All",$M$3,1)*IF(B67="Shared Science+Docking",2,1)*IF(B67="Shared Docking+Multibeam",2,1)*BOM_table7[[#This Row],[ASM QTY]]*$Q$3+BOM_table7[[#This Row],[Spare QTY Needed]]-BOM_table7[[#This Row],[QTY in Inventory]]</f>
        <v>1</v>
      </c>
      <c r="T67" s="51">
        <f>ROUNDUP((BOM_table7[[#This Row],[QTY to Order]]/BOM_table7[[#This Row],[SKU QTY]]),0)</f>
        <v>1</v>
      </c>
      <c r="U67" s="100">
        <f>BOM_table7[[#This Row],[SKU QTY to Order]]*BOM_table7[[#This Row],[SKU Cost]]</f>
        <v>0</v>
      </c>
      <c r="V67" s="145"/>
      <c r="W67" s="144"/>
      <c r="X67" s="144"/>
      <c r="Y67" s="148"/>
      <c r="Z67" s="145"/>
      <c r="AA67" s="144"/>
      <c r="AB67" s="144"/>
      <c r="AC67" s="144"/>
      <c r="AD67" s="182"/>
      <c r="AE67" s="182"/>
      <c r="AF67" s="182"/>
    </row>
    <row r="68" spans="1:32" ht="15" customHeight="1" x14ac:dyDescent="0.2">
      <c r="A68" s="143" t="s">
        <v>160</v>
      </c>
      <c r="B68" s="44" t="s">
        <v>2103</v>
      </c>
      <c r="C68" s="143" t="s">
        <v>1767</v>
      </c>
      <c r="D68" s="144"/>
      <c r="E68" s="144" t="s">
        <v>1755</v>
      </c>
      <c r="F68" s="144"/>
      <c r="G68" s="144">
        <v>1</v>
      </c>
      <c r="H68" s="144"/>
      <c r="I68" s="144"/>
      <c r="J68" s="43" t="s">
        <v>1937</v>
      </c>
      <c r="K68" s="144" t="s">
        <v>143</v>
      </c>
      <c r="L68" s="144"/>
      <c r="M68" s="126">
        <v>1</v>
      </c>
      <c r="N68" s="145"/>
      <c r="O68" s="51">
        <f>IF(OR(ISBLANK(BOM_table7[[#This Row],[SKU QTY]]),BOM_table7[[#This Row],[SKU Cost]]=0),0,BOM_table7[[#This Row],[SKU Cost]]/BOM_table7[[#This Row],[SKU QTY]])</f>
        <v>0</v>
      </c>
      <c r="P68" s="146">
        <f>IF(OR(ISBLANK(BOM_table7[[#This Row],[ASM QTY]]),ISBLANK(BOM_table7[[#This Row],[Unit Cost]])),0,BOM_table7[[#This Row],[ASM QTY]]*BOM_table7[[#This Row],[Unit Cost]])</f>
        <v>0</v>
      </c>
      <c r="Q68" s="144"/>
      <c r="R68" s="144"/>
      <c r="S68" s="93">
        <f>IF(B68="Shared All",$M$3,1)*IF(B68="Shared Science+Docking",2,1)*IF(B68="Shared Docking+Multibeam",2,1)*BOM_table7[[#This Row],[ASM QTY]]*$Q$3+BOM_table7[[#This Row],[Spare QTY Needed]]-BOM_table7[[#This Row],[QTY in Inventory]]</f>
        <v>1</v>
      </c>
      <c r="T68" s="51">
        <f>ROUNDUP((BOM_table7[[#This Row],[QTY to Order]]/BOM_table7[[#This Row],[SKU QTY]]),0)</f>
        <v>1</v>
      </c>
      <c r="U68" s="100">
        <f>BOM_table7[[#This Row],[SKU QTY to Order]]*BOM_table7[[#This Row],[SKU Cost]]</f>
        <v>0</v>
      </c>
      <c r="V68" s="145"/>
      <c r="W68" s="144"/>
      <c r="X68" s="144"/>
      <c r="Y68" s="148"/>
      <c r="Z68" s="145"/>
      <c r="AA68" s="144"/>
      <c r="AB68" s="144"/>
      <c r="AC68" s="144"/>
      <c r="AD68" s="182"/>
      <c r="AE68" s="182"/>
      <c r="AF68" s="182"/>
    </row>
    <row r="69" spans="1:32" ht="15" customHeight="1" x14ac:dyDescent="0.2">
      <c r="A69" s="143" t="s">
        <v>160</v>
      </c>
      <c r="B69" s="44" t="s">
        <v>2103</v>
      </c>
      <c r="C69" s="143" t="s">
        <v>1946</v>
      </c>
      <c r="D69" s="45" t="s">
        <v>1947</v>
      </c>
      <c r="E69" s="144" t="s">
        <v>1755</v>
      </c>
      <c r="F69" s="144"/>
      <c r="G69" s="144">
        <v>1</v>
      </c>
      <c r="H69" s="45" t="s">
        <v>1808</v>
      </c>
      <c r="I69" s="144"/>
      <c r="J69" s="43" t="s">
        <v>1945</v>
      </c>
      <c r="K69" s="144" t="s">
        <v>171</v>
      </c>
      <c r="L69" s="144"/>
      <c r="M69" s="126">
        <v>1</v>
      </c>
      <c r="N69" s="145"/>
      <c r="O69" s="51">
        <f>IF(OR(ISBLANK(BOM_table7[[#This Row],[SKU QTY]]),BOM_table7[[#This Row],[SKU Cost]]=0),0,BOM_table7[[#This Row],[SKU Cost]]/BOM_table7[[#This Row],[SKU QTY]])</f>
        <v>0</v>
      </c>
      <c r="P69" s="146">
        <f>IF(OR(ISBLANK(BOM_table7[[#This Row],[ASM QTY]]),ISBLANK(BOM_table7[[#This Row],[Unit Cost]])),0,BOM_table7[[#This Row],[ASM QTY]]*BOM_table7[[#This Row],[Unit Cost]])</f>
        <v>0</v>
      </c>
      <c r="Q69" s="144"/>
      <c r="R69" s="144">
        <v>5</v>
      </c>
      <c r="S69" s="93">
        <f>IF(B69="Shared All",$M$3,1)*IF(B69="Shared Science+Docking",2,1)*IF(B69="Shared Docking+Multibeam",2,1)*BOM_table7[[#This Row],[ASM QTY]]*$Q$3+BOM_table7[[#This Row],[Spare QTY Needed]]-BOM_table7[[#This Row],[QTY in Inventory]]</f>
        <v>-4</v>
      </c>
      <c r="T69" s="51">
        <f>ROUNDUP((BOM_table7[[#This Row],[QTY to Order]]/BOM_table7[[#This Row],[SKU QTY]]),0)</f>
        <v>-4</v>
      </c>
      <c r="U69" s="100">
        <f>BOM_table7[[#This Row],[SKU QTY to Order]]*BOM_table7[[#This Row],[SKU Cost]]</f>
        <v>0</v>
      </c>
      <c r="V69" s="145"/>
      <c r="W69" s="144"/>
      <c r="X69" s="144"/>
      <c r="Y69" s="148"/>
      <c r="Z69" s="145"/>
      <c r="AA69" s="144"/>
      <c r="AB69" s="144"/>
      <c r="AC69" s="148"/>
      <c r="AD69" s="183"/>
      <c r="AE69" s="183"/>
      <c r="AF69" s="182"/>
    </row>
    <row r="70" spans="1:32" ht="15" customHeight="1" x14ac:dyDescent="0.2">
      <c r="A70" s="143" t="s">
        <v>160</v>
      </c>
      <c r="B70" s="44" t="s">
        <v>2103</v>
      </c>
      <c r="C70" s="143" t="s">
        <v>1768</v>
      </c>
      <c r="D70" s="144"/>
      <c r="E70" s="144" t="s">
        <v>1755</v>
      </c>
      <c r="F70" s="144"/>
      <c r="G70" s="144">
        <v>1</v>
      </c>
      <c r="H70" s="144" t="s">
        <v>1354</v>
      </c>
      <c r="I70" s="144"/>
      <c r="J70" s="43"/>
      <c r="K70" s="144" t="s">
        <v>171</v>
      </c>
      <c r="L70" s="144"/>
      <c r="M70" s="126">
        <v>1</v>
      </c>
      <c r="N70" s="145"/>
      <c r="O70" s="51">
        <f>IF(OR(ISBLANK(BOM_table7[[#This Row],[SKU QTY]]),BOM_table7[[#This Row],[SKU Cost]]=0),0,BOM_table7[[#This Row],[SKU Cost]]/BOM_table7[[#This Row],[SKU QTY]])</f>
        <v>0</v>
      </c>
      <c r="P70" s="146">
        <f>IF(OR(ISBLANK(BOM_table7[[#This Row],[ASM QTY]]),ISBLANK(BOM_table7[[#This Row],[Unit Cost]])),0,BOM_table7[[#This Row],[ASM QTY]]*BOM_table7[[#This Row],[Unit Cost]])</f>
        <v>0</v>
      </c>
      <c r="Q70" s="144"/>
      <c r="R70" s="144"/>
      <c r="S70" s="93">
        <f>IF(B70="Shared All",$M$3,1)*IF(B70="Shared Science+Docking",2,1)*IF(B70="Shared Docking+Multibeam",2,1)*BOM_table7[[#This Row],[ASM QTY]]*$Q$3+BOM_table7[[#This Row],[Spare QTY Needed]]-BOM_table7[[#This Row],[QTY in Inventory]]</f>
        <v>1</v>
      </c>
      <c r="T70" s="51">
        <f>ROUNDUP((BOM_table7[[#This Row],[QTY to Order]]/BOM_table7[[#This Row],[SKU QTY]]),0)</f>
        <v>1</v>
      </c>
      <c r="U70" s="100">
        <f>BOM_table7[[#This Row],[SKU QTY to Order]]*BOM_table7[[#This Row],[SKU Cost]]</f>
        <v>0</v>
      </c>
      <c r="V70" s="145"/>
      <c r="W70" s="144"/>
      <c r="X70" s="144"/>
      <c r="Y70" s="148"/>
      <c r="Z70" s="145"/>
      <c r="AA70" s="144"/>
      <c r="AB70" s="144"/>
      <c r="AC70" s="144"/>
      <c r="AD70" s="182"/>
      <c r="AE70" s="182"/>
      <c r="AF70" s="182"/>
    </row>
    <row r="71" spans="1:32" ht="15" customHeight="1" x14ac:dyDescent="0.2">
      <c r="A71" s="143" t="s">
        <v>160</v>
      </c>
      <c r="B71" s="44" t="s">
        <v>2104</v>
      </c>
      <c r="C71" s="143" t="s">
        <v>1774</v>
      </c>
      <c r="D71" s="45" t="s">
        <v>1933</v>
      </c>
      <c r="E71" s="144" t="s">
        <v>1755</v>
      </c>
      <c r="F71" s="144"/>
      <c r="G71" s="144">
        <v>1</v>
      </c>
      <c r="H71" s="144" t="s">
        <v>1049</v>
      </c>
      <c r="I71" s="144"/>
      <c r="J71" s="43" t="s">
        <v>1932</v>
      </c>
      <c r="K71" s="144" t="s">
        <v>169</v>
      </c>
      <c r="L71" s="144"/>
      <c r="M71" s="126">
        <v>1</v>
      </c>
      <c r="N71" s="145"/>
      <c r="O71" s="51">
        <f>IF(OR(ISBLANK(BOM_table7[[#This Row],[SKU QTY]]),BOM_table7[[#This Row],[SKU Cost]]=0),0,BOM_table7[[#This Row],[SKU Cost]]/BOM_table7[[#This Row],[SKU QTY]])</f>
        <v>0</v>
      </c>
      <c r="P71" s="146">
        <f>IF(OR(ISBLANK(BOM_table7[[#This Row],[ASM QTY]]),ISBLANK(BOM_table7[[#This Row],[Unit Cost]])),0,BOM_table7[[#This Row],[ASM QTY]]*BOM_table7[[#This Row],[Unit Cost]])</f>
        <v>0</v>
      </c>
      <c r="Q71" s="144"/>
      <c r="R71" s="144"/>
      <c r="S71" s="93">
        <f>IF(B71="Shared All",$M$3,1)*IF(B71="Shared Science+Docking",2,1)*IF(B71="Shared Docking+Multibeam",2,1)*BOM_table7[[#This Row],[ASM QTY]]*$Q$3+BOM_table7[[#This Row],[Spare QTY Needed]]-BOM_table7[[#This Row],[QTY in Inventory]]</f>
        <v>2</v>
      </c>
      <c r="T71" s="51">
        <f>ROUNDUP((BOM_table7[[#This Row],[QTY to Order]]/BOM_table7[[#This Row],[SKU QTY]]),0)</f>
        <v>2</v>
      </c>
      <c r="U71" s="100">
        <f>BOM_table7[[#This Row],[SKU QTY to Order]]*BOM_table7[[#This Row],[SKU Cost]]</f>
        <v>0</v>
      </c>
      <c r="V71" s="145"/>
      <c r="W71" s="144"/>
      <c r="X71" s="144"/>
      <c r="Y71" s="148"/>
      <c r="Z71" s="145"/>
      <c r="AA71" s="144"/>
      <c r="AB71" s="144"/>
      <c r="AC71" s="144"/>
      <c r="AD71" s="182"/>
      <c r="AE71" s="182"/>
      <c r="AF71" s="182"/>
    </row>
    <row r="72" spans="1:32" ht="15" customHeight="1" x14ac:dyDescent="0.2">
      <c r="A72" s="143" t="s">
        <v>160</v>
      </c>
      <c r="B72" s="44" t="s">
        <v>2088</v>
      </c>
      <c r="C72" s="44" t="s">
        <v>2098</v>
      </c>
      <c r="D72" s="144" t="s">
        <v>1775</v>
      </c>
      <c r="E72" s="144" t="s">
        <v>1755</v>
      </c>
      <c r="F72" s="144"/>
      <c r="G72" s="144">
        <v>1</v>
      </c>
      <c r="H72" s="144" t="s">
        <v>1049</v>
      </c>
      <c r="I72" s="144"/>
      <c r="J72" s="150"/>
      <c r="K72" s="144" t="s">
        <v>169</v>
      </c>
      <c r="L72" s="144"/>
      <c r="M72" s="126">
        <v>1</v>
      </c>
      <c r="N72" s="145"/>
      <c r="O72" s="51">
        <f>IF(OR(ISBLANK(BOM_table7[[#This Row],[SKU QTY]]),BOM_table7[[#This Row],[SKU Cost]]=0),0,BOM_table7[[#This Row],[SKU Cost]]/BOM_table7[[#This Row],[SKU QTY]])</f>
        <v>0</v>
      </c>
      <c r="P72" s="146">
        <f>IF(OR(ISBLANK(BOM_table7[[#This Row],[ASM QTY]]),ISBLANK(BOM_table7[[#This Row],[Unit Cost]])),0,BOM_table7[[#This Row],[ASM QTY]]*BOM_table7[[#This Row],[Unit Cost]])</f>
        <v>0</v>
      </c>
      <c r="Q72" s="144"/>
      <c r="R72" s="144"/>
      <c r="S72" s="93">
        <f>IF(B72="Shared All",$M$3,1)*IF(B72="Shared Science+Docking",2,1)*IF(B72="Shared Docking+Multibeam",2,1)*BOM_table7[[#This Row],[ASM QTY]]*$Q$3+BOM_table7[[#This Row],[Spare QTY Needed]]-BOM_table7[[#This Row],[QTY in Inventory]]</f>
        <v>1</v>
      </c>
      <c r="T72" s="51">
        <f>ROUNDUP((BOM_table7[[#This Row],[QTY to Order]]/BOM_table7[[#This Row],[SKU QTY]]),0)</f>
        <v>1</v>
      </c>
      <c r="U72" s="100">
        <f>BOM_table7[[#This Row],[SKU QTY to Order]]*BOM_table7[[#This Row],[SKU Cost]]</f>
        <v>0</v>
      </c>
      <c r="V72" s="145"/>
      <c r="W72" s="144"/>
      <c r="X72" s="144"/>
      <c r="Y72" s="148"/>
      <c r="Z72" s="145"/>
      <c r="AA72" s="144"/>
      <c r="AB72" s="144"/>
      <c r="AC72" s="148"/>
      <c r="AD72" s="183"/>
      <c r="AE72" s="183"/>
      <c r="AF72" s="182"/>
    </row>
    <row r="73" spans="1:32" ht="15" customHeight="1" x14ac:dyDescent="0.2">
      <c r="A73" s="143" t="s">
        <v>160</v>
      </c>
      <c r="B73" s="44" t="s">
        <v>2088</v>
      </c>
      <c r="C73" s="44" t="s">
        <v>2099</v>
      </c>
      <c r="D73" s="144" t="s">
        <v>1776</v>
      </c>
      <c r="E73" s="144" t="s">
        <v>1755</v>
      </c>
      <c r="F73" s="144"/>
      <c r="G73" s="144">
        <v>1</v>
      </c>
      <c r="H73" s="144" t="s">
        <v>1049</v>
      </c>
      <c r="I73" s="144"/>
      <c r="J73" s="150"/>
      <c r="K73" s="144" t="s">
        <v>169</v>
      </c>
      <c r="L73" s="144"/>
      <c r="M73" s="126">
        <v>1</v>
      </c>
      <c r="N73" s="145"/>
      <c r="O73" s="51">
        <f>IF(OR(ISBLANK(BOM_table7[[#This Row],[SKU QTY]]),BOM_table7[[#This Row],[SKU Cost]]=0),0,BOM_table7[[#This Row],[SKU Cost]]/BOM_table7[[#This Row],[SKU QTY]])</f>
        <v>0</v>
      </c>
      <c r="P73" s="146">
        <f>IF(OR(ISBLANK(BOM_table7[[#This Row],[ASM QTY]]),ISBLANK(BOM_table7[[#This Row],[Unit Cost]])),0,BOM_table7[[#This Row],[ASM QTY]]*BOM_table7[[#This Row],[Unit Cost]])</f>
        <v>0</v>
      </c>
      <c r="Q73" s="144"/>
      <c r="R73" s="144"/>
      <c r="S73" s="93">
        <f>IF(B73="Shared All",$M$3,1)*IF(B73="Shared Science+Docking",2,1)*IF(B73="Shared Docking+Multibeam",2,1)*BOM_table7[[#This Row],[ASM QTY]]*$Q$3+BOM_table7[[#This Row],[Spare QTY Needed]]-BOM_table7[[#This Row],[QTY in Inventory]]</f>
        <v>1</v>
      </c>
      <c r="T73" s="51">
        <f>ROUNDUP((BOM_table7[[#This Row],[QTY to Order]]/BOM_table7[[#This Row],[SKU QTY]]),0)</f>
        <v>1</v>
      </c>
      <c r="U73" s="100">
        <f>BOM_table7[[#This Row],[SKU QTY to Order]]*BOM_table7[[#This Row],[SKU Cost]]</f>
        <v>0</v>
      </c>
      <c r="V73" s="145"/>
      <c r="W73" s="144"/>
      <c r="X73" s="144"/>
      <c r="Y73" s="148"/>
      <c r="Z73" s="145"/>
      <c r="AA73" s="144"/>
      <c r="AB73" s="144"/>
      <c r="AC73" s="148"/>
      <c r="AD73" s="183"/>
      <c r="AE73" s="183"/>
      <c r="AF73" s="182"/>
    </row>
    <row r="74" spans="1:32" ht="15" customHeight="1" x14ac:dyDescent="0.2">
      <c r="A74" s="143" t="s">
        <v>160</v>
      </c>
      <c r="B74" s="44" t="s">
        <v>2104</v>
      </c>
      <c r="C74" s="44" t="s">
        <v>2102</v>
      </c>
      <c r="D74" s="144" t="s">
        <v>1777</v>
      </c>
      <c r="E74" s="144" t="s">
        <v>1755</v>
      </c>
      <c r="F74" s="144"/>
      <c r="G74" s="144">
        <v>1</v>
      </c>
      <c r="H74" s="144" t="s">
        <v>1049</v>
      </c>
      <c r="I74" s="144"/>
      <c r="J74" s="43" t="s">
        <v>1935</v>
      </c>
      <c r="K74" s="144" t="s">
        <v>867</v>
      </c>
      <c r="L74" s="144"/>
      <c r="M74" s="126">
        <v>1</v>
      </c>
      <c r="N74" s="145"/>
      <c r="O74" s="51">
        <f>IF(OR(ISBLANK(BOM_table7[[#This Row],[SKU QTY]]),BOM_table7[[#This Row],[SKU Cost]]=0),0,BOM_table7[[#This Row],[SKU Cost]]/BOM_table7[[#This Row],[SKU QTY]])</f>
        <v>0</v>
      </c>
      <c r="P74" s="146">
        <f>IF(OR(ISBLANK(BOM_table7[[#This Row],[ASM QTY]]),ISBLANK(BOM_table7[[#This Row],[Unit Cost]])),0,BOM_table7[[#This Row],[ASM QTY]]*BOM_table7[[#This Row],[Unit Cost]])</f>
        <v>0</v>
      </c>
      <c r="Q74" s="144"/>
      <c r="R74" s="144"/>
      <c r="S74" s="93">
        <f>IF(B74="Shared All",$M$3,1)*IF(B74="Shared Science+Docking",2,1)*IF(B74="Shared Docking+Multibeam",2,1)*BOM_table7[[#This Row],[ASM QTY]]*$Q$3+BOM_table7[[#This Row],[Spare QTY Needed]]-BOM_table7[[#This Row],[QTY in Inventory]]</f>
        <v>2</v>
      </c>
      <c r="T74" s="51">
        <f>ROUNDUP((BOM_table7[[#This Row],[QTY to Order]]/BOM_table7[[#This Row],[SKU QTY]]),0)</f>
        <v>2</v>
      </c>
      <c r="U74" s="100">
        <f>BOM_table7[[#This Row],[SKU QTY to Order]]*BOM_table7[[#This Row],[SKU Cost]]</f>
        <v>0</v>
      </c>
      <c r="V74" s="145"/>
      <c r="W74" s="144"/>
      <c r="X74" s="144"/>
      <c r="Y74" s="148"/>
      <c r="Z74" s="145"/>
      <c r="AA74" s="144"/>
      <c r="AB74" s="144"/>
      <c r="AC74" s="144"/>
      <c r="AD74" s="182"/>
      <c r="AE74" s="182"/>
      <c r="AF74" s="182"/>
    </row>
    <row r="75" spans="1:32" ht="15" customHeight="1" x14ac:dyDescent="0.2">
      <c r="A75" s="143" t="s">
        <v>160</v>
      </c>
      <c r="B75" s="44" t="s">
        <v>2104</v>
      </c>
      <c r="C75" s="143" t="s">
        <v>1778</v>
      </c>
      <c r="D75" s="144" t="s">
        <v>1718</v>
      </c>
      <c r="E75" s="144" t="s">
        <v>1755</v>
      </c>
      <c r="F75" s="144"/>
      <c r="G75" s="144">
        <v>1</v>
      </c>
      <c r="H75" s="144" t="s">
        <v>1049</v>
      </c>
      <c r="I75" s="144"/>
      <c r="J75" s="150"/>
      <c r="K75" s="144" t="s">
        <v>169</v>
      </c>
      <c r="L75" s="144"/>
      <c r="M75" s="126">
        <v>1</v>
      </c>
      <c r="N75" s="145"/>
      <c r="O75" s="51">
        <f>IF(OR(ISBLANK(BOM_table7[[#This Row],[SKU QTY]]),BOM_table7[[#This Row],[SKU Cost]]=0),0,BOM_table7[[#This Row],[SKU Cost]]/BOM_table7[[#This Row],[SKU QTY]])</f>
        <v>0</v>
      </c>
      <c r="P75" s="146">
        <f>IF(OR(ISBLANK(BOM_table7[[#This Row],[ASM QTY]]),ISBLANK(BOM_table7[[#This Row],[Unit Cost]])),0,BOM_table7[[#This Row],[ASM QTY]]*BOM_table7[[#This Row],[Unit Cost]])</f>
        <v>0</v>
      </c>
      <c r="Q75" s="144"/>
      <c r="R75" s="144"/>
      <c r="S75" s="93">
        <f>IF(B75="Shared All",$M$3,1)*IF(B75="Shared Science+Docking",2,1)*IF(B75="Shared Docking+Multibeam",2,1)*BOM_table7[[#This Row],[ASM QTY]]*$Q$3+BOM_table7[[#This Row],[Spare QTY Needed]]-BOM_table7[[#This Row],[QTY in Inventory]]</f>
        <v>2</v>
      </c>
      <c r="T75" s="51">
        <f>ROUNDUP((BOM_table7[[#This Row],[QTY to Order]]/BOM_table7[[#This Row],[SKU QTY]]),0)</f>
        <v>2</v>
      </c>
      <c r="U75" s="100">
        <f>BOM_table7[[#This Row],[SKU QTY to Order]]*BOM_table7[[#This Row],[SKU Cost]]</f>
        <v>0</v>
      </c>
      <c r="V75" s="145"/>
      <c r="W75" s="144"/>
      <c r="X75" s="144"/>
      <c r="Y75" s="148"/>
      <c r="Z75" s="145"/>
      <c r="AA75" s="144"/>
      <c r="AB75" s="144"/>
      <c r="AC75" s="144"/>
      <c r="AD75" s="182"/>
      <c r="AE75" s="182"/>
      <c r="AF75" s="182"/>
    </row>
    <row r="76" spans="1:32" ht="15" customHeight="1" x14ac:dyDescent="0.2">
      <c r="A76" s="143" t="s">
        <v>160</v>
      </c>
      <c r="B76" s="44" t="s">
        <v>2103</v>
      </c>
      <c r="C76" s="143" t="s">
        <v>1783</v>
      </c>
      <c r="D76" s="144" t="s">
        <v>1713</v>
      </c>
      <c r="E76" s="144" t="s">
        <v>1755</v>
      </c>
      <c r="F76" s="144"/>
      <c r="G76" s="144">
        <v>2</v>
      </c>
      <c r="H76" s="144" t="s">
        <v>1049</v>
      </c>
      <c r="I76" s="144"/>
      <c r="J76" s="43" t="s">
        <v>1932</v>
      </c>
      <c r="K76" s="144" t="s">
        <v>1320</v>
      </c>
      <c r="L76" s="144" t="s">
        <v>1938</v>
      </c>
      <c r="M76" s="126">
        <v>1</v>
      </c>
      <c r="N76" s="145"/>
      <c r="O76" s="51">
        <f>IF(OR(ISBLANK(BOM_table7[[#This Row],[SKU QTY]]),BOM_table7[[#This Row],[SKU Cost]]=0),0,BOM_table7[[#This Row],[SKU Cost]]/BOM_table7[[#This Row],[SKU QTY]])</f>
        <v>0</v>
      </c>
      <c r="P76" s="146">
        <f>IF(OR(ISBLANK(BOM_table7[[#This Row],[ASM QTY]]),ISBLANK(BOM_table7[[#This Row],[Unit Cost]])),0,BOM_table7[[#This Row],[ASM QTY]]*BOM_table7[[#This Row],[Unit Cost]])</f>
        <v>0</v>
      </c>
      <c r="Q76" s="144"/>
      <c r="R76" s="144"/>
      <c r="S76" s="93">
        <f>IF(B76="Shared All",$M$3,1)*IF(B76="Shared Science+Docking",2,1)*IF(B76="Shared Docking+Multibeam",2,1)*BOM_table7[[#This Row],[ASM QTY]]*$Q$3+BOM_table7[[#This Row],[Spare QTY Needed]]-BOM_table7[[#This Row],[QTY in Inventory]]</f>
        <v>2</v>
      </c>
      <c r="T76" s="51">
        <f>ROUNDUP((BOM_table7[[#This Row],[QTY to Order]]/BOM_table7[[#This Row],[SKU QTY]]),0)</f>
        <v>2</v>
      </c>
      <c r="U76" s="100">
        <f>BOM_table7[[#This Row],[SKU QTY to Order]]*BOM_table7[[#This Row],[SKU Cost]]</f>
        <v>0</v>
      </c>
      <c r="V76" s="145"/>
      <c r="W76" s="144"/>
      <c r="X76" s="144"/>
      <c r="Y76" s="148"/>
      <c r="Z76" s="145"/>
      <c r="AA76" s="144"/>
      <c r="AB76" s="144"/>
      <c r="AC76" s="144"/>
      <c r="AD76" s="182"/>
      <c r="AE76" s="182"/>
      <c r="AF76" s="182"/>
    </row>
    <row r="77" spans="1:32" ht="15" customHeight="1" x14ac:dyDescent="0.2">
      <c r="A77" s="143" t="s">
        <v>160</v>
      </c>
      <c r="B77" s="44" t="s">
        <v>2088</v>
      </c>
      <c r="C77" s="143" t="s">
        <v>1785</v>
      </c>
      <c r="D77" s="144" t="s">
        <v>1786</v>
      </c>
      <c r="E77" s="144" t="s">
        <v>1755</v>
      </c>
      <c r="F77" s="144"/>
      <c r="G77" s="144">
        <v>1</v>
      </c>
      <c r="H77" s="144" t="s">
        <v>1049</v>
      </c>
      <c r="I77" s="144"/>
      <c r="J77" s="43" t="s">
        <v>1931</v>
      </c>
      <c r="K77" s="144" t="s">
        <v>169</v>
      </c>
      <c r="L77" s="144"/>
      <c r="M77" s="126">
        <v>1</v>
      </c>
      <c r="N77" s="145"/>
      <c r="O77" s="51">
        <f>IF(OR(ISBLANK(BOM_table7[[#This Row],[SKU QTY]]),BOM_table7[[#This Row],[SKU Cost]]=0),0,BOM_table7[[#This Row],[SKU Cost]]/BOM_table7[[#This Row],[SKU QTY]])</f>
        <v>0</v>
      </c>
      <c r="P77" s="146">
        <f>IF(OR(ISBLANK(BOM_table7[[#This Row],[ASM QTY]]),ISBLANK(BOM_table7[[#This Row],[Unit Cost]])),0,BOM_table7[[#This Row],[ASM QTY]]*BOM_table7[[#This Row],[Unit Cost]])</f>
        <v>0</v>
      </c>
      <c r="Q77" s="144"/>
      <c r="R77" s="144"/>
      <c r="S77" s="93">
        <f>IF(B77="Shared All",$M$3,1)*IF(B77="Shared Science+Docking",2,1)*IF(B77="Shared Docking+Multibeam",2,1)*BOM_table7[[#This Row],[ASM QTY]]*$Q$3+BOM_table7[[#This Row],[Spare QTY Needed]]-BOM_table7[[#This Row],[QTY in Inventory]]</f>
        <v>1</v>
      </c>
      <c r="T77" s="51">
        <f>ROUNDUP((BOM_table7[[#This Row],[QTY to Order]]/BOM_table7[[#This Row],[SKU QTY]]),0)</f>
        <v>1</v>
      </c>
      <c r="U77" s="100">
        <f>BOM_table7[[#This Row],[SKU QTY to Order]]*BOM_table7[[#This Row],[SKU Cost]]</f>
        <v>0</v>
      </c>
      <c r="V77" s="145"/>
      <c r="W77" s="144"/>
      <c r="X77" s="144"/>
      <c r="Y77" s="148"/>
      <c r="Z77" s="145"/>
      <c r="AA77" s="144"/>
      <c r="AB77" s="148"/>
      <c r="AC77" s="148"/>
      <c r="AD77" s="183"/>
      <c r="AE77" s="183"/>
      <c r="AF77" s="182"/>
    </row>
    <row r="78" spans="1:32" ht="15" customHeight="1" x14ac:dyDescent="0.2">
      <c r="A78" s="143" t="s">
        <v>160</v>
      </c>
      <c r="B78" s="44" t="s">
        <v>2104</v>
      </c>
      <c r="C78" s="143" t="s">
        <v>1787</v>
      </c>
      <c r="D78" s="144" t="s">
        <v>1788</v>
      </c>
      <c r="E78" s="144" t="s">
        <v>1755</v>
      </c>
      <c r="F78" s="144"/>
      <c r="G78" s="144">
        <v>1</v>
      </c>
      <c r="H78" s="144" t="s">
        <v>1049</v>
      </c>
      <c r="I78" s="144"/>
      <c r="J78" s="150"/>
      <c r="K78" s="144" t="s">
        <v>169</v>
      </c>
      <c r="L78" s="144"/>
      <c r="M78" s="126">
        <v>1</v>
      </c>
      <c r="N78" s="145"/>
      <c r="O78" s="51">
        <f>IF(OR(ISBLANK(BOM_table7[[#This Row],[SKU QTY]]),BOM_table7[[#This Row],[SKU Cost]]=0),0,BOM_table7[[#This Row],[SKU Cost]]/BOM_table7[[#This Row],[SKU QTY]])</f>
        <v>0</v>
      </c>
      <c r="P78" s="146">
        <f>IF(OR(ISBLANK(BOM_table7[[#This Row],[ASM QTY]]),ISBLANK(BOM_table7[[#This Row],[Unit Cost]])),0,BOM_table7[[#This Row],[ASM QTY]]*BOM_table7[[#This Row],[Unit Cost]])</f>
        <v>0</v>
      </c>
      <c r="Q78" s="144"/>
      <c r="R78" s="144"/>
      <c r="S78" s="93">
        <f>IF(B78="Shared All",$M$3,1)*IF(B78="Shared Science+Docking",2,1)*IF(B78="Shared Docking+Multibeam",2,1)*BOM_table7[[#This Row],[ASM QTY]]*$Q$3+BOM_table7[[#This Row],[Spare QTY Needed]]-BOM_table7[[#This Row],[QTY in Inventory]]</f>
        <v>2</v>
      </c>
      <c r="T78" s="51">
        <f>ROUNDUP((BOM_table7[[#This Row],[QTY to Order]]/BOM_table7[[#This Row],[SKU QTY]]),0)</f>
        <v>2</v>
      </c>
      <c r="U78" s="100">
        <f>BOM_table7[[#This Row],[SKU QTY to Order]]*BOM_table7[[#This Row],[SKU Cost]]</f>
        <v>0</v>
      </c>
      <c r="V78" s="145"/>
      <c r="W78" s="144"/>
      <c r="X78" s="144"/>
      <c r="Y78" s="148"/>
      <c r="Z78" s="145"/>
      <c r="AA78" s="144"/>
      <c r="AB78" s="148"/>
      <c r="AC78" s="148"/>
      <c r="AD78" s="183"/>
      <c r="AE78" s="183"/>
      <c r="AF78" s="182"/>
    </row>
    <row r="79" spans="1:32" ht="15" customHeight="1" x14ac:dyDescent="0.2">
      <c r="A79" s="143" t="s">
        <v>160</v>
      </c>
      <c r="B79" s="44" t="s">
        <v>2103</v>
      </c>
      <c r="C79" s="143" t="s">
        <v>1789</v>
      </c>
      <c r="D79" s="45" t="s">
        <v>1934</v>
      </c>
      <c r="E79" s="144" t="s">
        <v>1755</v>
      </c>
      <c r="F79" s="144"/>
      <c r="G79" s="144">
        <v>1</v>
      </c>
      <c r="H79" s="144" t="s">
        <v>1049</v>
      </c>
      <c r="I79" s="144"/>
      <c r="J79" s="43"/>
      <c r="K79" s="144" t="s">
        <v>169</v>
      </c>
      <c r="L79" s="144"/>
      <c r="M79" s="126">
        <v>1</v>
      </c>
      <c r="N79" s="145"/>
      <c r="O79" s="51">
        <f>IF(OR(ISBLANK(BOM_table7[[#This Row],[SKU QTY]]),BOM_table7[[#This Row],[SKU Cost]]=0),0,BOM_table7[[#This Row],[SKU Cost]]/BOM_table7[[#This Row],[SKU QTY]])</f>
        <v>0</v>
      </c>
      <c r="P79" s="146">
        <f>IF(OR(ISBLANK(BOM_table7[[#This Row],[ASM QTY]]),ISBLANK(BOM_table7[[#This Row],[Unit Cost]])),0,BOM_table7[[#This Row],[ASM QTY]]*BOM_table7[[#This Row],[Unit Cost]])</f>
        <v>0</v>
      </c>
      <c r="Q79" s="144"/>
      <c r="R79" s="144"/>
      <c r="S79" s="93">
        <f>IF(B79="Shared All",$M$3,1)*IF(B79="Shared Science+Docking",2,1)*IF(B79="Shared Docking+Multibeam",2,1)*BOM_table7[[#This Row],[ASM QTY]]*$Q$3+BOM_table7[[#This Row],[Spare QTY Needed]]-BOM_table7[[#This Row],[QTY in Inventory]]</f>
        <v>1</v>
      </c>
      <c r="T79" s="51">
        <f>ROUNDUP((BOM_table7[[#This Row],[QTY to Order]]/BOM_table7[[#This Row],[SKU QTY]]),0)</f>
        <v>1</v>
      </c>
      <c r="U79" s="100">
        <f>BOM_table7[[#This Row],[SKU QTY to Order]]*BOM_table7[[#This Row],[SKU Cost]]</f>
        <v>0</v>
      </c>
      <c r="V79" s="145"/>
      <c r="W79" s="144"/>
      <c r="X79" s="144"/>
      <c r="Y79" s="148"/>
      <c r="Z79" s="145"/>
      <c r="AA79" s="144"/>
      <c r="AB79" s="148"/>
      <c r="AC79" s="148"/>
      <c r="AD79" s="183"/>
      <c r="AE79" s="183"/>
      <c r="AF79" s="182"/>
    </row>
    <row r="80" spans="1:32" ht="15" customHeight="1" x14ac:dyDescent="0.2">
      <c r="A80" s="143" t="s">
        <v>161</v>
      </c>
      <c r="B80" s="44" t="s">
        <v>2103</v>
      </c>
      <c r="C80" s="143" t="s">
        <v>1790</v>
      </c>
      <c r="D80" s="144" t="s">
        <v>765</v>
      </c>
      <c r="E80" s="144" t="s">
        <v>1755</v>
      </c>
      <c r="F80" s="144"/>
      <c r="G80" s="144">
        <v>2</v>
      </c>
      <c r="H80" s="144" t="s">
        <v>1274</v>
      </c>
      <c r="I80" s="144"/>
      <c r="J80" s="150"/>
      <c r="K80" s="144" t="s">
        <v>166</v>
      </c>
      <c r="L80" s="144"/>
      <c r="M80" s="126">
        <v>1</v>
      </c>
      <c r="N80" s="145"/>
      <c r="O80" s="51">
        <f>IF(OR(ISBLANK(BOM_table7[[#This Row],[SKU QTY]]),BOM_table7[[#This Row],[SKU Cost]]=0),0,BOM_table7[[#This Row],[SKU Cost]]/BOM_table7[[#This Row],[SKU QTY]])</f>
        <v>0</v>
      </c>
      <c r="P80" s="146">
        <f>IF(OR(ISBLANK(BOM_table7[[#This Row],[ASM QTY]]),ISBLANK(BOM_table7[[#This Row],[Unit Cost]])),0,BOM_table7[[#This Row],[ASM QTY]]*BOM_table7[[#This Row],[Unit Cost]])</f>
        <v>0</v>
      </c>
      <c r="Q80" s="144"/>
      <c r="R80" s="144"/>
      <c r="S80" s="93">
        <f>IF(B80="Shared All",$M$3,1)*IF(B80="Shared Science+Docking",2,1)*IF(B80="Shared Docking+Multibeam",2,1)*BOM_table7[[#This Row],[ASM QTY]]*$Q$3+BOM_table7[[#This Row],[Spare QTY Needed]]-BOM_table7[[#This Row],[QTY in Inventory]]</f>
        <v>2</v>
      </c>
      <c r="T80" s="51">
        <f>ROUNDUP((BOM_table7[[#This Row],[QTY to Order]]/BOM_table7[[#This Row],[SKU QTY]]),0)</f>
        <v>2</v>
      </c>
      <c r="U80" s="100">
        <f>BOM_table7[[#This Row],[SKU QTY to Order]]*BOM_table7[[#This Row],[SKU Cost]]</f>
        <v>0</v>
      </c>
      <c r="V80" s="145"/>
      <c r="W80" s="45"/>
      <c r="X80" s="45"/>
      <c r="Y80" s="148"/>
      <c r="Z80" s="145"/>
      <c r="AA80" s="144"/>
      <c r="AB80" s="148"/>
      <c r="AC80" s="148"/>
      <c r="AD80" s="183"/>
      <c r="AE80" s="183"/>
      <c r="AF80" s="182"/>
    </row>
    <row r="81" spans="1:32" ht="15" customHeight="1" x14ac:dyDescent="0.2">
      <c r="A81" s="143" t="s">
        <v>160</v>
      </c>
      <c r="B81" s="44" t="s">
        <v>2103</v>
      </c>
      <c r="C81" s="143" t="s">
        <v>1791</v>
      </c>
      <c r="D81" s="144" t="s">
        <v>1792</v>
      </c>
      <c r="E81" s="144" t="s">
        <v>1755</v>
      </c>
      <c r="F81" s="144"/>
      <c r="G81" s="144">
        <v>2</v>
      </c>
      <c r="H81" s="144" t="s">
        <v>1049</v>
      </c>
      <c r="I81" s="144"/>
      <c r="J81" s="150"/>
      <c r="K81" s="144" t="s">
        <v>169</v>
      </c>
      <c r="L81" s="144"/>
      <c r="M81" s="126">
        <v>1</v>
      </c>
      <c r="N81" s="145"/>
      <c r="O81" s="51">
        <f>IF(OR(ISBLANK(BOM_table7[[#This Row],[SKU QTY]]),BOM_table7[[#This Row],[SKU Cost]]=0),0,BOM_table7[[#This Row],[SKU Cost]]/BOM_table7[[#This Row],[SKU QTY]])</f>
        <v>0</v>
      </c>
      <c r="P81" s="146">
        <f>IF(OR(ISBLANK(BOM_table7[[#This Row],[ASM QTY]]),ISBLANK(BOM_table7[[#This Row],[Unit Cost]])),0,BOM_table7[[#This Row],[ASM QTY]]*BOM_table7[[#This Row],[Unit Cost]])</f>
        <v>0</v>
      </c>
      <c r="Q81" s="144"/>
      <c r="R81" s="144"/>
      <c r="S81" s="93">
        <f>IF(B81="Shared All",$M$3,1)*IF(B81="Shared Science+Docking",2,1)*IF(B81="Shared Docking+Multibeam",2,1)*BOM_table7[[#This Row],[ASM QTY]]*$Q$3+BOM_table7[[#This Row],[Spare QTY Needed]]-BOM_table7[[#This Row],[QTY in Inventory]]</f>
        <v>2</v>
      </c>
      <c r="T81" s="51">
        <f>ROUNDUP((BOM_table7[[#This Row],[QTY to Order]]/BOM_table7[[#This Row],[SKU QTY]]),0)</f>
        <v>2</v>
      </c>
      <c r="U81" s="100">
        <f>BOM_table7[[#This Row],[SKU QTY to Order]]*BOM_table7[[#This Row],[SKU Cost]]</f>
        <v>0</v>
      </c>
      <c r="V81" s="145"/>
      <c r="W81" s="144"/>
      <c r="X81" s="144"/>
      <c r="Y81" s="148"/>
      <c r="Z81" s="145"/>
      <c r="AA81" s="144"/>
      <c r="AB81" s="148"/>
      <c r="AC81" s="148"/>
      <c r="AD81" s="183"/>
      <c r="AE81" s="183"/>
      <c r="AF81" s="182"/>
    </row>
    <row r="82" spans="1:32" ht="15" customHeight="1" x14ac:dyDescent="0.2">
      <c r="A82" s="143" t="s">
        <v>160</v>
      </c>
      <c r="B82" s="44" t="s">
        <v>2103</v>
      </c>
      <c r="C82" s="143" t="s">
        <v>1793</v>
      </c>
      <c r="D82" s="144" t="s">
        <v>1794</v>
      </c>
      <c r="E82" s="144" t="s">
        <v>1755</v>
      </c>
      <c r="F82" s="144"/>
      <c r="G82" s="144">
        <v>1</v>
      </c>
      <c r="H82" s="144" t="s">
        <v>1274</v>
      </c>
      <c r="I82" s="144"/>
      <c r="J82" s="150"/>
      <c r="K82" s="144" t="s">
        <v>166</v>
      </c>
      <c r="L82" s="144"/>
      <c r="M82" s="126">
        <v>1</v>
      </c>
      <c r="N82" s="145"/>
      <c r="O82" s="51">
        <f>IF(OR(ISBLANK(BOM_table7[[#This Row],[SKU QTY]]),BOM_table7[[#This Row],[SKU Cost]]=0),0,BOM_table7[[#This Row],[SKU Cost]]/BOM_table7[[#This Row],[SKU QTY]])</f>
        <v>0</v>
      </c>
      <c r="P82" s="146">
        <f>IF(OR(ISBLANK(BOM_table7[[#This Row],[ASM QTY]]),ISBLANK(BOM_table7[[#This Row],[Unit Cost]])),0,BOM_table7[[#This Row],[ASM QTY]]*BOM_table7[[#This Row],[Unit Cost]])</f>
        <v>0</v>
      </c>
      <c r="Q82" s="144"/>
      <c r="R82" s="144"/>
      <c r="S82" s="93">
        <f>IF(B82="Shared All",$M$3,1)*IF(B82="Shared Science+Docking",2,1)*IF(B82="Shared Docking+Multibeam",2,1)*BOM_table7[[#This Row],[ASM QTY]]*$Q$3+BOM_table7[[#This Row],[Spare QTY Needed]]-BOM_table7[[#This Row],[QTY in Inventory]]</f>
        <v>1</v>
      </c>
      <c r="T82" s="51">
        <f>ROUNDUP((BOM_table7[[#This Row],[QTY to Order]]/BOM_table7[[#This Row],[SKU QTY]]),0)</f>
        <v>1</v>
      </c>
      <c r="U82" s="100">
        <f>BOM_table7[[#This Row],[SKU QTY to Order]]*BOM_table7[[#This Row],[SKU Cost]]</f>
        <v>0</v>
      </c>
      <c r="V82" s="145"/>
      <c r="W82" s="45"/>
      <c r="X82" s="45"/>
      <c r="Y82" s="148"/>
      <c r="Z82" s="145"/>
      <c r="AA82" s="144"/>
      <c r="AB82" s="148"/>
      <c r="AC82" s="148"/>
      <c r="AD82" s="183"/>
      <c r="AE82" s="183"/>
      <c r="AF82" s="182"/>
    </row>
    <row r="83" spans="1:32" ht="15" customHeight="1" x14ac:dyDescent="0.2">
      <c r="A83" s="143" t="s">
        <v>160</v>
      </c>
      <c r="B83" s="44" t="s">
        <v>2103</v>
      </c>
      <c r="C83" s="143" t="s">
        <v>1758</v>
      </c>
      <c r="D83" s="144" t="s">
        <v>1795</v>
      </c>
      <c r="E83" s="144" t="s">
        <v>1755</v>
      </c>
      <c r="F83" s="144"/>
      <c r="G83" s="144">
        <v>1</v>
      </c>
      <c r="H83" s="144" t="s">
        <v>1274</v>
      </c>
      <c r="I83" s="144"/>
      <c r="J83" s="150"/>
      <c r="K83" s="144" t="s">
        <v>166</v>
      </c>
      <c r="L83" s="144"/>
      <c r="M83" s="126">
        <v>1</v>
      </c>
      <c r="N83" s="145"/>
      <c r="O83" s="51">
        <f>IF(OR(ISBLANK(BOM_table7[[#This Row],[SKU QTY]]),BOM_table7[[#This Row],[SKU Cost]]=0),0,BOM_table7[[#This Row],[SKU Cost]]/BOM_table7[[#This Row],[SKU QTY]])</f>
        <v>0</v>
      </c>
      <c r="P83" s="146">
        <f>IF(OR(ISBLANK(BOM_table7[[#This Row],[ASM QTY]]),ISBLANK(BOM_table7[[#This Row],[Unit Cost]])),0,BOM_table7[[#This Row],[ASM QTY]]*BOM_table7[[#This Row],[Unit Cost]])</f>
        <v>0</v>
      </c>
      <c r="Q83" s="144"/>
      <c r="R83" s="144"/>
      <c r="S83" s="93">
        <f>IF(B83="Shared All",$M$3,1)*IF(B83="Shared Science+Docking",2,1)*IF(B83="Shared Docking+Multibeam",2,1)*BOM_table7[[#This Row],[ASM QTY]]*$Q$3+BOM_table7[[#This Row],[Spare QTY Needed]]-BOM_table7[[#This Row],[QTY in Inventory]]</f>
        <v>1</v>
      </c>
      <c r="T83" s="51">
        <f>ROUNDUP((BOM_table7[[#This Row],[QTY to Order]]/BOM_table7[[#This Row],[SKU QTY]]),0)</f>
        <v>1</v>
      </c>
      <c r="U83" s="100">
        <f>BOM_table7[[#This Row],[SKU QTY to Order]]*BOM_table7[[#This Row],[SKU Cost]]</f>
        <v>0</v>
      </c>
      <c r="V83" s="145"/>
      <c r="W83" s="45"/>
      <c r="X83" s="45"/>
      <c r="Y83" s="148"/>
      <c r="Z83" s="145"/>
      <c r="AA83" s="144"/>
      <c r="AB83" s="148"/>
      <c r="AC83" s="148"/>
      <c r="AD83" s="183"/>
      <c r="AE83" s="183"/>
      <c r="AF83" s="182"/>
    </row>
    <row r="84" spans="1:32" ht="15" customHeight="1" x14ac:dyDescent="0.2">
      <c r="A84" s="143" t="s">
        <v>160</v>
      </c>
      <c r="B84" s="44" t="s">
        <v>2114</v>
      </c>
      <c r="C84" s="143" t="s">
        <v>1796</v>
      </c>
      <c r="D84" s="144" t="s">
        <v>1797</v>
      </c>
      <c r="E84" s="144" t="s">
        <v>1755</v>
      </c>
      <c r="F84" s="144"/>
      <c r="G84" s="144">
        <v>2</v>
      </c>
      <c r="H84" s="144" t="s">
        <v>1049</v>
      </c>
      <c r="I84" s="144"/>
      <c r="J84" s="43" t="s">
        <v>1936</v>
      </c>
      <c r="K84" s="144" t="s">
        <v>169</v>
      </c>
      <c r="L84" s="144"/>
      <c r="M84" s="126">
        <v>1</v>
      </c>
      <c r="N84" s="145"/>
      <c r="O84" s="51">
        <f>IF(OR(ISBLANK(BOM_table7[[#This Row],[SKU QTY]]),BOM_table7[[#This Row],[SKU Cost]]=0),0,BOM_table7[[#This Row],[SKU Cost]]/BOM_table7[[#This Row],[SKU QTY]])</f>
        <v>0</v>
      </c>
      <c r="P84" s="146">
        <f>IF(OR(ISBLANK(BOM_table7[[#This Row],[ASM QTY]]),ISBLANK(BOM_table7[[#This Row],[Unit Cost]])),0,BOM_table7[[#This Row],[ASM QTY]]*BOM_table7[[#This Row],[Unit Cost]])</f>
        <v>0</v>
      </c>
      <c r="Q84" s="144"/>
      <c r="R84" s="144"/>
      <c r="S84" s="93">
        <f>IF(B84="Shared All",$M$3,1)*IF(B84="Shared Science+Docking",2,1)*IF(B84="Shared Docking+Multibeam",2,1)*BOM_table7[[#This Row],[ASM QTY]]*$Q$3+BOM_table7[[#This Row],[Spare QTY Needed]]-BOM_table7[[#This Row],[QTY in Inventory]]</f>
        <v>4</v>
      </c>
      <c r="T84" s="51">
        <f>ROUNDUP((BOM_table7[[#This Row],[QTY to Order]]/BOM_table7[[#This Row],[SKU QTY]]),0)</f>
        <v>4</v>
      </c>
      <c r="U84" s="100">
        <f>BOM_table7[[#This Row],[SKU QTY to Order]]*BOM_table7[[#This Row],[SKU Cost]]</f>
        <v>0</v>
      </c>
      <c r="V84" s="145"/>
      <c r="W84" s="144"/>
      <c r="X84" s="144"/>
      <c r="Y84" s="148"/>
      <c r="Z84" s="145"/>
      <c r="AA84" s="144"/>
      <c r="AB84" s="148"/>
      <c r="AC84" s="148"/>
      <c r="AD84" s="183"/>
      <c r="AE84" s="183"/>
      <c r="AF84" s="182"/>
    </row>
    <row r="85" spans="1:32" ht="15" customHeight="1" x14ac:dyDescent="0.2">
      <c r="A85" s="143" t="s">
        <v>160</v>
      </c>
      <c r="B85" s="44" t="s">
        <v>2087</v>
      </c>
      <c r="C85" s="143" t="s">
        <v>1799</v>
      </c>
      <c r="D85" s="143" t="s">
        <v>1798</v>
      </c>
      <c r="E85" s="144" t="s">
        <v>1755</v>
      </c>
      <c r="F85" s="144"/>
      <c r="G85" s="144">
        <v>2</v>
      </c>
      <c r="H85" s="144" t="s">
        <v>1810</v>
      </c>
      <c r="I85" s="144"/>
      <c r="J85" s="43"/>
      <c r="K85" s="144" t="s">
        <v>171</v>
      </c>
      <c r="L85" s="144"/>
      <c r="M85" s="126">
        <v>1</v>
      </c>
      <c r="N85" s="145"/>
      <c r="O85" s="51">
        <f>IF(OR(ISBLANK(BOM_table7[[#This Row],[SKU QTY]]),BOM_table7[[#This Row],[SKU Cost]]=0),0,BOM_table7[[#This Row],[SKU Cost]]/BOM_table7[[#This Row],[SKU QTY]])</f>
        <v>0</v>
      </c>
      <c r="P85" s="146">
        <f>IF(OR(ISBLANK(BOM_table7[[#This Row],[ASM QTY]]),ISBLANK(BOM_table7[[#This Row],[Unit Cost]])),0,BOM_table7[[#This Row],[ASM QTY]]*BOM_table7[[#This Row],[Unit Cost]])</f>
        <v>0</v>
      </c>
      <c r="Q85" s="144"/>
      <c r="R85" s="144"/>
      <c r="S85" s="93">
        <f>IF(B85="Shared All",$M$3,1)*IF(B85="Shared Science+Docking",2,1)*IF(B85="Shared Docking+Multibeam",2,1)*BOM_table7[[#This Row],[ASM QTY]]*$Q$3+BOM_table7[[#This Row],[Spare QTY Needed]]-BOM_table7[[#This Row],[QTY in Inventory]]</f>
        <v>2</v>
      </c>
      <c r="T85" s="51">
        <f>ROUNDUP((BOM_table7[[#This Row],[QTY to Order]]/BOM_table7[[#This Row],[SKU QTY]]),0)</f>
        <v>2</v>
      </c>
      <c r="U85" s="100">
        <f>BOM_table7[[#This Row],[SKU QTY to Order]]*BOM_table7[[#This Row],[SKU Cost]]</f>
        <v>0</v>
      </c>
      <c r="V85" s="145"/>
      <c r="W85" s="144"/>
      <c r="X85" s="144"/>
      <c r="Y85" s="148"/>
      <c r="Z85" s="145"/>
      <c r="AA85" s="144"/>
      <c r="AB85" s="148"/>
      <c r="AC85" s="148"/>
      <c r="AD85" s="183"/>
      <c r="AE85" s="183"/>
      <c r="AF85" s="182"/>
    </row>
    <row r="86" spans="1:32" ht="15" customHeight="1" x14ac:dyDescent="0.2">
      <c r="A86" s="143" t="s">
        <v>160</v>
      </c>
      <c r="B86" s="44" t="s">
        <v>2114</v>
      </c>
      <c r="C86" s="44" t="s">
        <v>1942</v>
      </c>
      <c r="D86" s="144"/>
      <c r="E86" s="144" t="s">
        <v>1755</v>
      </c>
      <c r="F86" s="144"/>
      <c r="G86" s="144">
        <v>1</v>
      </c>
      <c r="H86" s="144" t="s">
        <v>1941</v>
      </c>
      <c r="I86" s="144"/>
      <c r="J86" s="43"/>
      <c r="K86" s="144" t="s">
        <v>171</v>
      </c>
      <c r="L86" s="144"/>
      <c r="M86" s="126">
        <v>1</v>
      </c>
      <c r="N86" s="145"/>
      <c r="O86" s="51">
        <f>IF(OR(ISBLANK(BOM_table7[[#This Row],[SKU QTY]]),BOM_table7[[#This Row],[SKU Cost]]=0),0,BOM_table7[[#This Row],[SKU Cost]]/BOM_table7[[#This Row],[SKU QTY]])</f>
        <v>0</v>
      </c>
      <c r="P86" s="146">
        <f>IF(OR(ISBLANK(BOM_table7[[#This Row],[ASM QTY]]),ISBLANK(BOM_table7[[#This Row],[Unit Cost]])),0,BOM_table7[[#This Row],[ASM QTY]]*BOM_table7[[#This Row],[Unit Cost]])</f>
        <v>0</v>
      </c>
      <c r="Q86" s="144"/>
      <c r="R86" s="144"/>
      <c r="S86" s="93">
        <f>IF(B86="Shared All",$M$3,1)*IF(B86="Shared Science+Docking",2,1)*IF(B86="Shared Docking+Multibeam",2,1)*BOM_table7[[#This Row],[ASM QTY]]*$Q$3+BOM_table7[[#This Row],[Spare QTY Needed]]-BOM_table7[[#This Row],[QTY in Inventory]]</f>
        <v>2</v>
      </c>
      <c r="T86" s="51">
        <f>ROUNDUP((BOM_table7[[#This Row],[QTY to Order]]/BOM_table7[[#This Row],[SKU QTY]]),0)</f>
        <v>2</v>
      </c>
      <c r="U86" s="100">
        <f>BOM_table7[[#This Row],[SKU QTY to Order]]*BOM_table7[[#This Row],[SKU Cost]]</f>
        <v>0</v>
      </c>
      <c r="V86" s="145"/>
      <c r="W86" s="144"/>
      <c r="X86" s="144"/>
      <c r="Y86" s="148"/>
      <c r="Z86" s="145"/>
      <c r="AA86" s="144"/>
      <c r="AB86" s="148"/>
      <c r="AC86" s="148"/>
      <c r="AD86" s="183"/>
      <c r="AE86" s="183"/>
      <c r="AF86" s="182"/>
    </row>
    <row r="87" spans="1:32" ht="15" customHeight="1" x14ac:dyDescent="0.2">
      <c r="A87" s="143" t="s">
        <v>160</v>
      </c>
      <c r="B87" s="44" t="s">
        <v>2114</v>
      </c>
      <c r="C87" s="44" t="s">
        <v>1800</v>
      </c>
      <c r="D87" s="144"/>
      <c r="E87" s="144" t="s">
        <v>1755</v>
      </c>
      <c r="F87" s="144"/>
      <c r="G87" s="144">
        <v>1</v>
      </c>
      <c r="H87" s="144" t="s">
        <v>1430</v>
      </c>
      <c r="I87" s="144"/>
      <c r="J87" s="43"/>
      <c r="K87" s="144" t="s">
        <v>169</v>
      </c>
      <c r="L87" s="144"/>
      <c r="M87" s="126">
        <v>1</v>
      </c>
      <c r="N87" s="145"/>
      <c r="O87" s="51">
        <f>IF(OR(ISBLANK(BOM_table7[[#This Row],[SKU QTY]]),BOM_table7[[#This Row],[SKU Cost]]=0),0,BOM_table7[[#This Row],[SKU Cost]]/BOM_table7[[#This Row],[SKU QTY]])</f>
        <v>0</v>
      </c>
      <c r="P87" s="146">
        <f>IF(OR(ISBLANK(BOM_table7[[#This Row],[ASM QTY]]),ISBLANK(BOM_table7[[#This Row],[Unit Cost]])),0,BOM_table7[[#This Row],[ASM QTY]]*BOM_table7[[#This Row],[Unit Cost]])</f>
        <v>0</v>
      </c>
      <c r="Q87" s="144"/>
      <c r="R87" s="144"/>
      <c r="S87" s="93">
        <f>IF(B87="Shared All",$M$3,1)*IF(B87="Shared Science+Docking",2,1)*IF(B87="Shared Docking+Multibeam",2,1)*BOM_table7[[#This Row],[ASM QTY]]*$Q$3+BOM_table7[[#This Row],[Spare QTY Needed]]-BOM_table7[[#This Row],[QTY in Inventory]]</f>
        <v>2</v>
      </c>
      <c r="T87" s="51">
        <f>ROUNDUP((BOM_table7[[#This Row],[QTY to Order]]/BOM_table7[[#This Row],[SKU QTY]]),0)</f>
        <v>2</v>
      </c>
      <c r="U87" s="100">
        <f>BOM_table7[[#This Row],[SKU QTY to Order]]*BOM_table7[[#This Row],[SKU Cost]]</f>
        <v>0</v>
      </c>
      <c r="V87" s="145"/>
      <c r="W87" s="144"/>
      <c r="X87" s="144"/>
      <c r="Y87" s="148"/>
      <c r="Z87" s="145"/>
      <c r="AA87" s="144"/>
      <c r="AB87" s="148"/>
      <c r="AC87" s="148"/>
      <c r="AD87" s="183"/>
      <c r="AE87" s="183"/>
      <c r="AF87" s="182"/>
    </row>
    <row r="88" spans="1:32" ht="15" customHeight="1" x14ac:dyDescent="0.2">
      <c r="A88" s="44" t="s">
        <v>160</v>
      </c>
      <c r="B88" s="44" t="s">
        <v>2103</v>
      </c>
      <c r="C88" s="143" t="s">
        <v>1801</v>
      </c>
      <c r="D88" s="144" t="s">
        <v>784</v>
      </c>
      <c r="E88" s="144" t="s">
        <v>1755</v>
      </c>
      <c r="F88" s="144"/>
      <c r="G88" s="144">
        <v>1</v>
      </c>
      <c r="H88" s="144" t="s">
        <v>1049</v>
      </c>
      <c r="I88" s="144"/>
      <c r="J88" s="150"/>
      <c r="K88" s="144" t="s">
        <v>1320</v>
      </c>
      <c r="L88" s="144"/>
      <c r="M88" s="126">
        <v>1</v>
      </c>
      <c r="N88" s="145"/>
      <c r="O88" s="51">
        <f>IF(OR(ISBLANK(BOM_table7[[#This Row],[SKU QTY]]),BOM_table7[[#This Row],[SKU Cost]]=0),0,BOM_table7[[#This Row],[SKU Cost]]/BOM_table7[[#This Row],[SKU QTY]])</f>
        <v>0</v>
      </c>
      <c r="P88" s="146">
        <f>IF(OR(ISBLANK(BOM_table7[[#This Row],[ASM QTY]]),ISBLANK(BOM_table7[[#This Row],[Unit Cost]])),0,BOM_table7[[#This Row],[ASM QTY]]*BOM_table7[[#This Row],[Unit Cost]])</f>
        <v>0</v>
      </c>
      <c r="Q88" s="144"/>
      <c r="R88" s="144"/>
      <c r="S88" s="93">
        <f>IF(B88="Shared All",$M$3,1)*IF(B88="Shared Science+Docking",2,1)*IF(B88="Shared Docking+Multibeam",2,1)*BOM_table7[[#This Row],[ASM QTY]]*$Q$3+BOM_table7[[#This Row],[Spare QTY Needed]]-BOM_table7[[#This Row],[QTY in Inventory]]</f>
        <v>1</v>
      </c>
      <c r="T88" s="51">
        <f>ROUNDUP((BOM_table7[[#This Row],[QTY to Order]]/BOM_table7[[#This Row],[SKU QTY]]),0)</f>
        <v>1</v>
      </c>
      <c r="U88" s="100">
        <f>BOM_table7[[#This Row],[SKU QTY to Order]]*BOM_table7[[#This Row],[SKU Cost]]</f>
        <v>0</v>
      </c>
      <c r="V88" s="145"/>
      <c r="W88" s="144"/>
      <c r="X88" s="144"/>
      <c r="Y88" s="148"/>
      <c r="Z88" s="145"/>
      <c r="AA88" s="144"/>
      <c r="AB88" s="148"/>
      <c r="AC88" s="148"/>
      <c r="AD88" s="183"/>
      <c r="AE88" s="183"/>
      <c r="AF88" s="182"/>
    </row>
    <row r="89" spans="1:32" ht="15" customHeight="1" x14ac:dyDescent="0.2">
      <c r="A89" s="143" t="s">
        <v>161</v>
      </c>
      <c r="B89" s="44" t="s">
        <v>2103</v>
      </c>
      <c r="C89" s="143" t="s">
        <v>1803</v>
      </c>
      <c r="D89" s="144" t="s">
        <v>1804</v>
      </c>
      <c r="E89" s="144" t="s">
        <v>1755</v>
      </c>
      <c r="F89" s="144"/>
      <c r="G89" s="144">
        <v>2</v>
      </c>
      <c r="H89" s="144" t="s">
        <v>1274</v>
      </c>
      <c r="I89" s="144"/>
      <c r="J89" s="150"/>
      <c r="K89" s="144" t="s">
        <v>166</v>
      </c>
      <c r="L89" s="144"/>
      <c r="M89" s="126">
        <v>1</v>
      </c>
      <c r="N89" s="145"/>
      <c r="O89" s="51">
        <f>IF(OR(ISBLANK(BOM_table7[[#This Row],[SKU QTY]]),BOM_table7[[#This Row],[SKU Cost]]=0),0,BOM_table7[[#This Row],[SKU Cost]]/BOM_table7[[#This Row],[SKU QTY]])</f>
        <v>0</v>
      </c>
      <c r="P89" s="146">
        <f>IF(OR(ISBLANK(BOM_table7[[#This Row],[ASM QTY]]),ISBLANK(BOM_table7[[#This Row],[Unit Cost]])),0,BOM_table7[[#This Row],[ASM QTY]]*BOM_table7[[#This Row],[Unit Cost]])</f>
        <v>0</v>
      </c>
      <c r="Q89" s="144"/>
      <c r="R89" s="144"/>
      <c r="S89" s="93">
        <f>IF(B89="Shared All",$M$3,1)*IF(B89="Shared Science+Docking",2,1)*IF(B89="Shared Docking+Multibeam",2,1)*BOM_table7[[#This Row],[ASM QTY]]*$Q$3+BOM_table7[[#This Row],[Spare QTY Needed]]-BOM_table7[[#This Row],[QTY in Inventory]]</f>
        <v>2</v>
      </c>
      <c r="T89" s="51">
        <f>ROUNDUP((BOM_table7[[#This Row],[QTY to Order]]/BOM_table7[[#This Row],[SKU QTY]]),0)</f>
        <v>2</v>
      </c>
      <c r="U89" s="100">
        <f>BOM_table7[[#This Row],[SKU QTY to Order]]*BOM_table7[[#This Row],[SKU Cost]]</f>
        <v>0</v>
      </c>
      <c r="V89" s="145"/>
      <c r="W89" s="45"/>
      <c r="X89" s="45"/>
      <c r="Y89" s="148"/>
      <c r="Z89" s="145"/>
      <c r="AA89" s="144"/>
      <c r="AB89" s="148"/>
      <c r="AC89" s="148"/>
      <c r="AD89" s="183"/>
      <c r="AE89" s="183"/>
      <c r="AF89" s="182"/>
    </row>
    <row r="90" spans="1:32" ht="15" customHeight="1" x14ac:dyDescent="0.2">
      <c r="A90" s="143" t="s">
        <v>160</v>
      </c>
      <c r="B90" s="44" t="s">
        <v>2088</v>
      </c>
      <c r="C90" s="143" t="s">
        <v>1805</v>
      </c>
      <c r="D90" s="144"/>
      <c r="E90" s="144" t="s">
        <v>1755</v>
      </c>
      <c r="F90" s="144"/>
      <c r="G90" s="144">
        <v>1</v>
      </c>
      <c r="H90" s="144" t="s">
        <v>1049</v>
      </c>
      <c r="I90" s="144"/>
      <c r="J90" s="150"/>
      <c r="K90" s="144" t="s">
        <v>169</v>
      </c>
      <c r="L90" s="144"/>
      <c r="M90" s="126">
        <v>1</v>
      </c>
      <c r="N90" s="145"/>
      <c r="O90" s="51">
        <f>IF(OR(ISBLANK(BOM_table7[[#This Row],[SKU QTY]]),BOM_table7[[#This Row],[SKU Cost]]=0),0,BOM_table7[[#This Row],[SKU Cost]]/BOM_table7[[#This Row],[SKU QTY]])</f>
        <v>0</v>
      </c>
      <c r="P90" s="146">
        <f>IF(OR(ISBLANK(BOM_table7[[#This Row],[ASM QTY]]),ISBLANK(BOM_table7[[#This Row],[Unit Cost]])),0,BOM_table7[[#This Row],[ASM QTY]]*BOM_table7[[#This Row],[Unit Cost]])</f>
        <v>0</v>
      </c>
      <c r="Q90" s="144"/>
      <c r="R90" s="144"/>
      <c r="S90" s="93">
        <f>IF(B90="Shared All",$M$3,1)*IF(B90="Shared Science+Docking",2,1)*IF(B90="Shared Docking+Multibeam",2,1)*BOM_table7[[#This Row],[ASM QTY]]*$Q$3+BOM_table7[[#This Row],[Spare QTY Needed]]-BOM_table7[[#This Row],[QTY in Inventory]]</f>
        <v>1</v>
      </c>
      <c r="T90" s="51">
        <f>ROUNDUP((BOM_table7[[#This Row],[QTY to Order]]/BOM_table7[[#This Row],[SKU QTY]]),0)</f>
        <v>1</v>
      </c>
      <c r="U90" s="100">
        <f>BOM_table7[[#This Row],[SKU QTY to Order]]*BOM_table7[[#This Row],[SKU Cost]]</f>
        <v>0</v>
      </c>
      <c r="V90" s="145"/>
      <c r="W90" s="144"/>
      <c r="X90" s="144"/>
      <c r="Y90" s="148"/>
      <c r="Z90" s="145"/>
      <c r="AA90" s="144"/>
      <c r="AB90" s="148"/>
      <c r="AC90" s="148"/>
      <c r="AD90" s="183"/>
      <c r="AE90" s="183"/>
      <c r="AF90" s="182"/>
    </row>
    <row r="91" spans="1:32" ht="15" customHeight="1" x14ac:dyDescent="0.2">
      <c r="A91" s="143" t="s">
        <v>160</v>
      </c>
      <c r="B91" s="44" t="s">
        <v>2088</v>
      </c>
      <c r="C91" s="143" t="s">
        <v>1806</v>
      </c>
      <c r="D91" s="144"/>
      <c r="E91" s="144" t="s">
        <v>1755</v>
      </c>
      <c r="F91" s="144"/>
      <c r="G91" s="144">
        <v>1</v>
      </c>
      <c r="H91" s="144" t="s">
        <v>1430</v>
      </c>
      <c r="I91" s="144"/>
      <c r="J91" s="150"/>
      <c r="K91" s="144" t="s">
        <v>171</v>
      </c>
      <c r="L91" s="144"/>
      <c r="M91" s="126">
        <v>1</v>
      </c>
      <c r="N91" s="145"/>
      <c r="O91" s="51">
        <f>IF(OR(ISBLANK(BOM_table7[[#This Row],[SKU QTY]]),BOM_table7[[#This Row],[SKU Cost]]=0),0,BOM_table7[[#This Row],[SKU Cost]]/BOM_table7[[#This Row],[SKU QTY]])</f>
        <v>0</v>
      </c>
      <c r="P91" s="146">
        <f>IF(OR(ISBLANK(BOM_table7[[#This Row],[ASM QTY]]),ISBLANK(BOM_table7[[#This Row],[Unit Cost]])),0,BOM_table7[[#This Row],[ASM QTY]]*BOM_table7[[#This Row],[Unit Cost]])</f>
        <v>0</v>
      </c>
      <c r="Q91" s="144"/>
      <c r="R91" s="144"/>
      <c r="S91" s="93">
        <f>IF(B91="Shared All",$M$3,1)*IF(B91="Shared Science+Docking",2,1)*IF(B91="Shared Docking+Multibeam",2,1)*BOM_table7[[#This Row],[ASM QTY]]*$Q$3+BOM_table7[[#This Row],[Spare QTY Needed]]-BOM_table7[[#This Row],[QTY in Inventory]]</f>
        <v>1</v>
      </c>
      <c r="T91" s="51">
        <f>ROUNDUP((BOM_table7[[#This Row],[QTY to Order]]/BOM_table7[[#This Row],[SKU QTY]]),0)</f>
        <v>1</v>
      </c>
      <c r="U91" s="100">
        <f>BOM_table7[[#This Row],[SKU QTY to Order]]*BOM_table7[[#This Row],[SKU Cost]]</f>
        <v>0</v>
      </c>
      <c r="V91" s="145"/>
      <c r="W91" s="144"/>
      <c r="X91" s="144"/>
      <c r="Y91" s="148"/>
      <c r="Z91" s="145"/>
      <c r="AA91" s="144"/>
      <c r="AB91" s="148"/>
      <c r="AC91" s="148"/>
      <c r="AD91" s="183"/>
      <c r="AE91" s="183"/>
      <c r="AF91" s="182"/>
    </row>
    <row r="92" spans="1:32" ht="15" customHeight="1" x14ac:dyDescent="0.2">
      <c r="A92" s="143" t="s">
        <v>160</v>
      </c>
      <c r="B92" s="44" t="s">
        <v>2088</v>
      </c>
      <c r="C92" s="143" t="s">
        <v>1807</v>
      </c>
      <c r="D92" s="144"/>
      <c r="E92" s="144" t="s">
        <v>1755</v>
      </c>
      <c r="F92" s="144"/>
      <c r="G92" s="144">
        <v>1</v>
      </c>
      <c r="H92" s="144" t="s">
        <v>1049</v>
      </c>
      <c r="I92" s="144"/>
      <c r="J92" s="150"/>
      <c r="K92" s="144" t="s">
        <v>867</v>
      </c>
      <c r="L92" s="144"/>
      <c r="M92" s="126">
        <v>1</v>
      </c>
      <c r="N92" s="145"/>
      <c r="O92" s="51">
        <f>IF(OR(ISBLANK(BOM_table7[[#This Row],[SKU QTY]]),BOM_table7[[#This Row],[SKU Cost]]=0),0,BOM_table7[[#This Row],[SKU Cost]]/BOM_table7[[#This Row],[SKU QTY]])</f>
        <v>0</v>
      </c>
      <c r="P92" s="146">
        <f>IF(OR(ISBLANK(BOM_table7[[#This Row],[ASM QTY]]),ISBLANK(BOM_table7[[#This Row],[Unit Cost]])),0,BOM_table7[[#This Row],[ASM QTY]]*BOM_table7[[#This Row],[Unit Cost]])</f>
        <v>0</v>
      </c>
      <c r="Q92" s="144"/>
      <c r="R92" s="144"/>
      <c r="S92" s="93">
        <f>IF(B92="Shared All",$M$3,1)*IF(B92="Shared Science+Docking",2,1)*IF(B92="Shared Docking+Multibeam",2,1)*BOM_table7[[#This Row],[ASM QTY]]*$Q$3+BOM_table7[[#This Row],[Spare QTY Needed]]-BOM_table7[[#This Row],[QTY in Inventory]]</f>
        <v>1</v>
      </c>
      <c r="T92" s="51">
        <f>ROUNDUP((BOM_table7[[#This Row],[QTY to Order]]/BOM_table7[[#This Row],[SKU QTY]]),0)</f>
        <v>1</v>
      </c>
      <c r="U92" s="100">
        <f>BOM_table7[[#This Row],[SKU QTY to Order]]*BOM_table7[[#This Row],[SKU Cost]]</f>
        <v>0</v>
      </c>
      <c r="V92" s="145"/>
      <c r="W92" s="144"/>
      <c r="X92" s="144"/>
      <c r="Y92" s="148"/>
      <c r="Z92" s="145"/>
      <c r="AA92" s="144"/>
      <c r="AB92" s="148"/>
      <c r="AC92" s="148"/>
      <c r="AD92" s="183"/>
      <c r="AE92" s="183"/>
      <c r="AF92" s="182"/>
    </row>
    <row r="93" spans="1:32" ht="15" customHeight="1" x14ac:dyDescent="0.2">
      <c r="A93" s="143" t="s">
        <v>160</v>
      </c>
      <c r="B93" s="44" t="s">
        <v>2088</v>
      </c>
      <c r="C93" s="44" t="s">
        <v>2050</v>
      </c>
      <c r="D93" s="144">
        <v>107547</v>
      </c>
      <c r="E93" s="144" t="s">
        <v>1755</v>
      </c>
      <c r="F93" s="144" t="s">
        <v>364</v>
      </c>
      <c r="G93" s="144">
        <v>1</v>
      </c>
      <c r="H93" s="144" t="s">
        <v>1430</v>
      </c>
      <c r="I93" s="144"/>
      <c r="J93" s="150"/>
      <c r="K93" s="144" t="s">
        <v>169</v>
      </c>
      <c r="L93" s="144"/>
      <c r="M93" s="126">
        <v>1</v>
      </c>
      <c r="N93" s="145"/>
      <c r="O93" s="51">
        <f>IF(OR(ISBLANK(BOM_table7[[#This Row],[SKU QTY]]),BOM_table7[[#This Row],[SKU Cost]]=0),0,BOM_table7[[#This Row],[SKU Cost]]/BOM_table7[[#This Row],[SKU QTY]])</f>
        <v>0</v>
      </c>
      <c r="P93" s="146">
        <f>IF(OR(ISBLANK(BOM_table7[[#This Row],[ASM QTY]]),ISBLANK(BOM_table7[[#This Row],[Unit Cost]])),0,BOM_table7[[#This Row],[ASM QTY]]*BOM_table7[[#This Row],[Unit Cost]])</f>
        <v>0</v>
      </c>
      <c r="Q93" s="144"/>
      <c r="R93" s="144"/>
      <c r="S93" s="93">
        <f>IF(B93="Shared All",$M$3,1)*IF(B93="Shared Science+Docking",2,1)*IF(B93="Shared Docking+Multibeam",2,1)*BOM_table7[[#This Row],[ASM QTY]]*$Q$3+BOM_table7[[#This Row],[Spare QTY Needed]]-BOM_table7[[#This Row],[QTY in Inventory]]</f>
        <v>1</v>
      </c>
      <c r="T93" s="51">
        <f>ROUNDUP((BOM_table7[[#This Row],[QTY to Order]]/BOM_table7[[#This Row],[SKU QTY]]),0)</f>
        <v>1</v>
      </c>
      <c r="U93" s="100">
        <f>BOM_table7[[#This Row],[SKU QTY to Order]]*BOM_table7[[#This Row],[SKU Cost]]</f>
        <v>0</v>
      </c>
      <c r="V93" s="145"/>
      <c r="W93" s="144"/>
      <c r="X93" s="144"/>
      <c r="Y93" s="148"/>
      <c r="Z93" s="145"/>
      <c r="AA93" s="144"/>
      <c r="AB93" s="148"/>
      <c r="AC93" s="148"/>
      <c r="AD93" s="183"/>
      <c r="AE93" s="183"/>
      <c r="AF93" s="182"/>
    </row>
    <row r="94" spans="1:32" ht="15" customHeight="1" x14ac:dyDescent="0.2">
      <c r="A94" s="143" t="s">
        <v>160</v>
      </c>
      <c r="B94" s="44" t="s">
        <v>2103</v>
      </c>
      <c r="C94" s="143" t="s">
        <v>1747</v>
      </c>
      <c r="D94" s="144" t="s">
        <v>1748</v>
      </c>
      <c r="E94" s="144" t="s">
        <v>1754</v>
      </c>
      <c r="F94" s="144"/>
      <c r="G94" s="144">
        <v>1</v>
      </c>
      <c r="H94" s="98" t="s">
        <v>1049</v>
      </c>
      <c r="I94" s="98"/>
      <c r="J94" s="153"/>
      <c r="K94" s="98" t="s">
        <v>169</v>
      </c>
      <c r="L94" s="98" t="s">
        <v>1452</v>
      </c>
      <c r="M94" s="126">
        <v>1</v>
      </c>
      <c r="N94" s="99"/>
      <c r="O94" s="51">
        <f>IF(OR(ISBLANK(BOM_table7[[#This Row],[SKU QTY]]),BOM_table7[[#This Row],[SKU Cost]]=0),0,BOM_table7[[#This Row],[SKU Cost]]/BOM_table7[[#This Row],[SKU QTY]])</f>
        <v>0</v>
      </c>
      <c r="P94" s="146">
        <f>IF(OR(ISBLANK(BOM_table7[[#This Row],[ASM QTY]]),ISBLANK(BOM_table7[[#This Row],[Unit Cost]])),0,BOM_table7[[#This Row],[ASM QTY]]*BOM_table7[[#This Row],[Unit Cost]])</f>
        <v>0</v>
      </c>
      <c r="Q94" s="98"/>
      <c r="R94" s="98"/>
      <c r="S94" s="93">
        <f>IF(B94="Shared All",$M$3,1)*IF(B94="Shared Science+Docking",2,1)*IF(B94="Shared Docking+Multibeam",2,1)*BOM_table7[[#This Row],[ASM QTY]]*$Q$3+BOM_table7[[#This Row],[Spare QTY Needed]]-BOM_table7[[#This Row],[QTY in Inventory]]</f>
        <v>1</v>
      </c>
      <c r="T94" s="51">
        <f>ROUNDUP((BOM_table7[[#This Row],[QTY to Order]]/BOM_table7[[#This Row],[SKU QTY]]),0)</f>
        <v>1</v>
      </c>
      <c r="U94" s="100">
        <f>BOM_table7[[#This Row],[SKU QTY to Order]]*BOM_table7[[#This Row],[SKU Cost]]</f>
        <v>0</v>
      </c>
      <c r="V94" s="99"/>
      <c r="W94" s="98"/>
      <c r="X94" s="98"/>
      <c r="Y94" s="101"/>
      <c r="Z94" s="99"/>
      <c r="AA94" s="98"/>
      <c r="AB94" s="102"/>
      <c r="AC94" s="101"/>
      <c r="AD94" s="183"/>
      <c r="AE94" s="183"/>
      <c r="AF94" s="182"/>
    </row>
    <row r="95" spans="1:32" ht="15" customHeight="1" x14ac:dyDescent="0.2">
      <c r="A95" s="143" t="s">
        <v>160</v>
      </c>
      <c r="B95" s="44" t="s">
        <v>2103</v>
      </c>
      <c r="C95" s="143" t="s">
        <v>1780</v>
      </c>
      <c r="D95" s="144" t="s">
        <v>1749</v>
      </c>
      <c r="E95" s="144" t="s">
        <v>1754</v>
      </c>
      <c r="F95" s="144"/>
      <c r="G95" s="144">
        <v>1</v>
      </c>
      <c r="H95" s="98" t="s">
        <v>1049</v>
      </c>
      <c r="I95" s="98"/>
      <c r="J95" s="153"/>
      <c r="K95" s="98" t="s">
        <v>169</v>
      </c>
      <c r="L95" s="98" t="s">
        <v>1452</v>
      </c>
      <c r="M95" s="126">
        <v>1</v>
      </c>
      <c r="N95" s="99"/>
      <c r="O95" s="51">
        <f>IF(OR(ISBLANK(BOM_table7[[#This Row],[SKU QTY]]),BOM_table7[[#This Row],[SKU Cost]]=0),0,BOM_table7[[#This Row],[SKU Cost]]/BOM_table7[[#This Row],[SKU QTY]])</f>
        <v>0</v>
      </c>
      <c r="P95" s="146">
        <f>IF(OR(ISBLANK(BOM_table7[[#This Row],[ASM QTY]]),ISBLANK(BOM_table7[[#This Row],[Unit Cost]])),0,BOM_table7[[#This Row],[ASM QTY]]*BOM_table7[[#This Row],[Unit Cost]])</f>
        <v>0</v>
      </c>
      <c r="Q95" s="98"/>
      <c r="R95" s="98"/>
      <c r="S95" s="93">
        <f>IF(B95="Shared All",$M$3,1)*IF(B95="Shared Science+Docking",2,1)*IF(B95="Shared Docking+Multibeam",2,1)*BOM_table7[[#This Row],[ASM QTY]]*$Q$3+BOM_table7[[#This Row],[Spare QTY Needed]]-BOM_table7[[#This Row],[QTY in Inventory]]</f>
        <v>1</v>
      </c>
      <c r="T95" s="51">
        <f>ROUNDUP((BOM_table7[[#This Row],[QTY to Order]]/BOM_table7[[#This Row],[SKU QTY]]),0)</f>
        <v>1</v>
      </c>
      <c r="U95" s="100">
        <f>BOM_table7[[#This Row],[SKU QTY to Order]]*BOM_table7[[#This Row],[SKU Cost]]</f>
        <v>0</v>
      </c>
      <c r="V95" s="99"/>
      <c r="W95" s="98"/>
      <c r="X95" s="98"/>
      <c r="Y95" s="101"/>
      <c r="Z95" s="99"/>
      <c r="AA95" s="98"/>
      <c r="AB95" s="102"/>
      <c r="AC95" s="101"/>
      <c r="AD95" s="183"/>
      <c r="AE95" s="183"/>
      <c r="AF95" s="182"/>
    </row>
    <row r="96" spans="1:32" ht="15" customHeight="1" x14ac:dyDescent="0.2">
      <c r="A96" s="143" t="s">
        <v>160</v>
      </c>
      <c r="B96" s="44" t="s">
        <v>2103</v>
      </c>
      <c r="C96" s="143" t="s">
        <v>1779</v>
      </c>
      <c r="D96" s="144" t="s">
        <v>1749</v>
      </c>
      <c r="E96" s="144" t="s">
        <v>1754</v>
      </c>
      <c r="F96" s="144"/>
      <c r="G96" s="144">
        <v>1</v>
      </c>
      <c r="H96" s="98" t="s">
        <v>1049</v>
      </c>
      <c r="I96" s="98"/>
      <c r="J96" s="153"/>
      <c r="K96" s="98" t="s">
        <v>169</v>
      </c>
      <c r="L96" s="98" t="s">
        <v>1452</v>
      </c>
      <c r="M96" s="126">
        <v>1</v>
      </c>
      <c r="N96" s="99"/>
      <c r="O96" s="51">
        <f>IF(OR(ISBLANK(BOM_table7[[#This Row],[SKU QTY]]),BOM_table7[[#This Row],[SKU Cost]]=0),0,BOM_table7[[#This Row],[SKU Cost]]/BOM_table7[[#This Row],[SKU QTY]])</f>
        <v>0</v>
      </c>
      <c r="P96" s="146">
        <f>IF(OR(ISBLANK(BOM_table7[[#This Row],[ASM QTY]]),ISBLANK(BOM_table7[[#This Row],[Unit Cost]])),0,BOM_table7[[#This Row],[ASM QTY]]*BOM_table7[[#This Row],[Unit Cost]])</f>
        <v>0</v>
      </c>
      <c r="Q96" s="98"/>
      <c r="R96" s="98"/>
      <c r="S96" s="93">
        <f>IF(B96="Shared All",$M$3,1)*IF(B96="Shared Science+Docking",2,1)*IF(B96="Shared Docking+Multibeam",2,1)*BOM_table7[[#This Row],[ASM QTY]]*$Q$3+BOM_table7[[#This Row],[Spare QTY Needed]]-BOM_table7[[#This Row],[QTY in Inventory]]</f>
        <v>1</v>
      </c>
      <c r="T96" s="51">
        <f>ROUNDUP((BOM_table7[[#This Row],[QTY to Order]]/BOM_table7[[#This Row],[SKU QTY]]),0)</f>
        <v>1</v>
      </c>
      <c r="U96" s="100">
        <f>BOM_table7[[#This Row],[SKU QTY to Order]]*BOM_table7[[#This Row],[SKU Cost]]</f>
        <v>0</v>
      </c>
      <c r="V96" s="99"/>
      <c r="W96" s="98"/>
      <c r="X96" s="98"/>
      <c r="Y96" s="101"/>
      <c r="Z96" s="99"/>
      <c r="AA96" s="98"/>
      <c r="AB96" s="102"/>
      <c r="AC96" s="101"/>
      <c r="AD96" s="183"/>
      <c r="AE96" s="183"/>
      <c r="AF96" s="182"/>
    </row>
    <row r="97" spans="1:32" ht="15" customHeight="1" x14ac:dyDescent="0.2">
      <c r="A97" s="143" t="s">
        <v>159</v>
      </c>
      <c r="B97" s="44" t="s">
        <v>2103</v>
      </c>
      <c r="C97" s="143" t="s">
        <v>1750</v>
      </c>
      <c r="D97" s="144" t="s">
        <v>1751</v>
      </c>
      <c r="E97" s="144" t="s">
        <v>1754</v>
      </c>
      <c r="F97" s="144"/>
      <c r="G97" s="144">
        <v>2</v>
      </c>
      <c r="H97" s="45" t="s">
        <v>2169</v>
      </c>
      <c r="I97" s="144"/>
      <c r="J97" s="43"/>
      <c r="K97" s="144" t="s">
        <v>143</v>
      </c>
      <c r="L97" s="45" t="s">
        <v>1640</v>
      </c>
      <c r="M97" s="126">
        <v>1</v>
      </c>
      <c r="N97" s="145"/>
      <c r="O97" s="51">
        <f>IF(OR(ISBLANK(BOM_table7[[#This Row],[SKU QTY]]),BOM_table7[[#This Row],[SKU Cost]]=0),0,BOM_table7[[#This Row],[SKU Cost]]/BOM_table7[[#This Row],[SKU QTY]])</f>
        <v>0</v>
      </c>
      <c r="P97" s="146">
        <f>IF(OR(ISBLANK(BOM_table7[[#This Row],[ASM QTY]]),ISBLANK(BOM_table7[[#This Row],[Unit Cost]])),0,BOM_table7[[#This Row],[ASM QTY]]*BOM_table7[[#This Row],[Unit Cost]])</f>
        <v>0</v>
      </c>
      <c r="Q97" s="144"/>
      <c r="R97" s="144"/>
      <c r="S97" s="93">
        <v>1</v>
      </c>
      <c r="T97" s="51">
        <f>ROUNDUP((BOM_table7[[#This Row],[QTY to Order]]/BOM_table7[[#This Row],[SKU QTY]]),0)</f>
        <v>1</v>
      </c>
      <c r="U97" s="100">
        <f>BOM_table7[[#This Row],[SKU QTY to Order]]*BOM_table7[[#This Row],[SKU Cost]]</f>
        <v>0</v>
      </c>
      <c r="V97" s="145"/>
      <c r="W97" s="45" t="s">
        <v>2165</v>
      </c>
      <c r="X97" s="45" t="s">
        <v>2166</v>
      </c>
      <c r="Y97" s="148">
        <v>44749</v>
      </c>
      <c r="Z97" s="145"/>
      <c r="AA97" s="144"/>
      <c r="AB97" s="144"/>
      <c r="AC97" s="144"/>
      <c r="AD97" s="182"/>
      <c r="AE97" s="182"/>
      <c r="AF97" s="182"/>
    </row>
    <row r="98" spans="1:32" ht="15" customHeight="1" x14ac:dyDescent="0.2">
      <c r="A98" s="143" t="s">
        <v>159</v>
      </c>
      <c r="B98" s="44" t="s">
        <v>2103</v>
      </c>
      <c r="C98" s="143" t="s">
        <v>1752</v>
      </c>
      <c r="D98" s="144" t="s">
        <v>1753</v>
      </c>
      <c r="E98" s="144" t="s">
        <v>1754</v>
      </c>
      <c r="F98" s="144"/>
      <c r="G98" s="144">
        <v>2</v>
      </c>
      <c r="H98" s="45" t="s">
        <v>2169</v>
      </c>
      <c r="I98" s="144"/>
      <c r="J98" s="43"/>
      <c r="K98" s="144" t="s">
        <v>143</v>
      </c>
      <c r="L98" s="45" t="s">
        <v>1640</v>
      </c>
      <c r="M98" s="126">
        <v>1</v>
      </c>
      <c r="N98" s="145"/>
      <c r="O98" s="51">
        <f>IF(OR(ISBLANK(BOM_table7[[#This Row],[SKU QTY]]),BOM_table7[[#This Row],[SKU Cost]]=0),0,BOM_table7[[#This Row],[SKU Cost]]/BOM_table7[[#This Row],[SKU QTY]])</f>
        <v>0</v>
      </c>
      <c r="P98" s="146">
        <f>IF(OR(ISBLANK(BOM_table7[[#This Row],[ASM QTY]]),ISBLANK(BOM_table7[[#This Row],[Unit Cost]])),0,BOM_table7[[#This Row],[ASM QTY]]*BOM_table7[[#This Row],[Unit Cost]])</f>
        <v>0</v>
      </c>
      <c r="Q98" s="144"/>
      <c r="R98" s="144"/>
      <c r="S98" s="93">
        <v>1</v>
      </c>
      <c r="T98" s="51">
        <f>ROUNDUP((BOM_table7[[#This Row],[QTY to Order]]/BOM_table7[[#This Row],[SKU QTY]]),0)</f>
        <v>1</v>
      </c>
      <c r="U98" s="100">
        <f>BOM_table7[[#This Row],[SKU QTY to Order]]*BOM_table7[[#This Row],[SKU Cost]]</f>
        <v>0</v>
      </c>
      <c r="V98" s="145"/>
      <c r="W98" s="45" t="s">
        <v>2165</v>
      </c>
      <c r="X98" s="45" t="s">
        <v>2166</v>
      </c>
      <c r="Y98" s="148">
        <v>44749</v>
      </c>
      <c r="Z98" s="145"/>
      <c r="AA98" s="144"/>
      <c r="AB98" s="144"/>
      <c r="AC98" s="144"/>
      <c r="AD98" s="182"/>
      <c r="AE98" s="182"/>
      <c r="AF98" s="182" t="s">
        <v>2168</v>
      </c>
    </row>
    <row r="99" spans="1:32" ht="15" customHeight="1" x14ac:dyDescent="0.2">
      <c r="A99" s="143" t="s">
        <v>160</v>
      </c>
      <c r="B99" s="44" t="s">
        <v>2103</v>
      </c>
      <c r="C99" s="44" t="s">
        <v>1436</v>
      </c>
      <c r="D99" s="45" t="s">
        <v>1431</v>
      </c>
      <c r="E99" s="45" t="s">
        <v>1754</v>
      </c>
      <c r="F99" s="45"/>
      <c r="G99" s="45">
        <v>1</v>
      </c>
      <c r="H99" s="45" t="s">
        <v>863</v>
      </c>
      <c r="I99" s="45"/>
      <c r="J99" s="43" t="s">
        <v>2031</v>
      </c>
      <c r="K99" s="45" t="s">
        <v>168</v>
      </c>
      <c r="L99" s="45" t="s">
        <v>1134</v>
      </c>
      <c r="M99" s="126">
        <v>1</v>
      </c>
      <c r="N99" s="50"/>
      <c r="O99" s="51">
        <f>IF(OR(ISBLANK(BOM_table7[[#This Row],[SKU QTY]]),BOM_table7[[#This Row],[SKU Cost]]=0),0,BOM_table7[[#This Row],[SKU Cost]]/BOM_table7[[#This Row],[SKU QTY]])</f>
        <v>0</v>
      </c>
      <c r="P99" s="146">
        <f>IF(OR(ISBLANK(BOM_table7[[#This Row],[ASM QTY]]),ISBLANK(BOM_table7[[#This Row],[Unit Cost]])),0,BOM_table7[[#This Row],[ASM QTY]]*BOM_table7[[#This Row],[Unit Cost]])</f>
        <v>0</v>
      </c>
      <c r="Q99" s="45"/>
      <c r="R99" s="81"/>
      <c r="S99" s="93">
        <f>IF(B99="Shared All",$M$3,1)*IF(B99="Shared Science+Docking",2,1)*IF(B99="Shared Docking+Multibeam",2,1)*BOM_table7[[#This Row],[ASM QTY]]*$Q$3+BOM_table7[[#This Row],[Spare QTY Needed]]-BOM_table7[[#This Row],[QTY in Inventory]]</f>
        <v>1</v>
      </c>
      <c r="T99" s="51">
        <f>ROUNDUP((BOM_table7[[#This Row],[QTY to Order]]/BOM_table7[[#This Row],[SKU QTY]]),0)</f>
        <v>1</v>
      </c>
      <c r="U99" s="100">
        <f>BOM_table7[[#This Row],[SKU QTY to Order]]*BOM_table7[[#This Row],[SKU Cost]]</f>
        <v>0</v>
      </c>
      <c r="V99" s="50"/>
      <c r="W99" s="45"/>
      <c r="X99" s="45"/>
      <c r="Y99" s="54"/>
      <c r="Z99" s="50"/>
      <c r="AA99" s="50"/>
      <c r="AB99" s="54"/>
      <c r="AC99" s="160"/>
      <c r="AD99" s="183"/>
      <c r="AE99" s="183"/>
      <c r="AF99" s="182"/>
    </row>
    <row r="100" spans="1:32" ht="15" customHeight="1" x14ac:dyDescent="0.2">
      <c r="A100" s="143" t="s">
        <v>160</v>
      </c>
      <c r="B100" s="44" t="s">
        <v>2103</v>
      </c>
      <c r="C100" s="143" t="s">
        <v>1756</v>
      </c>
      <c r="D100" s="144" t="s">
        <v>1757</v>
      </c>
      <c r="E100" s="144" t="s">
        <v>1754</v>
      </c>
      <c r="F100" s="144"/>
      <c r="G100" s="144">
        <v>3</v>
      </c>
      <c r="H100" s="144" t="s">
        <v>1274</v>
      </c>
      <c r="I100" s="144"/>
      <c r="J100" s="150"/>
      <c r="K100" s="144" t="s">
        <v>166</v>
      </c>
      <c r="L100" s="144"/>
      <c r="M100" s="126">
        <v>1</v>
      </c>
      <c r="N100" s="145"/>
      <c r="O100" s="51">
        <f>IF(OR(ISBLANK(BOM_table7[[#This Row],[SKU QTY]]),BOM_table7[[#This Row],[SKU Cost]]=0),0,BOM_table7[[#This Row],[SKU Cost]]/BOM_table7[[#This Row],[SKU QTY]])</f>
        <v>0</v>
      </c>
      <c r="P100" s="146">
        <f>IF(OR(ISBLANK(BOM_table7[[#This Row],[ASM QTY]]),ISBLANK(BOM_table7[[#This Row],[Unit Cost]])),0,BOM_table7[[#This Row],[ASM QTY]]*BOM_table7[[#This Row],[Unit Cost]])</f>
        <v>0</v>
      </c>
      <c r="Q100" s="144"/>
      <c r="R100" s="144"/>
      <c r="S100" s="93">
        <f>IF(B100="Shared All",$M$3,1)*IF(B100="Shared Science+Docking",2,1)*IF(B100="Shared Docking+Multibeam",2,1)*BOM_table7[[#This Row],[ASM QTY]]*$Q$3+BOM_table7[[#This Row],[Spare QTY Needed]]-BOM_table7[[#This Row],[QTY in Inventory]]</f>
        <v>3</v>
      </c>
      <c r="T100" s="51">
        <f>ROUNDUP((BOM_table7[[#This Row],[QTY to Order]]/BOM_table7[[#This Row],[SKU QTY]]),0)</f>
        <v>3</v>
      </c>
      <c r="U100" s="100">
        <f>BOM_table7[[#This Row],[SKU QTY to Order]]*BOM_table7[[#This Row],[SKU Cost]]</f>
        <v>0</v>
      </c>
      <c r="V100" s="145"/>
      <c r="W100" s="45"/>
      <c r="X100" s="45"/>
      <c r="Y100" s="148"/>
      <c r="Z100" s="145"/>
      <c r="AA100" s="144"/>
      <c r="AB100" s="148"/>
      <c r="AC100" s="144"/>
      <c r="AD100" s="182"/>
      <c r="AE100" s="182"/>
      <c r="AF100" s="182"/>
    </row>
    <row r="101" spans="1:32" ht="15" customHeight="1" x14ac:dyDescent="0.2">
      <c r="A101" s="143" t="s">
        <v>160</v>
      </c>
      <c r="B101" s="44" t="s">
        <v>2103</v>
      </c>
      <c r="C101" s="44" t="s">
        <v>1758</v>
      </c>
      <c r="D101" s="144" t="s">
        <v>1759</v>
      </c>
      <c r="E101" s="144" t="s">
        <v>1754</v>
      </c>
      <c r="F101" s="144"/>
      <c r="G101" s="144">
        <v>2</v>
      </c>
      <c r="H101" s="144" t="s">
        <v>1274</v>
      </c>
      <c r="I101" s="144"/>
      <c r="J101" s="150"/>
      <c r="K101" s="144" t="s">
        <v>166</v>
      </c>
      <c r="L101" s="144"/>
      <c r="M101" s="126">
        <v>1</v>
      </c>
      <c r="N101" s="145"/>
      <c r="O101" s="51">
        <f>IF(OR(ISBLANK(BOM_table7[[#This Row],[SKU QTY]]),BOM_table7[[#This Row],[SKU Cost]]=0),0,BOM_table7[[#This Row],[SKU Cost]]/BOM_table7[[#This Row],[SKU QTY]])</f>
        <v>0</v>
      </c>
      <c r="P101" s="146">
        <f>IF(OR(ISBLANK(BOM_table7[[#This Row],[ASM QTY]]),ISBLANK(BOM_table7[[#This Row],[Unit Cost]])),0,BOM_table7[[#This Row],[ASM QTY]]*BOM_table7[[#This Row],[Unit Cost]])</f>
        <v>0</v>
      </c>
      <c r="Q101" s="144"/>
      <c r="R101" s="144"/>
      <c r="S101" s="93">
        <f>IF(B101="Shared All",$M$3,1)*IF(B101="Shared Science+Docking",2,1)*IF(B101="Shared Docking+Multibeam",2,1)*BOM_table7[[#This Row],[ASM QTY]]*$Q$3+BOM_table7[[#This Row],[Spare QTY Needed]]-BOM_table7[[#This Row],[QTY in Inventory]]</f>
        <v>2</v>
      </c>
      <c r="T101" s="51">
        <f>ROUNDUP((BOM_table7[[#This Row],[QTY to Order]]/BOM_table7[[#This Row],[SKU QTY]]),0)</f>
        <v>2</v>
      </c>
      <c r="U101" s="100">
        <f>BOM_table7[[#This Row],[SKU QTY to Order]]*BOM_table7[[#This Row],[SKU Cost]]</f>
        <v>0</v>
      </c>
      <c r="V101" s="145"/>
      <c r="W101" s="45"/>
      <c r="X101" s="45"/>
      <c r="Y101" s="148"/>
      <c r="Z101" s="145"/>
      <c r="AA101" s="144"/>
      <c r="AB101" s="148"/>
      <c r="AC101" s="144"/>
      <c r="AD101" s="182"/>
      <c r="AE101" s="182"/>
      <c r="AF101" s="182"/>
    </row>
    <row r="102" spans="1:32" ht="15" customHeight="1" x14ac:dyDescent="0.2">
      <c r="A102" s="143" t="s">
        <v>160</v>
      </c>
      <c r="B102" s="44" t="s">
        <v>2103</v>
      </c>
      <c r="C102" s="143" t="s">
        <v>1756</v>
      </c>
      <c r="D102" s="144" t="s">
        <v>1760</v>
      </c>
      <c r="E102" s="144" t="s">
        <v>1754</v>
      </c>
      <c r="F102" s="144"/>
      <c r="G102" s="144">
        <v>6</v>
      </c>
      <c r="H102" s="144" t="s">
        <v>1274</v>
      </c>
      <c r="I102" s="144"/>
      <c r="J102" s="150"/>
      <c r="K102" s="144" t="s">
        <v>166</v>
      </c>
      <c r="L102" s="144"/>
      <c r="M102" s="126">
        <v>1</v>
      </c>
      <c r="N102" s="145"/>
      <c r="O102" s="51">
        <f>IF(OR(ISBLANK(BOM_table7[[#This Row],[SKU QTY]]),BOM_table7[[#This Row],[SKU Cost]]=0),0,BOM_table7[[#This Row],[SKU Cost]]/BOM_table7[[#This Row],[SKU QTY]])</f>
        <v>0</v>
      </c>
      <c r="P102" s="146">
        <f>IF(OR(ISBLANK(BOM_table7[[#This Row],[ASM QTY]]),ISBLANK(BOM_table7[[#This Row],[Unit Cost]])),0,BOM_table7[[#This Row],[ASM QTY]]*BOM_table7[[#This Row],[Unit Cost]])</f>
        <v>0</v>
      </c>
      <c r="Q102" s="144"/>
      <c r="R102" s="144"/>
      <c r="S102" s="93">
        <f>IF(B102="Shared All",$M$3,1)*IF(B102="Shared Science+Docking",2,1)*IF(B102="Shared Docking+Multibeam",2,1)*BOM_table7[[#This Row],[ASM QTY]]*$Q$3+BOM_table7[[#This Row],[Spare QTY Needed]]-BOM_table7[[#This Row],[QTY in Inventory]]</f>
        <v>6</v>
      </c>
      <c r="T102" s="51">
        <f>ROUNDUP((BOM_table7[[#This Row],[QTY to Order]]/BOM_table7[[#This Row],[SKU QTY]]),0)</f>
        <v>6</v>
      </c>
      <c r="U102" s="100">
        <f>BOM_table7[[#This Row],[SKU QTY to Order]]*BOM_table7[[#This Row],[SKU Cost]]</f>
        <v>0</v>
      </c>
      <c r="V102" s="145"/>
      <c r="W102" s="45"/>
      <c r="X102" s="45"/>
      <c r="Y102" s="148"/>
      <c r="Z102" s="145"/>
      <c r="AA102" s="144"/>
      <c r="AB102" s="148"/>
      <c r="AC102" s="144"/>
      <c r="AD102" s="182"/>
      <c r="AE102" s="182"/>
      <c r="AF102" s="182"/>
    </row>
    <row r="103" spans="1:32" ht="15" customHeight="1" x14ac:dyDescent="0.2">
      <c r="A103" s="143" t="s">
        <v>160</v>
      </c>
      <c r="B103" s="44" t="s">
        <v>2103</v>
      </c>
      <c r="C103" s="143" t="s">
        <v>1756</v>
      </c>
      <c r="D103" s="144" t="s">
        <v>1761</v>
      </c>
      <c r="E103" s="144" t="s">
        <v>1754</v>
      </c>
      <c r="F103" s="144"/>
      <c r="G103" s="144">
        <v>4</v>
      </c>
      <c r="H103" s="144" t="s">
        <v>1274</v>
      </c>
      <c r="I103" s="144"/>
      <c r="J103" s="150"/>
      <c r="K103" s="144" t="s">
        <v>166</v>
      </c>
      <c r="L103" s="144"/>
      <c r="M103" s="126">
        <v>1</v>
      </c>
      <c r="N103" s="145"/>
      <c r="O103" s="51">
        <f>IF(OR(ISBLANK(BOM_table7[[#This Row],[SKU QTY]]),BOM_table7[[#This Row],[SKU Cost]]=0),0,BOM_table7[[#This Row],[SKU Cost]]/BOM_table7[[#This Row],[SKU QTY]])</f>
        <v>0</v>
      </c>
      <c r="P103" s="146">
        <f>IF(OR(ISBLANK(BOM_table7[[#This Row],[ASM QTY]]),ISBLANK(BOM_table7[[#This Row],[Unit Cost]])),0,BOM_table7[[#This Row],[ASM QTY]]*BOM_table7[[#This Row],[Unit Cost]])</f>
        <v>0</v>
      </c>
      <c r="Q103" s="144"/>
      <c r="R103" s="144"/>
      <c r="S103" s="93">
        <f>IF(B103="Shared All",$M$3,1)*IF(B103="Shared Science+Docking",2,1)*IF(B103="Shared Docking+Multibeam",2,1)*BOM_table7[[#This Row],[ASM QTY]]*$Q$3+BOM_table7[[#This Row],[Spare QTY Needed]]-BOM_table7[[#This Row],[QTY in Inventory]]</f>
        <v>4</v>
      </c>
      <c r="T103" s="51">
        <f>ROUNDUP((BOM_table7[[#This Row],[QTY to Order]]/BOM_table7[[#This Row],[SKU QTY]]),0)</f>
        <v>4</v>
      </c>
      <c r="U103" s="100">
        <f>BOM_table7[[#This Row],[SKU QTY to Order]]*BOM_table7[[#This Row],[SKU Cost]]</f>
        <v>0</v>
      </c>
      <c r="V103" s="145"/>
      <c r="W103" s="45"/>
      <c r="X103" s="45"/>
      <c r="Y103" s="148"/>
      <c r="Z103" s="145"/>
      <c r="AA103" s="144"/>
      <c r="AB103" s="148"/>
      <c r="AC103" s="144"/>
      <c r="AD103" s="182"/>
      <c r="AE103" s="182"/>
      <c r="AF103" s="182"/>
    </row>
    <row r="104" spans="1:32" ht="15" customHeight="1" x14ac:dyDescent="0.2">
      <c r="A104" s="143" t="s">
        <v>160</v>
      </c>
      <c r="B104" s="44" t="s">
        <v>2103</v>
      </c>
      <c r="C104" s="143" t="s">
        <v>1762</v>
      </c>
      <c r="D104" s="144" t="s">
        <v>1701</v>
      </c>
      <c r="E104" s="144" t="s">
        <v>1754</v>
      </c>
      <c r="F104" s="144"/>
      <c r="G104" s="144">
        <v>2</v>
      </c>
      <c r="H104" s="98" t="s">
        <v>1049</v>
      </c>
      <c r="I104" s="98"/>
      <c r="J104" s="153"/>
      <c r="K104" s="98" t="s">
        <v>169</v>
      </c>
      <c r="L104" s="98" t="s">
        <v>1452</v>
      </c>
      <c r="M104" s="126">
        <v>1</v>
      </c>
      <c r="N104" s="99"/>
      <c r="O104" s="51">
        <f>IF(OR(ISBLANK(BOM_table7[[#This Row],[SKU QTY]]),BOM_table7[[#This Row],[SKU Cost]]=0),0,BOM_table7[[#This Row],[SKU Cost]]/BOM_table7[[#This Row],[SKU QTY]])</f>
        <v>0</v>
      </c>
      <c r="P104" s="146">
        <f>IF(OR(ISBLANK(BOM_table7[[#This Row],[ASM QTY]]),ISBLANK(BOM_table7[[#This Row],[Unit Cost]])),0,BOM_table7[[#This Row],[ASM QTY]]*BOM_table7[[#This Row],[Unit Cost]])</f>
        <v>0</v>
      </c>
      <c r="Q104" s="98"/>
      <c r="R104" s="98"/>
      <c r="S104" s="93">
        <f>IF(B104="Shared All",$M$3,1)*IF(B104="Shared Science+Docking",2,1)*IF(B104="Shared Docking+Multibeam",2,1)*BOM_table7[[#This Row],[ASM QTY]]*$Q$3+BOM_table7[[#This Row],[Spare QTY Needed]]-BOM_table7[[#This Row],[QTY in Inventory]]</f>
        <v>2</v>
      </c>
      <c r="T104" s="51">
        <f>ROUNDUP((BOM_table7[[#This Row],[QTY to Order]]/BOM_table7[[#This Row],[SKU QTY]]),0)</f>
        <v>2</v>
      </c>
      <c r="U104" s="100">
        <f>BOM_table7[[#This Row],[SKU QTY to Order]]*BOM_table7[[#This Row],[SKU Cost]]</f>
        <v>0</v>
      </c>
      <c r="V104" s="99"/>
      <c r="W104" s="98"/>
      <c r="X104" s="98"/>
      <c r="Y104" s="101"/>
      <c r="Z104" s="99"/>
      <c r="AA104" s="98"/>
      <c r="AB104" s="102"/>
      <c r="AC104" s="101"/>
      <c r="AD104" s="183"/>
      <c r="AE104" s="183"/>
      <c r="AF104" s="182"/>
    </row>
    <row r="105" spans="1:32" ht="15" customHeight="1" x14ac:dyDescent="0.2">
      <c r="A105" s="143" t="s">
        <v>160</v>
      </c>
      <c r="B105" s="44" t="s">
        <v>2103</v>
      </c>
      <c r="C105" s="143" t="s">
        <v>1763</v>
      </c>
      <c r="D105" s="144" t="s">
        <v>1764</v>
      </c>
      <c r="E105" s="144" t="s">
        <v>1754</v>
      </c>
      <c r="F105" s="144"/>
      <c r="G105" s="144">
        <v>1</v>
      </c>
      <c r="H105" s="45" t="s">
        <v>2064</v>
      </c>
      <c r="I105" s="144"/>
      <c r="J105" s="43"/>
      <c r="K105" s="144" t="s">
        <v>166</v>
      </c>
      <c r="L105" s="45" t="s">
        <v>2064</v>
      </c>
      <c r="M105" s="126">
        <v>1</v>
      </c>
      <c r="N105" s="145"/>
      <c r="O105" s="51">
        <f>IF(OR(ISBLANK(BOM_table7[[#This Row],[SKU QTY]]),BOM_table7[[#This Row],[SKU Cost]]=0),0,BOM_table7[[#This Row],[SKU Cost]]/BOM_table7[[#This Row],[SKU QTY]])</f>
        <v>0</v>
      </c>
      <c r="P105" s="146">
        <f>IF(OR(ISBLANK(BOM_table7[[#This Row],[ASM QTY]]),ISBLANK(BOM_table7[[#This Row],[Unit Cost]])),0,BOM_table7[[#This Row],[ASM QTY]]*BOM_table7[[#This Row],[Unit Cost]])</f>
        <v>0</v>
      </c>
      <c r="Q105" s="144"/>
      <c r="R105" s="144"/>
      <c r="S105" s="93">
        <f>IF(B105="Shared All",$M$3,1)*IF(B105="Shared Science+Docking",2,1)*IF(B105="Shared Docking+Multibeam",2,1)*BOM_table7[[#This Row],[ASM QTY]]*$Q$3+BOM_table7[[#This Row],[Spare QTY Needed]]-BOM_table7[[#This Row],[QTY in Inventory]]</f>
        <v>1</v>
      </c>
      <c r="T105" s="51">
        <f>ROUNDUP((BOM_table7[[#This Row],[QTY to Order]]/BOM_table7[[#This Row],[SKU QTY]]),0)</f>
        <v>1</v>
      </c>
      <c r="U105" s="100">
        <f>BOM_table7[[#This Row],[SKU QTY to Order]]*BOM_table7[[#This Row],[SKU Cost]]</f>
        <v>0</v>
      </c>
      <c r="V105" s="145"/>
      <c r="W105" s="45"/>
      <c r="X105" s="45"/>
      <c r="Y105" s="148"/>
      <c r="Z105" s="145"/>
      <c r="AA105" s="144"/>
      <c r="AB105" s="144"/>
      <c r="AC105" s="144"/>
      <c r="AD105" s="182"/>
      <c r="AE105" s="182"/>
      <c r="AF105" s="182"/>
    </row>
    <row r="106" spans="1:32" ht="15" customHeight="1" x14ac:dyDescent="0.2">
      <c r="A106" s="143" t="s">
        <v>160</v>
      </c>
      <c r="B106" s="44" t="s">
        <v>2103</v>
      </c>
      <c r="C106" s="143" t="s">
        <v>1765</v>
      </c>
      <c r="D106" s="144" t="s">
        <v>1766</v>
      </c>
      <c r="E106" s="144" t="s">
        <v>1754</v>
      </c>
      <c r="F106" s="144"/>
      <c r="G106" s="144">
        <v>1</v>
      </c>
      <c r="H106" s="98" t="s">
        <v>1049</v>
      </c>
      <c r="I106" s="98"/>
      <c r="J106" s="43" t="s">
        <v>2032</v>
      </c>
      <c r="K106" s="98" t="s">
        <v>169</v>
      </c>
      <c r="L106" s="98" t="s">
        <v>1452</v>
      </c>
      <c r="M106" s="126">
        <v>1</v>
      </c>
      <c r="N106" s="99"/>
      <c r="O106" s="51">
        <f>IF(OR(ISBLANK(BOM_table7[[#This Row],[SKU QTY]]),BOM_table7[[#This Row],[SKU Cost]]=0),0,BOM_table7[[#This Row],[SKU Cost]]/BOM_table7[[#This Row],[SKU QTY]])</f>
        <v>0</v>
      </c>
      <c r="P106" s="146">
        <f>IF(OR(ISBLANK(BOM_table7[[#This Row],[ASM QTY]]),ISBLANK(BOM_table7[[#This Row],[Unit Cost]])),0,BOM_table7[[#This Row],[ASM QTY]]*BOM_table7[[#This Row],[Unit Cost]])</f>
        <v>0</v>
      </c>
      <c r="Q106" s="98"/>
      <c r="R106" s="98"/>
      <c r="S106" s="93">
        <f>IF(B106="Shared All",$M$3,1)*IF(B106="Shared Science+Docking",2,1)*IF(B106="Shared Docking+Multibeam",2,1)*BOM_table7[[#This Row],[ASM QTY]]*$Q$3+BOM_table7[[#This Row],[Spare QTY Needed]]-BOM_table7[[#This Row],[QTY in Inventory]]</f>
        <v>1</v>
      </c>
      <c r="T106" s="51">
        <f>ROUNDUP((BOM_table7[[#This Row],[QTY to Order]]/BOM_table7[[#This Row],[SKU QTY]]),0)</f>
        <v>1</v>
      </c>
      <c r="U106" s="100">
        <f>BOM_table7[[#This Row],[SKU QTY to Order]]*BOM_table7[[#This Row],[SKU Cost]]</f>
        <v>0</v>
      </c>
      <c r="V106" s="99"/>
      <c r="W106" s="98"/>
      <c r="X106" s="98"/>
      <c r="Y106" s="101"/>
      <c r="Z106" s="99"/>
      <c r="AA106" s="98"/>
      <c r="AB106" s="102"/>
      <c r="AC106" s="101"/>
      <c r="AD106" s="183"/>
      <c r="AE106" s="183"/>
      <c r="AF106" s="182"/>
    </row>
    <row r="107" spans="1:32" ht="15" customHeight="1" x14ac:dyDescent="0.2">
      <c r="A107" s="143" t="s">
        <v>160</v>
      </c>
      <c r="B107" s="44" t="s">
        <v>2103</v>
      </c>
      <c r="C107" s="135" t="s">
        <v>1715</v>
      </c>
      <c r="D107" s="136" t="s">
        <v>1714</v>
      </c>
      <c r="E107" s="45" t="s">
        <v>1802</v>
      </c>
      <c r="F107" s="136"/>
      <c r="G107" s="136">
        <v>1</v>
      </c>
      <c r="H107" s="136" t="s">
        <v>1049</v>
      </c>
      <c r="I107" s="136"/>
      <c r="J107" s="137"/>
      <c r="K107" s="136" t="s">
        <v>867</v>
      </c>
      <c r="L107" s="136"/>
      <c r="M107" s="126">
        <v>1</v>
      </c>
      <c r="N107" s="138"/>
      <c r="O107" s="51">
        <f>IF(OR(ISBLANK(BOM_table7[[#This Row],[SKU QTY]]),BOM_table7[[#This Row],[SKU Cost]]=0),0,BOM_table7[[#This Row],[SKU Cost]]/BOM_table7[[#This Row],[SKU QTY]])</f>
        <v>0</v>
      </c>
      <c r="P107" s="146">
        <f>IF(OR(ISBLANK(BOM_table7[[#This Row],[ASM QTY]]),ISBLANK(BOM_table7[[#This Row],[Unit Cost]])),0,BOM_table7[[#This Row],[ASM QTY]]*BOM_table7[[#This Row],[Unit Cost]])</f>
        <v>0</v>
      </c>
      <c r="Q107" s="136"/>
      <c r="R107" s="136"/>
      <c r="S107" s="93">
        <f>IF(B107="Shared All",$M$3,1)*IF(B107="Shared Science+Docking",2,1)*IF(B107="Shared Docking+Multibeam",2,1)*BOM_table7[[#This Row],[ASM QTY]]*$Q$3+BOM_table7[[#This Row],[Spare QTY Needed]]-BOM_table7[[#This Row],[QTY in Inventory]]</f>
        <v>1</v>
      </c>
      <c r="T107" s="51">
        <f>ROUNDUP((BOM_table7[[#This Row],[QTY to Order]]/BOM_table7[[#This Row],[SKU QTY]]),0)</f>
        <v>1</v>
      </c>
      <c r="U107" s="100">
        <f>BOM_table7[[#This Row],[SKU QTY to Order]]*BOM_table7[[#This Row],[SKU Cost]]</f>
        <v>0</v>
      </c>
      <c r="V107" s="138"/>
      <c r="W107" s="136"/>
      <c r="X107" s="136"/>
      <c r="Y107" s="142"/>
      <c r="Z107" s="138"/>
      <c r="AA107" s="136"/>
      <c r="AB107" s="142"/>
      <c r="AC107" s="136"/>
      <c r="AD107" s="182"/>
      <c r="AE107" s="182"/>
      <c r="AF107" s="182"/>
    </row>
    <row r="108" spans="1:32" ht="15" customHeight="1" x14ac:dyDescent="0.2">
      <c r="A108" s="143" t="s">
        <v>160</v>
      </c>
      <c r="B108" s="44" t="s">
        <v>2103</v>
      </c>
      <c r="C108" s="135" t="s">
        <v>1716</v>
      </c>
      <c r="D108" s="136" t="s">
        <v>1717</v>
      </c>
      <c r="E108" s="45" t="s">
        <v>1802</v>
      </c>
      <c r="F108" s="136"/>
      <c r="G108" s="136">
        <v>1</v>
      </c>
      <c r="H108" s="136" t="s">
        <v>1049</v>
      </c>
      <c r="I108" s="136"/>
      <c r="J108" s="137"/>
      <c r="K108" s="136" t="s">
        <v>867</v>
      </c>
      <c r="L108" s="136"/>
      <c r="M108" s="126">
        <v>1</v>
      </c>
      <c r="N108" s="138"/>
      <c r="O108" s="51">
        <f>IF(OR(ISBLANK(BOM_table7[[#This Row],[SKU QTY]]),BOM_table7[[#This Row],[SKU Cost]]=0),0,BOM_table7[[#This Row],[SKU Cost]]/BOM_table7[[#This Row],[SKU QTY]])</f>
        <v>0</v>
      </c>
      <c r="P108" s="146">
        <f>IF(OR(ISBLANK(BOM_table7[[#This Row],[ASM QTY]]),ISBLANK(BOM_table7[[#This Row],[Unit Cost]])),0,BOM_table7[[#This Row],[ASM QTY]]*BOM_table7[[#This Row],[Unit Cost]])</f>
        <v>0</v>
      </c>
      <c r="Q108" s="136"/>
      <c r="R108" s="136"/>
      <c r="S108" s="93">
        <f>IF(B108="Shared All",$M$3,1)*IF(B108="Shared Science+Docking",2,1)*IF(B108="Shared Docking+Multibeam",2,1)*BOM_table7[[#This Row],[ASM QTY]]*$Q$3+BOM_table7[[#This Row],[Spare QTY Needed]]-BOM_table7[[#This Row],[QTY in Inventory]]</f>
        <v>1</v>
      </c>
      <c r="T108" s="51">
        <f>ROUNDUP((BOM_table7[[#This Row],[QTY to Order]]/BOM_table7[[#This Row],[SKU QTY]]),0)</f>
        <v>1</v>
      </c>
      <c r="U108" s="100">
        <f>BOM_table7[[#This Row],[SKU QTY to Order]]*BOM_table7[[#This Row],[SKU Cost]]</f>
        <v>0</v>
      </c>
      <c r="V108" s="138"/>
      <c r="W108" s="136"/>
      <c r="X108" s="136"/>
      <c r="Y108" s="142"/>
      <c r="Z108" s="138"/>
      <c r="AA108" s="136"/>
      <c r="AB108" s="142"/>
      <c r="AC108" s="136"/>
      <c r="AD108" s="182"/>
      <c r="AE108" s="182"/>
      <c r="AF108" s="182"/>
    </row>
    <row r="109" spans="1:32" ht="15" customHeight="1" x14ac:dyDescent="0.2">
      <c r="A109" s="143" t="s">
        <v>160</v>
      </c>
      <c r="B109" s="44" t="s">
        <v>2103</v>
      </c>
      <c r="C109" s="135" t="s">
        <v>1720</v>
      </c>
      <c r="D109" s="136" t="s">
        <v>1719</v>
      </c>
      <c r="E109" s="45" t="s">
        <v>1802</v>
      </c>
      <c r="F109" s="136"/>
      <c r="G109" s="136">
        <v>1</v>
      </c>
      <c r="H109" s="136" t="s">
        <v>1049</v>
      </c>
      <c r="I109" s="136"/>
      <c r="J109" s="137"/>
      <c r="K109" s="136" t="s">
        <v>867</v>
      </c>
      <c r="L109" s="45" t="s">
        <v>1712</v>
      </c>
      <c r="M109" s="126">
        <v>1</v>
      </c>
      <c r="N109" s="138"/>
      <c r="O109" s="51">
        <f>IF(OR(ISBLANK(BOM_table7[[#This Row],[SKU QTY]]),BOM_table7[[#This Row],[SKU Cost]]=0),0,BOM_table7[[#This Row],[SKU Cost]]/BOM_table7[[#This Row],[SKU QTY]])</f>
        <v>0</v>
      </c>
      <c r="P109" s="146">
        <f>IF(OR(ISBLANK(BOM_table7[[#This Row],[ASM QTY]]),ISBLANK(BOM_table7[[#This Row],[Unit Cost]])),0,BOM_table7[[#This Row],[ASM QTY]]*BOM_table7[[#This Row],[Unit Cost]])</f>
        <v>0</v>
      </c>
      <c r="Q109" s="136"/>
      <c r="R109" s="136"/>
      <c r="S109" s="93">
        <f>IF(B109="Shared All",$M$3,1)*IF(B109="Shared Science+Docking",2,1)*IF(B109="Shared Docking+Multibeam",2,1)*BOM_table7[[#This Row],[ASM QTY]]*$Q$3+BOM_table7[[#This Row],[Spare QTY Needed]]-BOM_table7[[#This Row],[QTY in Inventory]]</f>
        <v>1</v>
      </c>
      <c r="T109" s="51">
        <f>ROUNDUP((BOM_table7[[#This Row],[QTY to Order]]/BOM_table7[[#This Row],[SKU QTY]]),0)</f>
        <v>1</v>
      </c>
      <c r="U109" s="100">
        <f>BOM_table7[[#This Row],[SKU QTY to Order]]*BOM_table7[[#This Row],[SKU Cost]]</f>
        <v>0</v>
      </c>
      <c r="V109" s="138"/>
      <c r="W109" s="45"/>
      <c r="X109" s="45"/>
      <c r="Y109" s="142"/>
      <c r="Z109" s="138"/>
      <c r="AA109" s="136"/>
      <c r="AB109" s="142"/>
      <c r="AC109" s="136"/>
      <c r="AD109" s="182"/>
      <c r="AE109" s="182"/>
      <c r="AF109" s="182"/>
    </row>
    <row r="110" spans="1:32" ht="15" customHeight="1" x14ac:dyDescent="0.2">
      <c r="A110" s="143" t="s">
        <v>160</v>
      </c>
      <c r="B110" s="44" t="s">
        <v>2103</v>
      </c>
      <c r="C110" s="135" t="s">
        <v>1721</v>
      </c>
      <c r="D110" s="136" t="s">
        <v>1722</v>
      </c>
      <c r="E110" s="45" t="s">
        <v>1802</v>
      </c>
      <c r="F110" s="136"/>
      <c r="G110" s="136">
        <v>2</v>
      </c>
      <c r="H110" s="45" t="s">
        <v>1274</v>
      </c>
      <c r="I110" s="45"/>
      <c r="J110" s="43"/>
      <c r="K110" s="136" t="s">
        <v>166</v>
      </c>
      <c r="L110" s="45" t="s">
        <v>1274</v>
      </c>
      <c r="M110" s="126">
        <v>1</v>
      </c>
      <c r="N110" s="138"/>
      <c r="O110" s="51">
        <f>IF(OR(ISBLANK(BOM_table7[[#This Row],[SKU QTY]]),BOM_table7[[#This Row],[SKU Cost]]=0),0,BOM_table7[[#This Row],[SKU Cost]]/BOM_table7[[#This Row],[SKU QTY]])</f>
        <v>0</v>
      </c>
      <c r="P110" s="146">
        <f>IF(OR(ISBLANK(BOM_table7[[#This Row],[ASM QTY]]),ISBLANK(BOM_table7[[#This Row],[Unit Cost]])),0,BOM_table7[[#This Row],[ASM QTY]]*BOM_table7[[#This Row],[Unit Cost]])</f>
        <v>0</v>
      </c>
      <c r="Q110" s="136"/>
      <c r="R110" s="136"/>
      <c r="S110" s="93">
        <f>IF(B110="Shared All",$M$3,1)*IF(B110="Shared Science+Docking",2,1)*IF(B110="Shared Docking+Multibeam",2,1)*BOM_table7[[#This Row],[ASM QTY]]*$Q$3+BOM_table7[[#This Row],[Spare QTY Needed]]-BOM_table7[[#This Row],[QTY in Inventory]]</f>
        <v>2</v>
      </c>
      <c r="T110" s="51">
        <f>ROUNDUP((BOM_table7[[#This Row],[QTY to Order]]/BOM_table7[[#This Row],[SKU QTY]]),0)</f>
        <v>2</v>
      </c>
      <c r="U110" s="100">
        <f>BOM_table7[[#This Row],[SKU QTY to Order]]*BOM_table7[[#This Row],[SKU Cost]]</f>
        <v>0</v>
      </c>
      <c r="V110" s="138"/>
      <c r="W110" s="45"/>
      <c r="X110" s="45"/>
      <c r="Y110" s="142"/>
      <c r="Z110" s="138"/>
      <c r="AA110" s="136"/>
      <c r="AB110" s="142"/>
      <c r="AC110" s="142"/>
      <c r="AD110" s="183"/>
      <c r="AE110" s="183"/>
      <c r="AF110" s="182"/>
    </row>
    <row r="111" spans="1:32" ht="15" customHeight="1" x14ac:dyDescent="0.2">
      <c r="A111" s="143" t="s">
        <v>161</v>
      </c>
      <c r="B111" s="44" t="s">
        <v>2103</v>
      </c>
      <c r="C111" s="143" t="s">
        <v>1728</v>
      </c>
      <c r="D111" s="144" t="s">
        <v>1727</v>
      </c>
      <c r="E111" s="45" t="s">
        <v>1802</v>
      </c>
      <c r="F111" s="144"/>
      <c r="G111" s="144">
        <v>1</v>
      </c>
      <c r="H111" s="45" t="s">
        <v>1274</v>
      </c>
      <c r="I111" s="144"/>
      <c r="J111" s="150"/>
      <c r="K111" s="136" t="s">
        <v>166</v>
      </c>
      <c r="L111" s="144" t="s">
        <v>1274</v>
      </c>
      <c r="M111" s="126">
        <v>1</v>
      </c>
      <c r="N111" s="145"/>
      <c r="O111" s="51">
        <f>IF(OR(ISBLANK(BOM_table7[[#This Row],[SKU QTY]]),BOM_table7[[#This Row],[SKU Cost]]=0),0,BOM_table7[[#This Row],[SKU Cost]]/BOM_table7[[#This Row],[SKU QTY]])</f>
        <v>0</v>
      </c>
      <c r="P111" s="146">
        <f>IF(OR(ISBLANK(BOM_table7[[#This Row],[ASM QTY]]),ISBLANK(BOM_table7[[#This Row],[Unit Cost]])),0,BOM_table7[[#This Row],[ASM QTY]]*BOM_table7[[#This Row],[Unit Cost]])</f>
        <v>0</v>
      </c>
      <c r="Q111" s="144"/>
      <c r="R111" s="144"/>
      <c r="S111" s="93">
        <f>IF(B111="Shared All",$M$3,1)*IF(B111="Shared Science+Docking",2,1)*IF(B111="Shared Docking+Multibeam",2,1)*BOM_table7[[#This Row],[ASM QTY]]*$Q$3+BOM_table7[[#This Row],[Spare QTY Needed]]-BOM_table7[[#This Row],[QTY in Inventory]]</f>
        <v>1</v>
      </c>
      <c r="T111" s="51">
        <f>ROUNDUP((BOM_table7[[#This Row],[QTY to Order]]/BOM_table7[[#This Row],[SKU QTY]]),0)</f>
        <v>1</v>
      </c>
      <c r="U111" s="100">
        <f>BOM_table7[[#This Row],[SKU QTY to Order]]*BOM_table7[[#This Row],[SKU Cost]]</f>
        <v>0</v>
      </c>
      <c r="V111" s="145"/>
      <c r="W111" s="144"/>
      <c r="X111" s="45"/>
      <c r="Y111" s="148"/>
      <c r="Z111" s="145"/>
      <c r="AA111" s="144"/>
      <c r="AB111" s="148"/>
      <c r="AC111" s="148"/>
      <c r="AD111" s="183"/>
      <c r="AE111" s="183"/>
      <c r="AF111" s="182"/>
    </row>
    <row r="112" spans="1:32" ht="15" customHeight="1" x14ac:dyDescent="0.2">
      <c r="A112" s="143" t="s">
        <v>161</v>
      </c>
      <c r="B112" s="44" t="s">
        <v>2103</v>
      </c>
      <c r="C112" s="143" t="s">
        <v>1729</v>
      </c>
      <c r="D112" s="144" t="s">
        <v>530</v>
      </c>
      <c r="E112" s="45" t="s">
        <v>1802</v>
      </c>
      <c r="F112" s="144"/>
      <c r="G112" s="144">
        <v>4</v>
      </c>
      <c r="H112" s="45" t="s">
        <v>1274</v>
      </c>
      <c r="I112" s="45"/>
      <c r="J112" s="43"/>
      <c r="K112" s="136" t="s">
        <v>166</v>
      </c>
      <c r="L112" s="144" t="s">
        <v>1274</v>
      </c>
      <c r="M112" s="126">
        <v>1</v>
      </c>
      <c r="N112" s="145"/>
      <c r="O112" s="51">
        <f>IF(OR(ISBLANK(BOM_table7[[#This Row],[SKU QTY]]),BOM_table7[[#This Row],[SKU Cost]]=0),0,BOM_table7[[#This Row],[SKU Cost]]/BOM_table7[[#This Row],[SKU QTY]])</f>
        <v>0</v>
      </c>
      <c r="P112" s="146">
        <f>IF(OR(ISBLANK(BOM_table7[[#This Row],[ASM QTY]]),ISBLANK(BOM_table7[[#This Row],[Unit Cost]])),0,BOM_table7[[#This Row],[ASM QTY]]*BOM_table7[[#This Row],[Unit Cost]])</f>
        <v>0</v>
      </c>
      <c r="Q112" s="144"/>
      <c r="R112" s="144"/>
      <c r="S112" s="93">
        <f>IF(B112="Shared All",$M$3,1)*IF(B112="Shared Science+Docking",2,1)*IF(B112="Shared Docking+Multibeam",2,1)*BOM_table7[[#This Row],[ASM QTY]]*$Q$3+BOM_table7[[#This Row],[Spare QTY Needed]]-BOM_table7[[#This Row],[QTY in Inventory]]</f>
        <v>4</v>
      </c>
      <c r="T112" s="51">
        <f>ROUNDUP((BOM_table7[[#This Row],[QTY to Order]]/BOM_table7[[#This Row],[SKU QTY]]),0)</f>
        <v>4</v>
      </c>
      <c r="U112" s="100">
        <f>BOM_table7[[#This Row],[SKU QTY to Order]]*BOM_table7[[#This Row],[SKU Cost]]</f>
        <v>0</v>
      </c>
      <c r="V112" s="145"/>
      <c r="W112" s="144"/>
      <c r="X112" s="45"/>
      <c r="Y112" s="148"/>
      <c r="Z112" s="145"/>
      <c r="AA112" s="144"/>
      <c r="AB112" s="148"/>
      <c r="AC112" s="148"/>
      <c r="AD112" s="183"/>
      <c r="AE112" s="183"/>
      <c r="AF112" s="182"/>
    </row>
    <row r="113" spans="1:32" ht="15" customHeight="1" x14ac:dyDescent="0.2">
      <c r="A113" s="143" t="s">
        <v>160</v>
      </c>
      <c r="B113" s="44" t="s">
        <v>2103</v>
      </c>
      <c r="C113" s="44" t="s">
        <v>1730</v>
      </c>
      <c r="D113" s="126" t="s">
        <v>1731</v>
      </c>
      <c r="E113" s="45" t="s">
        <v>1802</v>
      </c>
      <c r="F113" s="126"/>
      <c r="G113" s="126">
        <v>6</v>
      </c>
      <c r="H113" s="45" t="s">
        <v>1274</v>
      </c>
      <c r="I113" s="45"/>
      <c r="J113" s="43"/>
      <c r="K113" s="136" t="s">
        <v>166</v>
      </c>
      <c r="L113" s="45" t="s">
        <v>1274</v>
      </c>
      <c r="M113" s="126">
        <v>1</v>
      </c>
      <c r="N113" s="128"/>
      <c r="O113" s="51">
        <f>IF(OR(ISBLANK(BOM_table7[[#This Row],[SKU QTY]]),BOM_table7[[#This Row],[SKU Cost]]=0),0,BOM_table7[[#This Row],[SKU Cost]]/BOM_table7[[#This Row],[SKU QTY]])</f>
        <v>0</v>
      </c>
      <c r="P113" s="146">
        <f>IF(OR(ISBLANK(BOM_table7[[#This Row],[ASM QTY]]),ISBLANK(BOM_table7[[#This Row],[Unit Cost]])),0,BOM_table7[[#This Row],[ASM QTY]]*BOM_table7[[#This Row],[Unit Cost]])</f>
        <v>0</v>
      </c>
      <c r="Q113" s="126"/>
      <c r="R113" s="126"/>
      <c r="S113" s="93">
        <f>IF(B113="Shared All",$M$3,1)*IF(B113="Shared Science+Docking",2,1)*IF(B113="Shared Docking+Multibeam",2,1)*BOM_table7[[#This Row],[ASM QTY]]*$Q$3+BOM_table7[[#This Row],[Spare QTY Needed]]-BOM_table7[[#This Row],[QTY in Inventory]]</f>
        <v>6</v>
      </c>
      <c r="T113" s="51">
        <f>ROUNDUP((BOM_table7[[#This Row],[QTY to Order]]/BOM_table7[[#This Row],[SKU QTY]]),0)</f>
        <v>6</v>
      </c>
      <c r="U113" s="100">
        <f>BOM_table7[[#This Row],[SKU QTY to Order]]*BOM_table7[[#This Row],[SKU Cost]]</f>
        <v>0</v>
      </c>
      <c r="V113" s="128"/>
      <c r="W113" s="45"/>
      <c r="X113" s="45"/>
      <c r="Y113" s="148"/>
      <c r="Z113" s="128"/>
      <c r="AA113" s="126"/>
      <c r="AB113" s="126"/>
      <c r="AC113" s="126"/>
      <c r="AD113" s="182"/>
      <c r="AE113" s="182"/>
      <c r="AF113" s="182"/>
    </row>
    <row r="114" spans="1:32" ht="15" customHeight="1" x14ac:dyDescent="0.2">
      <c r="A114" s="143" t="s">
        <v>160</v>
      </c>
      <c r="B114" s="44" t="s">
        <v>2103</v>
      </c>
      <c r="C114" s="143" t="s">
        <v>1732</v>
      </c>
      <c r="D114" s="144" t="s">
        <v>1733</v>
      </c>
      <c r="E114" s="45" t="s">
        <v>1802</v>
      </c>
      <c r="F114" s="144"/>
      <c r="G114" s="144">
        <v>1</v>
      </c>
      <c r="H114" s="45" t="s">
        <v>1274</v>
      </c>
      <c r="I114" s="45"/>
      <c r="J114" s="43"/>
      <c r="K114" s="144" t="s">
        <v>166</v>
      </c>
      <c r="L114" s="45" t="s">
        <v>1274</v>
      </c>
      <c r="M114" s="126">
        <v>1</v>
      </c>
      <c r="N114" s="145"/>
      <c r="O114" s="51">
        <f>IF(OR(ISBLANK(BOM_table7[[#This Row],[SKU QTY]]),BOM_table7[[#This Row],[SKU Cost]]=0),0,BOM_table7[[#This Row],[SKU Cost]]/BOM_table7[[#This Row],[SKU QTY]])</f>
        <v>0</v>
      </c>
      <c r="P114" s="146">
        <f>IF(OR(ISBLANK(BOM_table7[[#This Row],[ASM QTY]]),ISBLANK(BOM_table7[[#This Row],[Unit Cost]])),0,BOM_table7[[#This Row],[ASM QTY]]*BOM_table7[[#This Row],[Unit Cost]])</f>
        <v>0</v>
      </c>
      <c r="Q114" s="144"/>
      <c r="R114" s="144"/>
      <c r="S114" s="93">
        <f>IF(B114="Shared All",$M$3,1)*IF(B114="Shared Science+Docking",2,1)*IF(B114="Shared Docking+Multibeam",2,1)*BOM_table7[[#This Row],[ASM QTY]]*$Q$3+BOM_table7[[#This Row],[Spare QTY Needed]]-BOM_table7[[#This Row],[QTY in Inventory]]</f>
        <v>1</v>
      </c>
      <c r="T114" s="51">
        <f>ROUNDUP((BOM_table7[[#This Row],[QTY to Order]]/BOM_table7[[#This Row],[SKU QTY]]),0)</f>
        <v>1</v>
      </c>
      <c r="U114" s="100">
        <f>BOM_table7[[#This Row],[SKU QTY to Order]]*BOM_table7[[#This Row],[SKU Cost]]</f>
        <v>0</v>
      </c>
      <c r="V114" s="145"/>
      <c r="W114" s="144"/>
      <c r="X114" s="45"/>
      <c r="Y114" s="148"/>
      <c r="Z114" s="145"/>
      <c r="AA114" s="144"/>
      <c r="AB114" s="144"/>
      <c r="AC114" s="144"/>
      <c r="AD114" s="182"/>
      <c r="AE114" s="182"/>
      <c r="AF114" s="182"/>
    </row>
    <row r="115" spans="1:32" ht="15" customHeight="1" x14ac:dyDescent="0.2">
      <c r="A115" s="143" t="s">
        <v>160</v>
      </c>
      <c r="B115" s="44" t="s">
        <v>2103</v>
      </c>
      <c r="C115" s="44" t="s">
        <v>1734</v>
      </c>
      <c r="D115" s="144" t="s">
        <v>1735</v>
      </c>
      <c r="E115" s="45" t="s">
        <v>1802</v>
      </c>
      <c r="F115" s="144"/>
      <c r="G115" s="144">
        <v>1</v>
      </c>
      <c r="H115" s="45" t="s">
        <v>1274</v>
      </c>
      <c r="I115" s="45"/>
      <c r="J115" s="43"/>
      <c r="K115" s="144" t="s">
        <v>166</v>
      </c>
      <c r="L115" s="45" t="s">
        <v>1274</v>
      </c>
      <c r="M115" s="126">
        <v>1</v>
      </c>
      <c r="N115" s="145"/>
      <c r="O115" s="51">
        <f>IF(OR(ISBLANK(BOM_table7[[#This Row],[SKU QTY]]),BOM_table7[[#This Row],[SKU Cost]]=0),0,BOM_table7[[#This Row],[SKU Cost]]/BOM_table7[[#This Row],[SKU QTY]])</f>
        <v>0</v>
      </c>
      <c r="P115" s="146">
        <f>IF(OR(ISBLANK(BOM_table7[[#This Row],[ASM QTY]]),ISBLANK(BOM_table7[[#This Row],[Unit Cost]])),0,BOM_table7[[#This Row],[ASM QTY]]*BOM_table7[[#This Row],[Unit Cost]])</f>
        <v>0</v>
      </c>
      <c r="Q115" s="144"/>
      <c r="R115" s="144"/>
      <c r="S115" s="93">
        <f>IF(B115="Shared All",$M$3,1)*IF(B115="Shared Science+Docking",2,1)*IF(B115="Shared Docking+Multibeam",2,1)*BOM_table7[[#This Row],[ASM QTY]]*$Q$3+BOM_table7[[#This Row],[Spare QTY Needed]]-BOM_table7[[#This Row],[QTY in Inventory]]</f>
        <v>1</v>
      </c>
      <c r="T115" s="51">
        <f>ROUNDUP((BOM_table7[[#This Row],[QTY to Order]]/BOM_table7[[#This Row],[SKU QTY]]),0)</f>
        <v>1</v>
      </c>
      <c r="U115" s="100">
        <f>BOM_table7[[#This Row],[SKU QTY to Order]]*BOM_table7[[#This Row],[SKU Cost]]</f>
        <v>0</v>
      </c>
      <c r="V115" s="145"/>
      <c r="W115" s="144"/>
      <c r="X115" s="45"/>
      <c r="Y115" s="148"/>
      <c r="Z115" s="145"/>
      <c r="AA115" s="144"/>
      <c r="AB115" s="144"/>
      <c r="AC115" s="144"/>
      <c r="AD115" s="182"/>
      <c r="AE115" s="182"/>
      <c r="AF115" s="182"/>
    </row>
    <row r="116" spans="1:32" ht="15" customHeight="1" x14ac:dyDescent="0.2">
      <c r="A116" s="143" t="s">
        <v>160</v>
      </c>
      <c r="B116" s="44" t="s">
        <v>2103</v>
      </c>
      <c r="C116" s="44" t="s">
        <v>209</v>
      </c>
      <c r="D116" s="45"/>
      <c r="E116" s="45" t="s">
        <v>1802</v>
      </c>
      <c r="F116" s="45"/>
      <c r="G116" s="45">
        <v>1</v>
      </c>
      <c r="H116" s="45" t="s">
        <v>210</v>
      </c>
      <c r="I116" s="45"/>
      <c r="J116" s="43"/>
      <c r="K116" s="45" t="s">
        <v>166</v>
      </c>
      <c r="L116" s="45" t="s">
        <v>210</v>
      </c>
      <c r="M116" s="126">
        <v>1</v>
      </c>
      <c r="N116" s="50"/>
      <c r="O116" s="51">
        <f>IF(OR(ISBLANK(BOM_table7[[#This Row],[SKU QTY]]),BOM_table7[[#This Row],[SKU Cost]]=0),0,BOM_table7[[#This Row],[SKU Cost]]/BOM_table7[[#This Row],[SKU QTY]])</f>
        <v>0</v>
      </c>
      <c r="P116" s="146">
        <f>IF(OR(ISBLANK(BOM_table7[[#This Row],[ASM QTY]]),ISBLANK(BOM_table7[[#This Row],[Unit Cost]])),0,BOM_table7[[#This Row],[ASM QTY]]*BOM_table7[[#This Row],[Unit Cost]])</f>
        <v>0</v>
      </c>
      <c r="Q116" s="45"/>
      <c r="R116" s="45"/>
      <c r="S116" s="93">
        <f>IF(B116="Shared All",$M$3,1)*IF(B116="Shared Science+Docking",2,1)*IF(B116="Shared Docking+Multibeam",2,1)*BOM_table7[[#This Row],[ASM QTY]]*$Q$3+BOM_table7[[#This Row],[Spare QTY Needed]]-BOM_table7[[#This Row],[QTY in Inventory]]</f>
        <v>1</v>
      </c>
      <c r="T116" s="51">
        <f>ROUNDUP((BOM_table7[[#This Row],[QTY to Order]]/BOM_table7[[#This Row],[SKU QTY]]),0)</f>
        <v>1</v>
      </c>
      <c r="U116" s="100">
        <f>BOM_table7[[#This Row],[SKU QTY to Order]]*BOM_table7[[#This Row],[SKU Cost]]</f>
        <v>0</v>
      </c>
      <c r="V116" s="45"/>
      <c r="W116" s="45"/>
      <c r="X116" s="45"/>
      <c r="Y116" s="54"/>
      <c r="Z116" s="50"/>
      <c r="AA116" s="45"/>
      <c r="AB116" s="54"/>
      <c r="AC116" s="45"/>
      <c r="AD116" s="182"/>
      <c r="AE116" s="182"/>
      <c r="AF116" s="182"/>
    </row>
    <row r="117" spans="1:32" ht="15" customHeight="1" x14ac:dyDescent="0.2">
      <c r="A117" s="143" t="s">
        <v>160</v>
      </c>
      <c r="B117" s="44" t="s">
        <v>2103</v>
      </c>
      <c r="C117" s="44" t="s">
        <v>1389</v>
      </c>
      <c r="D117" s="45" t="s">
        <v>1387</v>
      </c>
      <c r="E117" s="45" t="s">
        <v>1802</v>
      </c>
      <c r="F117" s="45"/>
      <c r="G117" s="45">
        <v>1</v>
      </c>
      <c r="H117" s="45" t="s">
        <v>1388</v>
      </c>
      <c r="I117" s="45"/>
      <c r="J117" s="43"/>
      <c r="K117" s="45" t="s">
        <v>171</v>
      </c>
      <c r="L117" s="45" t="s">
        <v>1388</v>
      </c>
      <c r="M117" s="126">
        <v>1</v>
      </c>
      <c r="N117" s="50"/>
      <c r="O117" s="51">
        <f>IF(OR(ISBLANK(BOM_table7[[#This Row],[SKU QTY]]),BOM_table7[[#This Row],[SKU Cost]]=0),0,BOM_table7[[#This Row],[SKU Cost]]/BOM_table7[[#This Row],[SKU QTY]])</f>
        <v>0</v>
      </c>
      <c r="P117" s="146">
        <f>IF(OR(ISBLANK(BOM_table7[[#This Row],[ASM QTY]]),ISBLANK(BOM_table7[[#This Row],[Unit Cost]])),0,BOM_table7[[#This Row],[ASM QTY]]*BOM_table7[[#This Row],[Unit Cost]])</f>
        <v>0</v>
      </c>
      <c r="Q117" s="45"/>
      <c r="R117" s="45"/>
      <c r="S117" s="93">
        <f>IF(B117="Shared All",$M$3,1)*IF(B117="Shared Science+Docking",2,1)*IF(B117="Shared Docking+Multibeam",2,1)*BOM_table7[[#This Row],[ASM QTY]]*$Q$3+BOM_table7[[#This Row],[Spare QTY Needed]]-BOM_table7[[#This Row],[QTY in Inventory]]</f>
        <v>1</v>
      </c>
      <c r="T117" s="51">
        <f>ROUNDUP((BOM_table7[[#This Row],[QTY to Order]]/BOM_table7[[#This Row],[SKU QTY]]),0)</f>
        <v>1</v>
      </c>
      <c r="U117" s="100">
        <f>BOM_table7[[#This Row],[SKU QTY to Order]]*BOM_table7[[#This Row],[SKU Cost]]</f>
        <v>0</v>
      </c>
      <c r="V117" s="45"/>
      <c r="W117" s="45"/>
      <c r="X117" s="45"/>
      <c r="Y117" s="54"/>
      <c r="Z117" s="50"/>
      <c r="AA117" s="45"/>
      <c r="AB117" s="54"/>
      <c r="AC117" s="125"/>
      <c r="AD117" s="183"/>
      <c r="AE117" s="183"/>
      <c r="AF117" s="182"/>
    </row>
    <row r="118" spans="1:32" ht="15" customHeight="1" x14ac:dyDescent="0.2">
      <c r="A118" s="143" t="s">
        <v>160</v>
      </c>
      <c r="B118" s="44" t="s">
        <v>2103</v>
      </c>
      <c r="C118" s="135" t="s">
        <v>1709</v>
      </c>
      <c r="D118" s="136" t="s">
        <v>1710</v>
      </c>
      <c r="E118" s="136" t="s">
        <v>1711</v>
      </c>
      <c r="F118" s="136"/>
      <c r="G118" s="136">
        <v>1</v>
      </c>
      <c r="H118" s="136" t="s">
        <v>1049</v>
      </c>
      <c r="I118" s="136"/>
      <c r="J118" s="137"/>
      <c r="K118" s="136" t="s">
        <v>867</v>
      </c>
      <c r="L118" s="136" t="s">
        <v>1712</v>
      </c>
      <c r="M118" s="126">
        <v>1</v>
      </c>
      <c r="N118" s="138"/>
      <c r="O118" s="51">
        <f>IF(OR(ISBLANK(BOM_table7[[#This Row],[SKU QTY]]),BOM_table7[[#This Row],[SKU Cost]]=0),0,BOM_table7[[#This Row],[SKU Cost]]/BOM_table7[[#This Row],[SKU QTY]])</f>
        <v>0</v>
      </c>
      <c r="P118" s="146">
        <f>IF(OR(ISBLANK(BOM_table7[[#This Row],[ASM QTY]]),ISBLANK(BOM_table7[[#This Row],[Unit Cost]])),0,BOM_table7[[#This Row],[ASM QTY]]*BOM_table7[[#This Row],[Unit Cost]])</f>
        <v>0</v>
      </c>
      <c r="Q118" s="136"/>
      <c r="R118" s="136"/>
      <c r="S118" s="93">
        <f>IF(B118="Shared All",$M$3,1)*IF(B118="Shared Science+Docking",2,1)*IF(B118="Shared Docking+Multibeam",2,1)*BOM_table7[[#This Row],[ASM QTY]]*$Q$3+BOM_table7[[#This Row],[Spare QTY Needed]]-BOM_table7[[#This Row],[QTY in Inventory]]</f>
        <v>1</v>
      </c>
      <c r="T118" s="51">
        <f>ROUNDUP((BOM_table7[[#This Row],[QTY to Order]]/BOM_table7[[#This Row],[SKU QTY]]),0)</f>
        <v>1</v>
      </c>
      <c r="U118" s="100">
        <f>BOM_table7[[#This Row],[SKU QTY to Order]]*BOM_table7[[#This Row],[SKU Cost]]</f>
        <v>0</v>
      </c>
      <c r="V118" s="138"/>
      <c r="W118" s="45"/>
      <c r="X118" s="45"/>
      <c r="Y118" s="142"/>
      <c r="Z118" s="138"/>
      <c r="AA118" s="136"/>
      <c r="AB118" s="142"/>
      <c r="AC118" s="136"/>
      <c r="AD118" s="182"/>
      <c r="AE118" s="182"/>
      <c r="AF118" s="182"/>
    </row>
    <row r="119" spans="1:32" ht="15" customHeight="1" x14ac:dyDescent="0.2">
      <c r="A119" s="143" t="s">
        <v>160</v>
      </c>
      <c r="B119" s="44" t="s">
        <v>2088</v>
      </c>
      <c r="C119" s="143" t="s">
        <v>1872</v>
      </c>
      <c r="D119" s="144">
        <v>106991</v>
      </c>
      <c r="E119" s="144" t="s">
        <v>1873</v>
      </c>
      <c r="F119" s="144" t="s">
        <v>233</v>
      </c>
      <c r="G119" s="144">
        <v>1</v>
      </c>
      <c r="H119" s="144" t="s">
        <v>1430</v>
      </c>
      <c r="I119" s="144"/>
      <c r="J119" s="150"/>
      <c r="K119" s="144" t="s">
        <v>169</v>
      </c>
      <c r="L119" s="45" t="s">
        <v>1528</v>
      </c>
      <c r="M119" s="126">
        <v>1</v>
      </c>
      <c r="N119" s="145"/>
      <c r="O119" s="51">
        <f>IF(OR(ISBLANK(BOM_table7[[#This Row],[SKU QTY]]),BOM_table7[[#This Row],[SKU Cost]]=0),0,BOM_table7[[#This Row],[SKU Cost]]/BOM_table7[[#This Row],[SKU QTY]])</f>
        <v>0</v>
      </c>
      <c r="P119" s="146">
        <f>IF(OR(ISBLANK(BOM_table7[[#This Row],[ASM QTY]]),ISBLANK(BOM_table7[[#This Row],[Unit Cost]])),0,BOM_table7[[#This Row],[ASM QTY]]*BOM_table7[[#This Row],[Unit Cost]])</f>
        <v>0</v>
      </c>
      <c r="Q119" s="144"/>
      <c r="R119" s="144"/>
      <c r="S119" s="93">
        <f>IF(B119="Shared All",$M$3,1)*IF(B119="Shared Science+Docking",2,1)*IF(B119="Shared Docking+Multibeam",2,1)*BOM_table7[[#This Row],[ASM QTY]]*$Q$3+BOM_table7[[#This Row],[Spare QTY Needed]]-BOM_table7[[#This Row],[QTY in Inventory]]</f>
        <v>1</v>
      </c>
      <c r="T119" s="146">
        <f>ROUNDUP((BOM_table7[[#This Row],[QTY to Order]]/BOM_table7[[#This Row],[SKU QTY]]),0)</f>
        <v>1</v>
      </c>
      <c r="U119" s="100">
        <f>BOM_table7[[#This Row],[SKU QTY to Order]]*BOM_table7[[#This Row],[SKU Cost]]</f>
        <v>0</v>
      </c>
      <c r="V119" s="45"/>
      <c r="W119" s="45"/>
      <c r="X119" s="148"/>
      <c r="Y119" s="144"/>
      <c r="Z119" s="144"/>
      <c r="AA119" s="148"/>
      <c r="AB119" s="148"/>
      <c r="AC119" s="149"/>
      <c r="AD119" s="182"/>
      <c r="AE119" s="182"/>
      <c r="AF119" s="182"/>
    </row>
    <row r="120" spans="1:32" ht="15" customHeight="1" x14ac:dyDescent="0.2">
      <c r="A120" s="143" t="s">
        <v>160</v>
      </c>
      <c r="B120" s="44" t="s">
        <v>2088</v>
      </c>
      <c r="C120" s="143" t="s">
        <v>1874</v>
      </c>
      <c r="D120" s="144">
        <v>106993</v>
      </c>
      <c r="E120" s="144" t="s">
        <v>1873</v>
      </c>
      <c r="F120" s="144" t="s">
        <v>152</v>
      </c>
      <c r="G120" s="144">
        <v>1</v>
      </c>
      <c r="H120" s="144" t="s">
        <v>1430</v>
      </c>
      <c r="I120" s="144"/>
      <c r="J120" s="150"/>
      <c r="K120" s="144" t="s">
        <v>169</v>
      </c>
      <c r="L120" s="45" t="s">
        <v>1528</v>
      </c>
      <c r="M120" s="126">
        <v>1</v>
      </c>
      <c r="N120" s="145"/>
      <c r="O120" s="51">
        <f>IF(OR(ISBLANK(BOM_table7[[#This Row],[SKU QTY]]),BOM_table7[[#This Row],[SKU Cost]]=0),0,BOM_table7[[#This Row],[SKU Cost]]/BOM_table7[[#This Row],[SKU QTY]])</f>
        <v>0</v>
      </c>
      <c r="P120" s="146">
        <f>IF(OR(ISBLANK(BOM_table7[[#This Row],[ASM QTY]]),ISBLANK(BOM_table7[[#This Row],[Unit Cost]])),0,BOM_table7[[#This Row],[ASM QTY]]*BOM_table7[[#This Row],[Unit Cost]])</f>
        <v>0</v>
      </c>
      <c r="Q120" s="144"/>
      <c r="R120" s="144"/>
      <c r="S120" s="93">
        <f>IF(B120="Shared All",$M$3,1)*IF(B120="Shared Science+Docking",2,1)*IF(B120="Shared Docking+Multibeam",2,1)*BOM_table7[[#This Row],[ASM QTY]]*$Q$3+BOM_table7[[#This Row],[Spare QTY Needed]]-BOM_table7[[#This Row],[QTY in Inventory]]</f>
        <v>1</v>
      </c>
      <c r="T120" s="146">
        <f>ROUNDUP((BOM_table7[[#This Row],[QTY to Order]]/BOM_table7[[#This Row],[SKU QTY]]),0)</f>
        <v>1</v>
      </c>
      <c r="U120" s="100">
        <f>BOM_table7[[#This Row],[SKU QTY to Order]]*BOM_table7[[#This Row],[SKU Cost]]</f>
        <v>0</v>
      </c>
      <c r="V120" s="45"/>
      <c r="W120" s="45"/>
      <c r="X120" s="148"/>
      <c r="Y120" s="144"/>
      <c r="Z120" s="144"/>
      <c r="AA120" s="148"/>
      <c r="AB120" s="148"/>
      <c r="AC120" s="149"/>
      <c r="AD120" s="182"/>
      <c r="AE120" s="182"/>
      <c r="AF120" s="182"/>
    </row>
    <row r="121" spans="1:32" ht="15" customHeight="1" x14ac:dyDescent="0.2">
      <c r="A121" s="143" t="s">
        <v>160</v>
      </c>
      <c r="B121" s="44" t="s">
        <v>2088</v>
      </c>
      <c r="C121" s="143" t="s">
        <v>1875</v>
      </c>
      <c r="D121" s="144">
        <v>106348</v>
      </c>
      <c r="E121" s="144" t="s">
        <v>1873</v>
      </c>
      <c r="F121" s="144" t="s">
        <v>152</v>
      </c>
      <c r="G121" s="144">
        <v>2</v>
      </c>
      <c r="H121" s="144" t="s">
        <v>1430</v>
      </c>
      <c r="I121" s="144"/>
      <c r="J121" s="150"/>
      <c r="K121" s="144" t="s">
        <v>169</v>
      </c>
      <c r="L121" s="45" t="s">
        <v>1528</v>
      </c>
      <c r="M121" s="126">
        <v>1</v>
      </c>
      <c r="N121" s="145"/>
      <c r="O121" s="51">
        <f>IF(OR(ISBLANK(BOM_table7[[#This Row],[SKU QTY]]),BOM_table7[[#This Row],[SKU Cost]]=0),0,BOM_table7[[#This Row],[SKU Cost]]/BOM_table7[[#This Row],[SKU QTY]])</f>
        <v>0</v>
      </c>
      <c r="P121" s="146">
        <f>IF(OR(ISBLANK(BOM_table7[[#This Row],[ASM QTY]]),ISBLANK(BOM_table7[[#This Row],[Unit Cost]])),0,BOM_table7[[#This Row],[ASM QTY]]*BOM_table7[[#This Row],[Unit Cost]])</f>
        <v>0</v>
      </c>
      <c r="Q121" s="144"/>
      <c r="R121" s="144"/>
      <c r="S121" s="93">
        <f>IF(B121="Shared All",$M$3,1)*IF(B121="Shared Science+Docking",2,1)*IF(B121="Shared Docking+Multibeam",2,1)*BOM_table7[[#This Row],[ASM QTY]]*$Q$3+BOM_table7[[#This Row],[Spare QTY Needed]]-BOM_table7[[#This Row],[QTY in Inventory]]</f>
        <v>2</v>
      </c>
      <c r="T121" s="146">
        <f>ROUNDUP((BOM_table7[[#This Row],[QTY to Order]]/BOM_table7[[#This Row],[SKU QTY]]),0)</f>
        <v>2</v>
      </c>
      <c r="U121" s="100">
        <f>BOM_table7[[#This Row],[SKU QTY to Order]]*BOM_table7[[#This Row],[SKU Cost]]</f>
        <v>0</v>
      </c>
      <c r="V121" s="45"/>
      <c r="W121" s="45"/>
      <c r="X121" s="148"/>
      <c r="Y121" s="144"/>
      <c r="Z121" s="144"/>
      <c r="AA121" s="148"/>
      <c r="AB121" s="148"/>
      <c r="AC121" s="149"/>
      <c r="AD121" s="182"/>
      <c r="AE121" s="182"/>
      <c r="AF121" s="182"/>
    </row>
    <row r="122" spans="1:32" ht="15" customHeight="1" x14ac:dyDescent="0.2">
      <c r="A122" s="143" t="s">
        <v>160</v>
      </c>
      <c r="B122" s="44" t="s">
        <v>2088</v>
      </c>
      <c r="C122" s="143" t="s">
        <v>1876</v>
      </c>
      <c r="D122" s="144">
        <v>106992</v>
      </c>
      <c r="E122" s="144" t="s">
        <v>1873</v>
      </c>
      <c r="F122" s="144" t="s">
        <v>152</v>
      </c>
      <c r="G122" s="144">
        <v>1</v>
      </c>
      <c r="H122" s="144" t="s">
        <v>1430</v>
      </c>
      <c r="I122" s="144"/>
      <c r="J122" s="150"/>
      <c r="K122" s="144" t="s">
        <v>169</v>
      </c>
      <c r="L122" s="45" t="s">
        <v>1528</v>
      </c>
      <c r="M122" s="126">
        <v>1</v>
      </c>
      <c r="N122" s="145"/>
      <c r="O122" s="51">
        <f>IF(OR(ISBLANK(BOM_table7[[#This Row],[SKU QTY]]),BOM_table7[[#This Row],[SKU Cost]]=0),0,BOM_table7[[#This Row],[SKU Cost]]/BOM_table7[[#This Row],[SKU QTY]])</f>
        <v>0</v>
      </c>
      <c r="P122" s="146">
        <f>IF(OR(ISBLANK(BOM_table7[[#This Row],[ASM QTY]]),ISBLANK(BOM_table7[[#This Row],[Unit Cost]])),0,BOM_table7[[#This Row],[ASM QTY]]*BOM_table7[[#This Row],[Unit Cost]])</f>
        <v>0</v>
      </c>
      <c r="Q122" s="144"/>
      <c r="R122" s="144"/>
      <c r="S122" s="93">
        <f>IF(B122="Shared All",$M$3,1)*IF(B122="Shared Science+Docking",2,1)*IF(B122="Shared Docking+Multibeam",2,1)*BOM_table7[[#This Row],[ASM QTY]]*$Q$3+BOM_table7[[#This Row],[Spare QTY Needed]]-BOM_table7[[#This Row],[QTY in Inventory]]</f>
        <v>1</v>
      </c>
      <c r="T122" s="146">
        <f>ROUNDUP((BOM_table7[[#This Row],[QTY to Order]]/BOM_table7[[#This Row],[SKU QTY]]),0)</f>
        <v>1</v>
      </c>
      <c r="U122" s="100">
        <f>BOM_table7[[#This Row],[SKU QTY to Order]]*BOM_table7[[#This Row],[SKU Cost]]</f>
        <v>0</v>
      </c>
      <c r="V122" s="45"/>
      <c r="W122" s="45"/>
      <c r="X122" s="148"/>
      <c r="Y122" s="144"/>
      <c r="Z122" s="144"/>
      <c r="AA122" s="148"/>
      <c r="AB122" s="148"/>
      <c r="AC122" s="149"/>
      <c r="AD122" s="182"/>
      <c r="AE122" s="182"/>
      <c r="AF122" s="182"/>
    </row>
    <row r="123" spans="1:32" ht="15" customHeight="1" x14ac:dyDescent="0.2">
      <c r="A123" s="143" t="s">
        <v>160</v>
      </c>
      <c r="B123" s="44" t="s">
        <v>2088</v>
      </c>
      <c r="C123" s="143" t="s">
        <v>1877</v>
      </c>
      <c r="D123" s="144">
        <v>106349</v>
      </c>
      <c r="E123" s="144" t="s">
        <v>1873</v>
      </c>
      <c r="F123" s="144" t="s">
        <v>152</v>
      </c>
      <c r="G123" s="144">
        <v>4</v>
      </c>
      <c r="H123" s="144" t="s">
        <v>1430</v>
      </c>
      <c r="I123" s="144"/>
      <c r="J123" s="150"/>
      <c r="K123" s="144" t="s">
        <v>169</v>
      </c>
      <c r="L123" s="45" t="s">
        <v>1528</v>
      </c>
      <c r="M123" s="126">
        <v>1</v>
      </c>
      <c r="N123" s="145"/>
      <c r="O123" s="51">
        <f>IF(OR(ISBLANK(BOM_table7[[#This Row],[SKU QTY]]),BOM_table7[[#This Row],[SKU Cost]]=0),0,BOM_table7[[#This Row],[SKU Cost]]/BOM_table7[[#This Row],[SKU QTY]])</f>
        <v>0</v>
      </c>
      <c r="P123" s="146">
        <f>IF(OR(ISBLANK(BOM_table7[[#This Row],[ASM QTY]]),ISBLANK(BOM_table7[[#This Row],[Unit Cost]])),0,BOM_table7[[#This Row],[ASM QTY]]*BOM_table7[[#This Row],[Unit Cost]])</f>
        <v>0</v>
      </c>
      <c r="Q123" s="144"/>
      <c r="R123" s="144"/>
      <c r="S123" s="93">
        <f>IF(B123="Shared All",$M$3,1)*IF(B123="Shared Science+Docking",2,1)*IF(B123="Shared Docking+Multibeam",2,1)*BOM_table7[[#This Row],[ASM QTY]]*$Q$3+BOM_table7[[#This Row],[Spare QTY Needed]]-BOM_table7[[#This Row],[QTY in Inventory]]</f>
        <v>4</v>
      </c>
      <c r="T123" s="146">
        <f>ROUNDUP((BOM_table7[[#This Row],[QTY to Order]]/BOM_table7[[#This Row],[SKU QTY]]),0)</f>
        <v>4</v>
      </c>
      <c r="U123" s="100">
        <f>BOM_table7[[#This Row],[SKU QTY to Order]]*BOM_table7[[#This Row],[SKU Cost]]</f>
        <v>0</v>
      </c>
      <c r="V123" s="45"/>
      <c r="W123" s="45"/>
      <c r="X123" s="148"/>
      <c r="Y123" s="144"/>
      <c r="Z123" s="144"/>
      <c r="AA123" s="148"/>
      <c r="AB123" s="148"/>
      <c r="AC123" s="149"/>
      <c r="AD123" s="182"/>
      <c r="AE123" s="182"/>
      <c r="AF123" s="182"/>
    </row>
    <row r="124" spans="1:32" ht="15" customHeight="1" x14ac:dyDescent="0.2">
      <c r="A124" s="143" t="s">
        <v>160</v>
      </c>
      <c r="B124" s="44" t="s">
        <v>2088</v>
      </c>
      <c r="C124" s="143" t="s">
        <v>1878</v>
      </c>
      <c r="D124" s="144" t="s">
        <v>1879</v>
      </c>
      <c r="E124" s="144" t="s">
        <v>1873</v>
      </c>
      <c r="F124" s="144"/>
      <c r="G124" s="144">
        <v>2</v>
      </c>
      <c r="H124" s="144" t="s">
        <v>1274</v>
      </c>
      <c r="I124" s="144"/>
      <c r="J124" s="150"/>
      <c r="K124" s="144" t="s">
        <v>166</v>
      </c>
      <c r="L124" s="144"/>
      <c r="M124" s="126">
        <v>1</v>
      </c>
      <c r="N124" s="145"/>
      <c r="O124" s="51">
        <f>IF(OR(ISBLANK(BOM_table7[[#This Row],[SKU QTY]]),BOM_table7[[#This Row],[SKU Cost]]=0),0,BOM_table7[[#This Row],[SKU Cost]]/BOM_table7[[#This Row],[SKU QTY]])</f>
        <v>0</v>
      </c>
      <c r="P124" s="146">
        <f>IF(OR(ISBLANK(BOM_table7[[#This Row],[ASM QTY]]),ISBLANK(BOM_table7[[#This Row],[Unit Cost]])),0,BOM_table7[[#This Row],[ASM QTY]]*BOM_table7[[#This Row],[Unit Cost]])</f>
        <v>0</v>
      </c>
      <c r="Q124" s="144"/>
      <c r="R124" s="144"/>
      <c r="S124" s="93">
        <f>IF(B124="Shared All",$M$3,1)*IF(B124="Shared Science+Docking",2,1)*IF(B124="Shared Docking+Multibeam",2,1)*BOM_table7[[#This Row],[ASM QTY]]*$Q$3+BOM_table7[[#This Row],[Spare QTY Needed]]-BOM_table7[[#This Row],[QTY in Inventory]]</f>
        <v>2</v>
      </c>
      <c r="T124" s="146">
        <f>ROUNDUP((BOM_table7[[#This Row],[QTY to Order]]/BOM_table7[[#This Row],[SKU QTY]]),0)</f>
        <v>2</v>
      </c>
      <c r="U124" s="100">
        <f>BOM_table7[[#This Row],[SKU QTY to Order]]*BOM_table7[[#This Row],[SKU Cost]]</f>
        <v>0</v>
      </c>
      <c r="V124" s="45"/>
      <c r="W124" s="45"/>
      <c r="X124" s="148"/>
      <c r="Y124" s="144"/>
      <c r="Z124" s="144"/>
      <c r="AA124" s="148"/>
      <c r="AB124" s="148"/>
      <c r="AC124" s="149"/>
      <c r="AD124" s="182"/>
      <c r="AE124" s="182"/>
      <c r="AF124" s="182"/>
    </row>
    <row r="125" spans="1:32" ht="15" customHeight="1" x14ac:dyDescent="0.2">
      <c r="A125" s="143" t="s">
        <v>160</v>
      </c>
      <c r="B125" s="44" t="s">
        <v>2088</v>
      </c>
      <c r="C125" s="143" t="s">
        <v>1880</v>
      </c>
      <c r="D125" s="144">
        <v>106377</v>
      </c>
      <c r="E125" s="144" t="s">
        <v>1873</v>
      </c>
      <c r="F125" s="144" t="s">
        <v>152</v>
      </c>
      <c r="G125" s="144">
        <v>2</v>
      </c>
      <c r="H125" s="144" t="s">
        <v>1430</v>
      </c>
      <c r="I125" s="144"/>
      <c r="J125" s="150"/>
      <c r="K125" s="144" t="s">
        <v>169</v>
      </c>
      <c r="L125" s="45" t="s">
        <v>1528</v>
      </c>
      <c r="M125" s="126">
        <v>1</v>
      </c>
      <c r="N125" s="145"/>
      <c r="O125" s="51">
        <f>IF(OR(ISBLANK(BOM_table7[[#This Row],[SKU QTY]]),BOM_table7[[#This Row],[SKU Cost]]=0),0,BOM_table7[[#This Row],[SKU Cost]]/BOM_table7[[#This Row],[SKU QTY]])</f>
        <v>0</v>
      </c>
      <c r="P125" s="146">
        <f>IF(OR(ISBLANK(BOM_table7[[#This Row],[ASM QTY]]),ISBLANK(BOM_table7[[#This Row],[Unit Cost]])),0,BOM_table7[[#This Row],[ASM QTY]]*BOM_table7[[#This Row],[Unit Cost]])</f>
        <v>0</v>
      </c>
      <c r="Q125" s="144"/>
      <c r="R125" s="144"/>
      <c r="S125" s="93">
        <f>IF(B125="Shared All",$M$3,1)*IF(B125="Shared Science+Docking",2,1)*IF(B125="Shared Docking+Multibeam",2,1)*BOM_table7[[#This Row],[ASM QTY]]*$Q$3+BOM_table7[[#This Row],[Spare QTY Needed]]-BOM_table7[[#This Row],[QTY in Inventory]]</f>
        <v>2</v>
      </c>
      <c r="T125" s="146">
        <f>ROUNDUP((BOM_table7[[#This Row],[QTY to Order]]/BOM_table7[[#This Row],[SKU QTY]]),0)</f>
        <v>2</v>
      </c>
      <c r="U125" s="100">
        <f>BOM_table7[[#This Row],[SKU QTY to Order]]*BOM_table7[[#This Row],[SKU Cost]]</f>
        <v>0</v>
      </c>
      <c r="V125" s="45"/>
      <c r="W125" s="45"/>
      <c r="X125" s="148"/>
      <c r="Y125" s="144"/>
      <c r="Z125" s="144"/>
      <c r="AA125" s="148"/>
      <c r="AB125" s="148"/>
      <c r="AC125" s="149"/>
      <c r="AD125" s="182"/>
      <c r="AE125" s="182"/>
      <c r="AF125" s="182"/>
    </row>
    <row r="126" spans="1:32" ht="15" customHeight="1" x14ac:dyDescent="0.2">
      <c r="A126" s="143" t="s">
        <v>160</v>
      </c>
      <c r="B126" s="44" t="s">
        <v>2088</v>
      </c>
      <c r="C126" s="143" t="s">
        <v>1856</v>
      </c>
      <c r="D126" s="144">
        <v>107558</v>
      </c>
      <c r="E126" s="144" t="s">
        <v>1857</v>
      </c>
      <c r="F126" s="144" t="s">
        <v>152</v>
      </c>
      <c r="G126" s="144">
        <v>1</v>
      </c>
      <c r="H126" s="144" t="s">
        <v>1430</v>
      </c>
      <c r="I126" s="144"/>
      <c r="J126" s="150"/>
      <c r="K126" s="144" t="s">
        <v>169</v>
      </c>
      <c r="L126" s="45" t="s">
        <v>1528</v>
      </c>
      <c r="M126" s="126">
        <v>1</v>
      </c>
      <c r="N126" s="145"/>
      <c r="O126" s="51">
        <f>IF(OR(ISBLANK(BOM_table7[[#This Row],[SKU QTY]]),BOM_table7[[#This Row],[SKU Cost]]=0),0,BOM_table7[[#This Row],[SKU Cost]]/BOM_table7[[#This Row],[SKU QTY]])</f>
        <v>0</v>
      </c>
      <c r="P126" s="146">
        <f>IF(OR(ISBLANK(BOM_table7[[#This Row],[ASM QTY]]),ISBLANK(BOM_table7[[#This Row],[Unit Cost]])),0,BOM_table7[[#This Row],[ASM QTY]]*BOM_table7[[#This Row],[Unit Cost]])</f>
        <v>0</v>
      </c>
      <c r="Q126" s="144"/>
      <c r="R126" s="144"/>
      <c r="S126" s="93">
        <f>IF(B126="Shared All",$M$3,1)*IF(B126="Shared Science+Docking",2,1)*IF(B126="Shared Docking+Multibeam",2,1)*BOM_table7[[#This Row],[ASM QTY]]*$Q$3+BOM_table7[[#This Row],[Spare QTY Needed]]-BOM_table7[[#This Row],[QTY in Inventory]]</f>
        <v>1</v>
      </c>
      <c r="T126" s="146">
        <f>ROUNDUP((BOM_table7[[#This Row],[QTY to Order]]/BOM_table7[[#This Row],[SKU QTY]]),0)</f>
        <v>1</v>
      </c>
      <c r="U126" s="100">
        <f>BOM_table7[[#This Row],[SKU QTY to Order]]*BOM_table7[[#This Row],[SKU Cost]]</f>
        <v>0</v>
      </c>
      <c r="V126" s="45"/>
      <c r="W126" s="45"/>
      <c r="X126" s="148"/>
      <c r="Y126" s="144"/>
      <c r="Z126" s="144"/>
      <c r="AA126" s="148"/>
      <c r="AB126" s="148"/>
      <c r="AC126" s="149"/>
      <c r="AD126" s="182"/>
      <c r="AE126" s="182"/>
      <c r="AF126" s="182"/>
    </row>
    <row r="127" spans="1:32" ht="15" customHeight="1" x14ac:dyDescent="0.2">
      <c r="A127" s="143" t="s">
        <v>160</v>
      </c>
      <c r="B127" s="44" t="s">
        <v>2088</v>
      </c>
      <c r="C127" s="143" t="s">
        <v>1858</v>
      </c>
      <c r="D127" s="144">
        <v>107551</v>
      </c>
      <c r="E127" s="144" t="s">
        <v>1857</v>
      </c>
      <c r="F127" s="144" t="s">
        <v>152</v>
      </c>
      <c r="G127" s="144">
        <v>1</v>
      </c>
      <c r="H127" s="144" t="s">
        <v>1430</v>
      </c>
      <c r="I127" s="144"/>
      <c r="J127" s="150"/>
      <c r="K127" s="144" t="s">
        <v>169</v>
      </c>
      <c r="L127" s="45" t="s">
        <v>1528</v>
      </c>
      <c r="M127" s="126">
        <v>1</v>
      </c>
      <c r="N127" s="145"/>
      <c r="O127" s="51">
        <f>IF(OR(ISBLANK(BOM_table7[[#This Row],[SKU QTY]]),BOM_table7[[#This Row],[SKU Cost]]=0),0,BOM_table7[[#This Row],[SKU Cost]]/BOM_table7[[#This Row],[SKU QTY]])</f>
        <v>0</v>
      </c>
      <c r="P127" s="146">
        <f>IF(OR(ISBLANK(BOM_table7[[#This Row],[ASM QTY]]),ISBLANK(BOM_table7[[#This Row],[Unit Cost]])),0,BOM_table7[[#This Row],[ASM QTY]]*BOM_table7[[#This Row],[Unit Cost]])</f>
        <v>0</v>
      </c>
      <c r="Q127" s="144"/>
      <c r="R127" s="144"/>
      <c r="S127" s="93">
        <f>IF(B127="Shared All",$M$3,1)*IF(B127="Shared Science+Docking",2,1)*IF(B127="Shared Docking+Multibeam",2,1)*BOM_table7[[#This Row],[ASM QTY]]*$Q$3+BOM_table7[[#This Row],[Spare QTY Needed]]-BOM_table7[[#This Row],[QTY in Inventory]]</f>
        <v>1</v>
      </c>
      <c r="T127" s="146">
        <f>ROUNDUP((BOM_table7[[#This Row],[QTY to Order]]/BOM_table7[[#This Row],[SKU QTY]]),0)</f>
        <v>1</v>
      </c>
      <c r="U127" s="100">
        <f>BOM_table7[[#This Row],[SKU QTY to Order]]*BOM_table7[[#This Row],[SKU Cost]]</f>
        <v>0</v>
      </c>
      <c r="V127" s="45"/>
      <c r="W127" s="45"/>
      <c r="X127" s="148"/>
      <c r="Y127" s="144"/>
      <c r="Z127" s="144"/>
      <c r="AA127" s="148"/>
      <c r="AB127" s="148"/>
      <c r="AC127" s="149"/>
      <c r="AD127" s="182"/>
      <c r="AE127" s="182"/>
      <c r="AF127" s="182"/>
    </row>
    <row r="128" spans="1:32" ht="15" customHeight="1" x14ac:dyDescent="0.2">
      <c r="A128" s="143" t="s">
        <v>160</v>
      </c>
      <c r="B128" s="44" t="s">
        <v>2088</v>
      </c>
      <c r="C128" s="143" t="s">
        <v>1859</v>
      </c>
      <c r="D128" s="144" t="s">
        <v>2063</v>
      </c>
      <c r="E128" s="144" t="s">
        <v>1857</v>
      </c>
      <c r="F128" s="144"/>
      <c r="G128" s="144">
        <v>1</v>
      </c>
      <c r="H128" s="45" t="s">
        <v>1274</v>
      </c>
      <c r="I128" s="144"/>
      <c r="J128" s="43"/>
      <c r="K128" s="144" t="s">
        <v>166</v>
      </c>
      <c r="L128" s="45" t="s">
        <v>2062</v>
      </c>
      <c r="M128" s="126">
        <v>1</v>
      </c>
      <c r="N128" s="145"/>
      <c r="O128" s="51">
        <f>IF(OR(ISBLANK(BOM_table7[[#This Row],[SKU QTY]]),BOM_table7[[#This Row],[SKU Cost]]=0),0,BOM_table7[[#This Row],[SKU Cost]]/BOM_table7[[#This Row],[SKU QTY]])</f>
        <v>0</v>
      </c>
      <c r="P128" s="146">
        <f>IF(OR(ISBLANK(BOM_table7[[#This Row],[ASM QTY]]),ISBLANK(BOM_table7[[#This Row],[Unit Cost]])),0,BOM_table7[[#This Row],[ASM QTY]]*BOM_table7[[#This Row],[Unit Cost]])</f>
        <v>0</v>
      </c>
      <c r="Q128" s="144"/>
      <c r="R128" s="144"/>
      <c r="S128" s="93">
        <f>IF(B128="Shared All",$M$3,1)*IF(B128="Shared Science+Docking",2,1)*IF(B128="Shared Docking+Multibeam",2,1)*BOM_table7[[#This Row],[ASM QTY]]*$Q$3+BOM_table7[[#This Row],[Spare QTY Needed]]-BOM_table7[[#This Row],[QTY in Inventory]]</f>
        <v>1</v>
      </c>
      <c r="T128" s="146">
        <f>ROUNDUP((BOM_table7[[#This Row],[QTY to Order]]/BOM_table7[[#This Row],[SKU QTY]]),0)</f>
        <v>1</v>
      </c>
      <c r="U128" s="100">
        <f>BOM_table7[[#This Row],[SKU QTY to Order]]*BOM_table7[[#This Row],[SKU Cost]]</f>
        <v>0</v>
      </c>
      <c r="V128" s="45"/>
      <c r="W128" s="45"/>
      <c r="X128" s="148"/>
      <c r="Y128" s="144"/>
      <c r="Z128" s="144"/>
      <c r="AA128" s="148"/>
      <c r="AB128" s="148"/>
      <c r="AC128" s="149"/>
      <c r="AD128" s="182"/>
      <c r="AE128" s="182"/>
      <c r="AF128" s="182"/>
    </row>
    <row r="129" spans="1:32" ht="15" customHeight="1" x14ac:dyDescent="0.2">
      <c r="A129" s="143" t="s">
        <v>160</v>
      </c>
      <c r="B129" s="44" t="s">
        <v>2088</v>
      </c>
      <c r="C129" s="143" t="s">
        <v>1861</v>
      </c>
      <c r="D129" s="144">
        <v>107562</v>
      </c>
      <c r="E129" s="144" t="s">
        <v>1862</v>
      </c>
      <c r="F129" s="144" t="s">
        <v>373</v>
      </c>
      <c r="G129" s="144">
        <v>1</v>
      </c>
      <c r="H129" s="144" t="s">
        <v>1430</v>
      </c>
      <c r="I129" s="144"/>
      <c r="J129" s="150"/>
      <c r="K129" s="144" t="s">
        <v>169</v>
      </c>
      <c r="L129" s="45" t="s">
        <v>1528</v>
      </c>
      <c r="M129" s="126">
        <v>1</v>
      </c>
      <c r="N129" s="145"/>
      <c r="O129" s="51">
        <f>IF(OR(ISBLANK(BOM_table7[[#This Row],[SKU QTY]]),BOM_table7[[#This Row],[SKU Cost]]=0),0,BOM_table7[[#This Row],[SKU Cost]]/BOM_table7[[#This Row],[SKU QTY]])</f>
        <v>0</v>
      </c>
      <c r="P129" s="146">
        <f>IF(OR(ISBLANK(BOM_table7[[#This Row],[ASM QTY]]),ISBLANK(BOM_table7[[#This Row],[Unit Cost]])),0,BOM_table7[[#This Row],[ASM QTY]]*BOM_table7[[#This Row],[Unit Cost]])</f>
        <v>0</v>
      </c>
      <c r="Q129" s="144"/>
      <c r="R129" s="144"/>
      <c r="S129" s="93">
        <f>IF(B129="Shared All",$M$3,1)*IF(B129="Shared Science+Docking",2,1)*IF(B129="Shared Docking+Multibeam",2,1)*BOM_table7[[#This Row],[ASM QTY]]*$Q$3+BOM_table7[[#This Row],[Spare QTY Needed]]-BOM_table7[[#This Row],[QTY in Inventory]]</f>
        <v>1</v>
      </c>
      <c r="T129" s="146">
        <f>ROUNDUP((BOM_table7[[#This Row],[QTY to Order]]/BOM_table7[[#This Row],[SKU QTY]]),0)</f>
        <v>1</v>
      </c>
      <c r="U129" s="100">
        <f>BOM_table7[[#This Row],[SKU QTY to Order]]*BOM_table7[[#This Row],[SKU Cost]]</f>
        <v>0</v>
      </c>
      <c r="V129" s="45"/>
      <c r="W129" s="45"/>
      <c r="X129" s="148"/>
      <c r="Y129" s="144"/>
      <c r="Z129" s="144"/>
      <c r="AA129" s="148"/>
      <c r="AB129" s="148"/>
      <c r="AC129" s="149"/>
      <c r="AD129" s="182"/>
      <c r="AE129" s="182"/>
      <c r="AF129" s="182"/>
    </row>
    <row r="130" spans="1:32" ht="15" customHeight="1" x14ac:dyDescent="0.2">
      <c r="A130" s="143" t="s">
        <v>160</v>
      </c>
      <c r="B130" s="44" t="s">
        <v>2088</v>
      </c>
      <c r="C130" s="143" t="s">
        <v>1864</v>
      </c>
      <c r="D130" s="144">
        <v>107563</v>
      </c>
      <c r="E130" s="144" t="s">
        <v>1862</v>
      </c>
      <c r="F130" s="144" t="s">
        <v>233</v>
      </c>
      <c r="G130" s="144">
        <v>1</v>
      </c>
      <c r="H130" s="144" t="s">
        <v>1430</v>
      </c>
      <c r="I130" s="144"/>
      <c r="J130" s="150"/>
      <c r="K130" s="144" t="s">
        <v>169</v>
      </c>
      <c r="L130" s="45" t="s">
        <v>1528</v>
      </c>
      <c r="M130" s="126">
        <v>1</v>
      </c>
      <c r="N130" s="145"/>
      <c r="O130" s="51">
        <f>IF(OR(ISBLANK(BOM_table7[[#This Row],[SKU QTY]]),BOM_table7[[#This Row],[SKU Cost]]=0),0,BOM_table7[[#This Row],[SKU Cost]]/BOM_table7[[#This Row],[SKU QTY]])</f>
        <v>0</v>
      </c>
      <c r="P130" s="146">
        <f>IF(OR(ISBLANK(BOM_table7[[#This Row],[ASM QTY]]),ISBLANK(BOM_table7[[#This Row],[Unit Cost]])),0,BOM_table7[[#This Row],[ASM QTY]]*BOM_table7[[#This Row],[Unit Cost]])</f>
        <v>0</v>
      </c>
      <c r="Q130" s="144"/>
      <c r="R130" s="144"/>
      <c r="S130" s="93">
        <f>IF(B130="Shared All",$M$3,1)*IF(B130="Shared Science+Docking",2,1)*IF(B130="Shared Docking+Multibeam",2,1)*BOM_table7[[#This Row],[ASM QTY]]*$Q$3+BOM_table7[[#This Row],[Spare QTY Needed]]-BOM_table7[[#This Row],[QTY in Inventory]]</f>
        <v>1</v>
      </c>
      <c r="T130" s="146">
        <f>ROUNDUP((BOM_table7[[#This Row],[QTY to Order]]/BOM_table7[[#This Row],[SKU QTY]]),0)</f>
        <v>1</v>
      </c>
      <c r="U130" s="100">
        <f>BOM_table7[[#This Row],[SKU QTY to Order]]*BOM_table7[[#This Row],[SKU Cost]]</f>
        <v>0</v>
      </c>
      <c r="V130" s="45"/>
      <c r="W130" s="45"/>
      <c r="X130" s="148"/>
      <c r="Y130" s="144"/>
      <c r="Z130" s="144"/>
      <c r="AA130" s="148"/>
      <c r="AB130" s="148"/>
      <c r="AC130" s="149"/>
      <c r="AD130" s="182"/>
      <c r="AE130" s="182"/>
      <c r="AF130" s="182"/>
    </row>
    <row r="131" spans="1:32" ht="15" customHeight="1" x14ac:dyDescent="0.2">
      <c r="A131" s="143" t="s">
        <v>160</v>
      </c>
      <c r="B131" s="44" t="s">
        <v>2088</v>
      </c>
      <c r="C131" s="143" t="s">
        <v>1865</v>
      </c>
      <c r="D131" s="144">
        <v>107559</v>
      </c>
      <c r="E131" s="144" t="s">
        <v>1862</v>
      </c>
      <c r="F131" s="144" t="s">
        <v>233</v>
      </c>
      <c r="G131" s="144">
        <v>1</v>
      </c>
      <c r="H131" s="144" t="s">
        <v>1430</v>
      </c>
      <c r="I131" s="144"/>
      <c r="J131" s="150"/>
      <c r="K131" s="144" t="s">
        <v>169</v>
      </c>
      <c r="L131" s="45" t="s">
        <v>1528</v>
      </c>
      <c r="M131" s="126">
        <v>1</v>
      </c>
      <c r="N131" s="145"/>
      <c r="O131" s="51">
        <f>IF(OR(ISBLANK(BOM_table7[[#This Row],[SKU QTY]]),BOM_table7[[#This Row],[SKU Cost]]=0),0,BOM_table7[[#This Row],[SKU Cost]]/BOM_table7[[#This Row],[SKU QTY]])</f>
        <v>0</v>
      </c>
      <c r="P131" s="146">
        <f>IF(OR(ISBLANK(BOM_table7[[#This Row],[ASM QTY]]),ISBLANK(BOM_table7[[#This Row],[Unit Cost]])),0,BOM_table7[[#This Row],[ASM QTY]]*BOM_table7[[#This Row],[Unit Cost]])</f>
        <v>0</v>
      </c>
      <c r="Q131" s="144"/>
      <c r="R131" s="144"/>
      <c r="S131" s="93">
        <f>IF(B131="Shared All",$M$3,1)*IF(B131="Shared Science+Docking",2,1)*IF(B131="Shared Docking+Multibeam",2,1)*BOM_table7[[#This Row],[ASM QTY]]*$Q$3+BOM_table7[[#This Row],[Spare QTY Needed]]-BOM_table7[[#This Row],[QTY in Inventory]]</f>
        <v>1</v>
      </c>
      <c r="T131" s="146">
        <f>ROUNDUP((BOM_table7[[#This Row],[QTY to Order]]/BOM_table7[[#This Row],[SKU QTY]]),0)</f>
        <v>1</v>
      </c>
      <c r="U131" s="100">
        <f>BOM_table7[[#This Row],[SKU QTY to Order]]*BOM_table7[[#This Row],[SKU Cost]]</f>
        <v>0</v>
      </c>
      <c r="V131" s="45"/>
      <c r="W131" s="45"/>
      <c r="X131" s="148"/>
      <c r="Y131" s="144"/>
      <c r="Z131" s="144"/>
      <c r="AA131" s="148"/>
      <c r="AB131" s="148"/>
      <c r="AC131" s="149"/>
      <c r="AD131" s="182"/>
      <c r="AE131" s="182"/>
      <c r="AF131" s="182"/>
    </row>
    <row r="132" spans="1:32" ht="15" customHeight="1" x14ac:dyDescent="0.2">
      <c r="A132" s="143" t="s">
        <v>160</v>
      </c>
      <c r="B132" s="44" t="s">
        <v>2087</v>
      </c>
      <c r="C132" s="44" t="s">
        <v>2105</v>
      </c>
      <c r="D132" s="45"/>
      <c r="E132" s="45" t="s">
        <v>2111</v>
      </c>
      <c r="F132" s="45"/>
      <c r="G132" s="45"/>
      <c r="H132" s="45"/>
      <c r="I132" s="45"/>
      <c r="J132" s="43"/>
      <c r="K132" s="45"/>
      <c r="L132" s="45"/>
      <c r="M132" s="126">
        <v>1</v>
      </c>
      <c r="N132" s="50"/>
      <c r="O132" s="51">
        <f>IF(OR(ISBLANK(BOM_table7[[#This Row],[SKU QTY]]),BOM_table7[[#This Row],[SKU Cost]]=0),0,BOM_table7[[#This Row],[SKU Cost]]/BOM_table7[[#This Row],[SKU QTY]])</f>
        <v>0</v>
      </c>
      <c r="P132" s="146">
        <f>IF(OR(ISBLANK(BOM_table7[[#This Row],[ASM QTY]]),ISBLANK(BOM_table7[[#This Row],[Unit Cost]])),0,BOM_table7[[#This Row],[ASM QTY]]*BOM_table7[[#This Row],[Unit Cost]])</f>
        <v>0</v>
      </c>
      <c r="Q132" s="45"/>
      <c r="R132" s="45"/>
      <c r="S132" s="93">
        <f>IF(B132="Shared All",$M$3,1)*IF(B132="Shared Science+Docking",2,1)*IF(B132="Shared Docking+Multibeam",2,1)*BOM_table7[[#This Row],[ASM QTY]]*$Q$3+BOM_table7[[#This Row],[Spare QTY Needed]]-BOM_table7[[#This Row],[QTY in Inventory]]</f>
        <v>0</v>
      </c>
      <c r="T132" s="51">
        <f>ROUNDUP((BOM_table7[[#This Row],[QTY to Order]]/BOM_table7[[#This Row],[SKU QTY]]),0)</f>
        <v>0</v>
      </c>
      <c r="U132" s="100">
        <f>BOM_table7[[#This Row],[SKU QTY to Order]]*BOM_table7[[#This Row],[SKU Cost]]</f>
        <v>0</v>
      </c>
      <c r="V132" s="50"/>
      <c r="W132" s="45"/>
      <c r="X132" s="45"/>
      <c r="Y132" s="54"/>
      <c r="Z132" s="50"/>
      <c r="AA132" s="45"/>
      <c r="AB132" s="45"/>
      <c r="AC132" s="45"/>
      <c r="AD132" s="182"/>
      <c r="AE132" s="182"/>
      <c r="AF132" s="182"/>
    </row>
    <row r="133" spans="1:32" ht="15" customHeight="1" x14ac:dyDescent="0.2">
      <c r="A133" s="143" t="s">
        <v>160</v>
      </c>
      <c r="B133" s="44" t="s">
        <v>2087</v>
      </c>
      <c r="C133" s="44" t="s">
        <v>2106</v>
      </c>
      <c r="D133" s="45"/>
      <c r="E133" s="45" t="s">
        <v>2111</v>
      </c>
      <c r="F133" s="45"/>
      <c r="G133" s="45"/>
      <c r="H133" s="45"/>
      <c r="I133" s="45"/>
      <c r="J133" s="43"/>
      <c r="K133" s="45"/>
      <c r="L133" s="45"/>
      <c r="M133" s="126">
        <v>1</v>
      </c>
      <c r="N133" s="50"/>
      <c r="O133" s="51">
        <f>IF(OR(ISBLANK(BOM_table7[[#This Row],[SKU QTY]]),BOM_table7[[#This Row],[SKU Cost]]=0),0,BOM_table7[[#This Row],[SKU Cost]]/BOM_table7[[#This Row],[SKU QTY]])</f>
        <v>0</v>
      </c>
      <c r="P133" s="146">
        <f>IF(OR(ISBLANK(BOM_table7[[#This Row],[ASM QTY]]),ISBLANK(BOM_table7[[#This Row],[Unit Cost]])),0,BOM_table7[[#This Row],[ASM QTY]]*BOM_table7[[#This Row],[Unit Cost]])</f>
        <v>0</v>
      </c>
      <c r="Q133" s="45"/>
      <c r="R133" s="45"/>
      <c r="S133" s="93">
        <f>IF(B133="Shared All",$M$3,1)*IF(B133="Shared Science+Docking",2,1)*IF(B133="Shared Docking+Multibeam",2,1)*BOM_table7[[#This Row],[ASM QTY]]*$Q$3+BOM_table7[[#This Row],[Spare QTY Needed]]-BOM_table7[[#This Row],[QTY in Inventory]]</f>
        <v>0</v>
      </c>
      <c r="T133" s="51">
        <f>ROUNDUP((BOM_table7[[#This Row],[QTY to Order]]/BOM_table7[[#This Row],[SKU QTY]]),0)</f>
        <v>0</v>
      </c>
      <c r="U133" s="100">
        <f>BOM_table7[[#This Row],[SKU QTY to Order]]*BOM_table7[[#This Row],[SKU Cost]]</f>
        <v>0</v>
      </c>
      <c r="V133" s="50"/>
      <c r="W133" s="45"/>
      <c r="X133" s="45"/>
      <c r="Y133" s="54"/>
      <c r="Z133" s="50"/>
      <c r="AA133" s="45"/>
      <c r="AB133" s="45"/>
      <c r="AC133" s="45"/>
      <c r="AD133" s="182"/>
      <c r="AE133" s="182"/>
      <c r="AF133" s="182"/>
    </row>
    <row r="134" spans="1:32" ht="15" customHeight="1" x14ac:dyDescent="0.2">
      <c r="A134" s="143" t="s">
        <v>160</v>
      </c>
      <c r="B134" s="44" t="s">
        <v>2087</v>
      </c>
      <c r="C134" s="44" t="s">
        <v>2100</v>
      </c>
      <c r="D134" s="45"/>
      <c r="E134" s="45" t="s">
        <v>2111</v>
      </c>
      <c r="F134" s="45"/>
      <c r="G134" s="45"/>
      <c r="H134" s="45"/>
      <c r="I134" s="45"/>
      <c r="J134" s="43"/>
      <c r="K134" s="45"/>
      <c r="L134" s="45"/>
      <c r="M134" s="126">
        <v>1</v>
      </c>
      <c r="N134" s="50"/>
      <c r="O134" s="51">
        <f>IF(OR(ISBLANK(BOM_table7[[#This Row],[SKU QTY]]),BOM_table7[[#This Row],[SKU Cost]]=0),0,BOM_table7[[#This Row],[SKU Cost]]/BOM_table7[[#This Row],[SKU QTY]])</f>
        <v>0</v>
      </c>
      <c r="P134" s="146">
        <f>IF(OR(ISBLANK(BOM_table7[[#This Row],[ASM QTY]]),ISBLANK(BOM_table7[[#This Row],[Unit Cost]])),0,BOM_table7[[#This Row],[ASM QTY]]*BOM_table7[[#This Row],[Unit Cost]])</f>
        <v>0</v>
      </c>
      <c r="Q134" s="45"/>
      <c r="R134" s="45"/>
      <c r="S134" s="93">
        <f>IF(B134="Shared All",$M$3,1)*IF(B134="Shared Science+Docking",2,1)*IF(B134="Shared Docking+Multibeam",2,1)*BOM_table7[[#This Row],[ASM QTY]]*$Q$3+BOM_table7[[#This Row],[Spare QTY Needed]]-BOM_table7[[#This Row],[QTY in Inventory]]</f>
        <v>0</v>
      </c>
      <c r="T134" s="51">
        <f>ROUNDUP((BOM_table7[[#This Row],[QTY to Order]]/BOM_table7[[#This Row],[SKU QTY]]),0)</f>
        <v>0</v>
      </c>
      <c r="U134" s="100">
        <f>BOM_table7[[#This Row],[SKU QTY to Order]]*BOM_table7[[#This Row],[SKU Cost]]</f>
        <v>0</v>
      </c>
      <c r="V134" s="50"/>
      <c r="W134" s="45"/>
      <c r="X134" s="45"/>
      <c r="Y134" s="54"/>
      <c r="Z134" s="50"/>
      <c r="AA134" s="45"/>
      <c r="AB134" s="45"/>
      <c r="AC134" s="54"/>
      <c r="AD134" s="183"/>
      <c r="AE134" s="183"/>
      <c r="AF134" s="182"/>
    </row>
    <row r="135" spans="1:32" ht="15" customHeight="1" x14ac:dyDescent="0.2">
      <c r="A135" s="143" t="s">
        <v>160</v>
      </c>
      <c r="B135" s="44" t="s">
        <v>2087</v>
      </c>
      <c r="C135" s="44" t="s">
        <v>2101</v>
      </c>
      <c r="D135" s="45"/>
      <c r="E135" s="45" t="s">
        <v>2111</v>
      </c>
      <c r="F135" s="45"/>
      <c r="G135" s="45"/>
      <c r="H135" s="45"/>
      <c r="I135" s="45"/>
      <c r="J135" s="43"/>
      <c r="K135" s="45"/>
      <c r="L135" s="45"/>
      <c r="M135" s="126">
        <v>1</v>
      </c>
      <c r="N135" s="50"/>
      <c r="O135" s="51">
        <f>IF(OR(ISBLANK(BOM_table7[[#This Row],[SKU QTY]]),BOM_table7[[#This Row],[SKU Cost]]=0),0,BOM_table7[[#This Row],[SKU Cost]]/BOM_table7[[#This Row],[SKU QTY]])</f>
        <v>0</v>
      </c>
      <c r="P135" s="146">
        <f>IF(OR(ISBLANK(BOM_table7[[#This Row],[ASM QTY]]),ISBLANK(BOM_table7[[#This Row],[Unit Cost]])),0,BOM_table7[[#This Row],[ASM QTY]]*BOM_table7[[#This Row],[Unit Cost]])</f>
        <v>0</v>
      </c>
      <c r="Q135" s="45"/>
      <c r="R135" s="45"/>
      <c r="S135" s="93">
        <f>IF(B135="Shared All",$M$3,1)*IF(B135="Shared Science+Docking",2,1)*IF(B135="Shared Docking+Multibeam",2,1)*BOM_table7[[#This Row],[ASM QTY]]*$Q$3+BOM_table7[[#This Row],[Spare QTY Needed]]-BOM_table7[[#This Row],[QTY in Inventory]]</f>
        <v>0</v>
      </c>
      <c r="T135" s="51">
        <f>ROUNDUP((BOM_table7[[#This Row],[QTY to Order]]/BOM_table7[[#This Row],[SKU QTY]]),0)</f>
        <v>0</v>
      </c>
      <c r="U135" s="100">
        <f>BOM_table7[[#This Row],[SKU QTY to Order]]*BOM_table7[[#This Row],[SKU Cost]]</f>
        <v>0</v>
      </c>
      <c r="V135" s="50"/>
      <c r="W135" s="45"/>
      <c r="X135" s="45"/>
      <c r="Y135" s="54"/>
      <c r="Z135" s="50"/>
      <c r="AA135" s="45"/>
      <c r="AB135" s="45"/>
      <c r="AC135" s="54"/>
      <c r="AD135" s="183"/>
      <c r="AE135" s="183"/>
      <c r="AF135" s="182"/>
    </row>
    <row r="136" spans="1:32" ht="15" customHeight="1" x14ac:dyDescent="0.2">
      <c r="A136" s="143" t="s">
        <v>160</v>
      </c>
      <c r="B136" s="44" t="s">
        <v>2087</v>
      </c>
      <c r="C136" s="44" t="s">
        <v>2112</v>
      </c>
      <c r="D136" s="45"/>
      <c r="E136" s="45" t="s">
        <v>2111</v>
      </c>
      <c r="F136" s="45"/>
      <c r="G136" s="45"/>
      <c r="H136" s="45"/>
      <c r="I136" s="45"/>
      <c r="J136" s="43"/>
      <c r="K136" s="45"/>
      <c r="L136" s="45"/>
      <c r="M136" s="126">
        <v>1</v>
      </c>
      <c r="N136" s="50"/>
      <c r="O136" s="51">
        <f>IF(OR(ISBLANK(BOM_table7[[#This Row],[SKU QTY]]),BOM_table7[[#This Row],[SKU Cost]]=0),0,BOM_table7[[#This Row],[SKU Cost]]/BOM_table7[[#This Row],[SKU QTY]])</f>
        <v>0</v>
      </c>
      <c r="P136" s="146">
        <f>IF(OR(ISBLANK(BOM_table7[[#This Row],[ASM QTY]]),ISBLANK(BOM_table7[[#This Row],[Unit Cost]])),0,BOM_table7[[#This Row],[ASM QTY]]*BOM_table7[[#This Row],[Unit Cost]])</f>
        <v>0</v>
      </c>
      <c r="Q136" s="45"/>
      <c r="R136" s="45"/>
      <c r="S136" s="93">
        <f>IF(B136="Shared All",$M$3,1)*IF(B136="Shared Science+Docking",2,1)*IF(B136="Shared Docking+Multibeam",2,1)*BOM_table7[[#This Row],[ASM QTY]]*$Q$3+BOM_table7[[#This Row],[Spare QTY Needed]]-BOM_table7[[#This Row],[QTY in Inventory]]</f>
        <v>0</v>
      </c>
      <c r="T136" s="51">
        <f>ROUNDUP((BOM_table7[[#This Row],[QTY to Order]]/BOM_table7[[#This Row],[SKU QTY]]),0)</f>
        <v>0</v>
      </c>
      <c r="U136" s="100">
        <f>BOM_table7[[#This Row],[SKU QTY to Order]]*BOM_table7[[#This Row],[SKU Cost]]</f>
        <v>0</v>
      </c>
      <c r="V136" s="50"/>
      <c r="W136" s="45"/>
      <c r="X136" s="45"/>
      <c r="Y136" s="54"/>
      <c r="Z136" s="50"/>
      <c r="AA136" s="45"/>
      <c r="AB136" s="45"/>
      <c r="AC136" s="45"/>
      <c r="AD136" s="182"/>
      <c r="AE136" s="182"/>
      <c r="AF136" s="182"/>
    </row>
    <row r="137" spans="1:32" ht="15" customHeight="1" x14ac:dyDescent="0.2">
      <c r="A137" s="143" t="s">
        <v>160</v>
      </c>
      <c r="B137" s="44" t="s">
        <v>2087</v>
      </c>
      <c r="C137" s="44" t="s">
        <v>2107</v>
      </c>
      <c r="D137" s="45"/>
      <c r="E137" s="45" t="s">
        <v>2111</v>
      </c>
      <c r="F137" s="45"/>
      <c r="G137" s="45"/>
      <c r="H137" s="45"/>
      <c r="I137" s="45"/>
      <c r="J137" s="43"/>
      <c r="K137" s="45"/>
      <c r="L137" s="45"/>
      <c r="M137" s="126">
        <v>1</v>
      </c>
      <c r="N137" s="50"/>
      <c r="O137" s="51">
        <f>IF(OR(ISBLANK(BOM_table7[[#This Row],[SKU QTY]]),BOM_table7[[#This Row],[SKU Cost]]=0),0,BOM_table7[[#This Row],[SKU Cost]]/BOM_table7[[#This Row],[SKU QTY]])</f>
        <v>0</v>
      </c>
      <c r="P137" s="146">
        <f>IF(OR(ISBLANK(BOM_table7[[#This Row],[ASM QTY]]),ISBLANK(BOM_table7[[#This Row],[Unit Cost]])),0,BOM_table7[[#This Row],[ASM QTY]]*BOM_table7[[#This Row],[Unit Cost]])</f>
        <v>0</v>
      </c>
      <c r="Q137" s="45"/>
      <c r="R137" s="45"/>
      <c r="S137" s="93">
        <f>IF(B137="Shared All",$M$3,1)*IF(B137="Shared Science+Docking",2,1)*IF(B137="Shared Docking+Multibeam",2,1)*BOM_table7[[#This Row],[ASM QTY]]*$Q$3+BOM_table7[[#This Row],[Spare QTY Needed]]-BOM_table7[[#This Row],[QTY in Inventory]]</f>
        <v>0</v>
      </c>
      <c r="T137" s="51">
        <f>ROUNDUP((BOM_table7[[#This Row],[QTY to Order]]/BOM_table7[[#This Row],[SKU QTY]]),0)</f>
        <v>0</v>
      </c>
      <c r="U137" s="100">
        <f>BOM_table7[[#This Row],[SKU QTY to Order]]*BOM_table7[[#This Row],[SKU Cost]]</f>
        <v>0</v>
      </c>
      <c r="V137" s="50"/>
      <c r="W137" s="45"/>
      <c r="X137" s="45"/>
      <c r="Y137" s="54"/>
      <c r="Z137" s="50"/>
      <c r="AA137" s="45"/>
      <c r="AB137" s="45"/>
      <c r="AC137" s="45"/>
      <c r="AD137" s="182"/>
      <c r="AE137" s="182"/>
      <c r="AF137" s="182"/>
    </row>
    <row r="138" spans="1:32" ht="15" customHeight="1" x14ac:dyDescent="0.2">
      <c r="A138" s="143" t="s">
        <v>160</v>
      </c>
      <c r="B138" s="44" t="s">
        <v>2087</v>
      </c>
      <c r="C138" s="44" t="s">
        <v>2108</v>
      </c>
      <c r="D138" s="45"/>
      <c r="E138" s="45" t="s">
        <v>2111</v>
      </c>
      <c r="F138" s="45"/>
      <c r="G138" s="45"/>
      <c r="H138" s="45"/>
      <c r="I138" s="45"/>
      <c r="J138" s="43"/>
      <c r="K138" s="45"/>
      <c r="L138" s="45"/>
      <c r="M138" s="126">
        <v>1</v>
      </c>
      <c r="N138" s="50"/>
      <c r="O138" s="51">
        <f>IF(OR(ISBLANK(BOM_table7[[#This Row],[SKU QTY]]),BOM_table7[[#This Row],[SKU Cost]]=0),0,BOM_table7[[#This Row],[SKU Cost]]/BOM_table7[[#This Row],[SKU QTY]])</f>
        <v>0</v>
      </c>
      <c r="P138" s="146">
        <f>IF(OR(ISBLANK(BOM_table7[[#This Row],[ASM QTY]]),ISBLANK(BOM_table7[[#This Row],[Unit Cost]])),0,BOM_table7[[#This Row],[ASM QTY]]*BOM_table7[[#This Row],[Unit Cost]])</f>
        <v>0</v>
      </c>
      <c r="Q138" s="45"/>
      <c r="R138" s="45"/>
      <c r="S138" s="93">
        <f>IF(B138="Shared All",$M$3,1)*IF(B138="Shared Science+Docking",2,1)*IF(B138="Shared Docking+Multibeam",2,1)*BOM_table7[[#This Row],[ASM QTY]]*$Q$3+BOM_table7[[#This Row],[Spare QTY Needed]]-BOM_table7[[#This Row],[QTY in Inventory]]</f>
        <v>0</v>
      </c>
      <c r="T138" s="51">
        <f>ROUNDUP((BOM_table7[[#This Row],[QTY to Order]]/BOM_table7[[#This Row],[SKU QTY]]),0)</f>
        <v>0</v>
      </c>
      <c r="U138" s="100">
        <f>BOM_table7[[#This Row],[SKU QTY to Order]]*BOM_table7[[#This Row],[SKU Cost]]</f>
        <v>0</v>
      </c>
      <c r="V138" s="50"/>
      <c r="W138" s="45"/>
      <c r="X138" s="45"/>
      <c r="Y138" s="54"/>
      <c r="Z138" s="50"/>
      <c r="AA138" s="45"/>
      <c r="AB138" s="45"/>
      <c r="AC138" s="45"/>
      <c r="AD138" s="182"/>
      <c r="AE138" s="182"/>
      <c r="AF138" s="182"/>
    </row>
    <row r="139" spans="1:32" ht="15" customHeight="1" x14ac:dyDescent="0.2">
      <c r="A139" s="143" t="s">
        <v>160</v>
      </c>
      <c r="B139" s="44" t="s">
        <v>2087</v>
      </c>
      <c r="C139" s="44" t="s">
        <v>2109</v>
      </c>
      <c r="D139" s="45"/>
      <c r="E139" s="45" t="s">
        <v>2111</v>
      </c>
      <c r="F139" s="45"/>
      <c r="G139" s="45"/>
      <c r="H139" s="45"/>
      <c r="I139" s="45"/>
      <c r="J139" s="43"/>
      <c r="K139" s="45"/>
      <c r="L139" s="45"/>
      <c r="M139" s="126">
        <v>1</v>
      </c>
      <c r="N139" s="50"/>
      <c r="O139" s="51">
        <f>IF(OR(ISBLANK(BOM_table7[[#This Row],[SKU QTY]]),BOM_table7[[#This Row],[SKU Cost]]=0),0,BOM_table7[[#This Row],[SKU Cost]]/BOM_table7[[#This Row],[SKU QTY]])</f>
        <v>0</v>
      </c>
      <c r="P139" s="146">
        <f>IF(OR(ISBLANK(BOM_table7[[#This Row],[ASM QTY]]),ISBLANK(BOM_table7[[#This Row],[Unit Cost]])),0,BOM_table7[[#This Row],[ASM QTY]]*BOM_table7[[#This Row],[Unit Cost]])</f>
        <v>0</v>
      </c>
      <c r="Q139" s="45"/>
      <c r="R139" s="45"/>
      <c r="S139" s="93">
        <f>IF(B139="Shared All",$M$3,1)*IF(B139="Shared Science+Docking",2,1)*IF(B139="Shared Docking+Multibeam",2,1)*BOM_table7[[#This Row],[ASM QTY]]*$Q$3+BOM_table7[[#This Row],[Spare QTY Needed]]-BOM_table7[[#This Row],[QTY in Inventory]]</f>
        <v>0</v>
      </c>
      <c r="T139" s="51">
        <f>ROUNDUP((BOM_table7[[#This Row],[QTY to Order]]/BOM_table7[[#This Row],[SKU QTY]]),0)</f>
        <v>0</v>
      </c>
      <c r="U139" s="100">
        <f>BOM_table7[[#This Row],[SKU QTY to Order]]*BOM_table7[[#This Row],[SKU Cost]]</f>
        <v>0</v>
      </c>
      <c r="V139" s="50"/>
      <c r="W139" s="45"/>
      <c r="X139" s="45"/>
      <c r="Y139" s="54"/>
      <c r="Z139" s="50"/>
      <c r="AA139" s="45"/>
      <c r="AB139" s="45"/>
      <c r="AC139" s="45"/>
      <c r="AD139" s="182"/>
      <c r="AE139" s="182"/>
      <c r="AF139" s="182"/>
    </row>
    <row r="140" spans="1:32" ht="15" customHeight="1" x14ac:dyDescent="0.2">
      <c r="A140" s="143" t="s">
        <v>160</v>
      </c>
      <c r="B140" s="44" t="s">
        <v>2087</v>
      </c>
      <c r="C140" s="44" t="s">
        <v>2110</v>
      </c>
      <c r="D140" s="45"/>
      <c r="E140" s="45" t="s">
        <v>2111</v>
      </c>
      <c r="F140" s="45"/>
      <c r="G140" s="45"/>
      <c r="H140" s="45"/>
      <c r="I140" s="45"/>
      <c r="J140" s="43"/>
      <c r="K140" s="45"/>
      <c r="L140" s="45"/>
      <c r="M140" s="126">
        <v>1</v>
      </c>
      <c r="N140" s="50"/>
      <c r="O140" s="51">
        <f>IF(OR(ISBLANK(BOM_table7[[#This Row],[SKU QTY]]),BOM_table7[[#This Row],[SKU Cost]]=0),0,BOM_table7[[#This Row],[SKU Cost]]/BOM_table7[[#This Row],[SKU QTY]])</f>
        <v>0</v>
      </c>
      <c r="P140" s="146">
        <f>IF(OR(ISBLANK(BOM_table7[[#This Row],[ASM QTY]]),ISBLANK(BOM_table7[[#This Row],[Unit Cost]])),0,BOM_table7[[#This Row],[ASM QTY]]*BOM_table7[[#This Row],[Unit Cost]])</f>
        <v>0</v>
      </c>
      <c r="Q140" s="45"/>
      <c r="R140" s="45"/>
      <c r="S140" s="93">
        <f>IF(B140="Shared All",$M$3,1)*IF(B140="Shared Science+Docking",2,1)*IF(B140="Shared Docking+Multibeam",2,1)*BOM_table7[[#This Row],[ASM QTY]]*$Q$3+BOM_table7[[#This Row],[Spare QTY Needed]]-BOM_table7[[#This Row],[QTY in Inventory]]</f>
        <v>0</v>
      </c>
      <c r="T140" s="51">
        <f>ROUNDUP((BOM_table7[[#This Row],[QTY to Order]]/BOM_table7[[#This Row],[SKU QTY]]),0)</f>
        <v>0</v>
      </c>
      <c r="U140" s="100">
        <f>BOM_table7[[#This Row],[SKU QTY to Order]]*BOM_table7[[#This Row],[SKU Cost]]</f>
        <v>0</v>
      </c>
      <c r="V140" s="50"/>
      <c r="W140" s="45"/>
      <c r="X140" s="45"/>
      <c r="Y140" s="54"/>
      <c r="Z140" s="50"/>
      <c r="AA140" s="45"/>
      <c r="AB140" s="45"/>
      <c r="AC140" s="45"/>
      <c r="AD140" s="182"/>
      <c r="AE140" s="182"/>
      <c r="AF140" s="182"/>
    </row>
    <row r="141" spans="1:32" ht="15" customHeight="1" x14ac:dyDescent="0.2">
      <c r="A141" s="143" t="s">
        <v>160</v>
      </c>
      <c r="B141" s="44" t="s">
        <v>2087</v>
      </c>
      <c r="C141" s="44" t="s">
        <v>2113</v>
      </c>
      <c r="D141" s="45"/>
      <c r="E141" s="45" t="s">
        <v>2111</v>
      </c>
      <c r="F141" s="45"/>
      <c r="G141" s="45"/>
      <c r="H141" s="45"/>
      <c r="I141" s="45"/>
      <c r="J141" s="43"/>
      <c r="K141" s="45"/>
      <c r="L141" s="45"/>
      <c r="M141" s="126">
        <v>1</v>
      </c>
      <c r="N141" s="50"/>
      <c r="O141" s="51">
        <f>IF(OR(ISBLANK(BOM_table7[[#This Row],[SKU QTY]]),BOM_table7[[#This Row],[SKU Cost]]=0),0,BOM_table7[[#This Row],[SKU Cost]]/BOM_table7[[#This Row],[SKU QTY]])</f>
        <v>0</v>
      </c>
      <c r="P141" s="146">
        <f>IF(OR(ISBLANK(BOM_table7[[#This Row],[ASM QTY]]),ISBLANK(BOM_table7[[#This Row],[Unit Cost]])),0,BOM_table7[[#This Row],[ASM QTY]]*BOM_table7[[#This Row],[Unit Cost]])</f>
        <v>0</v>
      </c>
      <c r="Q141" s="45"/>
      <c r="R141" s="45"/>
      <c r="S141" s="93">
        <f>IF(B141="Shared All",$M$3,1)*IF(B141="Shared Science+Docking",2,1)*IF(B141="Shared Docking+Multibeam",2,1)*BOM_table7[[#This Row],[ASM QTY]]*$Q$3+BOM_table7[[#This Row],[Spare QTY Needed]]-BOM_table7[[#This Row],[QTY in Inventory]]</f>
        <v>0</v>
      </c>
      <c r="T141" s="51">
        <f>ROUNDUP((BOM_table7[[#This Row],[QTY to Order]]/BOM_table7[[#This Row],[SKU QTY]]),0)</f>
        <v>0</v>
      </c>
      <c r="U141" s="100">
        <f>BOM_table7[[#This Row],[SKU QTY to Order]]*BOM_table7[[#This Row],[SKU Cost]]</f>
        <v>0</v>
      </c>
      <c r="V141" s="50"/>
      <c r="W141" s="45"/>
      <c r="X141" s="45"/>
      <c r="Y141" s="54"/>
      <c r="Z141" s="50"/>
      <c r="AA141" s="45"/>
      <c r="AB141" s="54"/>
      <c r="AC141" s="54"/>
      <c r="AD141" s="183"/>
      <c r="AE141" s="183"/>
      <c r="AF141" s="182"/>
    </row>
    <row r="142" spans="1:32" ht="15" customHeight="1" x14ac:dyDescent="0.2">
      <c r="A142" s="143" t="s">
        <v>160</v>
      </c>
      <c r="B142" s="44" t="s">
        <v>2087</v>
      </c>
      <c r="C142" s="44" t="s">
        <v>1641</v>
      </c>
      <c r="D142" s="126">
        <v>2005122</v>
      </c>
      <c r="E142" s="45" t="s">
        <v>2111</v>
      </c>
      <c r="F142" s="126"/>
      <c r="G142" s="126">
        <v>1</v>
      </c>
      <c r="H142" s="126" t="s">
        <v>1531</v>
      </c>
      <c r="I142" s="126"/>
      <c r="J142" s="43"/>
      <c r="K142" s="126"/>
      <c r="L142" s="126" t="s">
        <v>1531</v>
      </c>
      <c r="M142" s="126">
        <v>1</v>
      </c>
      <c r="N142" s="128"/>
      <c r="O142" s="51">
        <f>IF(OR(ISBLANK(BOM_table7[[#This Row],[SKU QTY]]),BOM_table7[[#This Row],[SKU Cost]]=0),0,BOM_table7[[#This Row],[SKU Cost]]/BOM_table7[[#This Row],[SKU QTY]])</f>
        <v>0</v>
      </c>
      <c r="P142" s="146">
        <f>IF(OR(ISBLANK(BOM_table7[[#This Row],[ASM QTY]]),ISBLANK(BOM_table7[[#This Row],[Unit Cost]])),0,BOM_table7[[#This Row],[ASM QTY]]*BOM_table7[[#This Row],[Unit Cost]])</f>
        <v>0</v>
      </c>
      <c r="Q142" s="126"/>
      <c r="R142" s="126"/>
      <c r="S142" s="93">
        <f>IF(B142="Shared All",$M$3,1)*IF(B142="Shared Science+Docking",2,1)*IF(B142="Shared Docking+Multibeam",2,1)*BOM_table7[[#This Row],[ASM QTY]]*$Q$3+BOM_table7[[#This Row],[Spare QTY Needed]]-BOM_table7[[#This Row],[QTY in Inventory]]</f>
        <v>1</v>
      </c>
      <c r="T142" s="51">
        <f>ROUNDUP((BOM_table7[[#This Row],[QTY to Order]]/BOM_table7[[#This Row],[SKU QTY]]),0)</f>
        <v>1</v>
      </c>
      <c r="U142" s="100">
        <f>BOM_table7[[#This Row],[SKU QTY to Order]]*BOM_table7[[#This Row],[SKU Cost]]</f>
        <v>0</v>
      </c>
      <c r="V142" s="128"/>
      <c r="W142" s="126"/>
      <c r="X142" s="126"/>
      <c r="Y142" s="130"/>
      <c r="Z142" s="128"/>
      <c r="AA142" s="126"/>
      <c r="AB142" s="130"/>
      <c r="AC142" s="126"/>
      <c r="AD142" s="182"/>
      <c r="AE142" s="182"/>
      <c r="AF142" s="182"/>
    </row>
    <row r="143" spans="1:32" ht="15" customHeight="1" x14ac:dyDescent="0.2">
      <c r="A143" s="143" t="s">
        <v>160</v>
      </c>
      <c r="B143" s="44" t="s">
        <v>2087</v>
      </c>
      <c r="C143" s="127" t="s">
        <v>1642</v>
      </c>
      <c r="D143" s="126">
        <v>2005123</v>
      </c>
      <c r="E143" s="45" t="s">
        <v>2111</v>
      </c>
      <c r="F143" s="126"/>
      <c r="G143" s="126">
        <v>1</v>
      </c>
      <c r="H143" s="126" t="s">
        <v>1531</v>
      </c>
      <c r="I143" s="126"/>
      <c r="J143" s="43"/>
      <c r="K143" s="126"/>
      <c r="L143" s="126" t="s">
        <v>1531</v>
      </c>
      <c r="M143" s="126">
        <v>1</v>
      </c>
      <c r="N143" s="128"/>
      <c r="O143" s="51">
        <f>IF(OR(ISBLANK(BOM_table7[[#This Row],[SKU QTY]]),BOM_table7[[#This Row],[SKU Cost]]=0),0,BOM_table7[[#This Row],[SKU Cost]]/BOM_table7[[#This Row],[SKU QTY]])</f>
        <v>0</v>
      </c>
      <c r="P143" s="146">
        <f>IF(OR(ISBLANK(BOM_table7[[#This Row],[ASM QTY]]),ISBLANK(BOM_table7[[#This Row],[Unit Cost]])),0,BOM_table7[[#This Row],[ASM QTY]]*BOM_table7[[#This Row],[Unit Cost]])</f>
        <v>0</v>
      </c>
      <c r="Q143" s="126"/>
      <c r="R143" s="126"/>
      <c r="S143" s="93">
        <f>IF(B143="Shared All",$M$3,1)*IF(B143="Shared Science+Docking",2,1)*IF(B143="Shared Docking+Multibeam",2,1)*BOM_table7[[#This Row],[ASM QTY]]*$Q$3+BOM_table7[[#This Row],[Spare QTY Needed]]-BOM_table7[[#This Row],[QTY in Inventory]]</f>
        <v>1</v>
      </c>
      <c r="T143" s="51">
        <f>ROUNDUP((BOM_table7[[#This Row],[QTY to Order]]/BOM_table7[[#This Row],[SKU QTY]]),0)</f>
        <v>1</v>
      </c>
      <c r="U143" s="100">
        <f>BOM_table7[[#This Row],[SKU QTY to Order]]*BOM_table7[[#This Row],[SKU Cost]]</f>
        <v>0</v>
      </c>
      <c r="V143" s="128"/>
      <c r="W143" s="126"/>
      <c r="X143" s="126"/>
      <c r="Y143" s="130"/>
      <c r="Z143" s="128"/>
      <c r="AA143" s="126"/>
      <c r="AB143" s="130"/>
      <c r="AC143" s="126"/>
      <c r="AD143" s="182"/>
      <c r="AE143" s="182"/>
      <c r="AF143" s="182"/>
    </row>
    <row r="144" spans="1:32" ht="15" customHeight="1" x14ac:dyDescent="0.2">
      <c r="A144" s="143" t="s">
        <v>160</v>
      </c>
      <c r="B144" s="44" t="s">
        <v>2087</v>
      </c>
      <c r="C144" s="127" t="s">
        <v>1643</v>
      </c>
      <c r="D144" s="126">
        <v>2005123</v>
      </c>
      <c r="E144" s="45" t="s">
        <v>2111</v>
      </c>
      <c r="F144" s="126"/>
      <c r="G144" s="126">
        <v>1</v>
      </c>
      <c r="H144" s="126" t="s">
        <v>1531</v>
      </c>
      <c r="I144" s="126"/>
      <c r="J144" s="43"/>
      <c r="K144" s="126"/>
      <c r="L144" s="126" t="s">
        <v>1531</v>
      </c>
      <c r="M144" s="126">
        <v>1</v>
      </c>
      <c r="N144" s="128"/>
      <c r="O144" s="51">
        <f>IF(OR(ISBLANK(BOM_table7[[#This Row],[SKU QTY]]),BOM_table7[[#This Row],[SKU Cost]]=0),0,BOM_table7[[#This Row],[SKU Cost]]/BOM_table7[[#This Row],[SKU QTY]])</f>
        <v>0</v>
      </c>
      <c r="P144" s="146">
        <f>IF(OR(ISBLANK(BOM_table7[[#This Row],[ASM QTY]]),ISBLANK(BOM_table7[[#This Row],[Unit Cost]])),0,BOM_table7[[#This Row],[ASM QTY]]*BOM_table7[[#This Row],[Unit Cost]])</f>
        <v>0</v>
      </c>
      <c r="Q144" s="126"/>
      <c r="R144" s="126"/>
      <c r="S144" s="93">
        <f>IF(B144="Shared All",$M$3,1)*IF(B144="Shared Science+Docking",2,1)*IF(B144="Shared Docking+Multibeam",2,1)*BOM_table7[[#This Row],[ASM QTY]]*$Q$3+BOM_table7[[#This Row],[Spare QTY Needed]]-BOM_table7[[#This Row],[QTY in Inventory]]</f>
        <v>1</v>
      </c>
      <c r="T144" s="51">
        <f>ROUNDUP((BOM_table7[[#This Row],[QTY to Order]]/BOM_table7[[#This Row],[SKU QTY]]),0)</f>
        <v>1</v>
      </c>
      <c r="U144" s="100">
        <f>BOM_table7[[#This Row],[SKU QTY to Order]]*BOM_table7[[#This Row],[SKU Cost]]</f>
        <v>0</v>
      </c>
      <c r="V144" s="128"/>
      <c r="W144" s="126"/>
      <c r="X144" s="126"/>
      <c r="Y144" s="130"/>
      <c r="Z144" s="128"/>
      <c r="AA144" s="126"/>
      <c r="AB144" s="130"/>
      <c r="AC144" s="126"/>
      <c r="AD144" s="182"/>
      <c r="AE144" s="182"/>
      <c r="AF144" s="182"/>
    </row>
    <row r="145" spans="1:32" ht="15" customHeight="1" x14ac:dyDescent="0.2">
      <c r="A145" s="143" t="s">
        <v>160</v>
      </c>
      <c r="B145" s="44" t="s">
        <v>2088</v>
      </c>
      <c r="C145" s="143" t="s">
        <v>1899</v>
      </c>
      <c r="D145" s="144">
        <v>107238</v>
      </c>
      <c r="E145" s="144" t="s">
        <v>1900</v>
      </c>
      <c r="F145" s="144" t="s">
        <v>152</v>
      </c>
      <c r="G145" s="144">
        <v>1</v>
      </c>
      <c r="H145" s="144" t="s">
        <v>1430</v>
      </c>
      <c r="I145" s="144"/>
      <c r="J145" s="150"/>
      <c r="K145" s="144" t="s">
        <v>169</v>
      </c>
      <c r="L145" s="45" t="s">
        <v>1528</v>
      </c>
      <c r="M145" s="126">
        <v>1</v>
      </c>
      <c r="N145" s="145"/>
      <c r="O145" s="51">
        <f>IF(OR(ISBLANK(BOM_table7[[#This Row],[SKU QTY]]),BOM_table7[[#This Row],[SKU Cost]]=0),0,BOM_table7[[#This Row],[SKU Cost]]/BOM_table7[[#This Row],[SKU QTY]])</f>
        <v>0</v>
      </c>
      <c r="P145" s="146">
        <f>IF(OR(ISBLANK(BOM_table7[[#This Row],[ASM QTY]]),ISBLANK(BOM_table7[[#This Row],[Unit Cost]])),0,BOM_table7[[#This Row],[ASM QTY]]*BOM_table7[[#This Row],[Unit Cost]])</f>
        <v>0</v>
      </c>
      <c r="Q145" s="144"/>
      <c r="R145" s="144"/>
      <c r="S145" s="93">
        <f>IF(B145="Shared All",$M$3,1)*IF(B145="Shared Science+Docking",2,1)*IF(B145="Shared Docking+Multibeam",2,1)*BOM_table7[[#This Row],[ASM QTY]]*$Q$3+BOM_table7[[#This Row],[Spare QTY Needed]]-BOM_table7[[#This Row],[QTY in Inventory]]</f>
        <v>1</v>
      </c>
      <c r="T145" s="146">
        <f>ROUNDUP((BOM_table7[[#This Row],[QTY to Order]]/BOM_table7[[#This Row],[SKU QTY]]),0)</f>
        <v>1</v>
      </c>
      <c r="U145" s="100">
        <f>BOM_table7[[#This Row],[SKU QTY to Order]]*BOM_table7[[#This Row],[SKU Cost]]</f>
        <v>0</v>
      </c>
      <c r="V145" s="45"/>
      <c r="W145" s="45"/>
      <c r="X145" s="148"/>
      <c r="Y145" s="144"/>
      <c r="Z145" s="144"/>
      <c r="AA145" s="148"/>
      <c r="AB145" s="148"/>
      <c r="AC145" s="149"/>
      <c r="AD145" s="182"/>
      <c r="AE145" s="182"/>
      <c r="AF145" s="182"/>
    </row>
    <row r="146" spans="1:32" ht="15" customHeight="1" x14ac:dyDescent="0.2">
      <c r="A146" s="143" t="s">
        <v>160</v>
      </c>
      <c r="B146" s="44" t="s">
        <v>2088</v>
      </c>
      <c r="C146" s="143" t="s">
        <v>1901</v>
      </c>
      <c r="D146" s="144">
        <v>107241</v>
      </c>
      <c r="E146" s="144" t="s">
        <v>1900</v>
      </c>
      <c r="F146" s="144" t="s">
        <v>152</v>
      </c>
      <c r="G146" s="144">
        <v>1</v>
      </c>
      <c r="H146" s="144" t="s">
        <v>1430</v>
      </c>
      <c r="I146" s="144"/>
      <c r="J146" s="150"/>
      <c r="K146" s="144" t="s">
        <v>169</v>
      </c>
      <c r="L146" s="45" t="s">
        <v>1528</v>
      </c>
      <c r="M146" s="126">
        <v>1</v>
      </c>
      <c r="N146" s="145"/>
      <c r="O146" s="51">
        <f>IF(OR(ISBLANK(BOM_table7[[#This Row],[SKU QTY]]),BOM_table7[[#This Row],[SKU Cost]]=0),0,BOM_table7[[#This Row],[SKU Cost]]/BOM_table7[[#This Row],[SKU QTY]])</f>
        <v>0</v>
      </c>
      <c r="P146" s="146">
        <f>IF(OR(ISBLANK(BOM_table7[[#This Row],[ASM QTY]]),ISBLANK(BOM_table7[[#This Row],[Unit Cost]])),0,BOM_table7[[#This Row],[ASM QTY]]*BOM_table7[[#This Row],[Unit Cost]])</f>
        <v>0</v>
      </c>
      <c r="Q146" s="144"/>
      <c r="R146" s="144"/>
      <c r="S146" s="93">
        <f>IF(B146="Shared All",$M$3,1)*IF(B146="Shared Science+Docking",2,1)*IF(B146="Shared Docking+Multibeam",2,1)*BOM_table7[[#This Row],[ASM QTY]]*$Q$3+BOM_table7[[#This Row],[Spare QTY Needed]]-BOM_table7[[#This Row],[QTY in Inventory]]</f>
        <v>1</v>
      </c>
      <c r="T146" s="146">
        <f>ROUNDUP((BOM_table7[[#This Row],[QTY to Order]]/BOM_table7[[#This Row],[SKU QTY]]),0)</f>
        <v>1</v>
      </c>
      <c r="U146" s="100">
        <f>BOM_table7[[#This Row],[SKU QTY to Order]]*BOM_table7[[#This Row],[SKU Cost]]</f>
        <v>0</v>
      </c>
      <c r="V146" s="45"/>
      <c r="W146" s="45"/>
      <c r="X146" s="148"/>
      <c r="Y146" s="144"/>
      <c r="Z146" s="144"/>
      <c r="AA146" s="148"/>
      <c r="AB146" s="148"/>
      <c r="AC146" s="149"/>
      <c r="AD146" s="182"/>
      <c r="AE146" s="182"/>
      <c r="AF146" s="182"/>
    </row>
    <row r="147" spans="1:32" ht="15" customHeight="1" x14ac:dyDescent="0.2">
      <c r="A147" s="143" t="s">
        <v>160</v>
      </c>
      <c r="B147" s="44" t="s">
        <v>2088</v>
      </c>
      <c r="C147" s="44" t="s">
        <v>1902</v>
      </c>
      <c r="D147" s="144"/>
      <c r="E147" s="144" t="s">
        <v>1900</v>
      </c>
      <c r="F147" s="144"/>
      <c r="G147" s="144">
        <v>1</v>
      </c>
      <c r="H147" s="45" t="s">
        <v>514</v>
      </c>
      <c r="I147" s="144"/>
      <c r="J147" s="43"/>
      <c r="K147" s="144" t="s">
        <v>166</v>
      </c>
      <c r="L147" s="144"/>
      <c r="M147" s="126">
        <v>1</v>
      </c>
      <c r="N147" s="145"/>
      <c r="O147" s="51">
        <f>IF(OR(ISBLANK(BOM_table7[[#This Row],[SKU QTY]]),BOM_table7[[#This Row],[SKU Cost]]=0),0,BOM_table7[[#This Row],[SKU Cost]]/BOM_table7[[#This Row],[SKU QTY]])</f>
        <v>0</v>
      </c>
      <c r="P147" s="146">
        <f>IF(OR(ISBLANK(BOM_table7[[#This Row],[ASM QTY]]),ISBLANK(BOM_table7[[#This Row],[Unit Cost]])),0,BOM_table7[[#This Row],[ASM QTY]]*BOM_table7[[#This Row],[Unit Cost]])</f>
        <v>0</v>
      </c>
      <c r="Q147" s="144"/>
      <c r="R147" s="144"/>
      <c r="S147" s="93">
        <f>IF(B147="Shared All",$M$3,1)*IF(B147="Shared Science+Docking",2,1)*IF(B147="Shared Docking+Multibeam",2,1)*BOM_table7[[#This Row],[ASM QTY]]*$Q$3+BOM_table7[[#This Row],[Spare QTY Needed]]-BOM_table7[[#This Row],[QTY in Inventory]]</f>
        <v>1</v>
      </c>
      <c r="T147" s="146">
        <f>ROUNDUP((BOM_table7[[#This Row],[QTY to Order]]/BOM_table7[[#This Row],[SKU QTY]]),0)</f>
        <v>1</v>
      </c>
      <c r="U147" s="100">
        <f>BOM_table7[[#This Row],[SKU QTY to Order]]*BOM_table7[[#This Row],[SKU Cost]]</f>
        <v>0</v>
      </c>
      <c r="V147" s="144"/>
      <c r="W147" s="144"/>
      <c r="X147" s="148"/>
      <c r="Y147" s="144"/>
      <c r="Z147" s="144"/>
      <c r="AA147" s="148"/>
      <c r="AB147" s="148"/>
      <c r="AC147" s="149"/>
      <c r="AD147" s="182"/>
      <c r="AE147" s="182"/>
      <c r="AF147" s="182"/>
    </row>
    <row r="148" spans="1:32" ht="15" customHeight="1" x14ac:dyDescent="0.2">
      <c r="A148" s="143" t="s">
        <v>160</v>
      </c>
      <c r="B148" s="44" t="s">
        <v>2088</v>
      </c>
      <c r="C148" s="143" t="s">
        <v>1903</v>
      </c>
      <c r="D148" s="144" t="s">
        <v>1904</v>
      </c>
      <c r="E148" s="144" t="s">
        <v>1900</v>
      </c>
      <c r="F148" s="144"/>
      <c r="G148" s="144">
        <v>1</v>
      </c>
      <c r="H148" s="144" t="s">
        <v>1274</v>
      </c>
      <c r="I148" s="144"/>
      <c r="J148" s="150"/>
      <c r="K148" s="144" t="s">
        <v>166</v>
      </c>
      <c r="L148" s="144"/>
      <c r="M148" s="126">
        <v>1</v>
      </c>
      <c r="N148" s="145"/>
      <c r="O148" s="51">
        <f>IF(OR(ISBLANK(BOM_table7[[#This Row],[SKU QTY]]),BOM_table7[[#This Row],[SKU Cost]]=0),0,BOM_table7[[#This Row],[SKU Cost]]/BOM_table7[[#This Row],[SKU QTY]])</f>
        <v>0</v>
      </c>
      <c r="P148" s="146">
        <f>IF(OR(ISBLANK(BOM_table7[[#This Row],[ASM QTY]]),ISBLANK(BOM_table7[[#This Row],[Unit Cost]])),0,BOM_table7[[#This Row],[ASM QTY]]*BOM_table7[[#This Row],[Unit Cost]])</f>
        <v>0</v>
      </c>
      <c r="Q148" s="144"/>
      <c r="R148" s="144"/>
      <c r="S148" s="93">
        <f>IF(B148="Shared All",$M$3,1)*IF(B148="Shared Science+Docking",2,1)*IF(B148="Shared Docking+Multibeam",2,1)*BOM_table7[[#This Row],[ASM QTY]]*$Q$3+BOM_table7[[#This Row],[Spare QTY Needed]]-BOM_table7[[#This Row],[QTY in Inventory]]</f>
        <v>1</v>
      </c>
      <c r="T148" s="146">
        <f>ROUNDUP((BOM_table7[[#This Row],[QTY to Order]]/BOM_table7[[#This Row],[SKU QTY]]),0)</f>
        <v>1</v>
      </c>
      <c r="U148" s="100">
        <f>BOM_table7[[#This Row],[SKU QTY to Order]]*BOM_table7[[#This Row],[SKU Cost]]</f>
        <v>0</v>
      </c>
      <c r="V148" s="45"/>
      <c r="W148" s="45"/>
      <c r="X148" s="148"/>
      <c r="Y148" s="144"/>
      <c r="Z148" s="144"/>
      <c r="AA148" s="148"/>
      <c r="AB148" s="148"/>
      <c r="AC148" s="149"/>
      <c r="AD148" s="182"/>
      <c r="AE148" s="182"/>
      <c r="AF148" s="182"/>
    </row>
    <row r="149" spans="1:32" ht="15" customHeight="1" x14ac:dyDescent="0.2">
      <c r="A149" s="143" t="s">
        <v>160</v>
      </c>
      <c r="B149" s="44" t="s">
        <v>2088</v>
      </c>
      <c r="C149" s="143" t="s">
        <v>1905</v>
      </c>
      <c r="D149" s="144">
        <v>108593</v>
      </c>
      <c r="E149" s="144" t="s">
        <v>1900</v>
      </c>
      <c r="F149" s="144" t="s">
        <v>152</v>
      </c>
      <c r="G149" s="144">
        <v>1</v>
      </c>
      <c r="H149" s="144" t="s">
        <v>1430</v>
      </c>
      <c r="I149" s="144"/>
      <c r="J149" s="150"/>
      <c r="K149" s="144" t="s">
        <v>169</v>
      </c>
      <c r="L149" s="45" t="s">
        <v>1528</v>
      </c>
      <c r="M149" s="126">
        <v>1</v>
      </c>
      <c r="N149" s="145"/>
      <c r="O149" s="51">
        <f>IF(OR(ISBLANK(BOM_table7[[#This Row],[SKU QTY]]),BOM_table7[[#This Row],[SKU Cost]]=0),0,BOM_table7[[#This Row],[SKU Cost]]/BOM_table7[[#This Row],[SKU QTY]])</f>
        <v>0</v>
      </c>
      <c r="P149" s="146">
        <f>IF(OR(ISBLANK(BOM_table7[[#This Row],[ASM QTY]]),ISBLANK(BOM_table7[[#This Row],[Unit Cost]])),0,BOM_table7[[#This Row],[ASM QTY]]*BOM_table7[[#This Row],[Unit Cost]])</f>
        <v>0</v>
      </c>
      <c r="Q149" s="144"/>
      <c r="R149" s="144"/>
      <c r="S149" s="93">
        <f>IF(B149="Shared All",$M$3,1)*IF(B149="Shared Science+Docking",2,1)*IF(B149="Shared Docking+Multibeam",2,1)*BOM_table7[[#This Row],[ASM QTY]]*$Q$3+BOM_table7[[#This Row],[Spare QTY Needed]]-BOM_table7[[#This Row],[QTY in Inventory]]</f>
        <v>1</v>
      </c>
      <c r="T149" s="146">
        <f>ROUNDUP((BOM_table7[[#This Row],[QTY to Order]]/BOM_table7[[#This Row],[SKU QTY]]),0)</f>
        <v>1</v>
      </c>
      <c r="U149" s="100">
        <f>BOM_table7[[#This Row],[SKU QTY to Order]]*BOM_table7[[#This Row],[SKU Cost]]</f>
        <v>0</v>
      </c>
      <c r="V149" s="45"/>
      <c r="W149" s="45"/>
      <c r="X149" s="148"/>
      <c r="Y149" s="144"/>
      <c r="Z149" s="144"/>
      <c r="AA149" s="148"/>
      <c r="AB149" s="148"/>
      <c r="AC149" s="149"/>
      <c r="AD149" s="182"/>
      <c r="AE149" s="182"/>
      <c r="AF149" s="182"/>
    </row>
    <row r="150" spans="1:32" ht="15" customHeight="1" x14ac:dyDescent="0.2">
      <c r="A150" s="143" t="s">
        <v>160</v>
      </c>
      <c r="B150" s="44" t="s">
        <v>2088</v>
      </c>
      <c r="C150" s="143" t="s">
        <v>1906</v>
      </c>
      <c r="D150" s="144">
        <v>107767</v>
      </c>
      <c r="E150" s="144" t="s">
        <v>1900</v>
      </c>
      <c r="F150" s="144" t="s">
        <v>152</v>
      </c>
      <c r="G150" s="144">
        <v>1</v>
      </c>
      <c r="H150" s="144" t="s">
        <v>1430</v>
      </c>
      <c r="I150" s="144"/>
      <c r="J150" s="150"/>
      <c r="K150" s="144" t="s">
        <v>169</v>
      </c>
      <c r="L150" s="45" t="s">
        <v>1528</v>
      </c>
      <c r="M150" s="126">
        <v>1</v>
      </c>
      <c r="N150" s="145"/>
      <c r="O150" s="51">
        <f>IF(OR(ISBLANK(BOM_table7[[#This Row],[SKU QTY]]),BOM_table7[[#This Row],[SKU Cost]]=0),0,BOM_table7[[#This Row],[SKU Cost]]/BOM_table7[[#This Row],[SKU QTY]])</f>
        <v>0</v>
      </c>
      <c r="P150" s="146">
        <f>IF(OR(ISBLANK(BOM_table7[[#This Row],[ASM QTY]]),ISBLANK(BOM_table7[[#This Row],[Unit Cost]])),0,BOM_table7[[#This Row],[ASM QTY]]*BOM_table7[[#This Row],[Unit Cost]])</f>
        <v>0</v>
      </c>
      <c r="Q150" s="144"/>
      <c r="R150" s="144"/>
      <c r="S150" s="93">
        <f>IF(B150="Shared All",$M$3,1)*IF(B150="Shared Science+Docking",2,1)*IF(B150="Shared Docking+Multibeam",2,1)*BOM_table7[[#This Row],[ASM QTY]]*$Q$3+BOM_table7[[#This Row],[Spare QTY Needed]]-BOM_table7[[#This Row],[QTY in Inventory]]</f>
        <v>1</v>
      </c>
      <c r="T150" s="146">
        <f>ROUNDUP((BOM_table7[[#This Row],[QTY to Order]]/BOM_table7[[#This Row],[SKU QTY]]),0)</f>
        <v>1</v>
      </c>
      <c r="U150" s="100">
        <f>BOM_table7[[#This Row],[SKU QTY to Order]]*BOM_table7[[#This Row],[SKU Cost]]</f>
        <v>0</v>
      </c>
      <c r="V150" s="45"/>
      <c r="W150" s="45"/>
      <c r="X150" s="148"/>
      <c r="Y150" s="144"/>
      <c r="Z150" s="144"/>
      <c r="AA150" s="148"/>
      <c r="AB150" s="148"/>
      <c r="AC150" s="149"/>
      <c r="AD150" s="182"/>
      <c r="AE150" s="182"/>
      <c r="AF150" s="182"/>
    </row>
    <row r="151" spans="1:32" ht="15" customHeight="1" x14ac:dyDescent="0.2">
      <c r="A151" s="143" t="s">
        <v>160</v>
      </c>
      <c r="B151" s="44" t="s">
        <v>2088</v>
      </c>
      <c r="C151" s="143" t="s">
        <v>1907</v>
      </c>
      <c r="D151" s="144">
        <v>107766</v>
      </c>
      <c r="E151" s="144" t="s">
        <v>1900</v>
      </c>
      <c r="F151" s="144" t="s">
        <v>233</v>
      </c>
      <c r="G151" s="144">
        <v>1</v>
      </c>
      <c r="H151" s="144" t="s">
        <v>1430</v>
      </c>
      <c r="I151" s="144"/>
      <c r="J151" s="150"/>
      <c r="K151" s="144" t="s">
        <v>169</v>
      </c>
      <c r="L151" s="45" t="s">
        <v>1528</v>
      </c>
      <c r="M151" s="126">
        <v>1</v>
      </c>
      <c r="N151" s="145"/>
      <c r="O151" s="51">
        <f>IF(OR(ISBLANK(BOM_table7[[#This Row],[SKU QTY]]),BOM_table7[[#This Row],[SKU Cost]]=0),0,BOM_table7[[#This Row],[SKU Cost]]/BOM_table7[[#This Row],[SKU QTY]])</f>
        <v>0</v>
      </c>
      <c r="P151" s="146">
        <f>IF(OR(ISBLANK(BOM_table7[[#This Row],[ASM QTY]]),ISBLANK(BOM_table7[[#This Row],[Unit Cost]])),0,BOM_table7[[#This Row],[ASM QTY]]*BOM_table7[[#This Row],[Unit Cost]])</f>
        <v>0</v>
      </c>
      <c r="Q151" s="144"/>
      <c r="R151" s="144"/>
      <c r="S151" s="93">
        <f>IF(B151="Shared All",$M$3,1)*IF(B151="Shared Science+Docking",2,1)*IF(B151="Shared Docking+Multibeam",2,1)*BOM_table7[[#This Row],[ASM QTY]]*$Q$3+BOM_table7[[#This Row],[Spare QTY Needed]]-BOM_table7[[#This Row],[QTY in Inventory]]</f>
        <v>1</v>
      </c>
      <c r="T151" s="146">
        <f>ROUNDUP((BOM_table7[[#This Row],[QTY to Order]]/BOM_table7[[#This Row],[SKU QTY]]),0)</f>
        <v>1</v>
      </c>
      <c r="U151" s="100">
        <f>BOM_table7[[#This Row],[SKU QTY to Order]]*BOM_table7[[#This Row],[SKU Cost]]</f>
        <v>0</v>
      </c>
      <c r="V151" s="45"/>
      <c r="W151" s="45"/>
      <c r="X151" s="148"/>
      <c r="Y151" s="144"/>
      <c r="Z151" s="144"/>
      <c r="AA151" s="148"/>
      <c r="AB151" s="148"/>
      <c r="AC151" s="149"/>
      <c r="AD151" s="182"/>
      <c r="AE151" s="182"/>
      <c r="AF151" s="182"/>
    </row>
    <row r="152" spans="1:32" ht="15" customHeight="1" x14ac:dyDescent="0.2">
      <c r="A152" s="143" t="s">
        <v>161</v>
      </c>
      <c r="B152" s="44" t="s">
        <v>2088</v>
      </c>
      <c r="C152" s="143" t="s">
        <v>1908</v>
      </c>
      <c r="D152" s="144" t="s">
        <v>530</v>
      </c>
      <c r="E152" s="144" t="s">
        <v>1900</v>
      </c>
      <c r="F152" s="144"/>
      <c r="G152" s="144">
        <v>1</v>
      </c>
      <c r="H152" s="144" t="s">
        <v>1274</v>
      </c>
      <c r="I152" s="144"/>
      <c r="J152" s="150"/>
      <c r="K152" s="144" t="s">
        <v>166</v>
      </c>
      <c r="L152" s="144"/>
      <c r="M152" s="126">
        <v>1</v>
      </c>
      <c r="N152" s="145"/>
      <c r="O152" s="51">
        <f>IF(OR(ISBLANK(BOM_table7[[#This Row],[SKU QTY]]),BOM_table7[[#This Row],[SKU Cost]]=0),0,BOM_table7[[#This Row],[SKU Cost]]/BOM_table7[[#This Row],[SKU QTY]])</f>
        <v>0</v>
      </c>
      <c r="P152" s="146">
        <f>IF(OR(ISBLANK(BOM_table7[[#This Row],[ASM QTY]]),ISBLANK(BOM_table7[[#This Row],[Unit Cost]])),0,BOM_table7[[#This Row],[ASM QTY]]*BOM_table7[[#This Row],[Unit Cost]])</f>
        <v>0</v>
      </c>
      <c r="Q152" s="144"/>
      <c r="R152" s="144"/>
      <c r="S152" s="93">
        <f>IF(B152="Shared All",$M$3,1)*IF(B152="Shared Science+Docking",2,1)*IF(B152="Shared Docking+Multibeam",2,1)*BOM_table7[[#This Row],[ASM QTY]]*$Q$3+BOM_table7[[#This Row],[Spare QTY Needed]]-BOM_table7[[#This Row],[QTY in Inventory]]</f>
        <v>1</v>
      </c>
      <c r="T152" s="146">
        <f>ROUNDUP((BOM_table7[[#This Row],[QTY to Order]]/BOM_table7[[#This Row],[SKU QTY]]),0)</f>
        <v>1</v>
      </c>
      <c r="U152" s="100">
        <f>BOM_table7[[#This Row],[SKU QTY to Order]]*BOM_table7[[#This Row],[SKU Cost]]</f>
        <v>0</v>
      </c>
      <c r="V152" s="45"/>
      <c r="W152" s="45"/>
      <c r="X152" s="148"/>
      <c r="Y152" s="144"/>
      <c r="Z152" s="144"/>
      <c r="AA152" s="148"/>
      <c r="AB152" s="148"/>
      <c r="AC152" s="149"/>
      <c r="AD152" s="182"/>
      <c r="AE152" s="182"/>
      <c r="AF152" s="182"/>
    </row>
    <row r="153" spans="1:32" ht="15" customHeight="1" x14ac:dyDescent="0.2">
      <c r="A153" s="143" t="s">
        <v>160</v>
      </c>
      <c r="B153" s="44" t="s">
        <v>2088</v>
      </c>
      <c r="C153" s="44" t="s">
        <v>2055</v>
      </c>
      <c r="D153" s="169">
        <v>105461</v>
      </c>
      <c r="E153" s="144" t="s">
        <v>1891</v>
      </c>
      <c r="F153" s="144"/>
      <c r="G153" s="144">
        <v>1</v>
      </c>
      <c r="H153" s="45" t="s">
        <v>2052</v>
      </c>
      <c r="I153" s="144"/>
      <c r="J153" s="43" t="s">
        <v>2074</v>
      </c>
      <c r="K153" s="144" t="s">
        <v>169</v>
      </c>
      <c r="L153" s="144"/>
      <c r="M153" s="126">
        <v>1</v>
      </c>
      <c r="N153" s="145"/>
      <c r="O153" s="51">
        <f>IF(OR(ISBLANK(BOM_table7[[#This Row],[SKU QTY]]),BOM_table7[[#This Row],[SKU Cost]]=0),0,BOM_table7[[#This Row],[SKU Cost]]/BOM_table7[[#This Row],[SKU QTY]])</f>
        <v>0</v>
      </c>
      <c r="P153" s="146">
        <f>IF(OR(ISBLANK(BOM_table7[[#This Row],[ASM QTY]]),ISBLANK(BOM_table7[[#This Row],[Unit Cost]])),0,BOM_table7[[#This Row],[ASM QTY]]*BOM_table7[[#This Row],[Unit Cost]])</f>
        <v>0</v>
      </c>
      <c r="Q153" s="144"/>
      <c r="R153" s="144"/>
      <c r="S153" s="93">
        <f>IF(B153="Shared All",$M$3,1)*IF(B153="Shared Science+Docking",2,1)*IF(B153="Shared Docking+Multibeam",2,1)*BOM_table7[[#This Row],[ASM QTY]]*$Q$3+BOM_table7[[#This Row],[Spare QTY Needed]]-BOM_table7[[#This Row],[QTY in Inventory]]</f>
        <v>1</v>
      </c>
      <c r="T153" s="146">
        <f>ROUNDUP((BOM_table7[[#This Row],[QTY to Order]]/BOM_table7[[#This Row],[SKU QTY]]),0)</f>
        <v>1</v>
      </c>
      <c r="U153" s="100">
        <f>BOM_table7[[#This Row],[SKU QTY to Order]]*BOM_table7[[#This Row],[SKU Cost]]</f>
        <v>0</v>
      </c>
      <c r="V153" s="144"/>
      <c r="W153" s="144"/>
      <c r="X153" s="147"/>
      <c r="Y153" s="144"/>
      <c r="Z153" s="144"/>
      <c r="AA153" s="148"/>
      <c r="AB153" s="148"/>
      <c r="AC153" s="43"/>
      <c r="AD153" s="182"/>
      <c r="AE153" s="182"/>
      <c r="AF153" s="182"/>
    </row>
    <row r="154" spans="1:32" ht="15" customHeight="1" x14ac:dyDescent="0.2">
      <c r="A154" s="143" t="s">
        <v>160</v>
      </c>
      <c r="B154" s="44" t="s">
        <v>2088</v>
      </c>
      <c r="C154" s="143" t="s">
        <v>1889</v>
      </c>
      <c r="D154" s="144" t="s">
        <v>1890</v>
      </c>
      <c r="E154" s="144" t="s">
        <v>1891</v>
      </c>
      <c r="F154" s="144" t="s">
        <v>233</v>
      </c>
      <c r="G154" s="144">
        <v>1</v>
      </c>
      <c r="H154" s="45" t="s">
        <v>2052</v>
      </c>
      <c r="I154" s="144"/>
      <c r="J154" s="43" t="s">
        <v>2074</v>
      </c>
      <c r="K154" s="144" t="s">
        <v>169</v>
      </c>
      <c r="L154" s="144"/>
      <c r="M154" s="126">
        <v>1</v>
      </c>
      <c r="N154" s="145"/>
      <c r="O154" s="51">
        <f>IF(OR(ISBLANK(BOM_table7[[#This Row],[SKU QTY]]),BOM_table7[[#This Row],[SKU Cost]]=0),0,BOM_table7[[#This Row],[SKU Cost]]/BOM_table7[[#This Row],[SKU QTY]])</f>
        <v>0</v>
      </c>
      <c r="P154" s="146">
        <f>IF(OR(ISBLANK(BOM_table7[[#This Row],[ASM QTY]]),ISBLANK(BOM_table7[[#This Row],[Unit Cost]])),0,BOM_table7[[#This Row],[ASM QTY]]*BOM_table7[[#This Row],[Unit Cost]])</f>
        <v>0</v>
      </c>
      <c r="Q154" s="144"/>
      <c r="R154" s="144"/>
      <c r="S154" s="93">
        <f>IF(B154="Shared All",$M$3,1)*IF(B154="Shared Science+Docking",2,1)*IF(B154="Shared Docking+Multibeam",2,1)*BOM_table7[[#This Row],[ASM QTY]]*$Q$3+BOM_table7[[#This Row],[Spare QTY Needed]]-BOM_table7[[#This Row],[QTY in Inventory]]</f>
        <v>1</v>
      </c>
      <c r="T154" s="146">
        <f>ROUNDUP((BOM_table7[[#This Row],[QTY to Order]]/BOM_table7[[#This Row],[SKU QTY]]),0)</f>
        <v>1</v>
      </c>
      <c r="U154" s="100">
        <f>BOM_table7[[#This Row],[SKU QTY to Order]]*BOM_table7[[#This Row],[SKU Cost]]</f>
        <v>0</v>
      </c>
      <c r="V154" s="144"/>
      <c r="W154" s="144"/>
      <c r="X154" s="147"/>
      <c r="Y154" s="144"/>
      <c r="Z154" s="144"/>
      <c r="AA154" s="148"/>
      <c r="AB154" s="148"/>
      <c r="AC154" s="43"/>
      <c r="AD154" s="182"/>
      <c r="AE154" s="182"/>
      <c r="AF154" s="182"/>
    </row>
    <row r="155" spans="1:32" ht="15" customHeight="1" x14ac:dyDescent="0.2">
      <c r="A155" s="143" t="s">
        <v>160</v>
      </c>
      <c r="B155" s="44" t="s">
        <v>2088</v>
      </c>
      <c r="C155" s="143" t="s">
        <v>1892</v>
      </c>
      <c r="D155" s="144">
        <v>105469</v>
      </c>
      <c r="E155" s="144" t="s">
        <v>1891</v>
      </c>
      <c r="F155" s="144"/>
      <c r="G155" s="144">
        <v>2</v>
      </c>
      <c r="H155" s="144" t="s">
        <v>1430</v>
      </c>
      <c r="I155" s="144"/>
      <c r="J155" s="150"/>
      <c r="K155" s="144" t="s">
        <v>166</v>
      </c>
      <c r="L155" s="45" t="s">
        <v>1528</v>
      </c>
      <c r="M155" s="126">
        <v>1</v>
      </c>
      <c r="N155" s="145"/>
      <c r="O155" s="51">
        <f>IF(OR(ISBLANK(BOM_table7[[#This Row],[SKU QTY]]),BOM_table7[[#This Row],[SKU Cost]]=0),0,BOM_table7[[#This Row],[SKU Cost]]/BOM_table7[[#This Row],[SKU QTY]])</f>
        <v>0</v>
      </c>
      <c r="P155" s="146">
        <f>IF(OR(ISBLANK(BOM_table7[[#This Row],[ASM QTY]]),ISBLANK(BOM_table7[[#This Row],[Unit Cost]])),0,BOM_table7[[#This Row],[ASM QTY]]*BOM_table7[[#This Row],[Unit Cost]])</f>
        <v>0</v>
      </c>
      <c r="Q155" s="144"/>
      <c r="R155" s="144"/>
      <c r="S155" s="93">
        <f>IF(B155="Shared All",$M$3,1)*IF(B155="Shared Science+Docking",2,1)*IF(B155="Shared Docking+Multibeam",2,1)*BOM_table7[[#This Row],[ASM QTY]]*$Q$3+BOM_table7[[#This Row],[Spare QTY Needed]]-BOM_table7[[#This Row],[QTY in Inventory]]</f>
        <v>2</v>
      </c>
      <c r="T155" s="146">
        <f>ROUNDUP((BOM_table7[[#This Row],[QTY to Order]]/BOM_table7[[#This Row],[SKU QTY]]),0)</f>
        <v>2</v>
      </c>
      <c r="U155" s="100">
        <f>BOM_table7[[#This Row],[SKU QTY to Order]]*BOM_table7[[#This Row],[SKU Cost]]</f>
        <v>0</v>
      </c>
      <c r="V155" s="45"/>
      <c r="W155" s="45"/>
      <c r="X155" s="148"/>
      <c r="Y155" s="144"/>
      <c r="Z155" s="144"/>
      <c r="AA155" s="148"/>
      <c r="AB155" s="148"/>
      <c r="AC155" s="149"/>
      <c r="AD155" s="182"/>
      <c r="AE155" s="182"/>
      <c r="AF155" s="182"/>
    </row>
    <row r="156" spans="1:32" ht="15" customHeight="1" x14ac:dyDescent="0.2">
      <c r="A156" s="143" t="s">
        <v>160</v>
      </c>
      <c r="B156" s="44" t="s">
        <v>2088</v>
      </c>
      <c r="C156" s="143" t="s">
        <v>1893</v>
      </c>
      <c r="D156" s="144" t="s">
        <v>1894</v>
      </c>
      <c r="E156" s="144" t="s">
        <v>1891</v>
      </c>
      <c r="F156" s="144" t="s">
        <v>152</v>
      </c>
      <c r="G156" s="144">
        <v>1</v>
      </c>
      <c r="H156" s="45" t="s">
        <v>2052</v>
      </c>
      <c r="I156" s="144"/>
      <c r="J156" s="43" t="s">
        <v>2074</v>
      </c>
      <c r="K156" s="144" t="s">
        <v>169</v>
      </c>
      <c r="L156" s="144"/>
      <c r="M156" s="126">
        <v>1</v>
      </c>
      <c r="N156" s="145"/>
      <c r="O156" s="51">
        <f>IF(OR(ISBLANK(BOM_table7[[#This Row],[SKU QTY]]),BOM_table7[[#This Row],[SKU Cost]]=0),0,BOM_table7[[#This Row],[SKU Cost]]/BOM_table7[[#This Row],[SKU QTY]])</f>
        <v>0</v>
      </c>
      <c r="P156" s="146">
        <f>IF(OR(ISBLANK(BOM_table7[[#This Row],[ASM QTY]]),ISBLANK(BOM_table7[[#This Row],[Unit Cost]])),0,BOM_table7[[#This Row],[ASM QTY]]*BOM_table7[[#This Row],[Unit Cost]])</f>
        <v>0</v>
      </c>
      <c r="Q156" s="144"/>
      <c r="R156" s="144"/>
      <c r="S156" s="93">
        <f>IF(B156="Shared All",$M$3,1)*IF(B156="Shared Science+Docking",2,1)*IF(B156="Shared Docking+Multibeam",2,1)*BOM_table7[[#This Row],[ASM QTY]]*$Q$3+BOM_table7[[#This Row],[Spare QTY Needed]]-BOM_table7[[#This Row],[QTY in Inventory]]</f>
        <v>1</v>
      </c>
      <c r="T156" s="146">
        <f>ROUNDUP((BOM_table7[[#This Row],[QTY to Order]]/BOM_table7[[#This Row],[SKU QTY]]),0)</f>
        <v>1</v>
      </c>
      <c r="U156" s="100">
        <f>BOM_table7[[#This Row],[SKU QTY to Order]]*BOM_table7[[#This Row],[SKU Cost]]</f>
        <v>0</v>
      </c>
      <c r="V156" s="144"/>
      <c r="W156" s="144"/>
      <c r="X156" s="147"/>
      <c r="Y156" s="144"/>
      <c r="Z156" s="144"/>
      <c r="AA156" s="148"/>
      <c r="AB156" s="148"/>
      <c r="AC156" s="43"/>
      <c r="AD156" s="182"/>
      <c r="AE156" s="182"/>
      <c r="AF156" s="182"/>
    </row>
    <row r="157" spans="1:32" ht="15" customHeight="1" x14ac:dyDescent="0.2">
      <c r="A157" s="143" t="s">
        <v>160</v>
      </c>
      <c r="B157" s="44" t="s">
        <v>2103</v>
      </c>
      <c r="C157" s="44" t="s">
        <v>1440</v>
      </c>
      <c r="D157" s="45" t="s">
        <v>1441</v>
      </c>
      <c r="E157" s="45" t="s">
        <v>2093</v>
      </c>
      <c r="F157" s="45"/>
      <c r="G157" s="45">
        <v>1</v>
      </c>
      <c r="H157" s="45" t="s">
        <v>1442</v>
      </c>
      <c r="I157" s="45"/>
      <c r="J157" s="43"/>
      <c r="K157" s="45" t="s">
        <v>143</v>
      </c>
      <c r="L157" s="45" t="s">
        <v>1442</v>
      </c>
      <c r="M157" s="126">
        <v>1</v>
      </c>
      <c r="N157" s="50"/>
      <c r="O157" s="51">
        <f>IF(OR(ISBLANK(BOM_table7[[#This Row],[SKU QTY]]),BOM_table7[[#This Row],[SKU Cost]]=0),0,BOM_table7[[#This Row],[SKU Cost]]/BOM_table7[[#This Row],[SKU QTY]])</f>
        <v>0</v>
      </c>
      <c r="P157" s="146">
        <f>IF(OR(ISBLANK(BOM_table7[[#This Row],[ASM QTY]]),ISBLANK(BOM_table7[[#This Row],[Unit Cost]])),0,BOM_table7[[#This Row],[ASM QTY]]*BOM_table7[[#This Row],[Unit Cost]])</f>
        <v>0</v>
      </c>
      <c r="Q157" s="45"/>
      <c r="R157" s="45"/>
      <c r="S157" s="93">
        <f>IF(B157="Shared All",$M$3,1)*IF(B157="Shared Science+Docking",2,1)*IF(B157="Shared Docking+Multibeam",2,1)*BOM_table7[[#This Row],[ASM QTY]]*$Q$3+BOM_table7[[#This Row],[Spare QTY Needed]]-BOM_table7[[#This Row],[QTY in Inventory]]</f>
        <v>1</v>
      </c>
      <c r="T157" s="51">
        <f>ROUNDUP((BOM_table7[[#This Row],[QTY to Order]]/BOM_table7[[#This Row],[SKU QTY]]),0)</f>
        <v>1</v>
      </c>
      <c r="U157" s="100">
        <f>BOM_table7[[#This Row],[SKU QTY to Order]]*BOM_table7[[#This Row],[SKU Cost]]</f>
        <v>0</v>
      </c>
      <c r="V157" s="45"/>
      <c r="W157" s="45"/>
      <c r="X157" s="45"/>
      <c r="Y157" s="54"/>
      <c r="Z157" s="50"/>
      <c r="AA157" s="45"/>
      <c r="AB157" s="56"/>
      <c r="AD157" s="182"/>
      <c r="AE157" s="182"/>
      <c r="AF157" s="182"/>
    </row>
    <row r="158" spans="1:32" ht="15" customHeight="1" x14ac:dyDescent="0.2">
      <c r="A158" s="143" t="s">
        <v>160</v>
      </c>
      <c r="B158" s="44" t="s">
        <v>2103</v>
      </c>
      <c r="C158" s="89" t="s">
        <v>1443</v>
      </c>
      <c r="D158" s="90"/>
      <c r="E158" s="45" t="s">
        <v>2093</v>
      </c>
      <c r="F158" s="90"/>
      <c r="G158" s="90">
        <v>1</v>
      </c>
      <c r="H158" s="90" t="s">
        <v>1442</v>
      </c>
      <c r="I158" s="90"/>
      <c r="J158" s="154"/>
      <c r="K158" s="90" t="s">
        <v>168</v>
      </c>
      <c r="L158" s="90" t="s">
        <v>1442</v>
      </c>
      <c r="M158" s="126">
        <v>1</v>
      </c>
      <c r="N158" s="91"/>
      <c r="O158" s="51">
        <f>IF(OR(ISBLANK(BOM_table7[[#This Row],[SKU QTY]]),BOM_table7[[#This Row],[SKU Cost]]=0),0,BOM_table7[[#This Row],[SKU Cost]]/BOM_table7[[#This Row],[SKU QTY]])</f>
        <v>0</v>
      </c>
      <c r="P158" s="146">
        <f>IF(OR(ISBLANK(BOM_table7[[#This Row],[ASM QTY]]),ISBLANK(BOM_table7[[#This Row],[Unit Cost]])),0,BOM_table7[[#This Row],[ASM QTY]]*BOM_table7[[#This Row],[Unit Cost]])</f>
        <v>0</v>
      </c>
      <c r="Q158" s="90"/>
      <c r="R158" s="90"/>
      <c r="S158" s="93">
        <f>IF(B158="Shared All",$M$3,1)*IF(B158="Shared Science+Docking",2,1)*IF(B158="Shared Docking+Multibeam",2,1)*BOM_table7[[#This Row],[ASM QTY]]*$Q$3+BOM_table7[[#This Row],[Spare QTY Needed]]-BOM_table7[[#This Row],[QTY in Inventory]]</f>
        <v>1</v>
      </c>
      <c r="T158" s="51">
        <f>ROUNDUP((BOM_table7[[#This Row],[QTY to Order]]/BOM_table7[[#This Row],[SKU QTY]]),0)</f>
        <v>1</v>
      </c>
      <c r="U158" s="100">
        <f>BOM_table7[[#This Row],[SKU QTY to Order]]*BOM_table7[[#This Row],[SKU Cost]]</f>
        <v>0</v>
      </c>
      <c r="V158" s="91"/>
      <c r="W158" s="90"/>
      <c r="X158" s="90"/>
      <c r="Y158" s="95"/>
      <c r="Z158" s="91"/>
      <c r="AA158" s="90"/>
      <c r="AB158" s="94"/>
      <c r="AD158" s="182"/>
      <c r="AE158" s="182"/>
      <c r="AF158" s="182"/>
    </row>
    <row r="159" spans="1:32" ht="15" customHeight="1" x14ac:dyDescent="0.2">
      <c r="A159" s="143" t="s">
        <v>160</v>
      </c>
      <c r="B159" s="44" t="s">
        <v>2103</v>
      </c>
      <c r="C159" s="44" t="s">
        <v>2094</v>
      </c>
      <c r="D159" s="144" t="s">
        <v>1769</v>
      </c>
      <c r="E159" s="45" t="s">
        <v>2093</v>
      </c>
      <c r="F159" s="144"/>
      <c r="G159" s="144">
        <v>1</v>
      </c>
      <c r="H159" s="144" t="s">
        <v>1049</v>
      </c>
      <c r="I159" s="144"/>
      <c r="J159" s="43"/>
      <c r="K159" s="144" t="s">
        <v>169</v>
      </c>
      <c r="L159" s="144"/>
      <c r="M159" s="126">
        <v>1</v>
      </c>
      <c r="N159" s="145"/>
      <c r="O159" s="51">
        <f>IF(OR(ISBLANK(BOM_table7[[#This Row],[SKU QTY]]),BOM_table7[[#This Row],[SKU Cost]]=0),0,BOM_table7[[#This Row],[SKU Cost]]/BOM_table7[[#This Row],[SKU QTY]])</f>
        <v>0</v>
      </c>
      <c r="P159" s="146">
        <f>IF(OR(ISBLANK(BOM_table7[[#This Row],[ASM QTY]]),ISBLANK(BOM_table7[[#This Row],[Unit Cost]])),0,BOM_table7[[#This Row],[ASM QTY]]*BOM_table7[[#This Row],[Unit Cost]])</f>
        <v>0</v>
      </c>
      <c r="Q159" s="144"/>
      <c r="R159" s="144"/>
      <c r="S159" s="93">
        <f>IF(B159="Shared All",$M$3,1)*IF(B159="Shared Science+Docking",2,1)*IF(B159="Shared Docking+Multibeam",2,1)*BOM_table7[[#This Row],[ASM QTY]]*$Q$3+BOM_table7[[#This Row],[Spare QTY Needed]]-BOM_table7[[#This Row],[QTY in Inventory]]</f>
        <v>1</v>
      </c>
      <c r="T159" s="51">
        <f>ROUNDUP((BOM_table7[[#This Row],[QTY to Order]]/BOM_table7[[#This Row],[SKU QTY]]),0)</f>
        <v>1</v>
      </c>
      <c r="U159" s="100">
        <f>BOM_table7[[#This Row],[SKU QTY to Order]]*BOM_table7[[#This Row],[SKU Cost]]</f>
        <v>0</v>
      </c>
      <c r="V159" s="145"/>
      <c r="W159" s="144"/>
      <c r="X159" s="144"/>
      <c r="Y159" s="148"/>
      <c r="Z159" s="145"/>
      <c r="AA159" s="144"/>
      <c r="AB159" s="144"/>
      <c r="AC159" s="144"/>
      <c r="AD159" s="182"/>
      <c r="AE159" s="182"/>
      <c r="AF159" s="182"/>
    </row>
    <row r="160" spans="1:32" ht="15" customHeight="1" x14ac:dyDescent="0.2">
      <c r="A160" s="143" t="s">
        <v>160</v>
      </c>
      <c r="B160" s="44" t="s">
        <v>2103</v>
      </c>
      <c r="C160" s="44" t="s">
        <v>2095</v>
      </c>
      <c r="D160" s="45"/>
      <c r="E160" s="45" t="s">
        <v>2093</v>
      </c>
      <c r="F160" s="45"/>
      <c r="G160" s="45">
        <v>1</v>
      </c>
      <c r="H160" s="45"/>
      <c r="I160" s="45"/>
      <c r="J160" s="43"/>
      <c r="K160" s="45"/>
      <c r="L160" s="45"/>
      <c r="M160" s="126">
        <v>1</v>
      </c>
      <c r="N160" s="50"/>
      <c r="O160" s="51">
        <f>IF(OR(ISBLANK(BOM_table7[[#This Row],[SKU QTY]]),BOM_table7[[#This Row],[SKU Cost]]=0),0,BOM_table7[[#This Row],[SKU Cost]]/BOM_table7[[#This Row],[SKU QTY]])</f>
        <v>0</v>
      </c>
      <c r="P160" s="146">
        <f>IF(OR(ISBLANK(BOM_table7[[#This Row],[ASM QTY]]),ISBLANK(BOM_table7[[#This Row],[Unit Cost]])),0,BOM_table7[[#This Row],[ASM QTY]]*BOM_table7[[#This Row],[Unit Cost]])</f>
        <v>0</v>
      </c>
      <c r="Q160" s="45"/>
      <c r="R160" s="45"/>
      <c r="S160" s="93">
        <f>IF(B160="Shared All",$M$3,1)*IF(B160="Shared Science+Docking",2,1)*IF(B160="Shared Docking+Multibeam",2,1)*BOM_table7[[#This Row],[ASM QTY]]*$Q$3+BOM_table7[[#This Row],[Spare QTY Needed]]-BOM_table7[[#This Row],[QTY in Inventory]]</f>
        <v>1</v>
      </c>
      <c r="T160" s="51">
        <f>ROUNDUP((BOM_table7[[#This Row],[QTY to Order]]/BOM_table7[[#This Row],[SKU QTY]]),0)</f>
        <v>1</v>
      </c>
      <c r="U160" s="100">
        <f>BOM_table7[[#This Row],[SKU QTY to Order]]*BOM_table7[[#This Row],[SKU Cost]]</f>
        <v>0</v>
      </c>
      <c r="V160" s="50"/>
      <c r="W160" s="45"/>
      <c r="X160" s="45"/>
      <c r="Y160" s="54"/>
      <c r="Z160" s="50"/>
      <c r="AA160" s="45"/>
      <c r="AB160" s="45"/>
      <c r="AC160" s="45"/>
      <c r="AD160" s="182"/>
      <c r="AE160" s="182"/>
      <c r="AF160" s="182"/>
    </row>
    <row r="161" spans="1:32" ht="15" customHeight="1" x14ac:dyDescent="0.2">
      <c r="A161" s="143" t="s">
        <v>160</v>
      </c>
      <c r="B161" s="44" t="s">
        <v>2103</v>
      </c>
      <c r="C161" s="44" t="s">
        <v>2096</v>
      </c>
      <c r="D161" s="144" t="s">
        <v>1770</v>
      </c>
      <c r="E161" s="45" t="s">
        <v>2093</v>
      </c>
      <c r="F161" s="144"/>
      <c r="G161" s="144">
        <v>1</v>
      </c>
      <c r="H161" s="144" t="s">
        <v>1049</v>
      </c>
      <c r="I161" s="144"/>
      <c r="J161" s="43"/>
      <c r="K161" s="144" t="s">
        <v>169</v>
      </c>
      <c r="L161" s="144"/>
      <c r="M161" s="126">
        <v>1</v>
      </c>
      <c r="N161" s="145"/>
      <c r="O161" s="51">
        <f>IF(OR(ISBLANK(BOM_table7[[#This Row],[SKU QTY]]),BOM_table7[[#This Row],[SKU Cost]]=0),0,BOM_table7[[#This Row],[SKU Cost]]/BOM_table7[[#This Row],[SKU QTY]])</f>
        <v>0</v>
      </c>
      <c r="P161" s="146">
        <f>IF(OR(ISBLANK(BOM_table7[[#This Row],[ASM QTY]]),ISBLANK(BOM_table7[[#This Row],[Unit Cost]])),0,BOM_table7[[#This Row],[ASM QTY]]*BOM_table7[[#This Row],[Unit Cost]])</f>
        <v>0</v>
      </c>
      <c r="Q161" s="144"/>
      <c r="R161" s="144"/>
      <c r="S161" s="93">
        <f>IF(B161="Shared All",$M$3,1)*IF(B161="Shared Science+Docking",2,1)*IF(B161="Shared Docking+Multibeam",2,1)*BOM_table7[[#This Row],[ASM QTY]]*$Q$3+BOM_table7[[#This Row],[Spare QTY Needed]]-BOM_table7[[#This Row],[QTY in Inventory]]</f>
        <v>1</v>
      </c>
      <c r="T161" s="51">
        <f>ROUNDUP((BOM_table7[[#This Row],[QTY to Order]]/BOM_table7[[#This Row],[SKU QTY]]),0)</f>
        <v>1</v>
      </c>
      <c r="U161" s="100">
        <f>BOM_table7[[#This Row],[SKU QTY to Order]]*BOM_table7[[#This Row],[SKU Cost]]</f>
        <v>0</v>
      </c>
      <c r="V161" s="145"/>
      <c r="W161" s="144"/>
      <c r="X161" s="144"/>
      <c r="Y161" s="148"/>
      <c r="Z161" s="145"/>
      <c r="AA161" s="144"/>
      <c r="AB161" s="144"/>
      <c r="AC161" s="144"/>
      <c r="AD161" s="182"/>
      <c r="AE161" s="182"/>
      <c r="AF161" s="182"/>
    </row>
    <row r="162" spans="1:32" ht="15" customHeight="1" x14ac:dyDescent="0.2">
      <c r="A162" s="143" t="s">
        <v>160</v>
      </c>
      <c r="B162" s="44" t="s">
        <v>2103</v>
      </c>
      <c r="C162" s="143" t="s">
        <v>219</v>
      </c>
      <c r="D162" s="144" t="s">
        <v>1771</v>
      </c>
      <c r="E162" s="45" t="s">
        <v>2093</v>
      </c>
      <c r="F162" s="144"/>
      <c r="G162" s="144">
        <v>4</v>
      </c>
      <c r="H162" s="144" t="s">
        <v>1274</v>
      </c>
      <c r="I162" s="144"/>
      <c r="J162" s="43"/>
      <c r="K162" s="144" t="s">
        <v>166</v>
      </c>
      <c r="L162" s="144"/>
      <c r="M162" s="126">
        <v>1</v>
      </c>
      <c r="N162" s="145"/>
      <c r="O162" s="51">
        <f>IF(OR(ISBLANK(BOM_table7[[#This Row],[SKU QTY]]),BOM_table7[[#This Row],[SKU Cost]]=0),0,BOM_table7[[#This Row],[SKU Cost]]/BOM_table7[[#This Row],[SKU QTY]])</f>
        <v>0</v>
      </c>
      <c r="P162" s="146">
        <f>IF(OR(ISBLANK(BOM_table7[[#This Row],[ASM QTY]]),ISBLANK(BOM_table7[[#This Row],[Unit Cost]])),0,BOM_table7[[#This Row],[ASM QTY]]*BOM_table7[[#This Row],[Unit Cost]])</f>
        <v>0</v>
      </c>
      <c r="Q162" s="144"/>
      <c r="R162" s="144"/>
      <c r="S162" s="93">
        <f>IF(B162="Shared All",$M$3,1)*IF(B162="Shared Science+Docking",2,1)*IF(B162="Shared Docking+Multibeam",2,1)*BOM_table7[[#This Row],[ASM QTY]]*$Q$3+BOM_table7[[#This Row],[Spare QTY Needed]]-BOM_table7[[#This Row],[QTY in Inventory]]</f>
        <v>4</v>
      </c>
      <c r="T162" s="51">
        <f>ROUNDUP((BOM_table7[[#This Row],[QTY to Order]]/BOM_table7[[#This Row],[SKU QTY]]),0)</f>
        <v>4</v>
      </c>
      <c r="U162" s="100">
        <f>BOM_table7[[#This Row],[SKU QTY to Order]]*BOM_table7[[#This Row],[SKU Cost]]</f>
        <v>0</v>
      </c>
      <c r="V162" s="145"/>
      <c r="W162" s="144"/>
      <c r="X162" s="144"/>
      <c r="Y162" s="148"/>
      <c r="Z162" s="145"/>
      <c r="AA162" s="144"/>
      <c r="AB162" s="144"/>
      <c r="AC162" s="144"/>
      <c r="AD162" s="182"/>
      <c r="AE162" s="182"/>
      <c r="AF162" s="182"/>
    </row>
    <row r="163" spans="1:32" ht="15" customHeight="1" x14ac:dyDescent="0.2">
      <c r="A163" s="143" t="s">
        <v>161</v>
      </c>
      <c r="B163" s="44" t="s">
        <v>2103</v>
      </c>
      <c r="C163" s="143" t="s">
        <v>1772</v>
      </c>
      <c r="D163" s="144" t="s">
        <v>262</v>
      </c>
      <c r="E163" s="45" t="s">
        <v>2093</v>
      </c>
      <c r="F163" s="144"/>
      <c r="G163" s="144">
        <v>4</v>
      </c>
      <c r="H163" s="144" t="s">
        <v>1274</v>
      </c>
      <c r="I163" s="144"/>
      <c r="J163" s="150"/>
      <c r="K163" s="144" t="s">
        <v>166</v>
      </c>
      <c r="L163" s="144"/>
      <c r="M163" s="126">
        <v>1</v>
      </c>
      <c r="N163" s="145"/>
      <c r="O163" s="51">
        <f>IF(OR(ISBLANK(BOM_table7[[#This Row],[SKU QTY]]),BOM_table7[[#This Row],[SKU Cost]]=0),0,BOM_table7[[#This Row],[SKU Cost]]/BOM_table7[[#This Row],[SKU QTY]])</f>
        <v>0</v>
      </c>
      <c r="P163" s="146">
        <f>IF(OR(ISBLANK(BOM_table7[[#This Row],[ASM QTY]]),ISBLANK(BOM_table7[[#This Row],[Unit Cost]])),0,BOM_table7[[#This Row],[ASM QTY]]*BOM_table7[[#This Row],[Unit Cost]])</f>
        <v>0</v>
      </c>
      <c r="Q163" s="144"/>
      <c r="R163" s="144"/>
      <c r="S163" s="93">
        <f>IF(B163="Shared All",$M$3,1)*IF(B163="Shared Science+Docking",2,1)*IF(B163="Shared Docking+Multibeam",2,1)*BOM_table7[[#This Row],[ASM QTY]]*$Q$3+BOM_table7[[#This Row],[Spare QTY Needed]]-BOM_table7[[#This Row],[QTY in Inventory]]</f>
        <v>4</v>
      </c>
      <c r="T163" s="51">
        <f>ROUNDUP((BOM_table7[[#This Row],[QTY to Order]]/BOM_table7[[#This Row],[SKU QTY]]),0)</f>
        <v>4</v>
      </c>
      <c r="U163" s="100">
        <f>BOM_table7[[#This Row],[SKU QTY to Order]]*BOM_table7[[#This Row],[SKU Cost]]</f>
        <v>0</v>
      </c>
      <c r="V163" s="145"/>
      <c r="W163" s="45"/>
      <c r="X163" s="45"/>
      <c r="Y163" s="148"/>
      <c r="Z163" s="145"/>
      <c r="AA163" s="144"/>
      <c r="AB163" s="148"/>
      <c r="AC163" s="144"/>
      <c r="AD163" s="182"/>
      <c r="AE163" s="182"/>
      <c r="AF163" s="182"/>
    </row>
    <row r="164" spans="1:32" ht="15" customHeight="1" x14ac:dyDescent="0.2">
      <c r="A164" s="143" t="s">
        <v>160</v>
      </c>
      <c r="B164" s="44" t="s">
        <v>2103</v>
      </c>
      <c r="C164" s="143" t="s">
        <v>1772</v>
      </c>
      <c r="D164" s="144" t="s">
        <v>1773</v>
      </c>
      <c r="E164" s="45" t="s">
        <v>2093</v>
      </c>
      <c r="F164" s="144"/>
      <c r="G164" s="144">
        <v>4</v>
      </c>
      <c r="H164" s="144" t="s">
        <v>1274</v>
      </c>
      <c r="I164" s="144"/>
      <c r="J164" s="150"/>
      <c r="K164" s="144" t="s">
        <v>166</v>
      </c>
      <c r="L164" s="144"/>
      <c r="M164" s="126">
        <v>1</v>
      </c>
      <c r="N164" s="145"/>
      <c r="O164" s="51">
        <f>IF(OR(ISBLANK(BOM_table7[[#This Row],[SKU QTY]]),BOM_table7[[#This Row],[SKU Cost]]=0),0,BOM_table7[[#This Row],[SKU Cost]]/BOM_table7[[#This Row],[SKU QTY]])</f>
        <v>0</v>
      </c>
      <c r="P164" s="146">
        <f>IF(OR(ISBLANK(BOM_table7[[#This Row],[ASM QTY]]),ISBLANK(BOM_table7[[#This Row],[Unit Cost]])),0,BOM_table7[[#This Row],[ASM QTY]]*BOM_table7[[#This Row],[Unit Cost]])</f>
        <v>0</v>
      </c>
      <c r="Q164" s="144"/>
      <c r="R164" s="144"/>
      <c r="S164" s="93">
        <f>IF(B164="Shared All",$M$3,1)*IF(B164="Shared Science+Docking",2,1)*IF(B164="Shared Docking+Multibeam",2,1)*BOM_table7[[#This Row],[ASM QTY]]*$Q$3+BOM_table7[[#This Row],[Spare QTY Needed]]-BOM_table7[[#This Row],[QTY in Inventory]]</f>
        <v>4</v>
      </c>
      <c r="T164" s="51">
        <f>ROUNDUP((BOM_table7[[#This Row],[QTY to Order]]/BOM_table7[[#This Row],[SKU QTY]]),0)</f>
        <v>4</v>
      </c>
      <c r="U164" s="100">
        <f>BOM_table7[[#This Row],[SKU QTY to Order]]*BOM_table7[[#This Row],[SKU Cost]]</f>
        <v>0</v>
      </c>
      <c r="V164" s="145"/>
      <c r="W164" s="45"/>
      <c r="X164" s="45"/>
      <c r="Y164" s="148"/>
      <c r="Z164" s="145"/>
      <c r="AA164" s="144"/>
      <c r="AB164" s="148"/>
      <c r="AC164" s="144"/>
      <c r="AD164" s="182"/>
      <c r="AE164" s="182"/>
      <c r="AF164" s="182"/>
    </row>
    <row r="165" spans="1:32" ht="15" customHeight="1" x14ac:dyDescent="0.2">
      <c r="A165" s="143" t="s">
        <v>160</v>
      </c>
      <c r="B165" s="44" t="s">
        <v>2103</v>
      </c>
      <c r="C165" s="143" t="s">
        <v>1772</v>
      </c>
      <c r="D165" s="144" t="s">
        <v>1773</v>
      </c>
      <c r="E165" s="45" t="s">
        <v>2093</v>
      </c>
      <c r="F165" s="144"/>
      <c r="G165" s="144">
        <v>3</v>
      </c>
      <c r="H165" s="144" t="s">
        <v>1274</v>
      </c>
      <c r="I165" s="144"/>
      <c r="J165" s="150"/>
      <c r="K165" s="144" t="s">
        <v>166</v>
      </c>
      <c r="L165" s="144"/>
      <c r="M165" s="126">
        <v>1</v>
      </c>
      <c r="N165" s="145"/>
      <c r="O165" s="51">
        <f>IF(OR(ISBLANK(BOM_table7[[#This Row],[SKU QTY]]),BOM_table7[[#This Row],[SKU Cost]]=0),0,BOM_table7[[#This Row],[SKU Cost]]/BOM_table7[[#This Row],[SKU QTY]])</f>
        <v>0</v>
      </c>
      <c r="P165" s="146">
        <f>IF(OR(ISBLANK(BOM_table7[[#This Row],[ASM QTY]]),ISBLANK(BOM_table7[[#This Row],[Unit Cost]])),0,BOM_table7[[#This Row],[ASM QTY]]*BOM_table7[[#This Row],[Unit Cost]])</f>
        <v>0</v>
      </c>
      <c r="Q165" s="144"/>
      <c r="R165" s="144"/>
      <c r="S165" s="93">
        <f>IF(B165="Shared All",$M$3,1)*IF(B165="Shared Science+Docking",2,1)*IF(B165="Shared Docking+Multibeam",2,1)*BOM_table7[[#This Row],[ASM QTY]]*$Q$3+BOM_table7[[#This Row],[Spare QTY Needed]]-BOM_table7[[#This Row],[QTY in Inventory]]</f>
        <v>3</v>
      </c>
      <c r="T165" s="51">
        <f>ROUNDUP((BOM_table7[[#This Row],[QTY to Order]]/BOM_table7[[#This Row],[SKU QTY]]),0)</f>
        <v>3</v>
      </c>
      <c r="U165" s="100">
        <f>BOM_table7[[#This Row],[SKU QTY to Order]]*BOM_table7[[#This Row],[SKU Cost]]</f>
        <v>0</v>
      </c>
      <c r="V165" s="145"/>
      <c r="W165" s="45"/>
      <c r="X165" s="45"/>
      <c r="Y165" s="148"/>
      <c r="Z165" s="145"/>
      <c r="AA165" s="144"/>
      <c r="AB165" s="148"/>
      <c r="AC165" s="144"/>
      <c r="AD165" s="182"/>
      <c r="AE165" s="182"/>
      <c r="AF165" s="182"/>
    </row>
    <row r="166" spans="1:32" ht="15" customHeight="1" x14ac:dyDescent="0.2">
      <c r="A166" s="143" t="s">
        <v>160</v>
      </c>
      <c r="B166" s="44" t="s">
        <v>2103</v>
      </c>
      <c r="C166" s="44" t="s">
        <v>2025</v>
      </c>
      <c r="D166" s="45"/>
      <c r="E166" s="45" t="s">
        <v>2093</v>
      </c>
      <c r="F166" s="45"/>
      <c r="G166" s="45">
        <v>1</v>
      </c>
      <c r="H166" s="45"/>
      <c r="I166" s="45"/>
      <c r="J166" s="43"/>
      <c r="K166" s="45"/>
      <c r="L166" s="45"/>
      <c r="M166" s="126">
        <v>1</v>
      </c>
      <c r="N166" s="50"/>
      <c r="O166" s="51">
        <f>IF(OR(ISBLANK(BOM_table7[[#This Row],[SKU QTY]]),BOM_table7[[#This Row],[SKU Cost]]=0),0,BOM_table7[[#This Row],[SKU Cost]]/BOM_table7[[#This Row],[SKU QTY]])</f>
        <v>0</v>
      </c>
      <c r="P166" s="146">
        <f>IF(OR(ISBLANK(BOM_table7[[#This Row],[ASM QTY]]),ISBLANK(BOM_table7[[#This Row],[Unit Cost]])),0,BOM_table7[[#This Row],[ASM QTY]]*BOM_table7[[#This Row],[Unit Cost]])</f>
        <v>0</v>
      </c>
      <c r="Q166" s="45"/>
      <c r="R166" s="45"/>
      <c r="S166" s="93">
        <f>IF(B166="Shared All",$M$3,1)*IF(B166="Shared Science+Docking",2,1)*IF(B166="Shared Docking+Multibeam",2,1)*BOM_table7[[#This Row],[ASM QTY]]*$Q$3+BOM_table7[[#This Row],[Spare QTY Needed]]-BOM_table7[[#This Row],[QTY in Inventory]]</f>
        <v>1</v>
      </c>
      <c r="T166" s="51">
        <f>ROUNDUP((BOM_table7[[#This Row],[QTY to Order]]/BOM_table7[[#This Row],[SKU QTY]]),0)</f>
        <v>1</v>
      </c>
      <c r="U166" s="100">
        <f>BOM_table7[[#This Row],[SKU QTY to Order]]*BOM_table7[[#This Row],[SKU Cost]]</f>
        <v>0</v>
      </c>
      <c r="V166" s="50"/>
      <c r="W166" s="45"/>
      <c r="X166" s="45"/>
      <c r="Y166" s="54"/>
      <c r="Z166" s="50"/>
      <c r="AA166" s="45"/>
      <c r="AB166" s="54"/>
      <c r="AC166" s="45"/>
      <c r="AD166" s="182"/>
      <c r="AE166" s="182"/>
      <c r="AF166" s="182"/>
    </row>
    <row r="167" spans="1:32" ht="15" customHeight="1" x14ac:dyDescent="0.2">
      <c r="A167" s="143" t="s">
        <v>160</v>
      </c>
      <c r="B167" s="44" t="s">
        <v>2103</v>
      </c>
      <c r="C167" s="44" t="s">
        <v>1390</v>
      </c>
      <c r="D167" s="45" t="s">
        <v>1391</v>
      </c>
      <c r="E167" s="45" t="s">
        <v>2093</v>
      </c>
      <c r="F167" s="45"/>
      <c r="G167" s="45">
        <v>1</v>
      </c>
      <c r="H167" s="45" t="s">
        <v>1392</v>
      </c>
      <c r="I167" s="45"/>
      <c r="J167" s="43"/>
      <c r="K167" s="45" t="s">
        <v>143</v>
      </c>
      <c r="L167" s="45" t="s">
        <v>1392</v>
      </c>
      <c r="M167" s="126">
        <v>1</v>
      </c>
      <c r="N167" s="50"/>
      <c r="O167" s="51">
        <f>IF(OR(ISBLANK(BOM_table7[[#This Row],[SKU QTY]]),BOM_table7[[#This Row],[SKU Cost]]=0),0,BOM_table7[[#This Row],[SKU Cost]]/BOM_table7[[#This Row],[SKU QTY]])</f>
        <v>0</v>
      </c>
      <c r="P167" s="146">
        <f>IF(OR(ISBLANK(BOM_table7[[#This Row],[ASM QTY]]),ISBLANK(BOM_table7[[#This Row],[Unit Cost]])),0,BOM_table7[[#This Row],[ASM QTY]]*BOM_table7[[#This Row],[Unit Cost]])</f>
        <v>0</v>
      </c>
      <c r="Q167" s="45"/>
      <c r="R167" s="45"/>
      <c r="S167" s="93">
        <f>IF(B167="Shared All",$M$3,1)*IF(B167="Shared Science+Docking",2,1)*IF(B167="Shared Docking+Multibeam",2,1)*BOM_table7[[#This Row],[ASM QTY]]*$Q$3+BOM_table7[[#This Row],[Spare QTY Needed]]-BOM_table7[[#This Row],[QTY in Inventory]]</f>
        <v>1</v>
      </c>
      <c r="T167" s="51">
        <f>ROUNDUP((BOM_table7[[#This Row],[QTY to Order]]/BOM_table7[[#This Row],[SKU QTY]]),0)</f>
        <v>1</v>
      </c>
      <c r="U167" s="100">
        <f>BOM_table7[[#This Row],[SKU QTY to Order]]*BOM_table7[[#This Row],[SKU Cost]]</f>
        <v>0</v>
      </c>
      <c r="V167" s="45"/>
      <c r="W167" s="45"/>
      <c r="X167" s="45"/>
      <c r="Y167" s="54"/>
      <c r="Z167" s="50"/>
      <c r="AA167" s="45"/>
      <c r="AB167" s="54"/>
      <c r="AC167" s="54"/>
      <c r="AD167" s="183"/>
      <c r="AE167" s="183"/>
      <c r="AF167" s="182"/>
    </row>
    <row r="168" spans="1:32" ht="15" customHeight="1" x14ac:dyDescent="0.2">
      <c r="A168" s="143" t="s">
        <v>159</v>
      </c>
      <c r="B168" s="44" t="s">
        <v>2086</v>
      </c>
      <c r="C168" s="44" t="s">
        <v>2115</v>
      </c>
      <c r="D168" s="144" t="s">
        <v>1782</v>
      </c>
      <c r="E168" s="144" t="s">
        <v>1784</v>
      </c>
      <c r="F168" s="144"/>
      <c r="G168" s="144">
        <v>1</v>
      </c>
      <c r="H168" s="144" t="s">
        <v>1049</v>
      </c>
      <c r="I168" s="144"/>
      <c r="J168" s="150"/>
      <c r="K168" s="144" t="s">
        <v>169</v>
      </c>
      <c r="L168" s="144" t="s">
        <v>1938</v>
      </c>
      <c r="M168" s="126">
        <v>1</v>
      </c>
      <c r="N168" s="145">
        <v>4500</v>
      </c>
      <c r="O168" s="51">
        <f>IF(OR(ISBLANK(BOM_table7[[#This Row],[SKU QTY]]),BOM_table7[[#This Row],[SKU Cost]]=0),0,BOM_table7[[#This Row],[SKU Cost]]/BOM_table7[[#This Row],[SKU QTY]])</f>
        <v>4500</v>
      </c>
      <c r="P168" s="146">
        <f>IF(OR(ISBLANK(BOM_table7[[#This Row],[ASM QTY]]),ISBLANK(BOM_table7[[#This Row],[Unit Cost]])),0,BOM_table7[[#This Row],[ASM QTY]]*BOM_table7[[#This Row],[Unit Cost]])</f>
        <v>4500</v>
      </c>
      <c r="Q168" s="144"/>
      <c r="R168" s="144"/>
      <c r="S168" s="93">
        <f>IF(B168="Shared All",$M$3,1)*IF(B168="Shared Science+Docking",2,1)*IF(B168="Shared Docking+Multibeam",2,1)*BOM_table7[[#This Row],[ASM QTY]]*$Q$3+BOM_table7[[#This Row],[Spare QTY Needed]]-BOM_table7[[#This Row],[QTY in Inventory]]</f>
        <v>1</v>
      </c>
      <c r="T168" s="51">
        <f>ROUNDUP((BOM_table7[[#This Row],[QTY to Order]]/BOM_table7[[#This Row],[SKU QTY]]),0)</f>
        <v>1</v>
      </c>
      <c r="U168" s="100">
        <f>BOM_table7[[#This Row],[SKU QTY to Order]]*BOM_table7[[#This Row],[SKU Cost]]</f>
        <v>4500</v>
      </c>
      <c r="V168" s="145"/>
      <c r="W168" s="45" t="s">
        <v>2191</v>
      </c>
      <c r="X168" s="45" t="s">
        <v>2342</v>
      </c>
      <c r="Y168" s="148">
        <v>44974</v>
      </c>
      <c r="Z168" s="145"/>
      <c r="AA168" s="144"/>
      <c r="AB168" s="148">
        <v>44977</v>
      </c>
      <c r="AC168" s="144"/>
      <c r="AD168" s="182"/>
      <c r="AE168" s="182"/>
      <c r="AF168" s="182"/>
    </row>
    <row r="169" spans="1:32" ht="15" customHeight="1" x14ac:dyDescent="0.2">
      <c r="A169" s="143" t="s">
        <v>160</v>
      </c>
      <c r="B169" s="44" t="s">
        <v>2088</v>
      </c>
      <c r="C169" s="44" t="s">
        <v>2116</v>
      </c>
      <c r="D169" s="45"/>
      <c r="E169" s="45" t="s">
        <v>1784</v>
      </c>
      <c r="F169" s="45"/>
      <c r="G169" s="45"/>
      <c r="H169" s="45"/>
      <c r="I169" s="45"/>
      <c r="J169" s="43"/>
      <c r="K169" s="45"/>
      <c r="L169" s="45"/>
      <c r="M169" s="126">
        <v>1</v>
      </c>
      <c r="N169" s="50"/>
      <c r="O169" s="51">
        <f>IF(OR(ISBLANK(BOM_table7[[#This Row],[SKU QTY]]),BOM_table7[[#This Row],[SKU Cost]]=0),0,BOM_table7[[#This Row],[SKU Cost]]/BOM_table7[[#This Row],[SKU QTY]])</f>
        <v>0</v>
      </c>
      <c r="P169" s="146">
        <f>IF(OR(ISBLANK(BOM_table7[[#This Row],[ASM QTY]]),ISBLANK(BOM_table7[[#This Row],[Unit Cost]])),0,BOM_table7[[#This Row],[ASM QTY]]*BOM_table7[[#This Row],[Unit Cost]])</f>
        <v>0</v>
      </c>
      <c r="Q169" s="45"/>
      <c r="R169" s="45"/>
      <c r="S169" s="93">
        <f>IF(B169="Shared All",$M$3,1)*IF(B169="Shared Science+Docking",2,1)*IF(B169="Shared Docking+Multibeam",2,1)*BOM_table7[[#This Row],[ASM QTY]]*$Q$3+BOM_table7[[#This Row],[Spare QTY Needed]]-BOM_table7[[#This Row],[QTY in Inventory]]</f>
        <v>0</v>
      </c>
      <c r="T169" s="51">
        <f>ROUNDUP((BOM_table7[[#This Row],[QTY to Order]]/BOM_table7[[#This Row],[SKU QTY]]),0)</f>
        <v>0</v>
      </c>
      <c r="U169" s="100">
        <f>BOM_table7[[#This Row],[SKU QTY to Order]]*BOM_table7[[#This Row],[SKU Cost]]</f>
        <v>0</v>
      </c>
      <c r="V169" s="50"/>
      <c r="W169" s="45"/>
      <c r="X169" s="45"/>
      <c r="Y169" s="54"/>
      <c r="Z169" s="50"/>
      <c r="AA169" s="45"/>
      <c r="AB169" s="45"/>
      <c r="AC169" s="45"/>
      <c r="AD169" s="182"/>
      <c r="AE169" s="182"/>
      <c r="AF169" s="182"/>
    </row>
    <row r="170" spans="1:32" ht="15" customHeight="1" x14ac:dyDescent="0.2">
      <c r="A170" s="143" t="s">
        <v>160</v>
      </c>
      <c r="B170" s="44" t="s">
        <v>2087</v>
      </c>
      <c r="C170" s="44" t="s">
        <v>2117</v>
      </c>
      <c r="D170" s="45"/>
      <c r="E170" s="144" t="s">
        <v>1784</v>
      </c>
      <c r="F170" s="45"/>
      <c r="G170" s="45"/>
      <c r="H170" s="45"/>
      <c r="I170" s="45"/>
      <c r="J170" s="43"/>
      <c r="K170" s="45"/>
      <c r="L170" s="45"/>
      <c r="M170" s="126">
        <v>1</v>
      </c>
      <c r="N170" s="50"/>
      <c r="O170" s="51">
        <f>IF(OR(ISBLANK(BOM_table7[[#This Row],[SKU QTY]]),BOM_table7[[#This Row],[SKU Cost]]=0),0,BOM_table7[[#This Row],[SKU Cost]]/BOM_table7[[#This Row],[SKU QTY]])</f>
        <v>0</v>
      </c>
      <c r="P170" s="146">
        <f>IF(OR(ISBLANK(BOM_table7[[#This Row],[ASM QTY]]),ISBLANK(BOM_table7[[#This Row],[Unit Cost]])),0,BOM_table7[[#This Row],[ASM QTY]]*BOM_table7[[#This Row],[Unit Cost]])</f>
        <v>0</v>
      </c>
      <c r="Q170" s="45"/>
      <c r="R170" s="45"/>
      <c r="S170" s="93">
        <f>IF(B170="Shared All",$M$3,1)*IF(B170="Shared Science+Docking",2,1)*IF(B170="Shared Docking+Multibeam",2,1)*BOM_table7[[#This Row],[ASM QTY]]*$Q$3+BOM_table7[[#This Row],[Spare QTY Needed]]-BOM_table7[[#This Row],[QTY in Inventory]]</f>
        <v>0</v>
      </c>
      <c r="T170" s="51">
        <f>ROUNDUP((BOM_table7[[#This Row],[QTY to Order]]/BOM_table7[[#This Row],[SKU QTY]]),0)</f>
        <v>0</v>
      </c>
      <c r="U170" s="100">
        <f>BOM_table7[[#This Row],[SKU QTY to Order]]*BOM_table7[[#This Row],[SKU Cost]]</f>
        <v>0</v>
      </c>
      <c r="V170" s="50"/>
      <c r="W170" s="45"/>
      <c r="X170" s="45"/>
      <c r="Y170" s="54"/>
      <c r="Z170" s="50"/>
      <c r="AA170" s="45"/>
      <c r="AB170" s="45"/>
      <c r="AC170" s="45"/>
      <c r="AD170" s="182"/>
      <c r="AE170" s="182"/>
      <c r="AF170" s="182"/>
    </row>
    <row r="171" spans="1:32" ht="15" customHeight="1" x14ac:dyDescent="0.2">
      <c r="A171" s="143" t="s">
        <v>160</v>
      </c>
      <c r="B171" s="44" t="s">
        <v>2103</v>
      </c>
      <c r="C171" s="143" t="s">
        <v>1781</v>
      </c>
      <c r="D171" s="144" t="s">
        <v>891</v>
      </c>
      <c r="E171" s="45" t="s">
        <v>1784</v>
      </c>
      <c r="F171" s="144"/>
      <c r="G171" s="144">
        <v>1</v>
      </c>
      <c r="H171" s="144" t="s">
        <v>1049</v>
      </c>
      <c r="I171" s="144"/>
      <c r="J171" s="150" t="s">
        <v>1939</v>
      </c>
      <c r="K171" s="144" t="s">
        <v>169</v>
      </c>
      <c r="L171" s="45" t="s">
        <v>1940</v>
      </c>
      <c r="M171" s="126">
        <v>1</v>
      </c>
      <c r="N171" s="145"/>
      <c r="O171" s="51">
        <f>IF(OR(ISBLANK(BOM_table7[[#This Row],[SKU QTY]]),BOM_table7[[#This Row],[SKU Cost]]=0),0,BOM_table7[[#This Row],[SKU Cost]]/BOM_table7[[#This Row],[SKU QTY]])</f>
        <v>0</v>
      </c>
      <c r="P171" s="146">
        <f>IF(OR(ISBLANK(BOM_table7[[#This Row],[ASM QTY]]),ISBLANK(BOM_table7[[#This Row],[Unit Cost]])),0,BOM_table7[[#This Row],[ASM QTY]]*BOM_table7[[#This Row],[Unit Cost]])</f>
        <v>0</v>
      </c>
      <c r="Q171" s="144"/>
      <c r="R171" s="144"/>
      <c r="S171" s="93">
        <f>IF(B171="Shared All",$M$3,1)*IF(B171="Shared Science+Docking",2,1)*IF(B171="Shared Docking+Multibeam",2,1)*BOM_table7[[#This Row],[ASM QTY]]*$Q$3+BOM_table7[[#This Row],[Spare QTY Needed]]-BOM_table7[[#This Row],[QTY in Inventory]]</f>
        <v>1</v>
      </c>
      <c r="T171" s="51">
        <f>ROUNDUP((BOM_table7[[#This Row],[QTY to Order]]/BOM_table7[[#This Row],[SKU QTY]]),0)</f>
        <v>1</v>
      </c>
      <c r="U171" s="100">
        <f>BOM_table7[[#This Row],[SKU QTY to Order]]*BOM_table7[[#This Row],[SKU Cost]]</f>
        <v>0</v>
      </c>
      <c r="V171" s="145"/>
      <c r="W171" s="144"/>
      <c r="X171" s="144"/>
      <c r="Y171" s="148"/>
      <c r="Z171" s="145"/>
      <c r="AA171" s="144"/>
      <c r="AB171" s="144"/>
      <c r="AC171" s="144"/>
      <c r="AD171" s="182"/>
      <c r="AE171" s="182"/>
      <c r="AF171" s="182"/>
    </row>
    <row r="172" spans="1:32" ht="15" customHeight="1" x14ac:dyDescent="0.2">
      <c r="A172" s="143" t="s">
        <v>160</v>
      </c>
      <c r="B172" s="44" t="s">
        <v>2088</v>
      </c>
      <c r="C172" s="143" t="s">
        <v>1821</v>
      </c>
      <c r="D172" s="144">
        <v>107569</v>
      </c>
      <c r="E172" s="144" t="s">
        <v>1818</v>
      </c>
      <c r="F172" s="144" t="s">
        <v>233</v>
      </c>
      <c r="G172" s="144">
        <v>1</v>
      </c>
      <c r="H172" s="144" t="s">
        <v>1430</v>
      </c>
      <c r="I172" s="144"/>
      <c r="J172" s="150"/>
      <c r="K172" s="144" t="s">
        <v>169</v>
      </c>
      <c r="L172" s="45" t="s">
        <v>1528</v>
      </c>
      <c r="M172" s="126">
        <v>1</v>
      </c>
      <c r="N172" s="145"/>
      <c r="O172" s="51">
        <f>IF(OR(ISBLANK(BOM_table7[[#This Row],[SKU QTY]]),BOM_table7[[#This Row],[SKU Cost]]=0),0,BOM_table7[[#This Row],[SKU Cost]]/BOM_table7[[#This Row],[SKU QTY]])</f>
        <v>0</v>
      </c>
      <c r="P172" s="146">
        <f>IF(OR(ISBLANK(BOM_table7[[#This Row],[ASM QTY]]),ISBLANK(BOM_table7[[#This Row],[Unit Cost]])),0,BOM_table7[[#This Row],[ASM QTY]]*BOM_table7[[#This Row],[Unit Cost]])</f>
        <v>0</v>
      </c>
      <c r="Q172" s="144"/>
      <c r="R172" s="144"/>
      <c r="S172" s="93">
        <f>IF(B172="Shared All",$M$3,1)*IF(B172="Shared Science+Docking",2,1)*IF(B172="Shared Docking+Multibeam",2,1)*BOM_table7[[#This Row],[ASM QTY]]*$Q$3+BOM_table7[[#This Row],[Spare QTY Needed]]-BOM_table7[[#This Row],[QTY in Inventory]]</f>
        <v>1</v>
      </c>
      <c r="T172" s="146">
        <f>ROUNDUP((BOM_table7[[#This Row],[QTY to Order]]/BOM_table7[[#This Row],[SKU QTY]]),0)</f>
        <v>1</v>
      </c>
      <c r="U172" s="100">
        <f>BOM_table7[[#This Row],[SKU QTY to Order]]*BOM_table7[[#This Row],[SKU Cost]]</f>
        <v>0</v>
      </c>
      <c r="V172" s="45"/>
      <c r="W172" s="45"/>
      <c r="X172" s="148"/>
      <c r="Y172" s="144"/>
      <c r="Z172" s="144"/>
      <c r="AA172" s="148"/>
      <c r="AB172" s="148"/>
      <c r="AC172" s="149"/>
      <c r="AD172" s="182"/>
      <c r="AE172" s="182"/>
      <c r="AF172" s="182"/>
    </row>
    <row r="173" spans="1:32" ht="15" customHeight="1" x14ac:dyDescent="0.2">
      <c r="A173" s="143" t="s">
        <v>160</v>
      </c>
      <c r="B173" s="44" t="s">
        <v>2088</v>
      </c>
      <c r="C173" s="143" t="s">
        <v>1823</v>
      </c>
      <c r="D173" s="144">
        <v>107890</v>
      </c>
      <c r="E173" s="144" t="s">
        <v>1866</v>
      </c>
      <c r="F173" s="144" t="s">
        <v>152</v>
      </c>
      <c r="G173" s="144">
        <v>2</v>
      </c>
      <c r="H173" s="45" t="s">
        <v>2052</v>
      </c>
      <c r="I173" s="144"/>
      <c r="J173" s="150"/>
      <c r="K173" s="144" t="s">
        <v>167</v>
      </c>
      <c r="L173" s="144"/>
      <c r="M173" s="126">
        <v>1</v>
      </c>
      <c r="N173" s="145"/>
      <c r="O173" s="51">
        <f>IF(OR(ISBLANK(BOM_table7[[#This Row],[SKU QTY]]),BOM_table7[[#This Row],[SKU Cost]]=0),0,BOM_table7[[#This Row],[SKU Cost]]/BOM_table7[[#This Row],[SKU QTY]])</f>
        <v>0</v>
      </c>
      <c r="P173" s="146">
        <f>IF(OR(ISBLANK(BOM_table7[[#This Row],[ASM QTY]]),ISBLANK(BOM_table7[[#This Row],[Unit Cost]])),0,BOM_table7[[#This Row],[ASM QTY]]*BOM_table7[[#This Row],[Unit Cost]])</f>
        <v>0</v>
      </c>
      <c r="Q173" s="144"/>
      <c r="R173" s="144"/>
      <c r="S173" s="93">
        <f>IF(B173="Shared All",$M$3,1)*IF(B173="Shared Science+Docking",2,1)*IF(B173="Shared Docking+Multibeam",2,1)*BOM_table7[[#This Row],[ASM QTY]]*$Q$3+BOM_table7[[#This Row],[Spare QTY Needed]]-BOM_table7[[#This Row],[QTY in Inventory]]</f>
        <v>2</v>
      </c>
      <c r="T173" s="146">
        <f>ROUNDUP((BOM_table7[[#This Row],[QTY to Order]]/BOM_table7[[#This Row],[SKU QTY]]),0)</f>
        <v>2</v>
      </c>
      <c r="U173" s="100">
        <f>BOM_table7[[#This Row],[SKU QTY to Order]]*BOM_table7[[#This Row],[SKU Cost]]</f>
        <v>0</v>
      </c>
      <c r="V173" s="144"/>
      <c r="W173" s="144"/>
      <c r="X173" s="148"/>
      <c r="Y173" s="144"/>
      <c r="Z173" s="144"/>
      <c r="AA173" s="148"/>
      <c r="AB173" s="148"/>
      <c r="AC173" s="149"/>
      <c r="AD173" s="182"/>
      <c r="AE173" s="182"/>
      <c r="AF173" s="182"/>
    </row>
    <row r="174" spans="1:32" ht="15" customHeight="1" x14ac:dyDescent="0.2">
      <c r="A174" s="143" t="s">
        <v>160</v>
      </c>
      <c r="B174" s="44" t="s">
        <v>2088</v>
      </c>
      <c r="C174" s="143" t="s">
        <v>1824</v>
      </c>
      <c r="D174" s="144" t="s">
        <v>1825</v>
      </c>
      <c r="E174" s="144" t="s">
        <v>1866</v>
      </c>
      <c r="F174" s="144"/>
      <c r="G174" s="144">
        <v>4</v>
      </c>
      <c r="H174" s="144" t="s">
        <v>1274</v>
      </c>
      <c r="I174" s="144"/>
      <c r="J174" s="150"/>
      <c r="K174" s="144" t="s">
        <v>166</v>
      </c>
      <c r="L174" s="144"/>
      <c r="M174" s="126">
        <v>1</v>
      </c>
      <c r="N174" s="145"/>
      <c r="O174" s="51">
        <f>IF(OR(ISBLANK(BOM_table7[[#This Row],[SKU QTY]]),BOM_table7[[#This Row],[SKU Cost]]=0),0,BOM_table7[[#This Row],[SKU Cost]]/BOM_table7[[#This Row],[SKU QTY]])</f>
        <v>0</v>
      </c>
      <c r="P174" s="146">
        <f>IF(OR(ISBLANK(BOM_table7[[#This Row],[ASM QTY]]),ISBLANK(BOM_table7[[#This Row],[Unit Cost]])),0,BOM_table7[[#This Row],[ASM QTY]]*BOM_table7[[#This Row],[Unit Cost]])</f>
        <v>0</v>
      </c>
      <c r="Q174" s="144"/>
      <c r="R174" s="144"/>
      <c r="S174" s="93">
        <f>IF(B174="Shared All",$M$3,1)*IF(B174="Shared Science+Docking",2,1)*IF(B174="Shared Docking+Multibeam",2,1)*BOM_table7[[#This Row],[ASM QTY]]*$Q$3+BOM_table7[[#This Row],[Spare QTY Needed]]-BOM_table7[[#This Row],[QTY in Inventory]]</f>
        <v>4</v>
      </c>
      <c r="T174" s="146">
        <f>ROUNDUP((BOM_table7[[#This Row],[QTY to Order]]/BOM_table7[[#This Row],[SKU QTY]]),0)</f>
        <v>4</v>
      </c>
      <c r="U174" s="100">
        <f>BOM_table7[[#This Row],[SKU QTY to Order]]*BOM_table7[[#This Row],[SKU Cost]]</f>
        <v>0</v>
      </c>
      <c r="V174" s="45"/>
      <c r="W174" s="45"/>
      <c r="X174" s="148"/>
      <c r="Y174" s="144"/>
      <c r="Z174" s="144"/>
      <c r="AA174" s="148"/>
      <c r="AB174" s="148"/>
      <c r="AC174" s="149"/>
      <c r="AD174" s="182"/>
      <c r="AE174" s="182"/>
      <c r="AF174" s="182"/>
    </row>
    <row r="175" spans="1:32" ht="15" customHeight="1" x14ac:dyDescent="0.2">
      <c r="A175" s="143" t="s">
        <v>160</v>
      </c>
      <c r="B175" s="44" t="s">
        <v>2088</v>
      </c>
      <c r="C175" s="143" t="s">
        <v>1826</v>
      </c>
      <c r="D175" s="144" t="s">
        <v>1827</v>
      </c>
      <c r="E175" s="144" t="s">
        <v>1866</v>
      </c>
      <c r="F175" s="144"/>
      <c r="G175" s="144">
        <v>4</v>
      </c>
      <c r="H175" s="144" t="s">
        <v>1274</v>
      </c>
      <c r="I175" s="144"/>
      <c r="J175" s="150"/>
      <c r="K175" s="144" t="s">
        <v>166</v>
      </c>
      <c r="L175" s="144"/>
      <c r="M175" s="126">
        <v>1</v>
      </c>
      <c r="N175" s="145"/>
      <c r="O175" s="51">
        <f>IF(OR(ISBLANK(BOM_table7[[#This Row],[SKU QTY]]),BOM_table7[[#This Row],[SKU Cost]]=0),0,BOM_table7[[#This Row],[SKU Cost]]/BOM_table7[[#This Row],[SKU QTY]])</f>
        <v>0</v>
      </c>
      <c r="P175" s="146">
        <f>IF(OR(ISBLANK(BOM_table7[[#This Row],[ASM QTY]]),ISBLANK(BOM_table7[[#This Row],[Unit Cost]])),0,BOM_table7[[#This Row],[ASM QTY]]*BOM_table7[[#This Row],[Unit Cost]])</f>
        <v>0</v>
      </c>
      <c r="Q175" s="144"/>
      <c r="R175" s="144"/>
      <c r="S175" s="93">
        <f>IF(B175="Shared All",$M$3,1)*IF(B175="Shared Science+Docking",2,1)*IF(B175="Shared Docking+Multibeam",2,1)*BOM_table7[[#This Row],[ASM QTY]]*$Q$3+BOM_table7[[#This Row],[Spare QTY Needed]]-BOM_table7[[#This Row],[QTY in Inventory]]</f>
        <v>4</v>
      </c>
      <c r="T175" s="146">
        <f>ROUNDUP((BOM_table7[[#This Row],[QTY to Order]]/BOM_table7[[#This Row],[SKU QTY]]),0)</f>
        <v>4</v>
      </c>
      <c r="U175" s="100">
        <f>BOM_table7[[#This Row],[SKU QTY to Order]]*BOM_table7[[#This Row],[SKU Cost]]</f>
        <v>0</v>
      </c>
      <c r="V175" s="45"/>
      <c r="W175" s="45"/>
      <c r="X175" s="54"/>
      <c r="Y175" s="144"/>
      <c r="Z175" s="144"/>
      <c r="AA175" s="148"/>
      <c r="AB175" s="148"/>
      <c r="AC175" s="149"/>
      <c r="AD175" s="182"/>
      <c r="AE175" s="182"/>
      <c r="AF175" s="182"/>
    </row>
    <row r="176" spans="1:32" ht="15" customHeight="1" x14ac:dyDescent="0.2">
      <c r="A176" s="143" t="s">
        <v>160</v>
      </c>
      <c r="B176" s="44" t="s">
        <v>2088</v>
      </c>
      <c r="C176" s="143" t="s">
        <v>1820</v>
      </c>
      <c r="D176" s="144">
        <v>108594</v>
      </c>
      <c r="E176" s="144" t="s">
        <v>1828</v>
      </c>
      <c r="F176" s="144" t="s">
        <v>233</v>
      </c>
      <c r="G176" s="144">
        <v>2</v>
      </c>
      <c r="H176" s="144" t="s">
        <v>1430</v>
      </c>
      <c r="I176" s="144"/>
      <c r="J176" s="150"/>
      <c r="K176" s="144" t="s">
        <v>169</v>
      </c>
      <c r="L176" s="45" t="s">
        <v>1528</v>
      </c>
      <c r="M176" s="126">
        <v>1</v>
      </c>
      <c r="N176" s="145"/>
      <c r="O176" s="51">
        <f>IF(OR(ISBLANK(BOM_table7[[#This Row],[SKU QTY]]),BOM_table7[[#This Row],[SKU Cost]]=0),0,BOM_table7[[#This Row],[SKU Cost]]/BOM_table7[[#This Row],[SKU QTY]])</f>
        <v>0</v>
      </c>
      <c r="P176" s="146">
        <f>IF(OR(ISBLANK(BOM_table7[[#This Row],[ASM QTY]]),ISBLANK(BOM_table7[[#This Row],[Unit Cost]])),0,BOM_table7[[#This Row],[ASM QTY]]*BOM_table7[[#This Row],[Unit Cost]])</f>
        <v>0</v>
      </c>
      <c r="Q176" s="144"/>
      <c r="R176" s="144"/>
      <c r="S176" s="93">
        <f>IF(B176="Shared All",$M$3,1)*IF(B176="Shared Science+Docking",2,1)*IF(B176="Shared Docking+Multibeam",2,1)*BOM_table7[[#This Row],[ASM QTY]]*$Q$3+BOM_table7[[#This Row],[Spare QTY Needed]]-BOM_table7[[#This Row],[QTY in Inventory]]</f>
        <v>2</v>
      </c>
      <c r="T176" s="146">
        <f>ROUNDUP((BOM_table7[[#This Row],[QTY to Order]]/BOM_table7[[#This Row],[SKU QTY]]),0)</f>
        <v>2</v>
      </c>
      <c r="U176" s="100">
        <f>BOM_table7[[#This Row],[SKU QTY to Order]]*BOM_table7[[#This Row],[SKU Cost]]</f>
        <v>0</v>
      </c>
      <c r="V176" s="45"/>
      <c r="W176" s="45"/>
      <c r="X176" s="148"/>
      <c r="Y176" s="144"/>
      <c r="Z176" s="144"/>
      <c r="AA176" s="148"/>
      <c r="AB176" s="148"/>
      <c r="AC176" s="149"/>
      <c r="AD176" s="182"/>
      <c r="AE176" s="182"/>
      <c r="AF176" s="182"/>
    </row>
    <row r="177" spans="1:32" ht="15" customHeight="1" x14ac:dyDescent="0.2">
      <c r="A177" s="143" t="s">
        <v>160</v>
      </c>
      <c r="B177" s="44" t="s">
        <v>2088</v>
      </c>
      <c r="C177" s="143" t="s">
        <v>1822</v>
      </c>
      <c r="D177" s="144">
        <v>107546</v>
      </c>
      <c r="E177" s="144" t="s">
        <v>1828</v>
      </c>
      <c r="F177" s="144" t="s">
        <v>233</v>
      </c>
      <c r="G177" s="144">
        <v>2</v>
      </c>
      <c r="H177" s="144" t="s">
        <v>1430</v>
      </c>
      <c r="I177" s="144"/>
      <c r="J177" s="150"/>
      <c r="K177" s="144" t="s">
        <v>169</v>
      </c>
      <c r="L177" s="45" t="s">
        <v>1528</v>
      </c>
      <c r="M177" s="126">
        <v>1</v>
      </c>
      <c r="N177" s="145"/>
      <c r="O177" s="51">
        <f>IF(OR(ISBLANK(BOM_table7[[#This Row],[SKU QTY]]),BOM_table7[[#This Row],[SKU Cost]]=0),0,BOM_table7[[#This Row],[SKU Cost]]/BOM_table7[[#This Row],[SKU QTY]])</f>
        <v>0</v>
      </c>
      <c r="P177" s="146">
        <f>IF(OR(ISBLANK(BOM_table7[[#This Row],[ASM QTY]]),ISBLANK(BOM_table7[[#This Row],[Unit Cost]])),0,BOM_table7[[#This Row],[ASM QTY]]*BOM_table7[[#This Row],[Unit Cost]])</f>
        <v>0</v>
      </c>
      <c r="Q177" s="144"/>
      <c r="R177" s="144"/>
      <c r="S177" s="93">
        <f>IF(B177="Shared All",$M$3,1)*IF(B177="Shared Science+Docking",2,1)*IF(B177="Shared Docking+Multibeam",2,1)*BOM_table7[[#This Row],[ASM QTY]]*$Q$3+BOM_table7[[#This Row],[Spare QTY Needed]]-BOM_table7[[#This Row],[QTY in Inventory]]</f>
        <v>2</v>
      </c>
      <c r="T177" s="146">
        <f>ROUNDUP((BOM_table7[[#This Row],[QTY to Order]]/BOM_table7[[#This Row],[SKU QTY]]),0)</f>
        <v>2</v>
      </c>
      <c r="U177" s="100">
        <f>BOM_table7[[#This Row],[SKU QTY to Order]]*BOM_table7[[#This Row],[SKU Cost]]</f>
        <v>0</v>
      </c>
      <c r="V177" s="45"/>
      <c r="W177" s="45"/>
      <c r="X177" s="148"/>
      <c r="Y177" s="144"/>
      <c r="Z177" s="144"/>
      <c r="AA177" s="148"/>
      <c r="AB177" s="148"/>
      <c r="AC177" s="149"/>
      <c r="AD177" s="182"/>
      <c r="AE177" s="182"/>
      <c r="AF177" s="182"/>
    </row>
    <row r="178" spans="1:32" ht="15" customHeight="1" x14ac:dyDescent="0.25">
      <c r="A178" s="143" t="s">
        <v>160</v>
      </c>
      <c r="B178" s="44" t="s">
        <v>2088</v>
      </c>
      <c r="C178" s="143" t="s">
        <v>1817</v>
      </c>
      <c r="D178" s="144" t="s">
        <v>1829</v>
      </c>
      <c r="E178" s="144" t="s">
        <v>1867</v>
      </c>
      <c r="F178" s="144"/>
      <c r="G178" s="144">
        <v>5</v>
      </c>
      <c r="H178" s="45" t="s">
        <v>2051</v>
      </c>
      <c r="I178" s="144"/>
      <c r="J178" s="104" t="s">
        <v>2078</v>
      </c>
      <c r="K178" s="144" t="s">
        <v>166</v>
      </c>
      <c r="L178" s="45" t="s">
        <v>2061</v>
      </c>
      <c r="M178" s="126">
        <v>1</v>
      </c>
      <c r="N178" s="145"/>
      <c r="O178" s="51">
        <f>IF(OR(ISBLANK(BOM_table7[[#This Row],[SKU QTY]]),BOM_table7[[#This Row],[SKU Cost]]=0),0,BOM_table7[[#This Row],[SKU Cost]]/BOM_table7[[#This Row],[SKU QTY]])</f>
        <v>0</v>
      </c>
      <c r="P178" s="146">
        <f>IF(OR(ISBLANK(BOM_table7[[#This Row],[ASM QTY]]),ISBLANK(BOM_table7[[#This Row],[Unit Cost]])),0,BOM_table7[[#This Row],[ASM QTY]]*BOM_table7[[#This Row],[Unit Cost]])</f>
        <v>0</v>
      </c>
      <c r="Q178" s="144"/>
      <c r="R178" s="144"/>
      <c r="S178" s="93">
        <f>IF(B178="Shared All",$M$3,1)*IF(B178="Shared Science+Docking",2,1)*IF(B178="Shared Docking+Multibeam",2,1)*BOM_table7[[#This Row],[ASM QTY]]*$Q$3+BOM_table7[[#This Row],[Spare QTY Needed]]-BOM_table7[[#This Row],[QTY in Inventory]]</f>
        <v>5</v>
      </c>
      <c r="T178" s="146">
        <f>ROUNDUP((BOM_table7[[#This Row],[QTY to Order]]/BOM_table7[[#This Row],[SKU QTY]]),0)</f>
        <v>5</v>
      </c>
      <c r="U178" s="100">
        <f>BOM_table7[[#This Row],[SKU QTY to Order]]*BOM_table7[[#This Row],[SKU Cost]]</f>
        <v>0</v>
      </c>
      <c r="V178" s="144"/>
      <c r="W178" s="144"/>
      <c r="X178" s="148"/>
      <c r="Y178" s="144"/>
      <c r="Z178" s="144"/>
      <c r="AA178" s="148"/>
      <c r="AB178" s="148"/>
      <c r="AC178" s="149"/>
      <c r="AD178" s="182"/>
      <c r="AE178" s="182"/>
      <c r="AF178" s="182"/>
    </row>
    <row r="179" spans="1:32" ht="15" customHeight="1" x14ac:dyDescent="0.25">
      <c r="A179" s="143" t="s">
        <v>160</v>
      </c>
      <c r="B179" s="44" t="s">
        <v>2088</v>
      </c>
      <c r="C179" s="143" t="s">
        <v>1819</v>
      </c>
      <c r="D179" s="144" t="s">
        <v>1830</v>
      </c>
      <c r="E179" s="144" t="s">
        <v>1863</v>
      </c>
      <c r="F179" s="144"/>
      <c r="G179" s="144">
        <v>3</v>
      </c>
      <c r="H179" s="45" t="s">
        <v>2051</v>
      </c>
      <c r="I179" s="144"/>
      <c r="J179" s="104" t="s">
        <v>2077</v>
      </c>
      <c r="K179" s="144" t="s">
        <v>166</v>
      </c>
      <c r="L179" s="45" t="s">
        <v>2061</v>
      </c>
      <c r="M179" s="126">
        <v>1</v>
      </c>
      <c r="N179" s="145"/>
      <c r="O179" s="51">
        <f>IF(OR(ISBLANK(BOM_table7[[#This Row],[SKU QTY]]),BOM_table7[[#This Row],[SKU Cost]]=0),0,BOM_table7[[#This Row],[SKU Cost]]/BOM_table7[[#This Row],[SKU QTY]])</f>
        <v>0</v>
      </c>
      <c r="P179" s="146">
        <f>IF(OR(ISBLANK(BOM_table7[[#This Row],[ASM QTY]]),ISBLANK(BOM_table7[[#This Row],[Unit Cost]])),0,BOM_table7[[#This Row],[ASM QTY]]*BOM_table7[[#This Row],[Unit Cost]])</f>
        <v>0</v>
      </c>
      <c r="Q179" s="144"/>
      <c r="R179" s="144"/>
      <c r="S179" s="93">
        <f>IF(B179="Shared All",$M$3,1)*IF(B179="Shared Science+Docking",2,1)*IF(B179="Shared Docking+Multibeam",2,1)*BOM_table7[[#This Row],[ASM QTY]]*$Q$3+BOM_table7[[#This Row],[Spare QTY Needed]]-BOM_table7[[#This Row],[QTY in Inventory]]</f>
        <v>3</v>
      </c>
      <c r="T179" s="146">
        <f>ROUNDUP((BOM_table7[[#This Row],[QTY to Order]]/BOM_table7[[#This Row],[SKU QTY]]),0)</f>
        <v>3</v>
      </c>
      <c r="U179" s="100">
        <f>BOM_table7[[#This Row],[SKU QTY to Order]]*BOM_table7[[#This Row],[SKU Cost]]</f>
        <v>0</v>
      </c>
      <c r="V179" s="144"/>
      <c r="W179" s="144"/>
      <c r="X179" s="148"/>
      <c r="Y179" s="144"/>
      <c r="Z179" s="144"/>
      <c r="AA179" s="148"/>
      <c r="AB179" s="148"/>
      <c r="AC179" s="149"/>
      <c r="AD179" s="182"/>
      <c r="AE179" s="182"/>
      <c r="AF179" s="182"/>
    </row>
    <row r="180" spans="1:32" ht="15" customHeight="1" x14ac:dyDescent="0.2">
      <c r="A180" s="143" t="s">
        <v>160</v>
      </c>
      <c r="B180" s="44" t="s">
        <v>2088</v>
      </c>
      <c r="C180" s="44" t="s">
        <v>2042</v>
      </c>
      <c r="D180" s="144" t="s">
        <v>2043</v>
      </c>
      <c r="E180" s="144" t="s">
        <v>1863</v>
      </c>
      <c r="F180" s="144"/>
      <c r="G180" s="144">
        <v>6</v>
      </c>
      <c r="H180" s="144" t="s">
        <v>1274</v>
      </c>
      <c r="I180" s="144"/>
      <c r="J180" s="150"/>
      <c r="K180" s="144" t="s">
        <v>166</v>
      </c>
      <c r="L180" s="144"/>
      <c r="M180" s="126">
        <v>1</v>
      </c>
      <c r="N180" s="145"/>
      <c r="O180" s="51">
        <f>IF(OR(ISBLANK(BOM_table7[[#This Row],[SKU QTY]]),BOM_table7[[#This Row],[SKU Cost]]=0),0,BOM_table7[[#This Row],[SKU Cost]]/BOM_table7[[#This Row],[SKU QTY]])</f>
        <v>0</v>
      </c>
      <c r="P180" s="146">
        <f>IF(OR(ISBLANK(BOM_table7[[#This Row],[ASM QTY]]),ISBLANK(BOM_table7[[#This Row],[Unit Cost]])),0,BOM_table7[[#This Row],[ASM QTY]]*BOM_table7[[#This Row],[Unit Cost]])</f>
        <v>0</v>
      </c>
      <c r="Q180" s="144"/>
      <c r="R180" s="144"/>
      <c r="S180" s="93">
        <f>IF(B180="Shared All",$M$3,1)*IF(B180="Shared Science+Docking",2,1)*IF(B180="Shared Docking+Multibeam",2,1)*BOM_table7[[#This Row],[ASM QTY]]*$Q$3+BOM_table7[[#This Row],[Spare QTY Needed]]-BOM_table7[[#This Row],[QTY in Inventory]]</f>
        <v>6</v>
      </c>
      <c r="T180" s="146">
        <f>ROUNDUP((BOM_table7[[#This Row],[QTY to Order]]/BOM_table7[[#This Row],[SKU QTY]]),0)</f>
        <v>6</v>
      </c>
      <c r="U180" s="100">
        <f>BOM_table7[[#This Row],[SKU QTY to Order]]*BOM_table7[[#This Row],[SKU Cost]]</f>
        <v>0</v>
      </c>
      <c r="V180" s="45"/>
      <c r="W180" s="45"/>
      <c r="X180" s="148"/>
      <c r="Y180" s="144"/>
      <c r="Z180" s="144"/>
      <c r="AA180" s="148"/>
      <c r="AB180" s="148"/>
      <c r="AC180" s="149"/>
      <c r="AD180" s="182"/>
      <c r="AE180" s="182"/>
      <c r="AF180" s="182"/>
    </row>
    <row r="181" spans="1:32" ht="15" customHeight="1" x14ac:dyDescent="0.2">
      <c r="A181" s="143" t="s">
        <v>160</v>
      </c>
      <c r="B181" s="44" t="s">
        <v>2088</v>
      </c>
      <c r="C181" s="143" t="s">
        <v>1831</v>
      </c>
      <c r="D181" s="144">
        <v>107566</v>
      </c>
      <c r="E181" s="144" t="s">
        <v>1832</v>
      </c>
      <c r="F181" s="144" t="s">
        <v>233</v>
      </c>
      <c r="G181" s="144">
        <v>1</v>
      </c>
      <c r="H181" s="144" t="s">
        <v>1430</v>
      </c>
      <c r="I181" s="144"/>
      <c r="J181" s="150"/>
      <c r="K181" s="144" t="s">
        <v>169</v>
      </c>
      <c r="L181" s="45" t="s">
        <v>1528</v>
      </c>
      <c r="M181" s="126">
        <v>1</v>
      </c>
      <c r="N181" s="145"/>
      <c r="O181" s="51">
        <f>IF(OR(ISBLANK(BOM_table7[[#This Row],[SKU QTY]]),BOM_table7[[#This Row],[SKU Cost]]=0),0,BOM_table7[[#This Row],[SKU Cost]]/BOM_table7[[#This Row],[SKU QTY]])</f>
        <v>0</v>
      </c>
      <c r="P181" s="146">
        <f>IF(OR(ISBLANK(BOM_table7[[#This Row],[ASM QTY]]),ISBLANK(BOM_table7[[#This Row],[Unit Cost]])),0,BOM_table7[[#This Row],[ASM QTY]]*BOM_table7[[#This Row],[Unit Cost]])</f>
        <v>0</v>
      </c>
      <c r="Q181" s="144"/>
      <c r="R181" s="144"/>
      <c r="S181" s="93">
        <f>IF(B181="Shared All",$M$3,1)*IF(B181="Shared Science+Docking",2,1)*IF(B181="Shared Docking+Multibeam",2,1)*BOM_table7[[#This Row],[ASM QTY]]*$Q$3+BOM_table7[[#This Row],[Spare QTY Needed]]-BOM_table7[[#This Row],[QTY in Inventory]]</f>
        <v>1</v>
      </c>
      <c r="T181" s="146">
        <f>ROUNDUP((BOM_table7[[#This Row],[QTY to Order]]/BOM_table7[[#This Row],[SKU QTY]]),0)</f>
        <v>1</v>
      </c>
      <c r="U181" s="100">
        <f>BOM_table7[[#This Row],[SKU QTY to Order]]*BOM_table7[[#This Row],[SKU Cost]]</f>
        <v>0</v>
      </c>
      <c r="V181" s="45"/>
      <c r="W181" s="45"/>
      <c r="X181" s="148"/>
      <c r="Y181" s="144"/>
      <c r="Z181" s="144"/>
      <c r="AA181" s="148"/>
      <c r="AB181" s="148"/>
      <c r="AC181" s="149"/>
      <c r="AD181" s="182"/>
      <c r="AE181" s="182"/>
      <c r="AF181" s="182"/>
    </row>
    <row r="182" spans="1:32" ht="15" customHeight="1" x14ac:dyDescent="0.25">
      <c r="A182" s="143" t="s">
        <v>160</v>
      </c>
      <c r="B182" s="44" t="s">
        <v>2103</v>
      </c>
      <c r="C182" s="88" t="s">
        <v>2028</v>
      </c>
      <c r="D182" s="45" t="s">
        <v>2065</v>
      </c>
      <c r="E182" s="45" t="s">
        <v>1992</v>
      </c>
      <c r="F182" s="45" t="s">
        <v>2066</v>
      </c>
      <c r="G182" s="45">
        <v>1</v>
      </c>
      <c r="H182" s="45" t="s">
        <v>199</v>
      </c>
      <c r="I182" s="45"/>
      <c r="J182" s="43" t="s">
        <v>2073</v>
      </c>
      <c r="K182" s="45" t="s">
        <v>168</v>
      </c>
      <c r="L182" s="45" t="s">
        <v>199</v>
      </c>
      <c r="M182" s="126">
        <v>1</v>
      </c>
      <c r="N182" s="50"/>
      <c r="O182" s="51">
        <f>IF(OR(ISBLANK(BOM_table7[[#This Row],[SKU QTY]]),BOM_table7[[#This Row],[SKU Cost]]=0),0,BOM_table7[[#This Row],[SKU Cost]]/BOM_table7[[#This Row],[SKU QTY]])</f>
        <v>0</v>
      </c>
      <c r="P182" s="146">
        <f>IF(OR(ISBLANK(BOM_table7[[#This Row],[ASM QTY]]),ISBLANK(BOM_table7[[#This Row],[Unit Cost]])),0,BOM_table7[[#This Row],[ASM QTY]]*BOM_table7[[#This Row],[Unit Cost]])</f>
        <v>0</v>
      </c>
      <c r="Q182" s="45"/>
      <c r="R182" s="45"/>
      <c r="S182" s="93">
        <f>IF(B182="Shared All",$M$3,1)*IF(B182="Shared Science+Docking",2,1)*IF(B182="Shared Docking+Multibeam",2,1)*BOM_table7[[#This Row],[ASM QTY]]*$Q$3+BOM_table7[[#This Row],[Spare QTY Needed]]-BOM_table7[[#This Row],[QTY in Inventory]]</f>
        <v>1</v>
      </c>
      <c r="T182" s="51">
        <f>ROUNDUP((BOM_table7[[#This Row],[QTY to Order]]/BOM_table7[[#This Row],[SKU QTY]]),0)</f>
        <v>1</v>
      </c>
      <c r="U182" s="100">
        <f>BOM_table7[[#This Row],[SKU QTY to Order]]*BOM_table7[[#This Row],[SKU Cost]]</f>
        <v>0</v>
      </c>
      <c r="V182" s="50"/>
      <c r="W182" s="45"/>
      <c r="X182" s="45"/>
      <c r="Y182" s="142"/>
      <c r="Z182" s="50"/>
      <c r="AA182" s="45"/>
      <c r="AB182" s="54"/>
      <c r="AC182" s="54"/>
      <c r="AD182" s="183"/>
      <c r="AE182" s="183"/>
      <c r="AF182" s="182"/>
    </row>
    <row r="183" spans="1:32" ht="15" customHeight="1" x14ac:dyDescent="0.2">
      <c r="A183" s="143" t="s">
        <v>160</v>
      </c>
      <c r="B183" s="44" t="s">
        <v>2118</v>
      </c>
      <c r="C183" s="44" t="s">
        <v>1998</v>
      </c>
      <c r="D183" s="45"/>
      <c r="E183" s="45" t="s">
        <v>1992</v>
      </c>
      <c r="F183" s="45"/>
      <c r="G183" s="45">
        <v>1</v>
      </c>
      <c r="H183" s="45"/>
      <c r="I183" s="45"/>
      <c r="J183" s="43" t="s">
        <v>2024</v>
      </c>
      <c r="K183" s="45" t="s">
        <v>168</v>
      </c>
      <c r="L183" s="45"/>
      <c r="M183" s="126">
        <v>1</v>
      </c>
      <c r="N183" s="50"/>
      <c r="O183" s="51">
        <f>IF(OR(ISBLANK(BOM_table7[[#This Row],[SKU QTY]]),BOM_table7[[#This Row],[SKU Cost]]=0),0,BOM_table7[[#This Row],[SKU Cost]]/BOM_table7[[#This Row],[SKU QTY]])</f>
        <v>0</v>
      </c>
      <c r="P183" s="146">
        <f>IF(OR(ISBLANK(BOM_table7[[#This Row],[ASM QTY]]),ISBLANK(BOM_table7[[#This Row],[Unit Cost]])),0,BOM_table7[[#This Row],[ASM QTY]]*BOM_table7[[#This Row],[Unit Cost]])</f>
        <v>0</v>
      </c>
      <c r="Q183" s="45"/>
      <c r="R183" s="45"/>
      <c r="S183" s="93">
        <f>IF(B183="Shared All",$M$3,1)*IF(B183="Shared Science+Docking",2,1)*IF(B183="Shared Docking+Multibeam",2,1)*BOM_table7[[#This Row],[ASM QTY]]*$Q$3+BOM_table7[[#This Row],[Spare QTY Needed]]-BOM_table7[[#This Row],[QTY in Inventory]]</f>
        <v>1</v>
      </c>
      <c r="T183" s="51">
        <f>ROUNDUP((BOM_table7[[#This Row],[QTY to Order]]/BOM_table7[[#This Row],[SKU QTY]]),0)</f>
        <v>1</v>
      </c>
      <c r="U183" s="100">
        <f>BOM_table7[[#This Row],[SKU QTY to Order]]*BOM_table7[[#This Row],[SKU Cost]]</f>
        <v>0</v>
      </c>
      <c r="V183" s="50"/>
      <c r="W183" s="45"/>
      <c r="X183" s="45"/>
      <c r="Y183" s="175"/>
      <c r="Z183" s="50"/>
      <c r="AA183" s="45"/>
      <c r="AB183" s="54"/>
      <c r="AC183" s="54"/>
      <c r="AD183" s="183"/>
      <c r="AE183" s="183"/>
      <c r="AF183" s="182"/>
    </row>
    <row r="184" spans="1:32" ht="15" customHeight="1" x14ac:dyDescent="0.2">
      <c r="A184" s="143" t="s">
        <v>160</v>
      </c>
      <c r="B184" s="44" t="s">
        <v>2118</v>
      </c>
      <c r="C184" s="170" t="s">
        <v>2067</v>
      </c>
      <c r="D184" s="171">
        <v>301034</v>
      </c>
      <c r="E184" s="45" t="s">
        <v>1992</v>
      </c>
      <c r="F184" s="171"/>
      <c r="G184" s="171">
        <v>2</v>
      </c>
      <c r="H184" s="171" t="s">
        <v>199</v>
      </c>
      <c r="I184" s="171"/>
      <c r="J184" s="172" t="s">
        <v>2070</v>
      </c>
      <c r="K184" s="45" t="s">
        <v>168</v>
      </c>
      <c r="L184" s="45" t="s">
        <v>199</v>
      </c>
      <c r="M184" s="126">
        <v>1</v>
      </c>
      <c r="N184" s="173"/>
      <c r="O184" s="51">
        <f>IF(OR(ISBLANK(BOM_table7[[#This Row],[SKU QTY]]),BOM_table7[[#This Row],[SKU Cost]]=0),0,BOM_table7[[#This Row],[SKU Cost]]/BOM_table7[[#This Row],[SKU QTY]])</f>
        <v>0</v>
      </c>
      <c r="P184" s="146">
        <f>IF(OR(ISBLANK(BOM_table7[[#This Row],[ASM QTY]]),ISBLANK(BOM_table7[[#This Row],[Unit Cost]])),0,BOM_table7[[#This Row],[ASM QTY]]*BOM_table7[[#This Row],[Unit Cost]])</f>
        <v>0</v>
      </c>
      <c r="Q184" s="171"/>
      <c r="R184" s="171"/>
      <c r="S184" s="93">
        <f>IF(B184="Shared All",$M$3,1)*IF(B184="Shared Science+Docking",2,1)*IF(B184="Shared Docking+Multibeam",2,1)*BOM_table7[[#This Row],[ASM QTY]]*$Q$3+BOM_table7[[#This Row],[Spare QTY Needed]]-BOM_table7[[#This Row],[QTY in Inventory]]</f>
        <v>2</v>
      </c>
      <c r="T184" s="51">
        <f>ROUNDUP((BOM_table7[[#This Row],[QTY to Order]]/BOM_table7[[#This Row],[SKU QTY]]),0)</f>
        <v>2</v>
      </c>
      <c r="U184" s="100">
        <f>BOM_table7[[#This Row],[SKU QTY to Order]]*BOM_table7[[#This Row],[SKU Cost]]</f>
        <v>0</v>
      </c>
      <c r="V184" s="173"/>
      <c r="W184" s="171"/>
      <c r="X184" s="171"/>
      <c r="Y184" s="175"/>
      <c r="Z184" s="173"/>
      <c r="AA184" s="171"/>
      <c r="AB184" s="175"/>
      <c r="AC184" s="175"/>
      <c r="AD184" s="183"/>
      <c r="AE184" s="183"/>
      <c r="AF184" s="182"/>
    </row>
    <row r="185" spans="1:32" ht="15" customHeight="1" x14ac:dyDescent="0.2">
      <c r="A185" s="143" t="s">
        <v>160</v>
      </c>
      <c r="B185" s="44" t="s">
        <v>2118</v>
      </c>
      <c r="C185" s="170" t="s">
        <v>2068</v>
      </c>
      <c r="D185" s="171">
        <v>301035</v>
      </c>
      <c r="E185" s="45" t="s">
        <v>1992</v>
      </c>
      <c r="F185" s="171"/>
      <c r="G185" s="171">
        <v>1</v>
      </c>
      <c r="H185" s="171" t="s">
        <v>199</v>
      </c>
      <c r="I185" s="171"/>
      <c r="J185" s="172" t="s">
        <v>2069</v>
      </c>
      <c r="K185" s="45" t="s">
        <v>168</v>
      </c>
      <c r="L185" s="45" t="s">
        <v>199</v>
      </c>
      <c r="M185" s="126">
        <v>1</v>
      </c>
      <c r="N185" s="173"/>
      <c r="O185" s="51">
        <f>IF(OR(ISBLANK(BOM_table7[[#This Row],[SKU QTY]]),BOM_table7[[#This Row],[SKU Cost]]=0),0,BOM_table7[[#This Row],[SKU Cost]]/BOM_table7[[#This Row],[SKU QTY]])</f>
        <v>0</v>
      </c>
      <c r="P185" s="146">
        <f>IF(OR(ISBLANK(BOM_table7[[#This Row],[ASM QTY]]),ISBLANK(BOM_table7[[#This Row],[Unit Cost]])),0,BOM_table7[[#This Row],[ASM QTY]]*BOM_table7[[#This Row],[Unit Cost]])</f>
        <v>0</v>
      </c>
      <c r="Q185" s="171"/>
      <c r="R185" s="171"/>
      <c r="S185" s="93">
        <f>IF(B185="Shared All",$M$3,1)*IF(B185="Shared Science+Docking",2,1)*IF(B185="Shared Docking+Multibeam",2,1)*BOM_table7[[#This Row],[ASM QTY]]*$Q$3+BOM_table7[[#This Row],[Spare QTY Needed]]-BOM_table7[[#This Row],[QTY in Inventory]]</f>
        <v>1</v>
      </c>
      <c r="T185" s="51">
        <f>ROUNDUP((BOM_table7[[#This Row],[QTY to Order]]/BOM_table7[[#This Row],[SKU QTY]]),0)</f>
        <v>1</v>
      </c>
      <c r="U185" s="100">
        <f>BOM_table7[[#This Row],[SKU QTY to Order]]*BOM_table7[[#This Row],[SKU Cost]]</f>
        <v>0</v>
      </c>
      <c r="V185" s="173"/>
      <c r="W185" s="171"/>
      <c r="X185" s="171"/>
      <c r="Y185" s="175"/>
      <c r="Z185" s="173"/>
      <c r="AA185" s="171"/>
      <c r="AB185" s="175"/>
      <c r="AC185" s="175"/>
      <c r="AD185" s="183"/>
      <c r="AE185" s="183"/>
      <c r="AF185" s="182"/>
    </row>
    <row r="186" spans="1:32" ht="15" customHeight="1" x14ac:dyDescent="0.25">
      <c r="A186" s="143" t="s">
        <v>160</v>
      </c>
      <c r="B186" s="44" t="s">
        <v>2118</v>
      </c>
      <c r="C186" s="155" t="s">
        <v>1997</v>
      </c>
      <c r="D186" s="45">
        <v>301031</v>
      </c>
      <c r="E186" s="45" t="s">
        <v>1992</v>
      </c>
      <c r="F186" s="45"/>
      <c r="G186" s="45">
        <v>1</v>
      </c>
      <c r="H186" s="45" t="s">
        <v>1430</v>
      </c>
      <c r="I186" s="45"/>
      <c r="J186" s="43" t="s">
        <v>1995</v>
      </c>
      <c r="K186" s="45" t="s">
        <v>168</v>
      </c>
      <c r="L186" s="45"/>
      <c r="M186" s="126">
        <v>1</v>
      </c>
      <c r="N186" s="50"/>
      <c r="O186" s="51">
        <f>IF(OR(ISBLANK(BOM_table7[[#This Row],[SKU QTY]]),BOM_table7[[#This Row],[SKU Cost]]=0),0,BOM_table7[[#This Row],[SKU Cost]]/BOM_table7[[#This Row],[SKU QTY]])</f>
        <v>0</v>
      </c>
      <c r="P186" s="146">
        <f>IF(OR(ISBLANK(BOM_table7[[#This Row],[ASM QTY]]),ISBLANK(BOM_table7[[#This Row],[Unit Cost]])),0,BOM_table7[[#This Row],[ASM QTY]]*BOM_table7[[#This Row],[Unit Cost]])</f>
        <v>0</v>
      </c>
      <c r="Q186" s="45"/>
      <c r="R186" s="45"/>
      <c r="S186" s="93">
        <f>IF(B186="Shared All",$M$3,1)*IF(B186="Shared Science+Docking",2,1)*IF(B186="Shared Docking+Multibeam",2,1)*BOM_table7[[#This Row],[ASM QTY]]*$Q$3+BOM_table7[[#This Row],[Spare QTY Needed]]-BOM_table7[[#This Row],[QTY in Inventory]]</f>
        <v>1</v>
      </c>
      <c r="T186" s="51">
        <f>ROUNDUP((BOM_table7[[#This Row],[QTY to Order]]/BOM_table7[[#This Row],[SKU QTY]]),0)</f>
        <v>1</v>
      </c>
      <c r="U186" s="100">
        <f>BOM_table7[[#This Row],[SKU QTY to Order]]*BOM_table7[[#This Row],[SKU Cost]]</f>
        <v>0</v>
      </c>
      <c r="V186" s="50"/>
      <c r="W186" s="45"/>
      <c r="X186" s="45"/>
      <c r="Y186" s="54"/>
      <c r="Z186" s="50"/>
      <c r="AA186" s="45"/>
      <c r="AB186" s="54"/>
      <c r="AC186" s="54"/>
      <c r="AD186" s="183"/>
      <c r="AE186" s="183"/>
      <c r="AF186" s="182"/>
    </row>
    <row r="187" spans="1:32" ht="15" customHeight="1" x14ac:dyDescent="0.25">
      <c r="A187" s="143" t="s">
        <v>160</v>
      </c>
      <c r="B187" s="44" t="s">
        <v>2087</v>
      </c>
      <c r="C187" s="155" t="s">
        <v>1996</v>
      </c>
      <c r="D187" s="45"/>
      <c r="E187" s="45" t="s">
        <v>1992</v>
      </c>
      <c r="F187" s="45"/>
      <c r="G187" s="45">
        <v>1</v>
      </c>
      <c r="H187" s="45"/>
      <c r="I187" s="45"/>
      <c r="J187" s="155" t="s">
        <v>2034</v>
      </c>
      <c r="K187" s="45" t="s">
        <v>168</v>
      </c>
      <c r="L187" s="45"/>
      <c r="M187" s="126">
        <v>1</v>
      </c>
      <c r="N187" s="50"/>
      <c r="O187" s="51">
        <f>IF(OR(ISBLANK(BOM_table7[[#This Row],[SKU QTY]]),BOM_table7[[#This Row],[SKU Cost]]=0),0,BOM_table7[[#This Row],[SKU Cost]]/BOM_table7[[#This Row],[SKU QTY]])</f>
        <v>0</v>
      </c>
      <c r="P187" s="146">
        <f>IF(OR(ISBLANK(BOM_table7[[#This Row],[ASM QTY]]),ISBLANK(BOM_table7[[#This Row],[Unit Cost]])),0,BOM_table7[[#This Row],[ASM QTY]]*BOM_table7[[#This Row],[Unit Cost]])</f>
        <v>0</v>
      </c>
      <c r="Q187" s="45"/>
      <c r="R187" s="45"/>
      <c r="S187" s="93">
        <f>IF(B187="Shared All",$M$3,1)*IF(B187="Shared Science+Docking",2,1)*IF(B187="Shared Docking+Multibeam",2,1)*BOM_table7[[#This Row],[ASM QTY]]*$Q$3+BOM_table7[[#This Row],[Spare QTY Needed]]-BOM_table7[[#This Row],[QTY in Inventory]]</f>
        <v>1</v>
      </c>
      <c r="T187" s="51">
        <f>ROUNDUP((BOM_table7[[#This Row],[QTY to Order]]/BOM_table7[[#This Row],[SKU QTY]]),0)</f>
        <v>1</v>
      </c>
      <c r="U187" s="100">
        <f>BOM_table7[[#This Row],[SKU QTY to Order]]*BOM_table7[[#This Row],[SKU Cost]]</f>
        <v>0</v>
      </c>
      <c r="V187" s="50"/>
      <c r="W187" s="45"/>
      <c r="X187" s="45"/>
      <c r="Y187" s="54"/>
      <c r="Z187" s="50"/>
      <c r="AA187" s="45"/>
      <c r="AB187" s="54"/>
      <c r="AC187" s="54"/>
      <c r="AD187" s="183"/>
      <c r="AE187" s="183"/>
      <c r="AF187" s="182"/>
    </row>
    <row r="188" spans="1:32" ht="15" customHeight="1" x14ac:dyDescent="0.25">
      <c r="A188" s="143" t="s">
        <v>160</v>
      </c>
      <c r="B188" s="44" t="s">
        <v>2103</v>
      </c>
      <c r="C188" s="88" t="s">
        <v>2001</v>
      </c>
      <c r="D188" s="45">
        <v>109697</v>
      </c>
      <c r="E188" s="45" t="s">
        <v>1992</v>
      </c>
      <c r="F188" s="45" t="s">
        <v>233</v>
      </c>
      <c r="G188" s="45">
        <v>1</v>
      </c>
      <c r="H188" s="45" t="s">
        <v>1430</v>
      </c>
      <c r="I188" s="45"/>
      <c r="J188" s="43" t="s">
        <v>2000</v>
      </c>
      <c r="K188" s="45" t="s">
        <v>168</v>
      </c>
      <c r="L188" s="45" t="s">
        <v>1134</v>
      </c>
      <c r="M188" s="126">
        <v>1</v>
      </c>
      <c r="N188" s="50"/>
      <c r="O188" s="51">
        <f>IF(OR(ISBLANK(BOM_table7[[#This Row],[SKU QTY]]),BOM_table7[[#This Row],[SKU Cost]]=0),0,BOM_table7[[#This Row],[SKU Cost]]/BOM_table7[[#This Row],[SKU QTY]])</f>
        <v>0</v>
      </c>
      <c r="P188" s="146">
        <f>IF(OR(ISBLANK(BOM_table7[[#This Row],[ASM QTY]]),ISBLANK(BOM_table7[[#This Row],[Unit Cost]])),0,BOM_table7[[#This Row],[ASM QTY]]*BOM_table7[[#This Row],[Unit Cost]])</f>
        <v>0</v>
      </c>
      <c r="Q188" s="45"/>
      <c r="R188" s="45"/>
      <c r="S188" s="93">
        <f>IF(B188="Shared All",$M$3,1)*IF(B188="Shared Science+Docking",2,1)*IF(B188="Shared Docking+Multibeam",2,1)*BOM_table7[[#This Row],[ASM QTY]]*$Q$3+BOM_table7[[#This Row],[Spare QTY Needed]]-BOM_table7[[#This Row],[QTY in Inventory]]</f>
        <v>1</v>
      </c>
      <c r="T188" s="51">
        <f>ROUNDUP((BOM_table7[[#This Row],[QTY to Order]]/BOM_table7[[#This Row],[SKU QTY]]),0)</f>
        <v>1</v>
      </c>
      <c r="U188" s="100">
        <f>BOM_table7[[#This Row],[SKU QTY to Order]]*BOM_table7[[#This Row],[SKU Cost]]</f>
        <v>0</v>
      </c>
      <c r="V188" s="50"/>
      <c r="W188" s="45"/>
      <c r="X188" s="45"/>
      <c r="Y188" s="54"/>
      <c r="Z188" s="50"/>
      <c r="AA188" s="45"/>
      <c r="AB188" s="54"/>
      <c r="AC188" s="54"/>
      <c r="AD188" s="183"/>
      <c r="AE188" s="183"/>
      <c r="AF188" s="182"/>
    </row>
    <row r="189" spans="1:32" ht="15" customHeight="1" x14ac:dyDescent="0.25">
      <c r="A189" s="143" t="s">
        <v>160</v>
      </c>
      <c r="B189" s="44" t="s">
        <v>2103</v>
      </c>
      <c r="C189" s="44" t="s">
        <v>1435</v>
      </c>
      <c r="D189" s="161" t="s">
        <v>1433</v>
      </c>
      <c r="E189" s="45" t="s">
        <v>1992</v>
      </c>
      <c r="F189" s="45"/>
      <c r="G189" s="45">
        <v>1</v>
      </c>
      <c r="H189" s="45" t="s">
        <v>1430</v>
      </c>
      <c r="I189" s="45"/>
      <c r="J189" s="43" t="s">
        <v>1434</v>
      </c>
      <c r="K189" s="45" t="s">
        <v>168</v>
      </c>
      <c r="L189" s="45" t="s">
        <v>1134</v>
      </c>
      <c r="M189" s="126">
        <v>1</v>
      </c>
      <c r="N189" s="50"/>
      <c r="O189" s="51">
        <f>IF(OR(ISBLANK(BOM_table7[[#This Row],[SKU QTY]]),BOM_table7[[#This Row],[SKU Cost]]=0),0,BOM_table7[[#This Row],[SKU Cost]]/BOM_table7[[#This Row],[SKU QTY]])</f>
        <v>0</v>
      </c>
      <c r="P189" s="146">
        <f>IF(OR(ISBLANK(BOM_table7[[#This Row],[ASM QTY]]),ISBLANK(BOM_table7[[#This Row],[Unit Cost]])),0,BOM_table7[[#This Row],[ASM QTY]]*BOM_table7[[#This Row],[Unit Cost]])</f>
        <v>0</v>
      </c>
      <c r="Q189" s="45"/>
      <c r="R189" s="81"/>
      <c r="S189" s="93">
        <f>IF(B189="Shared All",$M$3,1)*IF(B189="Shared Science+Docking",2,1)*IF(B189="Shared Docking+Multibeam",2,1)*BOM_table7[[#This Row],[ASM QTY]]*$Q$3+BOM_table7[[#This Row],[Spare QTY Needed]]-BOM_table7[[#This Row],[QTY in Inventory]]</f>
        <v>1</v>
      </c>
      <c r="T189" s="51">
        <f>ROUNDUP((BOM_table7[[#This Row],[QTY to Order]]/BOM_table7[[#This Row],[SKU QTY]]),0)</f>
        <v>1</v>
      </c>
      <c r="U189" s="100">
        <f>BOM_table7[[#This Row],[SKU QTY to Order]]*BOM_table7[[#This Row],[SKU Cost]]</f>
        <v>0</v>
      </c>
      <c r="V189" s="50"/>
      <c r="W189" s="45"/>
      <c r="X189" s="45"/>
      <c r="Y189" s="54"/>
      <c r="Z189" s="50"/>
      <c r="AA189" s="50"/>
      <c r="AB189" s="54"/>
      <c r="AC189" s="160"/>
      <c r="AD189" s="183"/>
      <c r="AE189" s="183"/>
      <c r="AF189" s="182"/>
    </row>
    <row r="190" spans="1:32" ht="15" customHeight="1" x14ac:dyDescent="0.2">
      <c r="A190" s="143" t="s">
        <v>160</v>
      </c>
      <c r="B190" s="44" t="s">
        <v>2088</v>
      </c>
      <c r="C190" s="143" t="s">
        <v>1884</v>
      </c>
      <c r="D190" s="144">
        <v>108595</v>
      </c>
      <c r="E190" s="144" t="s">
        <v>1885</v>
      </c>
      <c r="F190" s="144" t="s">
        <v>152</v>
      </c>
      <c r="G190" s="144">
        <v>1</v>
      </c>
      <c r="H190" s="144" t="s">
        <v>1430</v>
      </c>
      <c r="I190" s="144"/>
      <c r="J190" s="150"/>
      <c r="K190" s="144" t="s">
        <v>169</v>
      </c>
      <c r="L190" s="45" t="s">
        <v>1528</v>
      </c>
      <c r="M190" s="126">
        <v>1</v>
      </c>
      <c r="N190" s="145"/>
      <c r="O190" s="51">
        <f>IF(OR(ISBLANK(BOM_table7[[#This Row],[SKU QTY]]),BOM_table7[[#This Row],[SKU Cost]]=0),0,BOM_table7[[#This Row],[SKU Cost]]/BOM_table7[[#This Row],[SKU QTY]])</f>
        <v>0</v>
      </c>
      <c r="P190" s="146">
        <f>IF(OR(ISBLANK(BOM_table7[[#This Row],[ASM QTY]]),ISBLANK(BOM_table7[[#This Row],[Unit Cost]])),0,BOM_table7[[#This Row],[ASM QTY]]*BOM_table7[[#This Row],[Unit Cost]])</f>
        <v>0</v>
      </c>
      <c r="Q190" s="144"/>
      <c r="R190" s="144"/>
      <c r="S190" s="93">
        <f>IF(B190="Shared All",$M$3,1)*IF(B190="Shared Science+Docking",2,1)*IF(B190="Shared Docking+Multibeam",2,1)*BOM_table7[[#This Row],[ASM QTY]]*$Q$3+BOM_table7[[#This Row],[Spare QTY Needed]]-BOM_table7[[#This Row],[QTY in Inventory]]</f>
        <v>1</v>
      </c>
      <c r="T190" s="146">
        <f>ROUNDUP((BOM_table7[[#This Row],[QTY to Order]]/BOM_table7[[#This Row],[SKU QTY]]),0)</f>
        <v>1</v>
      </c>
      <c r="U190" s="100">
        <f>BOM_table7[[#This Row],[SKU QTY to Order]]*BOM_table7[[#This Row],[SKU Cost]]</f>
        <v>0</v>
      </c>
      <c r="V190" s="45"/>
      <c r="W190" s="45"/>
      <c r="X190" s="148"/>
      <c r="Y190" s="144"/>
      <c r="Z190" s="144"/>
      <c r="AA190" s="148"/>
      <c r="AB190" s="148"/>
      <c r="AC190" s="149"/>
      <c r="AD190" s="182"/>
      <c r="AE190" s="182"/>
      <c r="AF190" s="182"/>
    </row>
    <row r="191" spans="1:32" ht="15" customHeight="1" x14ac:dyDescent="0.2">
      <c r="A191" s="143" t="s">
        <v>160</v>
      </c>
      <c r="B191" s="44" t="s">
        <v>2088</v>
      </c>
      <c r="C191" s="143" t="s">
        <v>1887</v>
      </c>
      <c r="D191" s="144" t="s">
        <v>2058</v>
      </c>
      <c r="E191" s="144" t="s">
        <v>1885</v>
      </c>
      <c r="F191" s="144"/>
      <c r="G191" s="144">
        <v>1</v>
      </c>
      <c r="H191" s="144" t="s">
        <v>1274</v>
      </c>
      <c r="I191" s="144"/>
      <c r="J191" s="43"/>
      <c r="K191" s="144" t="s">
        <v>166</v>
      </c>
      <c r="L191" s="144"/>
      <c r="M191" s="126">
        <v>1</v>
      </c>
      <c r="N191" s="145"/>
      <c r="O191" s="51">
        <f>IF(OR(ISBLANK(BOM_table7[[#This Row],[SKU QTY]]),BOM_table7[[#This Row],[SKU Cost]]=0),0,BOM_table7[[#This Row],[SKU Cost]]/BOM_table7[[#This Row],[SKU QTY]])</f>
        <v>0</v>
      </c>
      <c r="P191" s="146">
        <f>IF(OR(ISBLANK(BOM_table7[[#This Row],[ASM QTY]]),ISBLANK(BOM_table7[[#This Row],[Unit Cost]])),0,BOM_table7[[#This Row],[ASM QTY]]*BOM_table7[[#This Row],[Unit Cost]])</f>
        <v>0</v>
      </c>
      <c r="Q191" s="144"/>
      <c r="R191" s="144"/>
      <c r="S191" s="93">
        <f>IF(B191="Shared All",$M$3,1)*IF(B191="Shared Science+Docking",2,1)*IF(B191="Shared Docking+Multibeam",2,1)*BOM_table7[[#This Row],[ASM QTY]]*$Q$3+BOM_table7[[#This Row],[Spare QTY Needed]]-BOM_table7[[#This Row],[QTY in Inventory]]</f>
        <v>1</v>
      </c>
      <c r="T191" s="146">
        <f>ROUNDUP((BOM_table7[[#This Row],[QTY to Order]]/BOM_table7[[#This Row],[SKU QTY]]),0)</f>
        <v>1</v>
      </c>
      <c r="U191" s="100">
        <f>BOM_table7[[#This Row],[SKU QTY to Order]]*BOM_table7[[#This Row],[SKU Cost]]</f>
        <v>0</v>
      </c>
      <c r="V191" s="45"/>
      <c r="W191" s="45"/>
      <c r="X191" s="148"/>
      <c r="Y191" s="144"/>
      <c r="Z191" s="144"/>
      <c r="AA191" s="148"/>
      <c r="AB191" s="148"/>
      <c r="AC191" s="149"/>
      <c r="AD191" s="182"/>
      <c r="AE191" s="182"/>
      <c r="AF191" s="182"/>
    </row>
    <row r="192" spans="1:32" ht="15" customHeight="1" x14ac:dyDescent="0.2">
      <c r="A192" s="143" t="s">
        <v>160</v>
      </c>
      <c r="B192" s="44" t="s">
        <v>2088</v>
      </c>
      <c r="C192" s="44" t="s">
        <v>2047</v>
      </c>
      <c r="D192" s="144" t="s">
        <v>1888</v>
      </c>
      <c r="E192" s="144" t="s">
        <v>1885</v>
      </c>
      <c r="F192" s="144"/>
      <c r="G192" s="144">
        <v>1</v>
      </c>
      <c r="H192" s="144" t="s">
        <v>1274</v>
      </c>
      <c r="I192" s="144"/>
      <c r="J192" s="150"/>
      <c r="K192" s="144" t="s">
        <v>166</v>
      </c>
      <c r="L192" s="144"/>
      <c r="M192" s="126">
        <v>1</v>
      </c>
      <c r="N192" s="145"/>
      <c r="O192" s="51">
        <f>IF(OR(ISBLANK(BOM_table7[[#This Row],[SKU QTY]]),BOM_table7[[#This Row],[SKU Cost]]=0),0,BOM_table7[[#This Row],[SKU Cost]]/BOM_table7[[#This Row],[SKU QTY]])</f>
        <v>0</v>
      </c>
      <c r="P192" s="146">
        <f>IF(OR(ISBLANK(BOM_table7[[#This Row],[ASM QTY]]),ISBLANK(BOM_table7[[#This Row],[Unit Cost]])),0,BOM_table7[[#This Row],[ASM QTY]]*BOM_table7[[#This Row],[Unit Cost]])</f>
        <v>0</v>
      </c>
      <c r="Q192" s="144"/>
      <c r="R192" s="144"/>
      <c r="S192" s="93">
        <f>IF(B192="Shared All",$M$3,1)*IF(B192="Shared Science+Docking",2,1)*IF(B192="Shared Docking+Multibeam",2,1)*BOM_table7[[#This Row],[ASM QTY]]*$Q$3+BOM_table7[[#This Row],[Spare QTY Needed]]-BOM_table7[[#This Row],[QTY in Inventory]]</f>
        <v>1</v>
      </c>
      <c r="T192" s="146">
        <f>ROUNDUP((BOM_table7[[#This Row],[QTY to Order]]/BOM_table7[[#This Row],[SKU QTY]]),0)</f>
        <v>1</v>
      </c>
      <c r="U192" s="100">
        <f>BOM_table7[[#This Row],[SKU QTY to Order]]*BOM_table7[[#This Row],[SKU Cost]]</f>
        <v>0</v>
      </c>
      <c r="V192" s="144"/>
      <c r="W192" s="144"/>
      <c r="X192" s="147"/>
      <c r="Y192" s="144"/>
      <c r="Z192" s="144"/>
      <c r="AA192" s="148"/>
      <c r="AB192" s="148"/>
      <c r="AC192" s="149"/>
      <c r="AD192" s="182"/>
      <c r="AE192" s="182"/>
      <c r="AF192" s="182"/>
    </row>
    <row r="193" spans="1:32" ht="15" customHeight="1" x14ac:dyDescent="0.2">
      <c r="A193" s="143" t="s">
        <v>160</v>
      </c>
      <c r="B193" s="44" t="s">
        <v>2103</v>
      </c>
      <c r="C193" s="44" t="s">
        <v>1444</v>
      </c>
      <c r="D193" s="45" t="s">
        <v>1445</v>
      </c>
      <c r="E193" s="45"/>
      <c r="F193" s="45"/>
      <c r="G193" s="45">
        <v>1</v>
      </c>
      <c r="H193" s="45" t="s">
        <v>1442</v>
      </c>
      <c r="I193" s="45"/>
      <c r="J193" s="43"/>
      <c r="K193" s="45"/>
      <c r="L193" s="45" t="s">
        <v>1442</v>
      </c>
      <c r="M193" s="126">
        <v>1</v>
      </c>
      <c r="N193" s="50"/>
      <c r="O193" s="51">
        <f>IF(OR(ISBLANK(BOM_table7[[#This Row],[SKU QTY]]),BOM_table7[[#This Row],[SKU Cost]]=0),0,BOM_table7[[#This Row],[SKU Cost]]/BOM_table7[[#This Row],[SKU QTY]])</f>
        <v>0</v>
      </c>
      <c r="P193" s="146">
        <f>IF(OR(ISBLANK(BOM_table7[[#This Row],[ASM QTY]]),ISBLANK(BOM_table7[[#This Row],[Unit Cost]])),0,BOM_table7[[#This Row],[ASM QTY]]*BOM_table7[[#This Row],[Unit Cost]])</f>
        <v>0</v>
      </c>
      <c r="Q193" s="45"/>
      <c r="R193" s="45"/>
      <c r="S193" s="93">
        <f>IF(B193="Shared All",$M$3,1)*IF(B193="Shared Science+Docking",2,1)*IF(B193="Shared Docking+Multibeam",2,1)*BOM_table7[[#This Row],[ASM QTY]]*$Q$3+BOM_table7[[#This Row],[Spare QTY Needed]]-BOM_table7[[#This Row],[QTY in Inventory]]</f>
        <v>1</v>
      </c>
      <c r="T193" s="51">
        <f>ROUNDUP((BOM_table7[[#This Row],[QTY to Order]]/BOM_table7[[#This Row],[SKU QTY]]),0)</f>
        <v>1</v>
      </c>
      <c r="U193" s="100">
        <f>BOM_table7[[#This Row],[SKU QTY to Order]]*BOM_table7[[#This Row],[SKU Cost]]</f>
        <v>0</v>
      </c>
      <c r="V193" s="45"/>
      <c r="W193" s="45"/>
      <c r="X193" s="45"/>
      <c r="Y193" s="54"/>
      <c r="Z193" s="50"/>
      <c r="AA193" s="45"/>
      <c r="AB193" s="56"/>
      <c r="AD193" s="182"/>
      <c r="AE193" s="182"/>
      <c r="AF193" s="182"/>
    </row>
    <row r="194" spans="1:32" ht="15" customHeight="1" x14ac:dyDescent="0.2">
      <c r="A194" s="143" t="s">
        <v>160</v>
      </c>
      <c r="B194" s="44" t="s">
        <v>2087</v>
      </c>
      <c r="C194" s="127" t="s">
        <v>1644</v>
      </c>
      <c r="D194" s="126">
        <v>2005123</v>
      </c>
      <c r="E194" s="126"/>
      <c r="F194" s="126"/>
      <c r="G194" s="126">
        <v>1</v>
      </c>
      <c r="H194" s="126" t="s">
        <v>1531</v>
      </c>
      <c r="I194" s="126"/>
      <c r="J194" s="43"/>
      <c r="K194" s="126"/>
      <c r="L194" s="126" t="s">
        <v>1531</v>
      </c>
      <c r="M194" s="126">
        <v>1</v>
      </c>
      <c r="N194" s="128"/>
      <c r="O194" s="51">
        <f>IF(OR(ISBLANK(BOM_table7[[#This Row],[SKU QTY]]),BOM_table7[[#This Row],[SKU Cost]]=0),0,BOM_table7[[#This Row],[SKU Cost]]/BOM_table7[[#This Row],[SKU QTY]])</f>
        <v>0</v>
      </c>
      <c r="P194" s="146">
        <f>IF(OR(ISBLANK(BOM_table7[[#This Row],[ASM QTY]]),ISBLANK(BOM_table7[[#This Row],[Unit Cost]])),0,BOM_table7[[#This Row],[ASM QTY]]*BOM_table7[[#This Row],[Unit Cost]])</f>
        <v>0</v>
      </c>
      <c r="Q194" s="126"/>
      <c r="R194" s="126"/>
      <c r="S194" s="93">
        <f>IF(B194="Shared All",$M$3,1)*IF(B194="Shared Science+Docking",2,1)*IF(B194="Shared Docking+Multibeam",2,1)*BOM_table7[[#This Row],[ASM QTY]]*$Q$3+BOM_table7[[#This Row],[Spare QTY Needed]]-BOM_table7[[#This Row],[QTY in Inventory]]</f>
        <v>1</v>
      </c>
      <c r="T194" s="51">
        <f>ROUNDUP((BOM_table7[[#This Row],[QTY to Order]]/BOM_table7[[#This Row],[SKU QTY]]),0)</f>
        <v>1</v>
      </c>
      <c r="U194" s="100">
        <f>BOM_table7[[#This Row],[SKU QTY to Order]]*BOM_table7[[#This Row],[SKU Cost]]</f>
        <v>0</v>
      </c>
      <c r="V194" s="128"/>
      <c r="W194" s="126"/>
      <c r="X194" s="126"/>
      <c r="Y194" s="130"/>
      <c r="Z194" s="128"/>
      <c r="AA194" s="126"/>
      <c r="AB194" s="130"/>
      <c r="AC194" s="126"/>
      <c r="AD194" s="182"/>
      <c r="AE194" s="182"/>
      <c r="AF194" s="182"/>
    </row>
    <row r="195" spans="1:32" ht="15" customHeight="1" x14ac:dyDescent="0.2">
      <c r="A195" s="143" t="s">
        <v>160</v>
      </c>
      <c r="B195" s="44" t="s">
        <v>2088</v>
      </c>
      <c r="C195" s="143" t="s">
        <v>1744</v>
      </c>
      <c r="D195" s="144" t="s">
        <v>1743</v>
      </c>
      <c r="E195" s="144"/>
      <c r="F195" s="144"/>
      <c r="G195" s="144">
        <v>1</v>
      </c>
      <c r="H195" s="98" t="s">
        <v>1049</v>
      </c>
      <c r="I195" s="144"/>
      <c r="J195" s="150"/>
      <c r="K195" s="144" t="s">
        <v>1320</v>
      </c>
      <c r="L195" s="144"/>
      <c r="M195" s="126">
        <v>1</v>
      </c>
      <c r="N195" s="145"/>
      <c r="O195" s="51">
        <f>IF(OR(ISBLANK(BOM_table7[[#This Row],[SKU QTY]]),BOM_table7[[#This Row],[SKU Cost]]=0),0,BOM_table7[[#This Row],[SKU Cost]]/BOM_table7[[#This Row],[SKU QTY]])</f>
        <v>0</v>
      </c>
      <c r="P195" s="146">
        <f>IF(OR(ISBLANK(BOM_table7[[#This Row],[ASM QTY]]),ISBLANK(BOM_table7[[#This Row],[Unit Cost]])),0,BOM_table7[[#This Row],[ASM QTY]]*BOM_table7[[#This Row],[Unit Cost]])</f>
        <v>0</v>
      </c>
      <c r="Q195" s="144"/>
      <c r="R195" s="144"/>
      <c r="S195" s="93">
        <f>IF(B195="Shared All",$M$3,1)*IF(B195="Shared Science+Docking",2,1)*IF(B195="Shared Docking+Multibeam",2,1)*BOM_table7[[#This Row],[ASM QTY]]*$Q$3+BOM_table7[[#This Row],[Spare QTY Needed]]-BOM_table7[[#This Row],[QTY in Inventory]]</f>
        <v>1</v>
      </c>
      <c r="T195" s="51">
        <f>ROUNDUP((BOM_table7[[#This Row],[QTY to Order]]/BOM_table7[[#This Row],[SKU QTY]]),0)</f>
        <v>1</v>
      </c>
      <c r="U195" s="100">
        <f>BOM_table7[[#This Row],[SKU QTY to Order]]*BOM_table7[[#This Row],[SKU Cost]]</f>
        <v>0</v>
      </c>
      <c r="V195" s="145"/>
      <c r="W195" s="144"/>
      <c r="X195" s="144"/>
      <c r="Y195" s="148"/>
      <c r="Z195" s="145"/>
      <c r="AA195" s="144"/>
      <c r="AB195" s="144"/>
      <c r="AC195" s="144"/>
      <c r="AD195" s="182"/>
      <c r="AE195" s="182"/>
      <c r="AF195" s="182"/>
    </row>
    <row r="196" spans="1:32" ht="15" customHeight="1" x14ac:dyDescent="0.2">
      <c r="A196" s="188" t="s">
        <v>161</v>
      </c>
      <c r="B196" s="188"/>
      <c r="C196" s="188" t="s">
        <v>2265</v>
      </c>
      <c r="D196" s="189" t="s">
        <v>2257</v>
      </c>
      <c r="E196" s="189"/>
      <c r="F196" s="189"/>
      <c r="G196" s="189">
        <v>1</v>
      </c>
      <c r="H196" s="189" t="s">
        <v>2169</v>
      </c>
      <c r="I196" s="189" t="s">
        <v>2253</v>
      </c>
      <c r="J196" s="190" t="s">
        <v>2273</v>
      </c>
      <c r="K196" s="189"/>
      <c r="L196" s="189" t="s">
        <v>1640</v>
      </c>
      <c r="M196" s="189">
        <v>1</v>
      </c>
      <c r="N196" s="191">
        <v>19900</v>
      </c>
      <c r="O196" s="195">
        <f>IF(OR(ISBLANK(BOM_table7[[#This Row],[SKU QTY]]),BOM_table7[[#This Row],[SKU Cost]]=0),0,BOM_table7[[#This Row],[SKU Cost]]/BOM_table7[[#This Row],[SKU QTY]])</f>
        <v>19900</v>
      </c>
      <c r="P196" s="195">
        <f>IF(OR(ISBLANK(BOM_table7[[#This Row],[ASM QTY]]),ISBLANK(BOM_table7[[#This Row],[Unit Cost]])),0,BOM_table7[[#This Row],[ASM QTY]]*BOM_table7[[#This Row],[Unit Cost]])</f>
        <v>19900</v>
      </c>
      <c r="Q196" s="189"/>
      <c r="R196" s="189"/>
      <c r="S196" s="196">
        <f>IF(B196="Shared All",$M$3,1)*IF(B196="Shared Science+Docking",2,1)*IF(B196="Shared Docking+Multibeam",2,1)*BOM_table7[[#This Row],[ASM QTY]]*$Q$3+BOM_table7[[#This Row],[Spare QTY Needed]]-BOM_table7[[#This Row],[QTY in Inventory]]</f>
        <v>1</v>
      </c>
      <c r="T196" s="195">
        <f>ROUNDUP((BOM_table7[[#This Row],[QTY to Order]]/BOM_table7[[#This Row],[SKU QTY]]),0)</f>
        <v>1</v>
      </c>
      <c r="U196" s="195">
        <f>BOM_table7[[#This Row],[SKU QTY to Order]]*BOM_table7[[#This Row],[SKU Cost]]</f>
        <v>19900</v>
      </c>
      <c r="V196" s="191"/>
      <c r="W196" s="189" t="s">
        <v>2191</v>
      </c>
      <c r="X196" s="189" t="s">
        <v>2266</v>
      </c>
      <c r="Y196" s="198">
        <v>44754</v>
      </c>
      <c r="Z196" s="191"/>
      <c r="AA196" s="189"/>
      <c r="AB196" s="189"/>
      <c r="AC196" s="189"/>
      <c r="AD196" s="199"/>
      <c r="AE196" s="199" t="s">
        <v>2267</v>
      </c>
      <c r="AF196" s="199"/>
    </row>
    <row r="197" spans="1:32" ht="15" customHeight="1" x14ac:dyDescent="0.2">
      <c r="A197" s="188" t="s">
        <v>161</v>
      </c>
      <c r="B197" s="188"/>
      <c r="C197" s="188" t="s">
        <v>2262</v>
      </c>
      <c r="D197" s="189" t="s">
        <v>2258</v>
      </c>
      <c r="E197" s="189"/>
      <c r="F197" s="189"/>
      <c r="G197" s="189">
        <v>1</v>
      </c>
      <c r="H197" s="189" t="s">
        <v>2169</v>
      </c>
      <c r="I197" s="189" t="s">
        <v>2253</v>
      </c>
      <c r="J197" s="190" t="s">
        <v>2273</v>
      </c>
      <c r="K197" s="189"/>
      <c r="L197" s="189" t="s">
        <v>1640</v>
      </c>
      <c r="M197" s="189">
        <v>1</v>
      </c>
      <c r="N197" s="191">
        <v>1500</v>
      </c>
      <c r="O197" s="195">
        <f>IF(OR(ISBLANK(BOM_table7[[#This Row],[SKU QTY]]),BOM_table7[[#This Row],[SKU Cost]]=0),0,BOM_table7[[#This Row],[SKU Cost]]/BOM_table7[[#This Row],[SKU QTY]])</f>
        <v>1500</v>
      </c>
      <c r="P197" s="195">
        <f>IF(OR(ISBLANK(BOM_table7[[#This Row],[ASM QTY]]),ISBLANK(BOM_table7[[#This Row],[Unit Cost]])),0,BOM_table7[[#This Row],[ASM QTY]]*BOM_table7[[#This Row],[Unit Cost]])</f>
        <v>1500</v>
      </c>
      <c r="Q197" s="189"/>
      <c r="R197" s="189"/>
      <c r="S197" s="196">
        <f>IF(B197="Shared All",$M$3,1)*IF(B197="Shared Science+Docking",2,1)*IF(B197="Shared Docking+Multibeam",2,1)*BOM_table7[[#This Row],[ASM QTY]]*$Q$3+BOM_table7[[#This Row],[Spare QTY Needed]]-BOM_table7[[#This Row],[QTY in Inventory]]</f>
        <v>1</v>
      </c>
      <c r="T197" s="195">
        <f>ROUNDUP((BOM_table7[[#This Row],[QTY to Order]]/BOM_table7[[#This Row],[SKU QTY]]),0)</f>
        <v>1</v>
      </c>
      <c r="U197" s="195">
        <f>BOM_table7[[#This Row],[SKU QTY to Order]]*BOM_table7[[#This Row],[SKU Cost]]</f>
        <v>1500</v>
      </c>
      <c r="V197" s="191"/>
      <c r="W197" s="189" t="s">
        <v>2191</v>
      </c>
      <c r="X197" s="189" t="s">
        <v>2266</v>
      </c>
      <c r="Y197" s="198">
        <v>44754</v>
      </c>
      <c r="Z197" s="191"/>
      <c r="AA197" s="189"/>
      <c r="AB197" s="189"/>
      <c r="AC197" s="189"/>
      <c r="AD197" s="199"/>
      <c r="AE197" s="199"/>
      <c r="AF197" s="199"/>
    </row>
    <row r="198" spans="1:32" ht="15" customHeight="1" x14ac:dyDescent="0.2">
      <c r="A198" s="188" t="s">
        <v>161</v>
      </c>
      <c r="B198" s="188"/>
      <c r="C198" s="188" t="s">
        <v>2263</v>
      </c>
      <c r="D198" s="189" t="s">
        <v>2259</v>
      </c>
      <c r="E198" s="189"/>
      <c r="F198" s="189"/>
      <c r="G198" s="189">
        <v>1</v>
      </c>
      <c r="H198" s="189" t="s">
        <v>2169</v>
      </c>
      <c r="I198" s="189" t="s">
        <v>2253</v>
      </c>
      <c r="J198" s="190" t="s">
        <v>2273</v>
      </c>
      <c r="K198" s="189"/>
      <c r="L198" s="189" t="s">
        <v>1640</v>
      </c>
      <c r="M198" s="189">
        <v>1</v>
      </c>
      <c r="N198" s="191">
        <v>3000</v>
      </c>
      <c r="O198" s="195">
        <f>IF(OR(ISBLANK(BOM_table7[[#This Row],[SKU QTY]]),BOM_table7[[#This Row],[SKU Cost]]=0),0,BOM_table7[[#This Row],[SKU Cost]]/BOM_table7[[#This Row],[SKU QTY]])</f>
        <v>3000</v>
      </c>
      <c r="P198" s="195">
        <f>IF(OR(ISBLANK(BOM_table7[[#This Row],[ASM QTY]]),ISBLANK(BOM_table7[[#This Row],[Unit Cost]])),0,BOM_table7[[#This Row],[ASM QTY]]*BOM_table7[[#This Row],[Unit Cost]])</f>
        <v>3000</v>
      </c>
      <c r="Q198" s="189"/>
      <c r="R198" s="189"/>
      <c r="S198" s="196">
        <f>IF(B198="Shared All",$M$3,1)*IF(B198="Shared Science+Docking",2,1)*IF(B198="Shared Docking+Multibeam",2,1)*BOM_table7[[#This Row],[ASM QTY]]*$Q$3+BOM_table7[[#This Row],[Spare QTY Needed]]-BOM_table7[[#This Row],[QTY in Inventory]]</f>
        <v>1</v>
      </c>
      <c r="T198" s="195">
        <f>ROUNDUP((BOM_table7[[#This Row],[QTY to Order]]/BOM_table7[[#This Row],[SKU QTY]]),0)</f>
        <v>1</v>
      </c>
      <c r="U198" s="195">
        <f>BOM_table7[[#This Row],[SKU QTY to Order]]*BOM_table7[[#This Row],[SKU Cost]]</f>
        <v>3000</v>
      </c>
      <c r="V198" s="191"/>
      <c r="W198" s="189" t="s">
        <v>2191</v>
      </c>
      <c r="X198" s="189" t="s">
        <v>2266</v>
      </c>
      <c r="Y198" s="198">
        <v>44754</v>
      </c>
      <c r="Z198" s="191"/>
      <c r="AA198" s="189"/>
      <c r="AB198" s="189"/>
      <c r="AC198" s="189"/>
      <c r="AD198" s="199"/>
      <c r="AE198" s="199"/>
      <c r="AF198" s="199"/>
    </row>
    <row r="199" spans="1:32" ht="15" customHeight="1" x14ac:dyDescent="0.2">
      <c r="A199" s="209" t="s">
        <v>159</v>
      </c>
      <c r="B199" s="209"/>
      <c r="C199" s="209" t="s">
        <v>2290</v>
      </c>
      <c r="D199" s="210" t="s">
        <v>2291</v>
      </c>
      <c r="E199" s="210"/>
      <c r="F199" s="210"/>
      <c r="G199" s="210">
        <v>1</v>
      </c>
      <c r="H199" s="210" t="s">
        <v>2252</v>
      </c>
      <c r="I199" s="210" t="s">
        <v>2292</v>
      </c>
      <c r="J199" s="211" t="s">
        <v>2273</v>
      </c>
      <c r="K199" s="210"/>
      <c r="L199" s="210" t="s">
        <v>210</v>
      </c>
      <c r="M199" s="210">
        <v>1</v>
      </c>
      <c r="N199" s="212">
        <v>10965</v>
      </c>
      <c r="O199" s="213">
        <f>IF(OR(ISBLANK(BOM_table7[[#This Row],[SKU QTY]]),BOM_table7[[#This Row],[SKU Cost]]=0),0,BOM_table7[[#This Row],[SKU Cost]]/BOM_table7[[#This Row],[SKU QTY]])</f>
        <v>10965</v>
      </c>
      <c r="P199" s="213">
        <f>IF(OR(ISBLANK(BOM_table7[[#This Row],[ASM QTY]]),ISBLANK(BOM_table7[[#This Row],[Unit Cost]])),0,BOM_table7[[#This Row],[ASM QTY]]*BOM_table7[[#This Row],[Unit Cost]])</f>
        <v>10965</v>
      </c>
      <c r="Q199" s="210"/>
      <c r="R199" s="210"/>
      <c r="S199" s="214">
        <f>IF(B199="Shared All",$M$3,1)*IF(B199="Shared Science+Docking",2,1)*IF(B199="Shared Docking+Multibeam",2,1)*BOM_table7[[#This Row],[ASM QTY]]*$Q$3+BOM_table7[[#This Row],[Spare QTY Needed]]-BOM_table7[[#This Row],[QTY in Inventory]]</f>
        <v>1</v>
      </c>
      <c r="T199" s="213">
        <f>ROUNDUP((BOM_table7[[#This Row],[QTY to Order]]/BOM_table7[[#This Row],[SKU QTY]]),0)</f>
        <v>1</v>
      </c>
      <c r="U199" s="213">
        <f>BOM_table7[[#This Row],[SKU QTY to Order]]*BOM_table7[[#This Row],[SKU Cost]]</f>
        <v>10965</v>
      </c>
      <c r="V199" s="212"/>
      <c r="W199" s="210" t="s">
        <v>2191</v>
      </c>
      <c r="X199" s="210" t="s">
        <v>2293</v>
      </c>
      <c r="Y199" s="215">
        <v>44903</v>
      </c>
      <c r="Z199" s="212"/>
      <c r="AA199" s="210"/>
      <c r="AB199" s="215">
        <v>44988</v>
      </c>
      <c r="AC199" s="210"/>
      <c r="AD199" s="216"/>
      <c r="AE199" s="216"/>
      <c r="AF199" s="216"/>
    </row>
    <row r="200" spans="1:32" ht="15" customHeight="1" x14ac:dyDescent="0.2">
      <c r="A200" s="188" t="s">
        <v>161</v>
      </c>
      <c r="B200" s="188"/>
      <c r="C200" s="188" t="s">
        <v>2264</v>
      </c>
      <c r="D200" s="189" t="s">
        <v>2260</v>
      </c>
      <c r="E200" s="189"/>
      <c r="F200" s="189"/>
      <c r="G200" s="189">
        <v>1</v>
      </c>
      <c r="H200" s="189" t="s">
        <v>2261</v>
      </c>
      <c r="I200" s="189" t="s">
        <v>2253</v>
      </c>
      <c r="J200" s="190" t="s">
        <v>2273</v>
      </c>
      <c r="K200" s="189"/>
      <c r="L200" s="189" t="s">
        <v>1640</v>
      </c>
      <c r="M200" s="189">
        <v>1</v>
      </c>
      <c r="N200" s="191">
        <v>64496</v>
      </c>
      <c r="O200" s="195">
        <f>IF(OR(ISBLANK(BOM_table7[[#This Row],[SKU QTY]]),BOM_table7[[#This Row],[SKU Cost]]=0),0,BOM_table7[[#This Row],[SKU Cost]]/BOM_table7[[#This Row],[SKU QTY]])</f>
        <v>64496</v>
      </c>
      <c r="P200" s="195">
        <f>IF(OR(ISBLANK(BOM_table7[[#This Row],[ASM QTY]]),ISBLANK(BOM_table7[[#This Row],[Unit Cost]])),0,BOM_table7[[#This Row],[ASM QTY]]*BOM_table7[[#This Row],[Unit Cost]])</f>
        <v>64496</v>
      </c>
      <c r="Q200" s="189"/>
      <c r="R200" s="189"/>
      <c r="S200" s="196">
        <f>IF(B200="Shared All",$M$3,1)*IF(B200="Shared Science+Docking",2,1)*IF(B200="Shared Docking+Multibeam",2,1)*BOM_table7[[#This Row],[ASM QTY]]*$Q$3+BOM_table7[[#This Row],[Spare QTY Needed]]-BOM_table7[[#This Row],[QTY in Inventory]]</f>
        <v>1</v>
      </c>
      <c r="T200" s="195">
        <f>ROUNDUP((BOM_table7[[#This Row],[QTY to Order]]/BOM_table7[[#This Row],[SKU QTY]]),0)</f>
        <v>1</v>
      </c>
      <c r="U200" s="195">
        <f>BOM_table7[[#This Row],[SKU QTY to Order]]*BOM_table7[[#This Row],[SKU Cost]]</f>
        <v>64496</v>
      </c>
      <c r="V200" s="191"/>
      <c r="W200" s="189" t="s">
        <v>2191</v>
      </c>
      <c r="X200" s="189" t="s">
        <v>2266</v>
      </c>
      <c r="Y200" s="198">
        <v>44754</v>
      </c>
      <c r="Z200" s="191"/>
      <c r="AA200" s="189"/>
      <c r="AB200" s="198">
        <v>44784</v>
      </c>
      <c r="AC200" s="198">
        <v>44784</v>
      </c>
      <c r="AD200" s="199"/>
      <c r="AE200" s="199"/>
      <c r="AF200" s="199"/>
    </row>
    <row r="201" spans="1:32" ht="15" customHeight="1" x14ac:dyDescent="0.2">
      <c r="A201" s="188" t="s">
        <v>161</v>
      </c>
      <c r="B201" s="188"/>
      <c r="C201" s="188" t="s">
        <v>2268</v>
      </c>
      <c r="D201" s="189">
        <v>1337</v>
      </c>
      <c r="E201" s="189"/>
      <c r="F201" s="189"/>
      <c r="G201" s="189">
        <v>2</v>
      </c>
      <c r="H201" s="189" t="s">
        <v>2269</v>
      </c>
      <c r="I201" s="189" t="s">
        <v>2253</v>
      </c>
      <c r="J201" s="190" t="s">
        <v>2270</v>
      </c>
      <c r="K201" s="189"/>
      <c r="L201" s="189" t="s">
        <v>2269</v>
      </c>
      <c r="M201" s="189">
        <v>1</v>
      </c>
      <c r="N201" s="191">
        <v>3540.6550000000002</v>
      </c>
      <c r="O201" s="195">
        <f>IF(OR(ISBLANK(BOM_table7[[#This Row],[SKU QTY]]),BOM_table7[[#This Row],[SKU Cost]]=0),0,BOM_table7[[#This Row],[SKU Cost]]/BOM_table7[[#This Row],[SKU QTY]])</f>
        <v>3540.6550000000002</v>
      </c>
      <c r="P201" s="195">
        <f>IF(OR(ISBLANK(BOM_table7[[#This Row],[ASM QTY]]),ISBLANK(BOM_table7[[#This Row],[Unit Cost]])),0,BOM_table7[[#This Row],[ASM QTY]]*BOM_table7[[#This Row],[Unit Cost]])</f>
        <v>7081.31</v>
      </c>
      <c r="Q201" s="189"/>
      <c r="R201" s="189"/>
      <c r="S201" s="196">
        <f>IF(B201="Shared All",$M$3,1)*IF(B201="Shared Science+Docking",2,1)*IF(B201="Shared Docking+Multibeam",2,1)*BOM_table7[[#This Row],[ASM QTY]]*$Q$3+BOM_table7[[#This Row],[Spare QTY Needed]]-BOM_table7[[#This Row],[QTY in Inventory]]</f>
        <v>2</v>
      </c>
      <c r="T201" s="195">
        <f>ROUNDUP((BOM_table7[[#This Row],[QTY to Order]]/BOM_table7[[#This Row],[SKU QTY]]),0)</f>
        <v>2</v>
      </c>
      <c r="U201" s="195">
        <f>BOM_table7[[#This Row],[SKU QTY to Order]]*BOM_table7[[#This Row],[SKU Cost]]</f>
        <v>7081.31</v>
      </c>
      <c r="V201" s="191"/>
      <c r="W201" s="189" t="s">
        <v>2191</v>
      </c>
      <c r="X201" s="189" t="s">
        <v>2271</v>
      </c>
      <c r="Y201" s="198">
        <v>44847</v>
      </c>
      <c r="Z201" s="191"/>
      <c r="AA201" s="189"/>
      <c r="AB201" s="198">
        <v>44862</v>
      </c>
      <c r="AC201" s="198">
        <v>44862</v>
      </c>
      <c r="AD201" s="199"/>
      <c r="AE201" s="199" t="s">
        <v>2272</v>
      </c>
      <c r="AF201" s="199"/>
    </row>
    <row r="202" spans="1:32" s="45" customFormat="1" ht="15" customHeight="1" x14ac:dyDescent="0.2">
      <c r="A202" s="44"/>
      <c r="B202" s="44"/>
      <c r="C202" s="44" t="s">
        <v>12</v>
      </c>
      <c r="D202" s="45">
        <f>SUBTOTAL(103,BOM_table7[Part Number])</f>
        <v>167</v>
      </c>
      <c r="G202" s="45">
        <f>SUBTOTAL(109,BOM_table7[ASM QTY])</f>
        <v>327</v>
      </c>
      <c r="J202" s="43"/>
      <c r="P202" s="50">
        <f>SUBTOTAL(109,BOM_table7[Assembly Cost])</f>
        <v>111442.31</v>
      </c>
      <c r="U202" s="50">
        <f>SUBTOTAL(109,BOM_table7[Order Cost])</f>
        <v>111442.31</v>
      </c>
      <c r="Y202" s="54"/>
      <c r="AD202" s="55"/>
      <c r="AE202" s="55"/>
      <c r="AF202" s="55"/>
    </row>
    <row r="203" spans="1:32" ht="15" customHeight="1" x14ac:dyDescent="0.25">
      <c r="I203" s="44"/>
      <c r="J203" s="43"/>
      <c r="L203" s="44"/>
    </row>
    <row r="204" spans="1:32" ht="15" customHeight="1" x14ac:dyDescent="0.25">
      <c r="I204" s="44"/>
      <c r="J204" s="43"/>
      <c r="L204" s="44"/>
      <c r="V204" s="103"/>
    </row>
    <row r="205" spans="1:32" ht="15" customHeight="1" x14ac:dyDescent="0.25">
      <c r="I205" s="44"/>
      <c r="J205" s="43"/>
      <c r="L205" s="44"/>
    </row>
    <row r="206" spans="1:32" ht="15" customHeight="1" x14ac:dyDescent="0.25">
      <c r="I206" s="44"/>
      <c r="J206" s="43"/>
      <c r="L206" s="44"/>
    </row>
    <row r="207" spans="1:32" ht="15" customHeight="1" x14ac:dyDescent="0.25">
      <c r="I207" s="44"/>
      <c r="J207" s="43"/>
      <c r="L207" s="44"/>
    </row>
    <row r="208" spans="1:32" ht="15" customHeight="1" x14ac:dyDescent="0.25">
      <c r="I208" s="44"/>
      <c r="J208" s="43"/>
      <c r="L208" s="44"/>
    </row>
    <row r="209" spans="9:12" ht="15" customHeight="1" x14ac:dyDescent="0.25">
      <c r="I209" s="44"/>
      <c r="J209" s="43"/>
      <c r="L209" s="44"/>
    </row>
    <row r="210" spans="9:12" ht="15" customHeight="1" x14ac:dyDescent="0.25">
      <c r="I210" s="44"/>
      <c r="J210" s="43"/>
      <c r="L210" s="44"/>
    </row>
    <row r="211" spans="9:12" ht="15" customHeight="1" x14ac:dyDescent="0.25">
      <c r="I211" s="44"/>
      <c r="J211" s="43"/>
      <c r="L211" s="44"/>
    </row>
    <row r="212" spans="9:12" ht="15" customHeight="1" x14ac:dyDescent="0.25">
      <c r="I212" s="44"/>
      <c r="J212" s="43"/>
      <c r="L212" s="44"/>
    </row>
    <row r="213" spans="9:12" ht="15" customHeight="1" x14ac:dyDescent="0.25">
      <c r="I213" s="44"/>
      <c r="J213" s="43"/>
      <c r="L213" s="44"/>
    </row>
    <row r="214" spans="9:12" ht="15" customHeight="1" x14ac:dyDescent="0.25">
      <c r="I214" s="44"/>
      <c r="J214" s="43"/>
      <c r="L214" s="44"/>
    </row>
    <row r="215" spans="9:12" ht="15" customHeight="1" x14ac:dyDescent="0.25">
      <c r="I215" s="44"/>
      <c r="J215" s="43"/>
      <c r="L215" s="44"/>
    </row>
    <row r="216" spans="9:12" ht="15" customHeight="1" x14ac:dyDescent="0.25">
      <c r="I216" s="44"/>
      <c r="J216" s="43"/>
      <c r="L216" s="44"/>
    </row>
    <row r="217" spans="9:12" ht="15" customHeight="1" x14ac:dyDescent="0.25">
      <c r="I217" s="44"/>
      <c r="J217" s="43"/>
      <c r="L217" s="44"/>
    </row>
    <row r="218" spans="9:12" ht="15" customHeight="1" x14ac:dyDescent="0.25">
      <c r="I218" s="44"/>
      <c r="J218" s="43"/>
      <c r="L218" s="44"/>
    </row>
    <row r="219" spans="9:12" ht="15" customHeight="1" x14ac:dyDescent="0.25">
      <c r="I219" s="44"/>
      <c r="J219" s="43"/>
      <c r="L219" s="44"/>
    </row>
    <row r="220" spans="9:12" ht="15" customHeight="1" x14ac:dyDescent="0.25">
      <c r="I220" s="44"/>
      <c r="J220" s="43"/>
      <c r="L220" s="44"/>
    </row>
    <row r="221" spans="9:12" ht="15" customHeight="1" x14ac:dyDescent="0.25">
      <c r="I221" s="44"/>
      <c r="J221" s="43"/>
      <c r="L221" s="44"/>
    </row>
    <row r="222" spans="9:12" ht="15" customHeight="1" x14ac:dyDescent="0.25">
      <c r="I222" s="44"/>
      <c r="J222" s="43"/>
      <c r="L222" s="44"/>
    </row>
    <row r="223" spans="9:12" ht="15" customHeight="1" x14ac:dyDescent="0.25">
      <c r="I223" s="44"/>
      <c r="J223" s="43"/>
      <c r="L223" s="44"/>
    </row>
    <row r="224" spans="9:12" ht="15" customHeight="1" x14ac:dyDescent="0.25">
      <c r="I224" s="44"/>
      <c r="J224" s="43"/>
      <c r="L224" s="44"/>
    </row>
    <row r="225" spans="9:12" ht="15" customHeight="1" x14ac:dyDescent="0.25">
      <c r="I225" s="44"/>
      <c r="J225" s="43"/>
      <c r="L225" s="44"/>
    </row>
    <row r="226" spans="9:12" ht="15" customHeight="1" x14ac:dyDescent="0.25">
      <c r="I226" s="44"/>
      <c r="J226" s="43"/>
      <c r="L226" s="44"/>
    </row>
    <row r="227" spans="9:12" ht="15" customHeight="1" x14ac:dyDescent="0.25">
      <c r="I227" s="44"/>
      <c r="J227" s="43"/>
      <c r="L227" s="44"/>
    </row>
    <row r="228" spans="9:12" ht="15" customHeight="1" x14ac:dyDescent="0.25">
      <c r="I228" s="44"/>
      <c r="J228" s="43"/>
      <c r="L228" s="44"/>
    </row>
    <row r="229" spans="9:12" ht="15" customHeight="1" x14ac:dyDescent="0.25">
      <c r="I229" s="44"/>
      <c r="J229" s="43"/>
      <c r="L229" s="44"/>
    </row>
    <row r="230" spans="9:12" ht="15" customHeight="1" x14ac:dyDescent="0.25">
      <c r="I230" s="44"/>
      <c r="J230" s="43"/>
      <c r="L230" s="44"/>
    </row>
    <row r="231" spans="9:12" ht="15" customHeight="1" x14ac:dyDescent="0.25">
      <c r="I231" s="44"/>
      <c r="J231" s="43"/>
      <c r="L231" s="44"/>
    </row>
    <row r="232" spans="9:12" ht="15" customHeight="1" x14ac:dyDescent="0.25">
      <c r="I232" s="44"/>
      <c r="J232" s="43"/>
      <c r="L232" s="44"/>
    </row>
    <row r="233" spans="9:12" ht="15" customHeight="1" x14ac:dyDescent="0.25">
      <c r="I233" s="44"/>
      <c r="J233" s="43"/>
      <c r="L233" s="44"/>
    </row>
    <row r="234" spans="9:12" ht="15" customHeight="1" x14ac:dyDescent="0.25">
      <c r="I234" s="44"/>
      <c r="J234" s="43"/>
      <c r="L234" s="44"/>
    </row>
    <row r="235" spans="9:12" ht="15" customHeight="1" x14ac:dyDescent="0.25">
      <c r="I235" s="44"/>
      <c r="J235" s="43"/>
      <c r="L235" s="44"/>
    </row>
    <row r="236" spans="9:12" ht="15" customHeight="1" x14ac:dyDescent="0.25">
      <c r="I236" s="44"/>
      <c r="J236" s="43"/>
      <c r="L236" s="44"/>
    </row>
    <row r="237" spans="9:12" ht="15" customHeight="1" x14ac:dyDescent="0.25">
      <c r="I237" s="44"/>
      <c r="J237" s="43"/>
      <c r="L237" s="44"/>
    </row>
    <row r="238" spans="9:12" ht="15" customHeight="1" x14ac:dyDescent="0.25">
      <c r="I238" s="44"/>
      <c r="J238" s="43"/>
      <c r="L238" s="44"/>
    </row>
    <row r="239" spans="9:12" ht="15" customHeight="1" x14ac:dyDescent="0.25">
      <c r="I239" s="44"/>
      <c r="J239" s="43"/>
      <c r="L239" s="44"/>
    </row>
    <row r="240" spans="9:12" ht="15" customHeight="1" x14ac:dyDescent="0.25">
      <c r="I240" s="44"/>
      <c r="J240" s="43"/>
      <c r="L240" s="44"/>
    </row>
    <row r="241" spans="9:12" ht="15" customHeight="1" x14ac:dyDescent="0.25">
      <c r="I241" s="44"/>
      <c r="J241" s="43"/>
      <c r="L241" s="44"/>
    </row>
    <row r="242" spans="9:12" ht="15" customHeight="1" x14ac:dyDescent="0.25">
      <c r="I242" s="44"/>
      <c r="J242" s="43"/>
      <c r="L242" s="44"/>
    </row>
    <row r="243" spans="9:12" ht="15" customHeight="1" x14ac:dyDescent="0.25">
      <c r="I243" s="44"/>
      <c r="J243" s="43"/>
      <c r="L243" s="44"/>
    </row>
    <row r="244" spans="9:12" ht="15" customHeight="1" x14ac:dyDescent="0.25">
      <c r="I244" s="44"/>
      <c r="J244" s="43"/>
      <c r="L244" s="44"/>
    </row>
    <row r="245" spans="9:12" ht="15" customHeight="1" x14ac:dyDescent="0.25">
      <c r="I245" s="44"/>
      <c r="J245" s="43"/>
      <c r="L245" s="44"/>
    </row>
    <row r="246" spans="9:12" ht="15" customHeight="1" x14ac:dyDescent="0.25">
      <c r="I246" s="44"/>
      <c r="J246" s="43"/>
      <c r="L246" s="44"/>
    </row>
    <row r="247" spans="9:12" ht="15" customHeight="1" x14ac:dyDescent="0.25">
      <c r="I247" s="44"/>
      <c r="J247" s="43"/>
      <c r="L247" s="44"/>
    </row>
    <row r="248" spans="9:12" ht="15" customHeight="1" x14ac:dyDescent="0.25">
      <c r="I248" s="44"/>
      <c r="J248" s="43"/>
      <c r="L248" s="44"/>
    </row>
    <row r="249" spans="9:12" ht="15" customHeight="1" x14ac:dyDescent="0.25">
      <c r="I249" s="44"/>
      <c r="J249" s="43"/>
      <c r="L249" s="44"/>
    </row>
    <row r="250" spans="9:12" ht="15" customHeight="1" x14ac:dyDescent="0.25">
      <c r="I250" s="44"/>
      <c r="J250" s="43"/>
      <c r="L250" s="44"/>
    </row>
    <row r="251" spans="9:12" ht="15" customHeight="1" x14ac:dyDescent="0.25">
      <c r="I251" s="44"/>
      <c r="J251" s="43"/>
      <c r="L251" s="44"/>
    </row>
    <row r="252" spans="9:12" ht="15" customHeight="1" x14ac:dyDescent="0.25">
      <c r="I252" s="44"/>
      <c r="J252" s="43"/>
      <c r="L252" s="44"/>
    </row>
    <row r="253" spans="9:12" ht="15" customHeight="1" x14ac:dyDescent="0.25">
      <c r="I253" s="44"/>
      <c r="J253" s="43"/>
      <c r="L253" s="44"/>
    </row>
    <row r="254" spans="9:12" ht="15" customHeight="1" x14ac:dyDescent="0.25">
      <c r="I254" s="44"/>
      <c r="J254" s="43"/>
      <c r="L254" s="44"/>
    </row>
    <row r="255" spans="9:12" ht="15" customHeight="1" x14ac:dyDescent="0.25">
      <c r="I255" s="44"/>
      <c r="J255" s="43"/>
      <c r="L255" s="44"/>
    </row>
    <row r="256" spans="9:12" ht="15" customHeight="1" x14ac:dyDescent="0.25">
      <c r="I256" s="44"/>
      <c r="J256" s="43"/>
      <c r="L256" s="44"/>
    </row>
    <row r="257" spans="9:12" ht="15" customHeight="1" x14ac:dyDescent="0.25">
      <c r="I257" s="44"/>
      <c r="J257" s="43"/>
      <c r="L257" s="44"/>
    </row>
    <row r="258" spans="9:12" ht="15" customHeight="1" x14ac:dyDescent="0.25">
      <c r="I258" s="44"/>
      <c r="J258" s="43"/>
      <c r="L258" s="44"/>
    </row>
    <row r="259" spans="9:12" ht="15" customHeight="1" x14ac:dyDescent="0.25">
      <c r="I259" s="44"/>
      <c r="J259" s="43"/>
      <c r="L259" s="44"/>
    </row>
    <row r="260" spans="9:12" ht="15" customHeight="1" x14ac:dyDescent="0.25">
      <c r="I260" s="44"/>
      <c r="J260" s="43"/>
      <c r="L260" s="44"/>
    </row>
    <row r="261" spans="9:12" ht="15" customHeight="1" x14ac:dyDescent="0.25">
      <c r="I261" s="44"/>
      <c r="J261" s="43"/>
      <c r="L261" s="44"/>
    </row>
    <row r="262" spans="9:12" ht="15" customHeight="1" x14ac:dyDescent="0.25">
      <c r="I262" s="44"/>
      <c r="J262" s="43"/>
      <c r="L262" s="44"/>
    </row>
    <row r="263" spans="9:12" ht="15" customHeight="1" x14ac:dyDescent="0.25">
      <c r="I263" s="44"/>
      <c r="J263" s="43"/>
      <c r="L263" s="44"/>
    </row>
    <row r="264" spans="9:12" ht="15" customHeight="1" x14ac:dyDescent="0.25">
      <c r="I264" s="44"/>
      <c r="J264" s="43"/>
      <c r="L264" s="44"/>
    </row>
    <row r="265" spans="9:12" ht="15" customHeight="1" x14ac:dyDescent="0.25">
      <c r="I265" s="44"/>
      <c r="J265" s="43"/>
      <c r="L265" s="44"/>
    </row>
    <row r="266" spans="9:12" ht="15" customHeight="1" x14ac:dyDescent="0.25">
      <c r="I266" s="44"/>
      <c r="J266" s="43"/>
      <c r="L266" s="44"/>
    </row>
    <row r="267" spans="9:12" ht="15" customHeight="1" x14ac:dyDescent="0.25">
      <c r="I267" s="44"/>
      <c r="J267" s="43"/>
      <c r="L267" s="44"/>
    </row>
    <row r="268" spans="9:12" ht="15" customHeight="1" x14ac:dyDescent="0.25">
      <c r="I268" s="44"/>
      <c r="J268" s="43"/>
      <c r="L268" s="44"/>
    </row>
    <row r="269" spans="9:12" ht="15" customHeight="1" x14ac:dyDescent="0.25">
      <c r="I269" s="44"/>
      <c r="J269" s="43"/>
      <c r="L269" s="44"/>
    </row>
    <row r="270" spans="9:12" ht="15" customHeight="1" x14ac:dyDescent="0.25">
      <c r="I270" s="44"/>
      <c r="J270" s="43"/>
      <c r="L270" s="44"/>
    </row>
    <row r="271" spans="9:12" ht="15" customHeight="1" x14ac:dyDescent="0.25">
      <c r="I271" s="44"/>
      <c r="J271" s="43"/>
      <c r="L271" s="44"/>
    </row>
    <row r="272" spans="9:12" ht="15" customHeight="1" x14ac:dyDescent="0.25">
      <c r="I272" s="44"/>
      <c r="J272" s="43"/>
      <c r="L272" s="44"/>
    </row>
    <row r="273" spans="9:12" ht="15" customHeight="1" x14ac:dyDescent="0.25">
      <c r="I273" s="44"/>
      <c r="J273" s="43"/>
      <c r="L273" s="44"/>
    </row>
    <row r="274" spans="9:12" ht="15" customHeight="1" x14ac:dyDescent="0.25">
      <c r="I274" s="44"/>
      <c r="J274" s="43"/>
      <c r="L274" s="44"/>
    </row>
    <row r="275" spans="9:12" ht="15" customHeight="1" x14ac:dyDescent="0.25">
      <c r="I275" s="44"/>
      <c r="J275" s="43"/>
      <c r="L275" s="44"/>
    </row>
    <row r="276" spans="9:12" ht="15" customHeight="1" x14ac:dyDescent="0.25">
      <c r="I276" s="44"/>
      <c r="J276" s="43"/>
      <c r="L276" s="44"/>
    </row>
    <row r="277" spans="9:12" ht="15" customHeight="1" x14ac:dyDescent="0.25">
      <c r="I277" s="44"/>
      <c r="J277" s="43"/>
      <c r="L277" s="44"/>
    </row>
    <row r="278" spans="9:12" ht="15" customHeight="1" x14ac:dyDescent="0.25">
      <c r="I278" s="44"/>
      <c r="J278" s="43"/>
      <c r="L278" s="44"/>
    </row>
    <row r="279" spans="9:12" ht="15" customHeight="1" x14ac:dyDescent="0.25">
      <c r="I279" s="44"/>
      <c r="J279" s="43"/>
      <c r="L279" s="44"/>
    </row>
    <row r="280" spans="9:12" ht="15" customHeight="1" x14ac:dyDescent="0.25">
      <c r="I280" s="44"/>
      <c r="J280" s="43"/>
      <c r="L280" s="44"/>
    </row>
    <row r="281" spans="9:12" ht="15" customHeight="1" x14ac:dyDescent="0.25">
      <c r="I281" s="44"/>
      <c r="J281" s="43"/>
      <c r="L281" s="44"/>
    </row>
    <row r="282" spans="9:12" ht="15" customHeight="1" x14ac:dyDescent="0.25">
      <c r="I282" s="44"/>
      <c r="J282" s="43"/>
      <c r="L282" s="44"/>
    </row>
    <row r="283" spans="9:12" ht="15" customHeight="1" x14ac:dyDescent="0.25">
      <c r="I283" s="44"/>
      <c r="J283" s="43"/>
      <c r="L283" s="44"/>
    </row>
    <row r="284" spans="9:12" ht="15" customHeight="1" x14ac:dyDescent="0.25">
      <c r="I284" s="44"/>
      <c r="J284" s="43"/>
      <c r="L284" s="44"/>
    </row>
    <row r="285" spans="9:12" ht="15" customHeight="1" x14ac:dyDescent="0.25">
      <c r="I285" s="44"/>
      <c r="J285" s="43"/>
      <c r="L285" s="44"/>
    </row>
    <row r="286" spans="9:12" ht="15" customHeight="1" x14ac:dyDescent="0.25">
      <c r="I286" s="44"/>
      <c r="J286" s="43"/>
      <c r="L286" s="44"/>
    </row>
    <row r="287" spans="9:12" ht="15" customHeight="1" x14ac:dyDescent="0.25">
      <c r="I287" s="44"/>
      <c r="J287" s="43"/>
      <c r="L287" s="44"/>
    </row>
    <row r="288" spans="9:12" ht="15" customHeight="1" x14ac:dyDescent="0.25">
      <c r="I288" s="44"/>
      <c r="J288" s="43"/>
      <c r="L288" s="44"/>
    </row>
    <row r="289" spans="9:12" ht="15" customHeight="1" x14ac:dyDescent="0.25">
      <c r="I289" s="44"/>
      <c r="J289" s="43"/>
      <c r="L289" s="44"/>
    </row>
    <row r="290" spans="9:12" ht="15" customHeight="1" x14ac:dyDescent="0.25">
      <c r="I290" s="44"/>
      <c r="J290" s="43"/>
      <c r="L290" s="44"/>
    </row>
    <row r="291" spans="9:12" ht="15" customHeight="1" x14ac:dyDescent="0.25">
      <c r="I291" s="44"/>
      <c r="J291" s="43"/>
      <c r="L291" s="44"/>
    </row>
    <row r="292" spans="9:12" ht="15" customHeight="1" x14ac:dyDescent="0.25">
      <c r="I292" s="44"/>
      <c r="J292" s="43"/>
      <c r="L292" s="44"/>
    </row>
    <row r="293" spans="9:12" ht="15" customHeight="1" x14ac:dyDescent="0.25">
      <c r="I293" s="44"/>
      <c r="J293" s="43"/>
      <c r="L293" s="44"/>
    </row>
    <row r="294" spans="9:12" ht="15" customHeight="1" x14ac:dyDescent="0.25">
      <c r="I294" s="44"/>
      <c r="J294" s="43"/>
      <c r="L294" s="44"/>
    </row>
    <row r="295" spans="9:12" ht="15" customHeight="1" x14ac:dyDescent="0.25">
      <c r="I295" s="44"/>
      <c r="J295" s="43"/>
      <c r="L295" s="44"/>
    </row>
    <row r="296" spans="9:12" ht="15" customHeight="1" x14ac:dyDescent="0.25">
      <c r="I296" s="44"/>
      <c r="J296" s="43"/>
      <c r="L296" s="44"/>
    </row>
    <row r="297" spans="9:12" ht="15" customHeight="1" x14ac:dyDescent="0.25">
      <c r="I297" s="44"/>
      <c r="J297" s="43"/>
      <c r="L297" s="44"/>
    </row>
    <row r="298" spans="9:12" ht="15" customHeight="1" x14ac:dyDescent="0.25">
      <c r="I298" s="44"/>
      <c r="J298" s="43"/>
      <c r="L298" s="44"/>
    </row>
    <row r="299" spans="9:12" ht="15" customHeight="1" x14ac:dyDescent="0.25">
      <c r="I299" s="44"/>
      <c r="J299" s="43"/>
      <c r="L299" s="44"/>
    </row>
    <row r="300" spans="9:12" ht="15" customHeight="1" x14ac:dyDescent="0.25">
      <c r="I300" s="44"/>
      <c r="J300" s="43"/>
      <c r="L300" s="44"/>
    </row>
    <row r="301" spans="9:12" ht="15" customHeight="1" x14ac:dyDescent="0.25">
      <c r="I301" s="44"/>
      <c r="J301" s="43"/>
      <c r="L301" s="44"/>
    </row>
    <row r="302" spans="9:12" ht="15" customHeight="1" x14ac:dyDescent="0.25">
      <c r="I302" s="44"/>
      <c r="J302" s="43"/>
      <c r="L302" s="44"/>
    </row>
    <row r="303" spans="9:12" ht="15" customHeight="1" x14ac:dyDescent="0.25">
      <c r="I303" s="44"/>
      <c r="J303" s="43"/>
      <c r="L303" s="44"/>
    </row>
    <row r="304" spans="9:12" ht="15" customHeight="1" x14ac:dyDescent="0.25">
      <c r="I304" s="44"/>
      <c r="J304" s="43"/>
      <c r="L304" s="44"/>
    </row>
    <row r="305" spans="9:12" ht="15" customHeight="1" x14ac:dyDescent="0.25">
      <c r="I305" s="44"/>
      <c r="J305" s="43"/>
      <c r="L305" s="44"/>
    </row>
    <row r="306" spans="9:12" ht="15" customHeight="1" x14ac:dyDescent="0.25">
      <c r="I306" s="44"/>
      <c r="J306" s="43"/>
      <c r="L306" s="44"/>
    </row>
    <row r="307" spans="9:12" ht="15" customHeight="1" x14ac:dyDescent="0.25">
      <c r="I307" s="44"/>
      <c r="J307" s="43"/>
      <c r="L307" s="44"/>
    </row>
    <row r="308" spans="9:12" ht="15" customHeight="1" x14ac:dyDescent="0.25">
      <c r="I308" s="44"/>
      <c r="J308" s="43"/>
      <c r="L308" s="44"/>
    </row>
    <row r="309" spans="9:12" ht="15" customHeight="1" x14ac:dyDescent="0.25">
      <c r="I309" s="44"/>
      <c r="J309" s="43"/>
      <c r="L309" s="44"/>
    </row>
    <row r="310" spans="9:12" ht="15" customHeight="1" x14ac:dyDescent="0.25">
      <c r="I310" s="44"/>
      <c r="J310" s="43"/>
      <c r="L310" s="44"/>
    </row>
    <row r="311" spans="9:12" ht="15" customHeight="1" x14ac:dyDescent="0.25">
      <c r="I311" s="44"/>
      <c r="J311" s="43"/>
      <c r="L311" s="44"/>
    </row>
    <row r="312" spans="9:12" ht="15" customHeight="1" x14ac:dyDescent="0.25">
      <c r="I312" s="44"/>
      <c r="J312" s="43"/>
      <c r="L312" s="44"/>
    </row>
    <row r="313" spans="9:12" ht="15" customHeight="1" x14ac:dyDescent="0.25">
      <c r="I313" s="44"/>
      <c r="J313" s="43"/>
      <c r="L313" s="44"/>
    </row>
  </sheetData>
  <phoneticPr fontId="37" type="noConversion"/>
  <conditionalFormatting sqref="X32:Y33 X16:Y17 X11:Y12 K71:K74 X74:Y76 E74:E78 F56:G58 F60:G60 F63:G63 H71:H76 D101:D102 D107:D108 F104:G104 I104:J104 D105 F105:J108 F103:J103 D92:D98 F92:I98 F100:I100 A84:D85 A55:D67 C182:D194 S87:U108 A87:D91 C112:D165 X21:Y30 S5:T85 F67:R67 K92:X95 F112:M165 F109:M110 U67:AC67 Z92:AC95 N118:AB119 F59:AC59 A68:AA73 A79:AA83 A77:AC78 I60:AC60 F64:AC66 I63:AC63 I56:AC58 F61:AC62 F84:AC91 F101:AC102 K103:AC108 K96:AC100 A5:AA10 A39:AA40 F55:AC55 H31:AC31 H13:AC15 H34:AC34 L18:AC20 F111:AB111 N110:AB110 T109:AB109 N113:AB116 T112:AB112 T117:AB117 N121:AB122 T120:AB120 N128:AB130 T123:AB127 N132:AB132 T131:AB131 N134:AB135 T133:AB133 N137:AB138 T136:AB136 N140:AB147 T139:AB139 N150:AB158 T148:AB149 N160:AB160 T159:AB159 T161:AB161 N162:AB165 F166:AB168 F171:AB201 F169:Q170 S169:AB170 A5:B201 O5:P201 S5:S201 M5:M201 U5:U201">
    <cfRule type="expression" dxfId="135" priority="178">
      <formula>ISNUMBER(FIND("SUPPRESSED",$A5))</formula>
    </cfRule>
  </conditionalFormatting>
  <conditionalFormatting sqref="AC55:AC67 AC77:AC78 AC100:AC108 AC84:AC85 AC87:AC98">
    <cfRule type="expression" dxfId="134" priority="176">
      <formula>AND(NOT(ISBLANK($AB55)),TODAY()&gt;=$AB55)</formula>
    </cfRule>
  </conditionalFormatting>
  <conditionalFormatting sqref="AA39:AA40 AA5:AA10 AA68:AA73 AA79:AA83 AC18:AC20 AC99">
    <cfRule type="expression" dxfId="133" priority="168">
      <formula>AND(NOT(ISBLANK($AB5)),ISBLANK($AC5),TODAY()&gt;$AB5)</formula>
    </cfRule>
  </conditionalFormatting>
  <conditionalFormatting sqref="AC31">
    <cfRule type="expression" dxfId="132" priority="151">
      <formula>AND(NOT(ISBLANK($AB31)),TODAY()&gt;=$AB31)</formula>
    </cfRule>
  </conditionalFormatting>
  <conditionalFormatting sqref="AC14">
    <cfRule type="expression" dxfId="131" priority="147">
      <formula>AND(NOT(ISBLANK($AB14)),TODAY()&gt;=$AB14)</formula>
    </cfRule>
  </conditionalFormatting>
  <conditionalFormatting sqref="AC15">
    <cfRule type="expression" dxfId="130" priority="143">
      <formula>AND(NOT(ISBLANK($AB15)),TODAY()&gt;=$AB15)</formula>
    </cfRule>
  </conditionalFormatting>
  <conditionalFormatting sqref="AC34">
    <cfRule type="expression" dxfId="129" priority="139">
      <formula>AND(NOT(ISBLANK($AB34)),TODAY()&gt;=$AB34)</formula>
    </cfRule>
  </conditionalFormatting>
  <conditionalFormatting sqref="AC13">
    <cfRule type="expression" dxfId="128" priority="135">
      <formula>AND(NOT(ISBLANK($AB13)),TODAY()&gt;=$AB13)</formula>
    </cfRule>
  </conditionalFormatting>
  <conditionalFormatting sqref="H11">
    <cfRule type="expression" dxfId="127" priority="133">
      <formula>ISNUMBER(FIND("SUPPRESSED",$A11))</formula>
    </cfRule>
  </conditionalFormatting>
  <conditionalFormatting sqref="H12">
    <cfRule type="expression" dxfId="126" priority="132">
      <formula>ISNUMBER(FIND("SUPPRESSED",$A12))</formula>
    </cfRule>
  </conditionalFormatting>
  <conditionalFormatting sqref="D100">
    <cfRule type="expression" dxfId="125" priority="129">
      <formula>ISNUMBER(FIND("SUPPRESSED",$A100))</formula>
    </cfRule>
  </conditionalFormatting>
  <conditionalFormatting sqref="J93:J95">
    <cfRule type="expression" dxfId="124" priority="128">
      <formula>ISNUMBER(FIND("SUPPRESSED",$A92))</formula>
    </cfRule>
  </conditionalFormatting>
  <conditionalFormatting sqref="D104">
    <cfRule type="expression" dxfId="123" priority="125">
      <formula>ISNUMBER(FIND("SUPPRESSED",$A104))</formula>
    </cfRule>
  </conditionalFormatting>
  <conditionalFormatting sqref="J100">
    <cfRule type="expression" dxfId="122" priority="124">
      <formula>ISNUMBER(FIND("SUPPRESSED",$A100))</formula>
    </cfRule>
  </conditionalFormatting>
  <conditionalFormatting sqref="J98">
    <cfRule type="expression" dxfId="121" priority="123">
      <formula>ISNUMBER(FIND("SUPPRESSED",$A98))</formula>
    </cfRule>
  </conditionalFormatting>
  <conditionalFormatting sqref="J97">
    <cfRule type="expression" dxfId="120" priority="122">
      <formula>ISNUMBER(FIND("SUPPRESSED",$A97))</formula>
    </cfRule>
  </conditionalFormatting>
  <conditionalFormatting sqref="J96">
    <cfRule type="expression" dxfId="119" priority="121">
      <formula>ISNUMBER(FIND("SUPPRESSED",$A93))</formula>
    </cfRule>
  </conditionalFormatting>
  <conditionalFormatting sqref="J99">
    <cfRule type="expression" dxfId="118" priority="107">
      <formula>ISNUMBER(FIND("SUPPRESSED",$A99))</formula>
    </cfRule>
  </conditionalFormatting>
  <conditionalFormatting sqref="C18:C20">
    <cfRule type="expression" dxfId="117" priority="118">
      <formula>ISNUMBER(FIND("SUPPRESSED",$A18))</formula>
    </cfRule>
  </conditionalFormatting>
  <conditionalFormatting sqref="D18:D20">
    <cfRule type="expression" dxfId="116" priority="117">
      <formula>ISNUMBER(FIND("SUPPRESSED",$A18))</formula>
    </cfRule>
  </conditionalFormatting>
  <conditionalFormatting sqref="F99:G99 I99">
    <cfRule type="expression" dxfId="115" priority="114">
      <formula>ISNUMBER(FIND("SUPPRESSED",$A99))</formula>
    </cfRule>
  </conditionalFormatting>
  <conditionalFormatting sqref="C99">
    <cfRule type="expression" dxfId="114" priority="112">
      <formula>ISNUMBER(FIND("SUPPRESSED",$A99))</formula>
    </cfRule>
  </conditionalFormatting>
  <conditionalFormatting sqref="D99">
    <cfRule type="expression" dxfId="113" priority="111">
      <formula>ISNUMBER(FIND("SUPPRESSED",$A99))</formula>
    </cfRule>
  </conditionalFormatting>
  <conditionalFormatting sqref="H99">
    <cfRule type="expression" dxfId="112" priority="110">
      <formula>ISNUMBER(FIND("SUPPRESSED",$A99))</formula>
    </cfRule>
  </conditionalFormatting>
  <conditionalFormatting sqref="Y92 R169">
    <cfRule type="expression" dxfId="111" priority="418">
      <formula>ISNUMBER(FIND("SUPPRESSED",$A93))</formula>
    </cfRule>
  </conditionalFormatting>
  <conditionalFormatting sqref="E41:E42">
    <cfRule type="expression" dxfId="110" priority="106">
      <formula>ISNUMBER(FIND("SUPPRESSED",$A41))</formula>
    </cfRule>
  </conditionalFormatting>
  <conditionalFormatting sqref="E43">
    <cfRule type="expression" dxfId="109" priority="105">
      <formula>ISNUMBER(FIND("SUPPRESSED",$A43))</formula>
    </cfRule>
  </conditionalFormatting>
  <conditionalFormatting sqref="E44">
    <cfRule type="expression" dxfId="108" priority="104">
      <formula>ISNUMBER(FIND("SUPPRESSED",$A44))</formula>
    </cfRule>
  </conditionalFormatting>
  <conditionalFormatting sqref="E45">
    <cfRule type="expression" dxfId="107" priority="103">
      <formula>ISNUMBER(FIND("SUPPRESSED",$A45))</formula>
    </cfRule>
  </conditionalFormatting>
  <conditionalFormatting sqref="E46:E47">
    <cfRule type="expression" dxfId="106" priority="102">
      <formula>ISNUMBER(FIND("SUPPRESSED",$A46))</formula>
    </cfRule>
  </conditionalFormatting>
  <conditionalFormatting sqref="E55">
    <cfRule type="expression" dxfId="105" priority="101">
      <formula>ISNUMBER(FIND("SUPPRESSED",$A55))</formula>
    </cfRule>
  </conditionalFormatting>
  <conditionalFormatting sqref="A86:D86">
    <cfRule type="expression" dxfId="104" priority="95">
      <formula>ISNUMBER(FIND("SUPPRESSED",$A86))</formula>
    </cfRule>
  </conditionalFormatting>
  <conditionalFormatting sqref="AC86">
    <cfRule type="expression" dxfId="103" priority="93">
      <formula>AND(NOT(ISBLANK($AB86)),TODAY()&gt;=$AB86)</formula>
    </cfRule>
  </conditionalFormatting>
  <conditionalFormatting sqref="N109:R109 N112:R112 N117:R117 N120:R120 N123:R127 N131:R131 N133:R133 N136:R136 N139:R139 N148:R149 N159:R159 N161:R161 C109:D110 D181 C167:D179 C195:C201">
    <cfRule type="expression" dxfId="102" priority="90">
      <formula>ISNUMBER(FIND("SUPPRESSED",$A109))</formula>
    </cfRule>
  </conditionalFormatting>
  <conditionalFormatting sqref="Y109:Y110 Y181:Y201 Y112:Y165 Y171:Y179 Y167:Y168">
    <cfRule type="expression" dxfId="101" priority="89">
      <formula>AND($X109&lt;&gt;$R109,NOT(ISBLANK($X109)))</formula>
    </cfRule>
  </conditionalFormatting>
  <conditionalFormatting sqref="AB109:AB110 AB167:AB179 AB181:AB201 AB112:AB165">
    <cfRule type="expression" dxfId="100" priority="88">
      <formula>AND(NOT(ISBLANK($Z109)),TODAY()&gt;=$Z109)</formula>
    </cfRule>
  </conditionalFormatting>
  <conditionalFormatting sqref="C180:D180">
    <cfRule type="expression" dxfId="99" priority="86">
      <formula>ISNUMBER(FIND("SUPPRESSED",$A180))</formula>
    </cfRule>
  </conditionalFormatting>
  <conditionalFormatting sqref="Y180">
    <cfRule type="expression" dxfId="98" priority="85">
      <formula>AND($X180&lt;&gt;$R180,NOT(ISBLANK($X180)))</formula>
    </cfRule>
  </conditionalFormatting>
  <conditionalFormatting sqref="AB180">
    <cfRule type="expression" dxfId="97" priority="84">
      <formula>AND(NOT(ISBLANK($Z180)),TODAY()&gt;=$Z180)</formula>
    </cfRule>
  </conditionalFormatting>
  <conditionalFormatting sqref="C166">
    <cfRule type="expression" dxfId="96" priority="82">
      <formula>ISNUMBER(FIND("SUPPRESSED",$A166))</formula>
    </cfRule>
  </conditionalFormatting>
  <conditionalFormatting sqref="Y166">
    <cfRule type="expression" dxfId="95" priority="81">
      <formula>AND($X166&lt;&gt;$R166,NOT(ISBLANK($X166)))</formula>
    </cfRule>
  </conditionalFormatting>
  <conditionalFormatting sqref="AB166">
    <cfRule type="expression" dxfId="94" priority="80">
      <formula>AND(NOT(ISBLANK($Z166)),TODAY()&gt;=$Z166)</formula>
    </cfRule>
  </conditionalFormatting>
  <conditionalFormatting sqref="AC166">
    <cfRule type="expression" dxfId="93" priority="78">
      <formula>ISNUMBER(FIND("SUPPRESSED",$A166))</formula>
    </cfRule>
  </conditionalFormatting>
  <conditionalFormatting sqref="AC167">
    <cfRule type="expression" dxfId="92" priority="77">
      <formula>ISNUMBER(FIND("SUPPRESSED",$A167))</formula>
    </cfRule>
  </conditionalFormatting>
  <conditionalFormatting sqref="AC169">
    <cfRule type="expression" dxfId="91" priority="76">
      <formula>ISNUMBER(FIND("SUPPRESSED",$A169))</formula>
    </cfRule>
  </conditionalFormatting>
  <conditionalFormatting sqref="C111:D111">
    <cfRule type="expression" dxfId="90" priority="75">
      <formula>ISNUMBER(FIND("SUPPRESSED",$A111))</formula>
    </cfRule>
  </conditionalFormatting>
  <conditionalFormatting sqref="Y111">
    <cfRule type="expression" dxfId="89" priority="74">
      <formula>AND($X111&lt;&gt;$R111,NOT(ISBLANK($X111)))</formula>
    </cfRule>
  </conditionalFormatting>
  <conditionalFormatting sqref="AB111">
    <cfRule type="expression" dxfId="88" priority="73">
      <formula>AND(NOT(ISBLANK($Z111)),TODAY()&gt;=$Z111)</formula>
    </cfRule>
  </conditionalFormatting>
  <conditionalFormatting sqref="A109:A110 A167:A179">
    <cfRule type="expression" dxfId="87" priority="47">
      <formula>ISNUMBER(FIND("SUPPRESSED",$A109))</formula>
    </cfRule>
  </conditionalFormatting>
  <conditionalFormatting sqref="A180">
    <cfRule type="expression" dxfId="86" priority="40">
      <formula>ISNUMBER(FIND("SUPPRESSED",$A180))</formula>
    </cfRule>
  </conditionalFormatting>
  <conditionalFormatting sqref="A166">
    <cfRule type="expression" dxfId="85" priority="33">
      <formula>ISNUMBER(FIND("SUPPRESSED",$A166))</formula>
    </cfRule>
  </conditionalFormatting>
  <conditionalFormatting sqref="A111">
    <cfRule type="expression" dxfId="84" priority="26">
      <formula>ISNUMBER(FIND("SUPPRESSED",$A111))</formula>
    </cfRule>
  </conditionalFormatting>
  <conditionalFormatting sqref="Z55:Z67 Z77:Z78 Z100:Z108 Z31 Z34 Z13:Z15 Z18:AA20 Z99:AA99 Z84:Z98">
    <cfRule type="expression" dxfId="83" priority="481">
      <formula>AND(NOT(ISBLANK($Z13)),$Z13&lt;&gt;$U13)</formula>
    </cfRule>
  </conditionalFormatting>
  <conditionalFormatting sqref="AD77:AD78 AD84:AD108 AD55:AD67 AD31 AD13:AD15 AD34 AD18:AD20">
    <cfRule type="expression" dxfId="82" priority="24">
      <formula>ISNUMBER(FIND("SUPPRESSED",$A13))</formula>
    </cfRule>
  </conditionalFormatting>
  <conditionalFormatting sqref="AD55:AD67 AD77:AD78 AD100:AD108 AD84:AD85 AD87:AD98">
    <cfRule type="expression" dxfId="81" priority="23">
      <formula>AND(NOT(ISBLANK($AB55)),TODAY()&gt;=$AB55)</formula>
    </cfRule>
  </conditionalFormatting>
  <conditionalFormatting sqref="AD18:AD20 AD99">
    <cfRule type="expression" dxfId="80" priority="22">
      <formula>AND(NOT(ISBLANK($AB18)),ISBLANK($AC18),TODAY()&gt;$AB18)</formula>
    </cfRule>
  </conditionalFormatting>
  <conditionalFormatting sqref="AD31">
    <cfRule type="expression" dxfId="79" priority="21">
      <formula>AND(NOT(ISBLANK($AB31)),TODAY()&gt;=$AB31)</formula>
    </cfRule>
  </conditionalFormatting>
  <conditionalFormatting sqref="AD14">
    <cfRule type="expression" dxfId="78" priority="20">
      <formula>AND(NOT(ISBLANK($AB14)),TODAY()&gt;=$AB14)</formula>
    </cfRule>
  </conditionalFormatting>
  <conditionalFormatting sqref="AD15">
    <cfRule type="expression" dxfId="77" priority="19">
      <formula>AND(NOT(ISBLANK($AB15)),TODAY()&gt;=$AB15)</formula>
    </cfRule>
  </conditionalFormatting>
  <conditionalFormatting sqref="AD34">
    <cfRule type="expression" dxfId="76" priority="18">
      <formula>AND(NOT(ISBLANK($AB34)),TODAY()&gt;=$AB34)</formula>
    </cfRule>
  </conditionalFormatting>
  <conditionalFormatting sqref="AD13">
    <cfRule type="expression" dxfId="75" priority="17">
      <formula>AND(NOT(ISBLANK($AB13)),TODAY()&gt;=$AB13)</formula>
    </cfRule>
  </conditionalFormatting>
  <conditionalFormatting sqref="AD86">
    <cfRule type="expression" dxfId="74" priority="16">
      <formula>AND(NOT(ISBLANK($AB86)),TODAY()&gt;=$AB86)</formula>
    </cfRule>
  </conditionalFormatting>
  <conditionalFormatting sqref="AD166">
    <cfRule type="expression" dxfId="73" priority="15">
      <formula>ISNUMBER(FIND("SUPPRESSED",$A166))</formula>
    </cfRule>
  </conditionalFormatting>
  <conditionalFormatting sqref="AD167">
    <cfRule type="expression" dxfId="72" priority="14">
      <formula>ISNUMBER(FIND("SUPPRESSED",$A167))</formula>
    </cfRule>
  </conditionalFormatting>
  <conditionalFormatting sqref="AD169">
    <cfRule type="expression" dxfId="71" priority="13">
      <formula>ISNUMBER(FIND("SUPPRESSED",$A169))</formula>
    </cfRule>
  </conditionalFormatting>
  <conditionalFormatting sqref="AE77:AE78 AE84:AE108 AE55:AE67 AE31 AE13:AE15 AE34 AE18:AE20">
    <cfRule type="expression" dxfId="70" priority="12">
      <formula>ISNUMBER(FIND("SUPPRESSED",$A13))</formula>
    </cfRule>
  </conditionalFormatting>
  <conditionalFormatting sqref="AE55:AE67 AE77:AE78 AE100:AE108 AE84:AE85 AE87:AE98">
    <cfRule type="expression" dxfId="69" priority="11">
      <formula>AND(NOT(ISBLANK($AB55)),TODAY()&gt;=$AB55)</formula>
    </cfRule>
  </conditionalFormatting>
  <conditionalFormatting sqref="AE18:AE20 AE99">
    <cfRule type="expression" dxfId="68" priority="10">
      <formula>AND(NOT(ISBLANK($AB18)),ISBLANK($AC18),TODAY()&gt;$AB18)</formula>
    </cfRule>
  </conditionalFormatting>
  <conditionalFormatting sqref="AE31">
    <cfRule type="expression" dxfId="67" priority="9">
      <formula>AND(NOT(ISBLANK($AB31)),TODAY()&gt;=$AB31)</formula>
    </cfRule>
  </conditionalFormatting>
  <conditionalFormatting sqref="AE14">
    <cfRule type="expression" dxfId="66" priority="8">
      <formula>AND(NOT(ISBLANK($AB14)),TODAY()&gt;=$AB14)</formula>
    </cfRule>
  </conditionalFormatting>
  <conditionalFormatting sqref="AE15">
    <cfRule type="expression" dxfId="65" priority="7">
      <formula>AND(NOT(ISBLANK($AB15)),TODAY()&gt;=$AB15)</formula>
    </cfRule>
  </conditionalFormatting>
  <conditionalFormatting sqref="AE34">
    <cfRule type="expression" dxfId="64" priority="6">
      <formula>AND(NOT(ISBLANK($AB34)),TODAY()&gt;=$AB34)</formula>
    </cfRule>
  </conditionalFormatting>
  <conditionalFormatting sqref="AE13">
    <cfRule type="expression" dxfId="63" priority="5">
      <formula>AND(NOT(ISBLANK($AB13)),TODAY()&gt;=$AB13)</formula>
    </cfRule>
  </conditionalFormatting>
  <conditionalFormatting sqref="AE86">
    <cfRule type="expression" dxfId="62" priority="4">
      <formula>AND(NOT(ISBLANK($AB86)),TODAY()&gt;=$AB86)</formula>
    </cfRule>
  </conditionalFormatting>
  <conditionalFormatting sqref="AE166">
    <cfRule type="expression" dxfId="61" priority="3">
      <formula>ISNUMBER(FIND("SUPPRESSED",$A166))</formula>
    </cfRule>
  </conditionalFormatting>
  <conditionalFormatting sqref="AE167">
    <cfRule type="expression" dxfId="60" priority="2">
      <formula>ISNUMBER(FIND("SUPPRESSED",$A167))</formula>
    </cfRule>
  </conditionalFormatting>
  <conditionalFormatting sqref="AE169">
    <cfRule type="expression" dxfId="59" priority="1">
      <formula>ISNUMBER(FIND("SUPPRESSED",$A169))</formula>
    </cfRule>
  </conditionalFormatting>
  <conditionalFormatting sqref="Y170">
    <cfRule type="expression" dxfId="58" priority="485">
      <formula>AND($X170&lt;&gt;$R169,NOT(ISBLANK($X170)))</formula>
    </cfRule>
  </conditionalFormatting>
  <conditionalFormatting sqref="Y169">
    <cfRule type="expression" dxfId="57" priority="486">
      <formula>AND($X169&lt;&gt;#REF!,NOT(ISBLANK($X169)))</formula>
    </cfRule>
  </conditionalFormatting>
  <dataValidations count="2">
    <dataValidation type="list" allowBlank="1" showErrorMessage="1" sqref="A203:B313 A5:A201" xr:uid="{00000000-0002-0000-0500-000000000000}">
      <formula1>StatusList</formula1>
    </dataValidation>
    <dataValidation type="list" allowBlank="1" showErrorMessage="1" sqref="K5:K201" xr:uid="{00000000-0002-0000-0500-000001000000}">
      <formula1>TypeList</formula1>
    </dataValidation>
  </dataValidations>
  <hyperlinks>
    <hyperlink ref="J179" r:id="rId1" xr:uid="{00000000-0004-0000-0500-000000000000}"/>
    <hyperlink ref="J178" r:id="rId2" xr:uid="{00000000-0004-0000-0500-000001000000}"/>
  </hyperlinks>
  <pageMargins left="0.7" right="0.7" top="0.75" bottom="0.75" header="0.3" footer="0.3"/>
  <pageSetup orientation="portrait" r:id="rId3"/>
  <legacyDrawing r:id="rId4"/>
  <tableParts count="1">
    <tablePart r:id="rId5"/>
  </tableParts>
  <extLst>
    <ext xmlns:x14="http://schemas.microsoft.com/office/spreadsheetml/2009/9/main" uri="{78C0D931-6437-407d-A8EE-F0AAD7539E65}">
      <x14:conditionalFormattings>
        <x14:conditionalFormatting xmlns:xm="http://schemas.microsoft.com/office/excel/2006/main">
          <x14:cfRule type="containsText" priority="179" operator="containsText" id="{65960853-814F-4B2D-BDCE-EB2978E5E7EC}">
            <xm:f>NOT(ISERROR(SEARCH('HOW TO USE'!$A$49,A5)))</xm:f>
            <xm:f>'HOW TO USE'!$A$49</xm:f>
            <x14:dxf>
              <font>
                <color auto="1"/>
              </font>
              <fill>
                <patternFill patternType="solid">
                  <fgColor rgb="FF000000"/>
                  <bgColor rgb="FFFF0000"/>
                </patternFill>
              </fill>
              <border>
                <left/>
                <right/>
                <top/>
                <bottom/>
              </border>
            </x14:dxf>
          </x14:cfRule>
          <x14:cfRule type="containsText" priority="180" operator="containsText" id="{3345F206-0692-4862-A7F1-671502C4784F}">
            <xm:f>NOT(ISERROR(SEARCH('HOW TO USE'!$A$50,A5)))</xm:f>
            <xm:f>'HOW TO USE'!$A$50</xm:f>
            <x14:dxf>
              <fill>
                <patternFill patternType="solid">
                  <fgColor rgb="FF0070C0"/>
                  <bgColor rgb="FFFFC000"/>
                </patternFill>
              </fill>
              <border>
                <left/>
                <right/>
                <top/>
                <bottom/>
              </border>
            </x14:dxf>
          </x14:cfRule>
          <x14:cfRule type="containsText" priority="181" operator="containsText" id="{15C80F49-264D-4ABF-A497-63512EF68D44}">
            <xm:f>NOT(ISERROR(SEARCH('HOW TO USE'!$A$51,A5)))</xm:f>
            <xm:f>'HOW TO USE'!$A$51</xm:f>
            <x14:dxf>
              <fill>
                <patternFill patternType="solid">
                  <fgColor rgb="FFFF0000"/>
                  <bgColor rgb="FFFFFF00"/>
                </patternFill>
              </fill>
              <border>
                <left/>
                <right/>
                <top/>
                <bottom/>
              </border>
            </x14:dxf>
          </x14:cfRule>
          <x14:cfRule type="containsText" priority="182" operator="containsText" id="{E71F4ADF-91CE-492E-947A-1CD58AF22E0A}">
            <xm:f>NOT(ISERROR(SEARCH('HOW TO USE'!$A$54,A5)))</xm:f>
            <xm:f>'HOW TO USE'!$A$54</xm:f>
            <x14:dxf>
              <font>
                <color auto="1"/>
              </font>
              <fill>
                <patternFill patternType="solid">
                  <fgColor rgb="FF00B050"/>
                  <bgColor rgb="FF00B050"/>
                </patternFill>
              </fill>
              <border>
                <left/>
                <right/>
                <top/>
                <bottom/>
              </border>
            </x14:dxf>
          </x14:cfRule>
          <x14:cfRule type="cellIs" priority="183" operator="equal" id="{357A12CF-20DE-4471-839A-454AF0352283}">
            <xm:f>'HOW TO USE'!$A$55</xm:f>
            <x14:dxf>
              <fill>
                <patternFill>
                  <bgColor rgb="FF0070C0"/>
                </patternFill>
              </fill>
            </x14:dxf>
          </x14:cfRule>
          <xm:sqref>A5:B201</xm:sqref>
        </x14:conditionalFormatting>
        <x14:conditionalFormatting xmlns:xm="http://schemas.microsoft.com/office/excel/2006/main">
          <x14:cfRule type="containsText" priority="131" operator="containsText" id="{BF9033AC-367F-44D2-9B2A-B8834708FBBD}">
            <xm:f>NOT(ISERROR(SEARCH('HOW TO USE'!$A$52,A1)))</xm:f>
            <xm:f>'HOW TO USE'!$A$52</xm:f>
            <x14:dxf>
              <fill>
                <patternFill>
                  <bgColor rgb="FF92D050"/>
                </patternFill>
              </fill>
            </x14:dxf>
          </x14:cfRule>
          <xm:sqref>A1:B1048576</xm:sqref>
        </x14:conditionalFormatting>
        <x14:conditionalFormatting xmlns:xm="http://schemas.microsoft.com/office/excel/2006/main">
          <x14:cfRule type="containsText" priority="96" operator="containsText" id="{4CD42843-9E94-401A-8CA3-75FB9B11C85D}">
            <xm:f>NOT(ISERROR(SEARCH('HOW TO USE'!$A$49,A86)))</xm:f>
            <xm:f>'HOW TO USE'!$A$49</xm:f>
            <x14:dxf>
              <font>
                <color auto="1"/>
              </font>
              <fill>
                <patternFill patternType="solid">
                  <fgColor rgb="FF000000"/>
                  <bgColor rgb="FFFF0000"/>
                </patternFill>
              </fill>
              <border>
                <left/>
                <right/>
                <top/>
                <bottom/>
              </border>
            </x14:dxf>
          </x14:cfRule>
          <x14:cfRule type="containsText" priority="97" operator="containsText" id="{76687D84-C1BC-4B8E-BF11-C82093BEAD28}">
            <xm:f>NOT(ISERROR(SEARCH('HOW TO USE'!$A$50,A86)))</xm:f>
            <xm:f>'HOW TO USE'!$A$50</xm:f>
            <x14:dxf>
              <fill>
                <patternFill patternType="solid">
                  <fgColor rgb="FF0070C0"/>
                  <bgColor rgb="FFFFC000"/>
                </patternFill>
              </fill>
              <border>
                <left/>
                <right/>
                <top/>
                <bottom/>
              </border>
            </x14:dxf>
          </x14:cfRule>
          <x14:cfRule type="containsText" priority="98" operator="containsText" id="{0BA93C32-6104-44B9-B9E8-B24A6EDDC2BC}">
            <xm:f>NOT(ISERROR(SEARCH('HOW TO USE'!$A$51,A86)))</xm:f>
            <xm:f>'HOW TO USE'!$A$51</xm:f>
            <x14:dxf>
              <fill>
                <patternFill patternType="solid">
                  <fgColor rgb="FFFF0000"/>
                  <bgColor rgb="FFFFFF00"/>
                </patternFill>
              </fill>
              <border>
                <left/>
                <right/>
                <top/>
                <bottom/>
              </border>
            </x14:dxf>
          </x14:cfRule>
          <x14:cfRule type="containsText" priority="99" operator="containsText" id="{29C1EF51-ED6C-4AD2-B9F3-36D9E3CB2990}">
            <xm:f>NOT(ISERROR(SEARCH('HOW TO USE'!$A$54,A86)))</xm:f>
            <xm:f>'HOW TO USE'!$A$54</xm:f>
            <x14:dxf>
              <font>
                <color auto="1"/>
              </font>
              <fill>
                <patternFill patternType="solid">
                  <fgColor rgb="FF00B050"/>
                  <bgColor rgb="FF00B050"/>
                </patternFill>
              </fill>
              <border>
                <left/>
                <right/>
                <top/>
                <bottom/>
              </border>
            </x14:dxf>
          </x14:cfRule>
          <x14:cfRule type="cellIs" priority="100" operator="equal" id="{77078CB4-8FC8-494C-B40F-DD93703C10E3}">
            <xm:f>'HOW TO USE'!$A$55</xm:f>
            <x14:dxf>
              <fill>
                <patternFill>
                  <bgColor rgb="FF0070C0"/>
                </patternFill>
              </fill>
            </x14:dxf>
          </x14:cfRule>
          <xm:sqref>A86:B86</xm:sqref>
        </x14:conditionalFormatting>
        <x14:conditionalFormatting xmlns:xm="http://schemas.microsoft.com/office/excel/2006/main">
          <x14:cfRule type="containsText" priority="91" operator="containsText" id="{E2A1DDB2-DC86-436B-8543-E754493F80BD}">
            <xm:f>NOT(ISERROR(SEARCH('HOW TO USE'!$A$52,A86)))</xm:f>
            <xm:f>'HOW TO USE'!$A$52</xm:f>
            <x14:dxf>
              <fill>
                <patternFill>
                  <bgColor rgb="FF92D050"/>
                </patternFill>
              </fill>
            </x14:dxf>
          </x14:cfRule>
          <xm:sqref>A86:B86</xm:sqref>
        </x14:conditionalFormatting>
        <x14:conditionalFormatting xmlns:xm="http://schemas.microsoft.com/office/excel/2006/main">
          <x14:cfRule type="containsText" priority="48" operator="containsText" id="{4625E380-0C78-4945-BD14-BB88AC45F09E}">
            <xm:f>NOT(ISERROR(SEARCH('HOW TO USE'!$A$49,A109)))</xm:f>
            <xm:f>'HOW TO USE'!$A$49</xm:f>
            <x14:dxf>
              <font>
                <color auto="1"/>
              </font>
              <fill>
                <patternFill patternType="solid">
                  <fgColor rgb="FF000000"/>
                  <bgColor rgb="FFFF0000"/>
                </patternFill>
              </fill>
              <border>
                <left/>
                <right/>
                <top/>
                <bottom/>
              </border>
            </x14:dxf>
          </x14:cfRule>
          <x14:cfRule type="containsText" priority="49" operator="containsText" id="{24892785-56EE-474D-A5F7-286BFC45CFEB}">
            <xm:f>NOT(ISERROR(SEARCH('HOW TO USE'!$A$50,A109)))</xm:f>
            <xm:f>'HOW TO USE'!$A$50</xm:f>
            <x14:dxf>
              <fill>
                <patternFill patternType="solid">
                  <fgColor rgb="FF0070C0"/>
                  <bgColor rgb="FFFFC000"/>
                </patternFill>
              </fill>
              <border>
                <left/>
                <right/>
                <top/>
                <bottom/>
              </border>
            </x14:dxf>
          </x14:cfRule>
          <x14:cfRule type="containsText" priority="50" operator="containsText" id="{B266276C-497A-4E9D-A4E0-8025187A3A12}">
            <xm:f>NOT(ISERROR(SEARCH('HOW TO USE'!$A$51,A109)))</xm:f>
            <xm:f>'HOW TO USE'!$A$51</xm:f>
            <x14:dxf>
              <fill>
                <patternFill patternType="solid">
                  <fgColor rgb="FFFF0000"/>
                  <bgColor rgb="FFFFFF00"/>
                </patternFill>
              </fill>
              <border>
                <left/>
                <right/>
                <top/>
                <bottom/>
              </border>
            </x14:dxf>
          </x14:cfRule>
          <x14:cfRule type="containsText" priority="51" operator="containsText" id="{47CD2F3E-B160-4E85-AF4E-07B7EE28292C}">
            <xm:f>NOT(ISERROR(SEARCH('HOW TO USE'!$A$54,A109)))</xm:f>
            <xm:f>'HOW TO USE'!$A$54</xm:f>
            <x14:dxf>
              <font>
                <color auto="1"/>
              </font>
              <fill>
                <patternFill patternType="solid">
                  <fgColor rgb="FF00B050"/>
                  <bgColor rgb="FF00B050"/>
                </patternFill>
              </fill>
              <border>
                <left/>
                <right/>
                <top/>
                <bottom/>
              </border>
            </x14:dxf>
          </x14:cfRule>
          <x14:cfRule type="cellIs" priority="52" operator="equal" id="{193E8A54-163C-445A-AF7E-0DE3123A1311}">
            <xm:f>'HOW TO USE'!$A$55</xm:f>
            <x14:dxf>
              <fill>
                <patternFill>
                  <bgColor rgb="FF0070C0"/>
                </patternFill>
              </fill>
            </x14:dxf>
          </x14:cfRule>
          <xm:sqref>A109:A110</xm:sqref>
        </x14:conditionalFormatting>
        <x14:conditionalFormatting xmlns:xm="http://schemas.microsoft.com/office/excel/2006/main">
          <x14:cfRule type="containsText" priority="46" operator="containsText" id="{7B7B8274-E76B-487A-8A20-478358C75CEB}">
            <xm:f>NOT(ISERROR(SEARCH('HOW TO USE'!$A$52,A109)))</xm:f>
            <xm:f>'HOW TO USE'!$A$52</xm:f>
            <x14:dxf>
              <fill>
                <patternFill>
                  <bgColor rgb="FF92D050"/>
                </patternFill>
              </fill>
            </x14:dxf>
          </x14:cfRule>
          <xm:sqref>A109:A110</xm:sqref>
        </x14:conditionalFormatting>
        <x14:conditionalFormatting xmlns:xm="http://schemas.microsoft.com/office/excel/2006/main">
          <x14:cfRule type="containsText" priority="41" operator="containsText" id="{B296AF5E-A3EC-4D27-8653-C39AF38BABB0}">
            <xm:f>NOT(ISERROR(SEARCH('HOW TO USE'!$A$49,A180)))</xm:f>
            <xm:f>'HOW TO USE'!$A$49</xm:f>
            <x14:dxf>
              <font>
                <color auto="1"/>
              </font>
              <fill>
                <patternFill patternType="solid">
                  <fgColor rgb="FF000000"/>
                  <bgColor rgb="FFFF0000"/>
                </patternFill>
              </fill>
              <border>
                <left/>
                <right/>
                <top/>
                <bottom/>
              </border>
            </x14:dxf>
          </x14:cfRule>
          <x14:cfRule type="containsText" priority="42" operator="containsText" id="{3BB01EB5-4A7D-4E56-8CD2-351917E129EB}">
            <xm:f>NOT(ISERROR(SEARCH('HOW TO USE'!$A$50,A180)))</xm:f>
            <xm:f>'HOW TO USE'!$A$50</xm:f>
            <x14:dxf>
              <fill>
                <patternFill patternType="solid">
                  <fgColor rgb="FF0070C0"/>
                  <bgColor rgb="FFFFC000"/>
                </patternFill>
              </fill>
              <border>
                <left/>
                <right/>
                <top/>
                <bottom/>
              </border>
            </x14:dxf>
          </x14:cfRule>
          <x14:cfRule type="containsText" priority="43" operator="containsText" id="{F5CC3175-473B-489F-9EB0-65FEDCBC6CFA}">
            <xm:f>NOT(ISERROR(SEARCH('HOW TO USE'!$A$51,A180)))</xm:f>
            <xm:f>'HOW TO USE'!$A$51</xm:f>
            <x14:dxf>
              <fill>
                <patternFill patternType="solid">
                  <fgColor rgb="FFFF0000"/>
                  <bgColor rgb="FFFFFF00"/>
                </patternFill>
              </fill>
              <border>
                <left/>
                <right/>
                <top/>
                <bottom/>
              </border>
            </x14:dxf>
          </x14:cfRule>
          <x14:cfRule type="containsText" priority="44" operator="containsText" id="{76B1A7D6-B571-4687-A49F-75ECDAC2A04E}">
            <xm:f>NOT(ISERROR(SEARCH('HOW TO USE'!$A$54,A180)))</xm:f>
            <xm:f>'HOW TO USE'!$A$54</xm:f>
            <x14:dxf>
              <font>
                <color auto="1"/>
              </font>
              <fill>
                <patternFill patternType="solid">
                  <fgColor rgb="FF00B050"/>
                  <bgColor rgb="FF00B050"/>
                </patternFill>
              </fill>
              <border>
                <left/>
                <right/>
                <top/>
                <bottom/>
              </border>
            </x14:dxf>
          </x14:cfRule>
          <x14:cfRule type="cellIs" priority="45" operator="equal" id="{4AEDD7B4-6B23-4C54-ADB9-3559580678CE}">
            <xm:f>'HOW TO USE'!$A$55</xm:f>
            <x14:dxf>
              <fill>
                <patternFill>
                  <bgColor rgb="FF0070C0"/>
                </patternFill>
              </fill>
            </x14:dxf>
          </x14:cfRule>
          <xm:sqref>A180</xm:sqref>
        </x14:conditionalFormatting>
        <x14:conditionalFormatting xmlns:xm="http://schemas.microsoft.com/office/excel/2006/main">
          <x14:cfRule type="containsText" priority="39" operator="containsText" id="{83E2A2EE-8041-46D6-B3DB-FD4B5292D327}">
            <xm:f>NOT(ISERROR(SEARCH('HOW TO USE'!$A$52,A180)))</xm:f>
            <xm:f>'HOW TO USE'!$A$52</xm:f>
            <x14:dxf>
              <fill>
                <patternFill>
                  <bgColor rgb="FF92D050"/>
                </patternFill>
              </fill>
            </x14:dxf>
          </x14:cfRule>
          <xm:sqref>A180</xm:sqref>
        </x14:conditionalFormatting>
        <x14:conditionalFormatting xmlns:xm="http://schemas.microsoft.com/office/excel/2006/main">
          <x14:cfRule type="containsText" priority="34" operator="containsText" id="{7D3284E4-0CCF-4C78-9D0F-02541FA2DC37}">
            <xm:f>NOT(ISERROR(SEARCH('HOW TO USE'!$A$49,A166)))</xm:f>
            <xm:f>'HOW TO USE'!$A$49</xm:f>
            <x14:dxf>
              <font>
                <color auto="1"/>
              </font>
              <fill>
                <patternFill patternType="solid">
                  <fgColor rgb="FF000000"/>
                  <bgColor rgb="FFFF0000"/>
                </patternFill>
              </fill>
              <border>
                <left/>
                <right/>
                <top/>
                <bottom/>
              </border>
            </x14:dxf>
          </x14:cfRule>
          <x14:cfRule type="containsText" priority="35" operator="containsText" id="{CC5697BF-E198-4635-B1B2-DAB401504E9C}">
            <xm:f>NOT(ISERROR(SEARCH('HOW TO USE'!$A$50,A166)))</xm:f>
            <xm:f>'HOW TO USE'!$A$50</xm:f>
            <x14:dxf>
              <fill>
                <patternFill patternType="solid">
                  <fgColor rgb="FF0070C0"/>
                  <bgColor rgb="FFFFC000"/>
                </patternFill>
              </fill>
              <border>
                <left/>
                <right/>
                <top/>
                <bottom/>
              </border>
            </x14:dxf>
          </x14:cfRule>
          <x14:cfRule type="containsText" priority="36" operator="containsText" id="{6643C2CB-5C26-413D-9EBF-BFCF9A518CCE}">
            <xm:f>NOT(ISERROR(SEARCH('HOW TO USE'!$A$51,A166)))</xm:f>
            <xm:f>'HOW TO USE'!$A$51</xm:f>
            <x14:dxf>
              <fill>
                <patternFill patternType="solid">
                  <fgColor rgb="FFFF0000"/>
                  <bgColor rgb="FFFFFF00"/>
                </patternFill>
              </fill>
              <border>
                <left/>
                <right/>
                <top/>
                <bottom/>
              </border>
            </x14:dxf>
          </x14:cfRule>
          <x14:cfRule type="containsText" priority="37" operator="containsText" id="{3808A177-CAD0-486B-8551-839D206C0545}">
            <xm:f>NOT(ISERROR(SEARCH('HOW TO USE'!$A$54,A166)))</xm:f>
            <xm:f>'HOW TO USE'!$A$54</xm:f>
            <x14:dxf>
              <font>
                <color auto="1"/>
              </font>
              <fill>
                <patternFill patternType="solid">
                  <fgColor rgb="FF00B050"/>
                  <bgColor rgb="FF00B050"/>
                </patternFill>
              </fill>
              <border>
                <left/>
                <right/>
                <top/>
                <bottom/>
              </border>
            </x14:dxf>
          </x14:cfRule>
          <x14:cfRule type="cellIs" priority="38" operator="equal" id="{40C4C57A-FD2C-4AF7-A5CD-2ACCD304499E}">
            <xm:f>'HOW TO USE'!$A$55</xm:f>
            <x14:dxf>
              <fill>
                <patternFill>
                  <bgColor rgb="FF0070C0"/>
                </patternFill>
              </fill>
            </x14:dxf>
          </x14:cfRule>
          <xm:sqref>A166</xm:sqref>
        </x14:conditionalFormatting>
        <x14:conditionalFormatting xmlns:xm="http://schemas.microsoft.com/office/excel/2006/main">
          <x14:cfRule type="containsText" priority="32" operator="containsText" id="{03BF88B9-EF4C-4668-87BE-C4E650E469E7}">
            <xm:f>NOT(ISERROR(SEARCH('HOW TO USE'!$A$52,A166)))</xm:f>
            <xm:f>'HOW TO USE'!$A$52</xm:f>
            <x14:dxf>
              <fill>
                <patternFill>
                  <bgColor rgb="FF92D050"/>
                </patternFill>
              </fill>
            </x14:dxf>
          </x14:cfRule>
          <xm:sqref>A166</xm:sqref>
        </x14:conditionalFormatting>
        <x14:conditionalFormatting xmlns:xm="http://schemas.microsoft.com/office/excel/2006/main">
          <x14:cfRule type="containsText" priority="27" operator="containsText" id="{CF433118-7EA9-40BF-9DF6-BCA23D197A59}">
            <xm:f>NOT(ISERROR(SEARCH('HOW TO USE'!$A$49,A111)))</xm:f>
            <xm:f>'HOW TO USE'!$A$49</xm:f>
            <x14:dxf>
              <font>
                <color auto="1"/>
              </font>
              <fill>
                <patternFill patternType="solid">
                  <fgColor rgb="FF000000"/>
                  <bgColor rgb="FFFF0000"/>
                </patternFill>
              </fill>
              <border>
                <left/>
                <right/>
                <top/>
                <bottom/>
              </border>
            </x14:dxf>
          </x14:cfRule>
          <x14:cfRule type="containsText" priority="28" operator="containsText" id="{AE00143E-A3A6-4B81-8FFE-0BBEA138F1F1}">
            <xm:f>NOT(ISERROR(SEARCH('HOW TO USE'!$A$50,A111)))</xm:f>
            <xm:f>'HOW TO USE'!$A$50</xm:f>
            <x14:dxf>
              <fill>
                <patternFill patternType="solid">
                  <fgColor rgb="FF0070C0"/>
                  <bgColor rgb="FFFFC000"/>
                </patternFill>
              </fill>
              <border>
                <left/>
                <right/>
                <top/>
                <bottom/>
              </border>
            </x14:dxf>
          </x14:cfRule>
          <x14:cfRule type="containsText" priority="29" operator="containsText" id="{F7414131-4BF3-475A-BC6A-0594C6B4D6CC}">
            <xm:f>NOT(ISERROR(SEARCH('HOW TO USE'!$A$51,A111)))</xm:f>
            <xm:f>'HOW TO USE'!$A$51</xm:f>
            <x14:dxf>
              <fill>
                <patternFill patternType="solid">
                  <fgColor rgb="FFFF0000"/>
                  <bgColor rgb="FFFFFF00"/>
                </patternFill>
              </fill>
              <border>
                <left/>
                <right/>
                <top/>
                <bottom/>
              </border>
            </x14:dxf>
          </x14:cfRule>
          <x14:cfRule type="containsText" priority="30" operator="containsText" id="{99E2E560-FDF2-42D7-9552-B444D6131624}">
            <xm:f>NOT(ISERROR(SEARCH('HOW TO USE'!$A$54,A111)))</xm:f>
            <xm:f>'HOW TO USE'!$A$54</xm:f>
            <x14:dxf>
              <font>
                <color auto="1"/>
              </font>
              <fill>
                <patternFill patternType="solid">
                  <fgColor rgb="FF00B050"/>
                  <bgColor rgb="FF00B050"/>
                </patternFill>
              </fill>
              <border>
                <left/>
                <right/>
                <top/>
                <bottom/>
              </border>
            </x14:dxf>
          </x14:cfRule>
          <x14:cfRule type="cellIs" priority="31" operator="equal" id="{B234C744-7C80-477F-B068-9C98FAA99CE5}">
            <xm:f>'HOW TO USE'!$A$55</xm:f>
            <x14:dxf>
              <fill>
                <patternFill>
                  <bgColor rgb="FF0070C0"/>
                </patternFill>
              </fill>
            </x14:dxf>
          </x14:cfRule>
          <xm:sqref>A111</xm:sqref>
        </x14:conditionalFormatting>
        <x14:conditionalFormatting xmlns:xm="http://schemas.microsoft.com/office/excel/2006/main">
          <x14:cfRule type="containsText" priority="25" operator="containsText" id="{85829712-2F1E-46F7-8532-4CE54902EA31}">
            <xm:f>NOT(ISERROR(SEARCH('HOW TO USE'!$A$52,A111)))</xm:f>
            <xm:f>'HOW TO USE'!$A$52</xm:f>
            <x14:dxf>
              <fill>
                <patternFill>
                  <bgColor rgb="FF92D050"/>
                </patternFill>
              </fill>
            </x14:dxf>
          </x14:cfRule>
          <xm:sqref>A111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ErrorMessage="1" xr:uid="{00000000-0002-0000-0500-000002000000}">
          <x14:formula1>
            <xm:f>'HOW TO USE'!$A$74:$A$80</xm:f>
          </x14:formula1>
          <xm:sqref>B5:B201</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sheetPr>
  <dimension ref="A1:AF172"/>
  <sheetViews>
    <sheetView showGridLines="0" zoomScale="85" zoomScaleNormal="85" workbookViewId="0">
      <pane xSplit="3" ySplit="3" topLeftCell="D4" activePane="bottomRight" state="frozen"/>
      <selection pane="topRight" activeCell="D1" sqref="D1"/>
      <selection pane="bottomLeft" activeCell="A4" sqref="A4"/>
      <selection pane="bottomRight" activeCell="L50" sqref="L50"/>
    </sheetView>
  </sheetViews>
  <sheetFormatPr defaultColWidth="14.5703125" defaultRowHeight="15" customHeight="1" x14ac:dyDescent="0.25"/>
  <cols>
    <col min="1" max="1" width="21.42578125" style="44" customWidth="1"/>
    <col min="2" max="2" width="30.5703125" style="44" customWidth="1"/>
    <col min="3" max="3" width="14.5703125" style="44"/>
    <col min="4" max="4" width="7.5703125" style="44" customWidth="1"/>
    <col min="5" max="7" width="14.5703125" style="44"/>
    <col min="8" max="8" width="18.5703125" style="44" customWidth="1"/>
    <col min="9" max="9" width="107.42578125" style="44" customWidth="1"/>
    <col min="11" max="11" width="19.42578125" style="44" customWidth="1"/>
    <col min="12" max="14" width="14.5703125" style="44"/>
    <col min="16" max="21" width="14.5703125" style="44"/>
    <col min="22" max="22" width="17.42578125" style="44" customWidth="1"/>
    <col min="23" max="24" width="24.5703125" style="44" customWidth="1"/>
    <col min="25" max="25" width="20.5703125" style="44" customWidth="1"/>
    <col min="26" max="27" width="14.5703125" style="44" hidden="1" customWidth="1"/>
    <col min="28" max="28" width="19.42578125" style="44" bestFit="1" customWidth="1"/>
    <col min="29" max="29" width="14.5703125" style="44" customWidth="1"/>
    <col min="30" max="30" width="15.5703125" style="44" customWidth="1"/>
    <col min="31" max="31" width="27.7109375" style="44" customWidth="1"/>
    <col min="32" max="32" width="32.5703125" style="44" customWidth="1"/>
    <col min="33" max="16384" width="14.5703125" style="44"/>
  </cols>
  <sheetData>
    <row r="1" spans="1:32" ht="15" customHeight="1" x14ac:dyDescent="0.2">
      <c r="A1" s="46" t="str">
        <f ca="1">MID(CELL("filename",A1),FIND("]",CELL("filename",A1))+1,255)&amp;" Bill of Materials"</f>
        <v>Auxilary Equip Bill of Materials</v>
      </c>
      <c r="B1" s="46"/>
      <c r="C1" s="48" t="s">
        <v>164</v>
      </c>
      <c r="D1" s="48"/>
      <c r="E1" s="48"/>
      <c r="F1" s="48"/>
      <c r="G1" s="48"/>
      <c r="H1" s="48"/>
      <c r="I1" s="48"/>
      <c r="J1" s="49" t="s">
        <v>173</v>
      </c>
      <c r="K1" s="49"/>
      <c r="L1" s="49"/>
      <c r="M1" s="49"/>
      <c r="N1" s="49"/>
      <c r="O1" s="49"/>
      <c r="P1" s="49"/>
      <c r="Q1" s="49"/>
      <c r="R1" s="49"/>
      <c r="S1" s="49"/>
      <c r="T1" s="49"/>
      <c r="U1" s="49"/>
      <c r="V1" s="49"/>
      <c r="W1" s="47" t="s">
        <v>174</v>
      </c>
      <c r="X1" s="47"/>
      <c r="Y1" s="47"/>
      <c r="Z1" s="47"/>
      <c r="AA1" s="47"/>
      <c r="AB1" s="47"/>
      <c r="AC1" s="47"/>
      <c r="AD1" s="47"/>
      <c r="AE1" s="47"/>
      <c r="AF1" s="47"/>
    </row>
    <row r="2" spans="1:32" ht="15" customHeight="1" x14ac:dyDescent="0.2">
      <c r="A2" s="46"/>
      <c r="B2" s="46"/>
      <c r="C2" s="48"/>
      <c r="D2" s="48"/>
      <c r="E2" s="48"/>
      <c r="F2" s="48"/>
      <c r="G2" s="48"/>
      <c r="H2" s="48"/>
      <c r="I2" s="48"/>
      <c r="J2" s="49"/>
      <c r="K2" s="49"/>
      <c r="L2" s="49"/>
      <c r="M2" s="49"/>
      <c r="N2" s="49"/>
      <c r="O2" s="49" t="s">
        <v>879</v>
      </c>
      <c r="P2" s="49"/>
      <c r="Q2" s="52">
        <v>2</v>
      </c>
      <c r="R2" s="49"/>
      <c r="S2" s="49"/>
      <c r="T2" s="49"/>
      <c r="U2" s="49"/>
      <c r="V2" s="49"/>
      <c r="W2" s="47"/>
      <c r="X2" s="47"/>
      <c r="Y2" s="47"/>
      <c r="Z2" s="47"/>
      <c r="AA2" s="47"/>
      <c r="AB2" s="47"/>
      <c r="AC2" s="47"/>
      <c r="AD2" s="47"/>
      <c r="AE2" s="47"/>
      <c r="AF2" s="47"/>
    </row>
    <row r="3" spans="1:32" ht="15" customHeight="1" x14ac:dyDescent="0.2">
      <c r="A3" s="44" t="s">
        <v>393</v>
      </c>
      <c r="B3" s="44" t="s">
        <v>394</v>
      </c>
      <c r="C3" s="48" t="s">
        <v>192</v>
      </c>
      <c r="D3" s="48" t="s">
        <v>15</v>
      </c>
      <c r="E3" s="48" t="s">
        <v>191</v>
      </c>
      <c r="F3" s="48" t="s">
        <v>878</v>
      </c>
      <c r="G3" s="48" t="s">
        <v>162</v>
      </c>
      <c r="H3" s="48" t="s">
        <v>203</v>
      </c>
      <c r="I3" s="48" t="s">
        <v>395</v>
      </c>
      <c r="J3" s="49" t="s">
        <v>190</v>
      </c>
      <c r="K3" s="49" t="s">
        <v>189</v>
      </c>
      <c r="L3" s="49" t="s">
        <v>154</v>
      </c>
      <c r="M3" s="49" t="s">
        <v>155</v>
      </c>
      <c r="N3" s="49" t="s">
        <v>188</v>
      </c>
      <c r="O3" s="49" t="s">
        <v>185</v>
      </c>
      <c r="P3" s="49" t="s">
        <v>186</v>
      </c>
      <c r="Q3" s="49" t="s">
        <v>193</v>
      </c>
      <c r="R3" s="49" t="s">
        <v>175</v>
      </c>
      <c r="S3" s="49" t="s">
        <v>412</v>
      </c>
      <c r="T3" s="49" t="s">
        <v>2164</v>
      </c>
      <c r="U3" s="49" t="s">
        <v>197</v>
      </c>
      <c r="V3" s="49" t="s">
        <v>187</v>
      </c>
      <c r="W3" s="47" t="s">
        <v>201</v>
      </c>
      <c r="X3" s="47" t="s">
        <v>198</v>
      </c>
      <c r="Y3" s="47" t="s">
        <v>165</v>
      </c>
      <c r="Z3" s="47" t="s">
        <v>413</v>
      </c>
      <c r="AA3" s="47" t="s">
        <v>206</v>
      </c>
      <c r="AB3" s="47" t="s">
        <v>194</v>
      </c>
      <c r="AC3" s="47" t="s">
        <v>195</v>
      </c>
      <c r="AD3" s="47" t="s">
        <v>196</v>
      </c>
      <c r="AE3" s="47" t="s">
        <v>2163</v>
      </c>
      <c r="AF3" s="47" t="s">
        <v>414</v>
      </c>
    </row>
    <row r="4" spans="1:32" ht="15" customHeight="1" x14ac:dyDescent="0.2">
      <c r="A4" s="64" t="s">
        <v>160</v>
      </c>
      <c r="B4" s="64" t="s">
        <v>1301</v>
      </c>
      <c r="C4" s="65">
        <v>10021102</v>
      </c>
      <c r="D4" s="65" t="s">
        <v>233</v>
      </c>
      <c r="E4" s="65" t="s">
        <v>1049</v>
      </c>
      <c r="F4" s="45" t="s">
        <v>2160</v>
      </c>
      <c r="G4" s="65">
        <v>1</v>
      </c>
      <c r="H4" s="45" t="s">
        <v>1367</v>
      </c>
      <c r="I4" s="45" t="s">
        <v>1540</v>
      </c>
      <c r="J4" s="65" t="s">
        <v>169</v>
      </c>
      <c r="K4" s="45" t="s">
        <v>1613</v>
      </c>
      <c r="L4" s="65"/>
      <c r="M4" s="65">
        <v>1</v>
      </c>
      <c r="N4" s="67"/>
      <c r="O4" s="68">
        <f>IF(OR(ISBLANK(BOM_table2[[#This Row],[SKU QTY]]),BOM_table2[[#This Row],[SKU Cost]]=0),0,BOM_table2[[#This Row],[SKU Cost]]/BOM_table2[[#This Row],[SKU QTY]])</f>
        <v>0</v>
      </c>
      <c r="P4" s="68">
        <f>IF(OR(ISBLANK(BOM_table2[[#This Row],[ASM QTY]]),ISBLANK(BOM_table2[[#This Row],[Unit Cost]])),0,BOM_table2[[#This Row],[ASM QTY]]*BOM_table2[[#This Row],[Unit Cost]])</f>
        <v>0</v>
      </c>
      <c r="Q4" s="65"/>
      <c r="R4" s="69"/>
      <c r="S4"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4" s="70">
        <f>ROUNDUP((BOM_table2[[#This Row],[Order QTY]]/BOM_table2[[#This Row],[SKU QTY]]),0)</f>
        <v>2</v>
      </c>
      <c r="U4" s="68">
        <f>BOM_table2[[#This Row],[SKU Qty to Order]]*BOM_table2[[#This Row],[SKU Cost]]</f>
        <v>0</v>
      </c>
      <c r="V4" s="50"/>
      <c r="W4" s="65"/>
      <c r="X4" s="65"/>
      <c r="Y4" s="69"/>
      <c r="Z4" s="65"/>
      <c r="AA4" s="67"/>
      <c r="AB4" s="45"/>
      <c r="AC4" s="71"/>
      <c r="AD4" s="65"/>
      <c r="AE4" s="65"/>
      <c r="AF4" s="56" t="s">
        <v>1614</v>
      </c>
    </row>
    <row r="5" spans="1:32" ht="15" customHeight="1" x14ac:dyDescent="0.2">
      <c r="A5" s="64" t="s">
        <v>160</v>
      </c>
      <c r="B5" s="64" t="s">
        <v>1302</v>
      </c>
      <c r="C5" s="65">
        <v>10021103</v>
      </c>
      <c r="D5" s="65"/>
      <c r="E5" s="65" t="s">
        <v>1049</v>
      </c>
      <c r="F5" s="45" t="s">
        <v>2160</v>
      </c>
      <c r="G5" s="65">
        <v>1</v>
      </c>
      <c r="H5" s="45" t="s">
        <v>1367</v>
      </c>
      <c r="I5" s="45" t="s">
        <v>1540</v>
      </c>
      <c r="J5" s="65" t="s">
        <v>169</v>
      </c>
      <c r="K5" s="45" t="s">
        <v>1613</v>
      </c>
      <c r="L5" s="65"/>
      <c r="M5" s="65">
        <v>1</v>
      </c>
      <c r="N5" s="67"/>
      <c r="O5" s="68">
        <f>IF(OR(ISBLANK(BOM_table2[[#This Row],[SKU QTY]]),BOM_table2[[#This Row],[SKU Cost]]=0),0,BOM_table2[[#This Row],[SKU Cost]]/BOM_table2[[#This Row],[SKU QTY]])</f>
        <v>0</v>
      </c>
      <c r="P5" s="68">
        <f>IF(OR(ISBLANK(BOM_table2[[#This Row],[ASM QTY]]),ISBLANK(BOM_table2[[#This Row],[Unit Cost]])),0,BOM_table2[[#This Row],[ASM QTY]]*BOM_table2[[#This Row],[Unit Cost]])</f>
        <v>0</v>
      </c>
      <c r="Q5" s="65"/>
      <c r="R5" s="69"/>
      <c r="S5"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5" s="70">
        <f>ROUNDUP((BOM_table2[[#This Row],[Order QTY]]/BOM_table2[[#This Row],[SKU QTY]]),0)</f>
        <v>2</v>
      </c>
      <c r="U5" s="68">
        <f>BOM_table2[[#This Row],[SKU Qty to Order]]*BOM_table2[[#This Row],[SKU Cost]]</f>
        <v>0</v>
      </c>
      <c r="V5" s="67"/>
      <c r="W5" s="65"/>
      <c r="X5" s="65"/>
      <c r="Y5" s="69"/>
      <c r="Z5" s="65"/>
      <c r="AA5" s="67"/>
      <c r="AB5" s="45"/>
      <c r="AC5" s="71"/>
      <c r="AD5" s="65"/>
      <c r="AE5" s="65"/>
      <c r="AF5" s="56" t="s">
        <v>1614</v>
      </c>
    </row>
    <row r="6" spans="1:32" ht="15" customHeight="1" x14ac:dyDescent="0.2">
      <c r="A6" s="64" t="s">
        <v>160</v>
      </c>
      <c r="B6" s="64" t="s">
        <v>1303</v>
      </c>
      <c r="C6" s="65">
        <v>10021104</v>
      </c>
      <c r="D6" s="65"/>
      <c r="E6" s="65" t="s">
        <v>1049</v>
      </c>
      <c r="F6" s="45" t="s">
        <v>2160</v>
      </c>
      <c r="G6" s="65">
        <v>1</v>
      </c>
      <c r="H6" s="45" t="s">
        <v>1367</v>
      </c>
      <c r="I6" s="45" t="s">
        <v>1540</v>
      </c>
      <c r="J6" s="65" t="s">
        <v>169</v>
      </c>
      <c r="K6" s="45" t="s">
        <v>1613</v>
      </c>
      <c r="L6" s="65"/>
      <c r="M6" s="65">
        <v>1</v>
      </c>
      <c r="N6" s="67"/>
      <c r="O6" s="68">
        <f>IF(OR(ISBLANK(BOM_table2[[#This Row],[SKU QTY]]),BOM_table2[[#This Row],[SKU Cost]]=0),0,BOM_table2[[#This Row],[SKU Cost]]/BOM_table2[[#This Row],[SKU QTY]])</f>
        <v>0</v>
      </c>
      <c r="P6" s="68">
        <f>IF(OR(ISBLANK(BOM_table2[[#This Row],[ASM QTY]]),ISBLANK(BOM_table2[[#This Row],[Unit Cost]])),0,BOM_table2[[#This Row],[ASM QTY]]*BOM_table2[[#This Row],[Unit Cost]])</f>
        <v>0</v>
      </c>
      <c r="Q6" s="65"/>
      <c r="R6" s="69"/>
      <c r="S6"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6" s="70">
        <f>ROUNDUP((BOM_table2[[#This Row],[Order QTY]]/BOM_table2[[#This Row],[SKU QTY]]),0)</f>
        <v>2</v>
      </c>
      <c r="U6" s="68">
        <f>BOM_table2[[#This Row],[SKU Qty to Order]]*BOM_table2[[#This Row],[SKU Cost]]</f>
        <v>0</v>
      </c>
      <c r="V6" s="67"/>
      <c r="W6" s="65"/>
      <c r="X6" s="65"/>
      <c r="Y6" s="69"/>
      <c r="Z6" s="65"/>
      <c r="AA6" s="67"/>
      <c r="AB6" s="45"/>
      <c r="AC6" s="71"/>
      <c r="AD6" s="65"/>
      <c r="AE6" s="65"/>
      <c r="AF6" s="56" t="s">
        <v>1614</v>
      </c>
    </row>
    <row r="7" spans="1:32" ht="15" customHeight="1" x14ac:dyDescent="0.2">
      <c r="A7" s="64" t="s">
        <v>160</v>
      </c>
      <c r="B7" s="64" t="s">
        <v>1304</v>
      </c>
      <c r="C7" s="65">
        <v>10022190</v>
      </c>
      <c r="D7" s="65"/>
      <c r="E7" s="65" t="s">
        <v>1049</v>
      </c>
      <c r="F7" s="45" t="s">
        <v>2160</v>
      </c>
      <c r="G7" s="65">
        <v>1</v>
      </c>
      <c r="H7" s="45" t="s">
        <v>1367</v>
      </c>
      <c r="I7" s="45" t="s">
        <v>1540</v>
      </c>
      <c r="J7" s="65" t="s">
        <v>169</v>
      </c>
      <c r="K7" s="45" t="s">
        <v>1613</v>
      </c>
      <c r="L7" s="65"/>
      <c r="M7" s="65">
        <v>1</v>
      </c>
      <c r="N7" s="67"/>
      <c r="O7" s="68">
        <f>IF(OR(ISBLANK(BOM_table2[[#This Row],[SKU QTY]]),BOM_table2[[#This Row],[SKU Cost]]=0),0,BOM_table2[[#This Row],[SKU Cost]]/BOM_table2[[#This Row],[SKU QTY]])</f>
        <v>0</v>
      </c>
      <c r="P7" s="68">
        <f>IF(OR(ISBLANK(BOM_table2[[#This Row],[ASM QTY]]),ISBLANK(BOM_table2[[#This Row],[Unit Cost]])),0,BOM_table2[[#This Row],[ASM QTY]]*BOM_table2[[#This Row],[Unit Cost]])</f>
        <v>0</v>
      </c>
      <c r="Q7" s="65"/>
      <c r="R7" s="69"/>
      <c r="S7"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7" s="70">
        <f>ROUNDUP((BOM_table2[[#This Row],[Order QTY]]/BOM_table2[[#This Row],[SKU QTY]]),0)</f>
        <v>2</v>
      </c>
      <c r="U7" s="68">
        <f>BOM_table2[[#This Row],[SKU Qty to Order]]*BOM_table2[[#This Row],[SKU Cost]]</f>
        <v>0</v>
      </c>
      <c r="V7" s="67"/>
      <c r="W7" s="65"/>
      <c r="X7" s="65"/>
      <c r="Y7" s="69"/>
      <c r="Z7" s="65"/>
      <c r="AA7" s="67"/>
      <c r="AB7" s="45"/>
      <c r="AC7" s="71"/>
      <c r="AD7" s="65"/>
      <c r="AE7" s="65"/>
      <c r="AF7" s="56" t="s">
        <v>1614</v>
      </c>
    </row>
    <row r="8" spans="1:32" ht="15" customHeight="1" x14ac:dyDescent="0.2">
      <c r="A8" s="64" t="s">
        <v>160</v>
      </c>
      <c r="B8" s="64" t="s">
        <v>1314</v>
      </c>
      <c r="C8" s="65" t="s">
        <v>1312</v>
      </c>
      <c r="D8" s="65"/>
      <c r="E8" s="65" t="s">
        <v>1049</v>
      </c>
      <c r="F8" s="45" t="s">
        <v>2160</v>
      </c>
      <c r="G8" s="65">
        <v>1</v>
      </c>
      <c r="H8" s="65"/>
      <c r="I8" s="65"/>
      <c r="J8" s="65"/>
      <c r="K8" s="65"/>
      <c r="L8" s="65"/>
      <c r="M8" s="65">
        <v>1</v>
      </c>
      <c r="N8" s="67"/>
      <c r="O8" s="68">
        <f>IF(OR(ISBLANK(BOM_table2[[#This Row],[SKU QTY]]),BOM_table2[[#This Row],[SKU Cost]]=0),0,BOM_table2[[#This Row],[SKU Cost]]/BOM_table2[[#This Row],[SKU QTY]])</f>
        <v>0</v>
      </c>
      <c r="P8" s="68">
        <f>IF(OR(ISBLANK(BOM_table2[[#This Row],[ASM QTY]]),ISBLANK(BOM_table2[[#This Row],[Unit Cost]])),0,BOM_table2[[#This Row],[ASM QTY]]*BOM_table2[[#This Row],[Unit Cost]])</f>
        <v>0</v>
      </c>
      <c r="Q8" s="65"/>
      <c r="R8" s="69"/>
      <c r="S8"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8" s="70">
        <f>ROUNDUP((BOM_table2[[#This Row],[Order QTY]]/BOM_table2[[#This Row],[SKU QTY]]),0)</f>
        <v>2</v>
      </c>
      <c r="U8" s="68">
        <f>BOM_table2[[#This Row],[SKU Qty to Order]]*BOM_table2[[#This Row],[SKU Cost]]</f>
        <v>0</v>
      </c>
      <c r="V8" s="67"/>
      <c r="W8" s="65"/>
      <c r="X8" s="65"/>
      <c r="Y8" s="69"/>
      <c r="Z8" s="65"/>
      <c r="AA8" s="67"/>
      <c r="AB8" s="65"/>
      <c r="AC8" s="71"/>
      <c r="AD8" s="65"/>
      <c r="AE8" s="65"/>
      <c r="AF8" s="72"/>
    </row>
    <row r="9" spans="1:32" ht="15" customHeight="1" x14ac:dyDescent="0.2">
      <c r="A9" s="64" t="s">
        <v>160</v>
      </c>
      <c r="B9" s="64" t="s">
        <v>1315</v>
      </c>
      <c r="C9" s="65" t="s">
        <v>1311</v>
      </c>
      <c r="D9" s="65"/>
      <c r="E9" s="65" t="s">
        <v>1049</v>
      </c>
      <c r="F9" s="45" t="s">
        <v>2160</v>
      </c>
      <c r="G9" s="65">
        <v>1</v>
      </c>
      <c r="H9" s="65"/>
      <c r="I9" s="65" t="s">
        <v>1313</v>
      </c>
      <c r="J9" s="65"/>
      <c r="K9" s="65"/>
      <c r="L9" s="65"/>
      <c r="M9" s="65">
        <v>1</v>
      </c>
      <c r="N9" s="67"/>
      <c r="O9" s="68">
        <f>IF(OR(ISBLANK(BOM_table2[[#This Row],[SKU QTY]]),BOM_table2[[#This Row],[SKU Cost]]=0),0,BOM_table2[[#This Row],[SKU Cost]]/BOM_table2[[#This Row],[SKU QTY]])</f>
        <v>0</v>
      </c>
      <c r="P9" s="68">
        <f>IF(OR(ISBLANK(BOM_table2[[#This Row],[ASM QTY]]),ISBLANK(BOM_table2[[#This Row],[Unit Cost]])),0,BOM_table2[[#This Row],[ASM QTY]]*BOM_table2[[#This Row],[Unit Cost]])</f>
        <v>0</v>
      </c>
      <c r="Q9" s="65"/>
      <c r="R9" s="69"/>
      <c r="S9"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9" s="70">
        <f>ROUNDUP((BOM_table2[[#This Row],[Order QTY]]/BOM_table2[[#This Row],[SKU QTY]]),0)</f>
        <v>2</v>
      </c>
      <c r="U9" s="68">
        <f>BOM_table2[[#This Row],[SKU Qty to Order]]*BOM_table2[[#This Row],[SKU Cost]]</f>
        <v>0</v>
      </c>
      <c r="V9" s="67"/>
      <c r="W9" s="65"/>
      <c r="X9" s="65"/>
      <c r="Y9" s="69"/>
      <c r="Z9" s="65"/>
      <c r="AA9" s="67"/>
      <c r="AB9" s="65"/>
      <c r="AC9" s="71"/>
      <c r="AD9" s="65"/>
      <c r="AE9" s="65"/>
      <c r="AF9" s="72"/>
    </row>
    <row r="10" spans="1:32" ht="15" customHeight="1" x14ac:dyDescent="0.2">
      <c r="A10" s="64" t="s">
        <v>160</v>
      </c>
      <c r="B10" s="64" t="s">
        <v>1316</v>
      </c>
      <c r="C10" s="65" t="s">
        <v>1310</v>
      </c>
      <c r="D10" s="65"/>
      <c r="E10" s="65" t="s">
        <v>1049</v>
      </c>
      <c r="F10" s="45" t="s">
        <v>2160</v>
      </c>
      <c r="G10" s="65">
        <v>1</v>
      </c>
      <c r="H10" s="65"/>
      <c r="I10" s="65"/>
      <c r="J10" s="65"/>
      <c r="K10" s="65"/>
      <c r="L10" s="65"/>
      <c r="M10" s="65">
        <v>1</v>
      </c>
      <c r="N10" s="67"/>
      <c r="O10" s="68">
        <f>IF(OR(ISBLANK(BOM_table2[[#This Row],[SKU QTY]]),BOM_table2[[#This Row],[SKU Cost]]=0),0,BOM_table2[[#This Row],[SKU Cost]]/BOM_table2[[#This Row],[SKU QTY]])</f>
        <v>0</v>
      </c>
      <c r="P10" s="68">
        <f>IF(OR(ISBLANK(BOM_table2[[#This Row],[ASM QTY]]),ISBLANK(BOM_table2[[#This Row],[Unit Cost]])),0,BOM_table2[[#This Row],[ASM QTY]]*BOM_table2[[#This Row],[Unit Cost]])</f>
        <v>0</v>
      </c>
      <c r="Q10" s="65"/>
      <c r="R10" s="69"/>
      <c r="S10"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10" s="70">
        <f>ROUNDUP((BOM_table2[[#This Row],[Order QTY]]/BOM_table2[[#This Row],[SKU QTY]]),0)</f>
        <v>2</v>
      </c>
      <c r="U10" s="68">
        <f>BOM_table2[[#This Row],[SKU Qty to Order]]*BOM_table2[[#This Row],[SKU Cost]]</f>
        <v>0</v>
      </c>
      <c r="V10" s="67"/>
      <c r="W10" s="65"/>
      <c r="X10" s="65"/>
      <c r="Y10" s="69"/>
      <c r="Z10" s="65"/>
      <c r="AA10" s="67"/>
      <c r="AB10" s="65"/>
      <c r="AC10" s="71"/>
      <c r="AD10" s="65"/>
      <c r="AE10" s="65"/>
      <c r="AF10" s="72"/>
    </row>
    <row r="11" spans="1:32" ht="15" customHeight="1" x14ac:dyDescent="0.2">
      <c r="A11" s="64" t="s">
        <v>160</v>
      </c>
      <c r="B11" s="64" t="s">
        <v>1305</v>
      </c>
      <c r="C11" s="65" t="s">
        <v>1308</v>
      </c>
      <c r="D11" s="65"/>
      <c r="E11" s="65" t="s">
        <v>1049</v>
      </c>
      <c r="F11" s="45" t="s">
        <v>2160</v>
      </c>
      <c r="G11" s="65">
        <v>1</v>
      </c>
      <c r="H11" s="65"/>
      <c r="I11" s="65"/>
      <c r="J11" s="65"/>
      <c r="K11" s="65"/>
      <c r="L11" s="65"/>
      <c r="M11" s="65">
        <v>1</v>
      </c>
      <c r="N11" s="67"/>
      <c r="O11" s="68">
        <f>IF(OR(ISBLANK(BOM_table2[[#This Row],[SKU QTY]]),BOM_table2[[#This Row],[SKU Cost]]=0),0,BOM_table2[[#This Row],[SKU Cost]]/BOM_table2[[#This Row],[SKU QTY]])</f>
        <v>0</v>
      </c>
      <c r="P11" s="68">
        <f>IF(OR(ISBLANK(BOM_table2[[#This Row],[ASM QTY]]),ISBLANK(BOM_table2[[#This Row],[Unit Cost]])),0,BOM_table2[[#This Row],[ASM QTY]]*BOM_table2[[#This Row],[Unit Cost]])</f>
        <v>0</v>
      </c>
      <c r="Q11" s="65"/>
      <c r="R11" s="69"/>
      <c r="S11"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11" s="70">
        <f>ROUNDUP((BOM_table2[[#This Row],[Order QTY]]/BOM_table2[[#This Row],[SKU QTY]]),0)</f>
        <v>2</v>
      </c>
      <c r="U11" s="68">
        <f>BOM_table2[[#This Row],[SKU Qty to Order]]*BOM_table2[[#This Row],[SKU Cost]]</f>
        <v>0</v>
      </c>
      <c r="V11" s="67"/>
      <c r="W11" s="65"/>
      <c r="X11" s="65"/>
      <c r="Y11" s="69"/>
      <c r="Z11" s="65"/>
      <c r="AA11" s="67"/>
      <c r="AB11" s="65"/>
      <c r="AC11" s="71"/>
      <c r="AD11" s="65"/>
      <c r="AE11" s="65"/>
      <c r="AF11" s="72"/>
    </row>
    <row r="12" spans="1:32" ht="15" customHeight="1" x14ac:dyDescent="0.2">
      <c r="A12" s="64" t="s">
        <v>160</v>
      </c>
      <c r="B12" s="64" t="s">
        <v>1307</v>
      </c>
      <c r="C12" s="65" t="s">
        <v>1306</v>
      </c>
      <c r="D12" s="65" t="s">
        <v>152</v>
      </c>
      <c r="E12" s="65" t="s">
        <v>1049</v>
      </c>
      <c r="F12" s="45" t="s">
        <v>2160</v>
      </c>
      <c r="G12" s="65">
        <v>1</v>
      </c>
      <c r="H12" s="65"/>
      <c r="I12" s="65" t="s">
        <v>1309</v>
      </c>
      <c r="J12" s="65" t="s">
        <v>171</v>
      </c>
      <c r="K12" s="65"/>
      <c r="L12" s="65"/>
      <c r="M12" s="65">
        <v>1</v>
      </c>
      <c r="N12" s="67"/>
      <c r="O12" s="68">
        <f>IF(OR(ISBLANK(BOM_table2[[#This Row],[SKU QTY]]),BOM_table2[[#This Row],[SKU Cost]]=0),0,BOM_table2[[#This Row],[SKU Cost]]/BOM_table2[[#This Row],[SKU QTY]])</f>
        <v>0</v>
      </c>
      <c r="P12" s="68">
        <f>IF(OR(ISBLANK(BOM_table2[[#This Row],[ASM QTY]]),ISBLANK(BOM_table2[[#This Row],[Unit Cost]])),0,BOM_table2[[#This Row],[ASM QTY]]*BOM_table2[[#This Row],[Unit Cost]])</f>
        <v>0</v>
      </c>
      <c r="Q12" s="65"/>
      <c r="R12" s="69"/>
      <c r="S12"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12" s="70">
        <f>ROUNDUP((BOM_table2[[#This Row],[Order QTY]]/BOM_table2[[#This Row],[SKU QTY]]),0)</f>
        <v>2</v>
      </c>
      <c r="U12" s="68">
        <f>BOM_table2[[#This Row],[SKU Qty to Order]]*BOM_table2[[#This Row],[SKU Cost]]</f>
        <v>0</v>
      </c>
      <c r="V12" s="67"/>
      <c r="W12" s="65"/>
      <c r="X12" s="65"/>
      <c r="Y12" s="69"/>
      <c r="Z12" s="65"/>
      <c r="AA12" s="67"/>
      <c r="AB12" s="65"/>
      <c r="AC12" s="71"/>
      <c r="AD12" s="65"/>
      <c r="AE12" s="65"/>
      <c r="AF12" s="72"/>
    </row>
    <row r="13" spans="1:32" ht="15" customHeight="1" x14ac:dyDescent="0.25">
      <c r="A13" s="64" t="s">
        <v>160</v>
      </c>
      <c r="B13" s="44" t="s">
        <v>1175</v>
      </c>
      <c r="C13" s="45" t="s">
        <v>1636</v>
      </c>
      <c r="D13" s="45"/>
      <c r="E13" s="45" t="s">
        <v>1254</v>
      </c>
      <c r="F13" s="45" t="s">
        <v>2160</v>
      </c>
      <c r="G13" s="45">
        <v>1</v>
      </c>
      <c r="H13" s="45" t="s">
        <v>1367</v>
      </c>
      <c r="I13" s="45"/>
      <c r="J13" s="45" t="s">
        <v>166</v>
      </c>
      <c r="K13" s="45" t="s">
        <v>1270</v>
      </c>
      <c r="L13" t="s">
        <v>1218</v>
      </c>
      <c r="M13" s="65">
        <v>1</v>
      </c>
      <c r="N13" s="50"/>
      <c r="O13" s="51">
        <f>IF(OR(ISBLANK(BOM_table2[[#This Row],[SKU QTY]]),BOM_table2[[#This Row],[SKU Cost]]=0),0,BOM_table2[[#This Row],[SKU Cost]]/BOM_table2[[#This Row],[SKU QTY]])</f>
        <v>0</v>
      </c>
      <c r="P13" s="51">
        <f>IF(OR(ISBLANK(BOM_table2[[#This Row],[ASM QTY]]),ISBLANK(BOM_table2[[#This Row],[Unit Cost]])),0,BOM_table2[[#This Row],[ASM QTY]]*BOM_table2[[#This Row],[Unit Cost]])</f>
        <v>0</v>
      </c>
      <c r="Q13" s="45"/>
      <c r="R13" s="45"/>
      <c r="S13" s="53">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13" s="70">
        <f>ROUNDUP((BOM_table2[[#This Row],[Order QTY]]/BOM_table2[[#This Row],[SKU QTY]]),0)</f>
        <v>2</v>
      </c>
      <c r="U13" s="68">
        <f>BOM_table2[[#This Row],[SKU Qty to Order]]*BOM_table2[[#This Row],[SKU Cost]]</f>
        <v>0</v>
      </c>
      <c r="V13" s="45"/>
      <c r="W13" s="45"/>
      <c r="X13" s="45"/>
      <c r="Y13" s="54"/>
      <c r="Z13" s="45"/>
      <c r="AA13" s="50"/>
      <c r="AB13" s="45"/>
      <c r="AC13" s="54"/>
      <c r="AD13" s="54"/>
      <c r="AE13" s="54"/>
      <c r="AF13" s="114" t="s">
        <v>1543</v>
      </c>
    </row>
    <row r="14" spans="1:32" ht="15" customHeight="1" x14ac:dyDescent="0.25">
      <c r="A14" s="64" t="s">
        <v>160</v>
      </c>
      <c r="B14" s="44" t="s">
        <v>1176</v>
      </c>
      <c r="C14" s="45" t="s">
        <v>1219</v>
      </c>
      <c r="D14" s="45"/>
      <c r="E14" s="45" t="s">
        <v>1255</v>
      </c>
      <c r="F14" s="45" t="s">
        <v>2160</v>
      </c>
      <c r="G14" s="45">
        <v>1</v>
      </c>
      <c r="H14" s="45" t="s">
        <v>1367</v>
      </c>
      <c r="I14" s="45"/>
      <c r="J14" s="45" t="s">
        <v>166</v>
      </c>
      <c r="K14" s="45" t="s">
        <v>1271</v>
      </c>
      <c r="L14" s="88" t="s">
        <v>1276</v>
      </c>
      <c r="M14" s="65">
        <v>1</v>
      </c>
      <c r="N14" s="50"/>
      <c r="O14" s="51">
        <f>IF(OR(ISBLANK(BOM_table2[[#This Row],[SKU QTY]]),BOM_table2[[#This Row],[SKU Cost]]=0),0,BOM_table2[[#This Row],[SKU Cost]]/BOM_table2[[#This Row],[SKU QTY]])</f>
        <v>0</v>
      </c>
      <c r="P14" s="51">
        <f>IF(OR(ISBLANK(BOM_table2[[#This Row],[ASM QTY]]),ISBLANK(BOM_table2[[#This Row],[Unit Cost]])),0,BOM_table2[[#This Row],[ASM QTY]]*BOM_table2[[#This Row],[Unit Cost]])</f>
        <v>0</v>
      </c>
      <c r="Q14" s="45"/>
      <c r="R14" s="45"/>
      <c r="S14" s="53">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14" s="70">
        <f>ROUNDUP((BOM_table2[[#This Row],[Order QTY]]/BOM_table2[[#This Row],[SKU QTY]]),0)</f>
        <v>2</v>
      </c>
      <c r="U14" s="68">
        <f>BOM_table2[[#This Row],[SKU Qty to Order]]*BOM_table2[[#This Row],[SKU Cost]]</f>
        <v>0</v>
      </c>
      <c r="V14" s="45"/>
      <c r="W14" s="45"/>
      <c r="X14" s="45"/>
      <c r="Y14" s="54"/>
      <c r="Z14" s="45"/>
      <c r="AA14" s="50"/>
      <c r="AB14" s="45"/>
      <c r="AC14" s="54"/>
      <c r="AD14" s="54"/>
      <c r="AE14" s="54"/>
      <c r="AF14" s="114" t="s">
        <v>1576</v>
      </c>
    </row>
    <row r="15" spans="1:32" ht="15" customHeight="1" x14ac:dyDescent="0.25">
      <c r="A15" s="64" t="s">
        <v>160</v>
      </c>
      <c r="B15" s="44" t="s">
        <v>1177</v>
      </c>
      <c r="C15" s="45" t="s">
        <v>1220</v>
      </c>
      <c r="D15" s="45"/>
      <c r="E15" s="45" t="s">
        <v>1256</v>
      </c>
      <c r="F15" s="45" t="s">
        <v>2160</v>
      </c>
      <c r="G15" s="45">
        <v>1</v>
      </c>
      <c r="H15" s="45" t="s">
        <v>1367</v>
      </c>
      <c r="I15" s="45"/>
      <c r="J15" s="45" t="s">
        <v>166</v>
      </c>
      <c r="K15" s="45" t="s">
        <v>1542</v>
      </c>
      <c r="L15" t="s">
        <v>1220</v>
      </c>
      <c r="M15" s="65">
        <v>1</v>
      </c>
      <c r="N15" s="50"/>
      <c r="O15" s="51">
        <f>IF(OR(ISBLANK(BOM_table2[[#This Row],[SKU QTY]]),BOM_table2[[#This Row],[SKU Cost]]=0),0,BOM_table2[[#This Row],[SKU Cost]]/BOM_table2[[#This Row],[SKU QTY]])</f>
        <v>0</v>
      </c>
      <c r="P15" s="51">
        <f>IF(OR(ISBLANK(BOM_table2[[#This Row],[ASM QTY]]),ISBLANK(BOM_table2[[#This Row],[Unit Cost]])),0,BOM_table2[[#This Row],[ASM QTY]]*BOM_table2[[#This Row],[Unit Cost]])</f>
        <v>0</v>
      </c>
      <c r="Q15" s="45"/>
      <c r="R15" s="45"/>
      <c r="S15" s="53">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15" s="70">
        <f>ROUNDUP((BOM_table2[[#This Row],[Order QTY]]/BOM_table2[[#This Row],[SKU QTY]]),0)</f>
        <v>2</v>
      </c>
      <c r="U15" s="68">
        <f>BOM_table2[[#This Row],[SKU Qty to Order]]*BOM_table2[[#This Row],[SKU Cost]]</f>
        <v>0</v>
      </c>
      <c r="V15" s="45"/>
      <c r="W15" s="45"/>
      <c r="X15" s="45"/>
      <c r="Y15" s="97"/>
      <c r="Z15" s="45"/>
      <c r="AA15" s="50"/>
      <c r="AB15" s="45"/>
      <c r="AC15" s="54"/>
      <c r="AD15" s="54"/>
      <c r="AE15" s="54"/>
      <c r="AF15" s="114" t="s">
        <v>1575</v>
      </c>
    </row>
    <row r="16" spans="1:32" s="45" customFormat="1" ht="15" customHeight="1" x14ac:dyDescent="0.25">
      <c r="A16" s="64" t="s">
        <v>160</v>
      </c>
      <c r="B16" s="44" t="s">
        <v>1611</v>
      </c>
      <c r="C16" s="45" t="s">
        <v>1221</v>
      </c>
      <c r="D16" s="65"/>
      <c r="E16" s="65" t="s">
        <v>1257</v>
      </c>
      <c r="F16" s="45" t="s">
        <v>2160</v>
      </c>
      <c r="G16" s="65">
        <v>1</v>
      </c>
      <c r="H16" s="45" t="s">
        <v>1367</v>
      </c>
      <c r="I16" s="65"/>
      <c r="J16" s="45" t="s">
        <v>166</v>
      </c>
      <c r="K16" s="65"/>
      <c r="L16" s="88" t="s">
        <v>1221</v>
      </c>
      <c r="M16" s="65">
        <v>1</v>
      </c>
      <c r="N16" s="67"/>
      <c r="O16" s="68">
        <f>IF(OR(ISBLANK(BOM_table2[[#This Row],[SKU QTY]]),BOM_table2[[#This Row],[SKU Cost]]=0),0,BOM_table2[[#This Row],[SKU Cost]]/BOM_table2[[#This Row],[SKU QTY]])</f>
        <v>0</v>
      </c>
      <c r="P16" s="68">
        <f>IF(OR(ISBLANK(BOM_table2[[#This Row],[ASM QTY]]),ISBLANK(BOM_table2[[#This Row],[Unit Cost]])),0,BOM_table2[[#This Row],[ASM QTY]]*BOM_table2[[#This Row],[Unit Cost]])</f>
        <v>0</v>
      </c>
      <c r="Q16" s="65"/>
      <c r="R16" s="69"/>
      <c r="S16"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16" s="70">
        <f>ROUNDUP((BOM_table2[[#This Row],[Order QTY]]/BOM_table2[[#This Row],[SKU QTY]]),0)</f>
        <v>2</v>
      </c>
      <c r="U16" s="68">
        <f>BOM_table2[[#This Row],[SKU Qty to Order]]*BOM_table2[[#This Row],[SKU Cost]]</f>
        <v>0</v>
      </c>
      <c r="V16" s="120"/>
      <c r="Y16" s="71"/>
      <c r="Z16" s="65"/>
      <c r="AA16" s="67"/>
      <c r="AB16" s="65"/>
      <c r="AC16" s="71"/>
      <c r="AD16" s="71"/>
      <c r="AE16" s="71"/>
      <c r="AF16" s="56" t="s">
        <v>1612</v>
      </c>
    </row>
    <row r="17" spans="1:32" ht="15" customHeight="1" x14ac:dyDescent="0.25">
      <c r="A17" s="64" t="s">
        <v>160</v>
      </c>
      <c r="B17" s="64" t="s">
        <v>1178</v>
      </c>
      <c r="C17" s="45" t="s">
        <v>1222</v>
      </c>
      <c r="D17" s="65"/>
      <c r="E17" s="65" t="s">
        <v>1257</v>
      </c>
      <c r="F17" s="45" t="s">
        <v>2160</v>
      </c>
      <c r="G17" s="65">
        <v>1</v>
      </c>
      <c r="H17" s="45" t="s">
        <v>1367</v>
      </c>
      <c r="I17" s="65"/>
      <c r="J17" s="45" t="s">
        <v>166</v>
      </c>
      <c r="K17" s="65"/>
      <c r="L17" t="s">
        <v>1222</v>
      </c>
      <c r="M17" s="65">
        <v>1</v>
      </c>
      <c r="N17" s="67"/>
      <c r="O17" s="68">
        <f>IF(OR(ISBLANK(BOM_table2[[#This Row],[SKU QTY]]),BOM_table2[[#This Row],[SKU Cost]]=0),0,BOM_table2[[#This Row],[SKU Cost]]/BOM_table2[[#This Row],[SKU QTY]])</f>
        <v>0</v>
      </c>
      <c r="P17" s="68">
        <f>IF(OR(ISBLANK(BOM_table2[[#This Row],[ASM QTY]]),ISBLANK(BOM_table2[[#This Row],[Unit Cost]])),0,BOM_table2[[#This Row],[ASM QTY]]*BOM_table2[[#This Row],[Unit Cost]])</f>
        <v>0</v>
      </c>
      <c r="Q17" s="65"/>
      <c r="R17" s="69"/>
      <c r="S17"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17" s="70">
        <f>ROUNDUP((BOM_table2[[#This Row],[Order QTY]]/BOM_table2[[#This Row],[SKU QTY]]),0)</f>
        <v>2</v>
      </c>
      <c r="U17" s="68">
        <f>BOM_table2[[#This Row],[SKU Qty to Order]]*BOM_table2[[#This Row],[SKU Cost]]</f>
        <v>0</v>
      </c>
      <c r="V17" s="120"/>
      <c r="W17" s="45"/>
      <c r="X17" s="45"/>
      <c r="Y17" s="71"/>
      <c r="Z17" s="65"/>
      <c r="AA17" s="67"/>
      <c r="AB17" s="65"/>
      <c r="AC17" s="71"/>
      <c r="AD17" s="71"/>
      <c r="AE17" s="71"/>
      <c r="AF17" s="56" t="s">
        <v>1612</v>
      </c>
    </row>
    <row r="18" spans="1:32" ht="15" customHeight="1" x14ac:dyDescent="0.25">
      <c r="A18" s="64" t="s">
        <v>160</v>
      </c>
      <c r="B18" s="64" t="s">
        <v>1179</v>
      </c>
      <c r="C18" s="65" t="s">
        <v>1223</v>
      </c>
      <c r="D18" s="65"/>
      <c r="E18" s="65" t="s">
        <v>1258</v>
      </c>
      <c r="F18" s="45" t="s">
        <v>2160</v>
      </c>
      <c r="G18" s="65">
        <v>1</v>
      </c>
      <c r="H18" s="45" t="s">
        <v>1367</v>
      </c>
      <c r="I18" s="65"/>
      <c r="J18" s="45" t="s">
        <v>166</v>
      </c>
      <c r="K18" s="65" t="s">
        <v>1272</v>
      </c>
      <c r="L18" s="88" t="s">
        <v>1277</v>
      </c>
      <c r="M18" s="65">
        <v>1</v>
      </c>
      <c r="N18" s="67"/>
      <c r="O18" s="68">
        <f>IF(OR(ISBLANK(BOM_table2[[#This Row],[SKU QTY]]),BOM_table2[[#This Row],[SKU Cost]]=0),0,BOM_table2[[#This Row],[SKU Cost]]/BOM_table2[[#This Row],[SKU QTY]])</f>
        <v>0</v>
      </c>
      <c r="P18" s="68">
        <f>IF(OR(ISBLANK(BOM_table2[[#This Row],[ASM QTY]]),ISBLANK(BOM_table2[[#This Row],[Unit Cost]])),0,BOM_table2[[#This Row],[ASM QTY]]*BOM_table2[[#This Row],[Unit Cost]])</f>
        <v>0</v>
      </c>
      <c r="Q18" s="65"/>
      <c r="R18" s="69"/>
      <c r="S18"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18" s="70">
        <f>ROUNDUP((BOM_table2[[#This Row],[Order QTY]]/BOM_table2[[#This Row],[SKU QTY]]),0)</f>
        <v>2</v>
      </c>
      <c r="U18" s="68">
        <f>BOM_table2[[#This Row],[SKU Qty to Order]]*BOM_table2[[#This Row],[SKU Cost]]</f>
        <v>0</v>
      </c>
      <c r="V18" s="50"/>
      <c r="W18" s="45"/>
      <c r="X18" s="45"/>
      <c r="Y18" s="71"/>
      <c r="Z18" s="65"/>
      <c r="AA18" s="67"/>
      <c r="AB18" s="65"/>
      <c r="AC18" s="71"/>
      <c r="AD18" s="71"/>
      <c r="AE18" s="71"/>
      <c r="AF18" s="116" t="s">
        <v>1577</v>
      </c>
    </row>
    <row r="19" spans="1:32" ht="15" customHeight="1" x14ac:dyDescent="0.25">
      <c r="A19" s="64" t="s">
        <v>160</v>
      </c>
      <c r="B19" s="64" t="s">
        <v>1180</v>
      </c>
      <c r="C19" s="65" t="s">
        <v>1224</v>
      </c>
      <c r="D19" s="65"/>
      <c r="E19" s="65" t="s">
        <v>1259</v>
      </c>
      <c r="F19" s="45" t="s">
        <v>2160</v>
      </c>
      <c r="G19" s="65">
        <v>1</v>
      </c>
      <c r="H19" s="45" t="s">
        <v>1367</v>
      </c>
      <c r="I19" s="65"/>
      <c r="J19" s="45" t="s">
        <v>166</v>
      </c>
      <c r="K19" s="65" t="s">
        <v>1272</v>
      </c>
      <c r="L19" s="88" t="s">
        <v>1278</v>
      </c>
      <c r="M19" s="65">
        <v>1</v>
      </c>
      <c r="N19" s="67"/>
      <c r="O19" s="68">
        <f>IF(OR(ISBLANK(BOM_table2[[#This Row],[SKU QTY]]),BOM_table2[[#This Row],[SKU Cost]]=0),0,BOM_table2[[#This Row],[SKU Cost]]/BOM_table2[[#This Row],[SKU QTY]])</f>
        <v>0</v>
      </c>
      <c r="P19" s="68">
        <f>IF(OR(ISBLANK(BOM_table2[[#This Row],[ASM QTY]]),ISBLANK(BOM_table2[[#This Row],[Unit Cost]])),0,BOM_table2[[#This Row],[ASM QTY]]*BOM_table2[[#This Row],[Unit Cost]])</f>
        <v>0</v>
      </c>
      <c r="Q19" s="65"/>
      <c r="R19" s="69"/>
      <c r="S19"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19" s="70">
        <f>ROUNDUP((BOM_table2[[#This Row],[Order QTY]]/BOM_table2[[#This Row],[SKU QTY]]),0)</f>
        <v>2</v>
      </c>
      <c r="U19" s="68">
        <f>BOM_table2[[#This Row],[SKU Qty to Order]]*BOM_table2[[#This Row],[SKU Cost]]</f>
        <v>0</v>
      </c>
      <c r="V19" s="50"/>
      <c r="W19" s="45"/>
      <c r="X19" s="45"/>
      <c r="Y19" s="71"/>
      <c r="Z19" s="65"/>
      <c r="AA19" s="67"/>
      <c r="AB19" s="65"/>
      <c r="AC19" s="71"/>
      <c r="AD19" s="71"/>
      <c r="AE19" s="71"/>
      <c r="AF19" s="114" t="s">
        <v>1578</v>
      </c>
    </row>
    <row r="20" spans="1:32" ht="15" customHeight="1" x14ac:dyDescent="0.25">
      <c r="A20" s="64" t="s">
        <v>160</v>
      </c>
      <c r="B20" s="64" t="s">
        <v>1181</v>
      </c>
      <c r="C20" s="65" t="s">
        <v>1225</v>
      </c>
      <c r="D20" s="65"/>
      <c r="E20" s="65" t="s">
        <v>1260</v>
      </c>
      <c r="F20" s="45" t="s">
        <v>2160</v>
      </c>
      <c r="G20" s="65">
        <v>1</v>
      </c>
      <c r="H20" s="45" t="s">
        <v>1367</v>
      </c>
      <c r="I20" s="65"/>
      <c r="J20" s="45" t="s">
        <v>166</v>
      </c>
      <c r="K20" s="65" t="s">
        <v>1272</v>
      </c>
      <c r="L20" t="s">
        <v>1279</v>
      </c>
      <c r="M20" s="65">
        <v>1</v>
      </c>
      <c r="N20" s="67"/>
      <c r="O20" s="68">
        <f>IF(OR(ISBLANK(BOM_table2[[#This Row],[SKU QTY]]),BOM_table2[[#This Row],[SKU Cost]]=0),0,BOM_table2[[#This Row],[SKU Cost]]/BOM_table2[[#This Row],[SKU QTY]])</f>
        <v>0</v>
      </c>
      <c r="P20" s="68">
        <f>IF(OR(ISBLANK(BOM_table2[[#This Row],[ASM QTY]]),ISBLANK(BOM_table2[[#This Row],[Unit Cost]])),0,BOM_table2[[#This Row],[ASM QTY]]*BOM_table2[[#This Row],[Unit Cost]])</f>
        <v>0</v>
      </c>
      <c r="Q20" s="65"/>
      <c r="R20" s="69"/>
      <c r="S20"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20" s="70">
        <f>ROUNDUP((BOM_table2[[#This Row],[Order QTY]]/BOM_table2[[#This Row],[SKU QTY]]),0)</f>
        <v>2</v>
      </c>
      <c r="U20" s="68">
        <f>BOM_table2[[#This Row],[SKU Qty to Order]]*BOM_table2[[#This Row],[SKU Cost]]</f>
        <v>0</v>
      </c>
      <c r="V20" s="50"/>
      <c r="W20" s="45"/>
      <c r="X20" s="45"/>
      <c r="Y20" s="71"/>
      <c r="Z20" s="65"/>
      <c r="AA20" s="67"/>
      <c r="AB20" s="65"/>
      <c r="AC20" s="71"/>
      <c r="AD20" s="71"/>
      <c r="AE20" s="71"/>
      <c r="AF20" s="114" t="s">
        <v>1579</v>
      </c>
    </row>
    <row r="21" spans="1:32" ht="15" customHeight="1" x14ac:dyDescent="0.25">
      <c r="A21" s="64" t="s">
        <v>160</v>
      </c>
      <c r="B21" s="64" t="s">
        <v>1182</v>
      </c>
      <c r="C21" s="65" t="s">
        <v>1226</v>
      </c>
      <c r="D21" s="65"/>
      <c r="E21" s="65" t="s">
        <v>1260</v>
      </c>
      <c r="F21" s="45" t="s">
        <v>2160</v>
      </c>
      <c r="G21" s="65">
        <v>1</v>
      </c>
      <c r="H21" s="45" t="s">
        <v>1367</v>
      </c>
      <c r="I21" s="65"/>
      <c r="J21" s="45" t="s">
        <v>166</v>
      </c>
      <c r="K21" s="65" t="s">
        <v>1272</v>
      </c>
      <c r="L21" s="88" t="s">
        <v>1280</v>
      </c>
      <c r="M21" s="65">
        <v>1</v>
      </c>
      <c r="N21" s="117"/>
      <c r="O21" s="68">
        <f>IF(OR(ISBLANK(BOM_table2[[#This Row],[SKU QTY]]),BOM_table2[[#This Row],[SKU Cost]]=0),0,BOM_table2[[#This Row],[SKU Cost]]/BOM_table2[[#This Row],[SKU QTY]])</f>
        <v>0</v>
      </c>
      <c r="P21" s="68">
        <f>IF(OR(ISBLANK(BOM_table2[[#This Row],[ASM QTY]]),ISBLANK(BOM_table2[[#This Row],[Unit Cost]])),0,BOM_table2[[#This Row],[ASM QTY]]*BOM_table2[[#This Row],[Unit Cost]])</f>
        <v>0</v>
      </c>
      <c r="Q21" s="65"/>
      <c r="R21" s="69"/>
      <c r="S21"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21" s="70">
        <f>ROUNDUP((BOM_table2[[#This Row],[Order QTY]]/BOM_table2[[#This Row],[SKU QTY]]),0)</f>
        <v>2</v>
      </c>
      <c r="U21" s="68">
        <f>BOM_table2[[#This Row],[SKU Qty to Order]]*BOM_table2[[#This Row],[SKU Cost]]</f>
        <v>0</v>
      </c>
      <c r="V21" s="50"/>
      <c r="W21" s="45"/>
      <c r="X21" s="45"/>
      <c r="Y21" s="71"/>
      <c r="Z21" s="65"/>
      <c r="AA21" s="67"/>
      <c r="AB21" s="65"/>
      <c r="AC21" s="71"/>
      <c r="AD21" s="71"/>
      <c r="AE21" s="71"/>
      <c r="AF21" s="114" t="s">
        <v>1580</v>
      </c>
    </row>
    <row r="22" spans="1:32" ht="15" customHeight="1" x14ac:dyDescent="0.25">
      <c r="A22" s="64" t="s">
        <v>160</v>
      </c>
      <c r="B22" s="64" t="s">
        <v>1183</v>
      </c>
      <c r="C22" s="65" t="s">
        <v>1227</v>
      </c>
      <c r="D22" s="65"/>
      <c r="E22" s="65" t="s">
        <v>1260</v>
      </c>
      <c r="F22" s="45" t="s">
        <v>2160</v>
      </c>
      <c r="G22" s="65">
        <v>1</v>
      </c>
      <c r="H22" s="45" t="s">
        <v>1367</v>
      </c>
      <c r="I22" s="65"/>
      <c r="J22" s="45" t="s">
        <v>166</v>
      </c>
      <c r="K22" s="65" t="s">
        <v>1272</v>
      </c>
      <c r="L22" s="88" t="s">
        <v>1281</v>
      </c>
      <c r="M22" s="65">
        <v>1</v>
      </c>
      <c r="N22" s="67"/>
      <c r="O22" s="68">
        <f>IF(OR(ISBLANK(BOM_table2[[#This Row],[SKU QTY]]),BOM_table2[[#This Row],[SKU Cost]]=0),0,BOM_table2[[#This Row],[SKU Cost]]/BOM_table2[[#This Row],[SKU QTY]])</f>
        <v>0</v>
      </c>
      <c r="P22" s="68">
        <f>IF(OR(ISBLANK(BOM_table2[[#This Row],[ASM QTY]]),ISBLANK(BOM_table2[[#This Row],[Unit Cost]])),0,BOM_table2[[#This Row],[ASM QTY]]*BOM_table2[[#This Row],[Unit Cost]])</f>
        <v>0</v>
      </c>
      <c r="Q22" s="65"/>
      <c r="R22" s="69"/>
      <c r="S22"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22" s="70">
        <f>ROUNDUP((BOM_table2[[#This Row],[Order QTY]]/BOM_table2[[#This Row],[SKU QTY]]),0)</f>
        <v>2</v>
      </c>
      <c r="U22" s="68">
        <f>BOM_table2[[#This Row],[SKU Qty to Order]]*BOM_table2[[#This Row],[SKU Cost]]</f>
        <v>0</v>
      </c>
      <c r="V22" s="50"/>
      <c r="W22" s="45"/>
      <c r="X22" s="45"/>
      <c r="Y22" s="71"/>
      <c r="Z22" s="65"/>
      <c r="AA22" s="67"/>
      <c r="AB22" s="65"/>
      <c r="AC22" s="71"/>
      <c r="AD22" s="54"/>
      <c r="AE22" s="54"/>
      <c r="AF22" s="114" t="s">
        <v>1581</v>
      </c>
    </row>
    <row r="23" spans="1:32" ht="15" customHeight="1" x14ac:dyDescent="0.25">
      <c r="A23" s="64" t="s">
        <v>160</v>
      </c>
      <c r="B23" s="64" t="s">
        <v>1184</v>
      </c>
      <c r="C23" s="45" t="s">
        <v>1228</v>
      </c>
      <c r="D23" s="65"/>
      <c r="E23" s="65" t="s">
        <v>1261</v>
      </c>
      <c r="F23" s="45" t="s">
        <v>2160</v>
      </c>
      <c r="G23" s="65">
        <v>1</v>
      </c>
      <c r="H23" s="45" t="s">
        <v>1367</v>
      </c>
      <c r="I23" s="65"/>
      <c r="J23" s="45" t="s">
        <v>166</v>
      </c>
      <c r="K23" s="65" t="s">
        <v>1272</v>
      </c>
      <c r="L23" t="s">
        <v>1282</v>
      </c>
      <c r="M23" s="65">
        <v>1</v>
      </c>
      <c r="N23" s="118"/>
      <c r="O23" s="68">
        <f>IF(OR(ISBLANK(BOM_table2[[#This Row],[SKU QTY]]),BOM_table2[[#This Row],[SKU Cost]]=0),0,BOM_table2[[#This Row],[SKU Cost]]/BOM_table2[[#This Row],[SKU QTY]])</f>
        <v>0</v>
      </c>
      <c r="P23" s="68">
        <f>IF(OR(ISBLANK(BOM_table2[[#This Row],[ASM QTY]]),ISBLANK(BOM_table2[[#This Row],[Unit Cost]])),0,BOM_table2[[#This Row],[ASM QTY]]*BOM_table2[[#This Row],[Unit Cost]])</f>
        <v>0</v>
      </c>
      <c r="Q23" s="65"/>
      <c r="R23" s="69"/>
      <c r="S23"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23" s="70">
        <f>ROUNDUP((BOM_table2[[#This Row],[Order QTY]]/BOM_table2[[#This Row],[SKU QTY]]),0)</f>
        <v>2</v>
      </c>
      <c r="U23" s="68">
        <f>BOM_table2[[#This Row],[SKU Qty to Order]]*BOM_table2[[#This Row],[SKU Cost]]</f>
        <v>0</v>
      </c>
      <c r="V23" s="50"/>
      <c r="W23" s="45"/>
      <c r="X23" s="45"/>
      <c r="Y23" s="71"/>
      <c r="Z23" s="65"/>
      <c r="AA23" s="67"/>
      <c r="AB23" s="65"/>
      <c r="AC23" s="71"/>
      <c r="AD23" s="71"/>
      <c r="AE23" s="71"/>
      <c r="AF23" s="114" t="s">
        <v>1582</v>
      </c>
    </row>
    <row r="24" spans="1:32" ht="15" customHeight="1" x14ac:dyDescent="0.25">
      <c r="A24" s="64" t="s">
        <v>160</v>
      </c>
      <c r="B24" s="64" t="s">
        <v>1185</v>
      </c>
      <c r="C24" s="65" t="s">
        <v>1229</v>
      </c>
      <c r="D24" s="65"/>
      <c r="E24" s="65" t="s">
        <v>1259</v>
      </c>
      <c r="F24" s="45" t="s">
        <v>2160</v>
      </c>
      <c r="G24" s="65">
        <v>1</v>
      </c>
      <c r="H24" s="45" t="s">
        <v>1367</v>
      </c>
      <c r="I24" s="65"/>
      <c r="J24" s="45" t="s">
        <v>166</v>
      </c>
      <c r="K24" s="65" t="s">
        <v>1272</v>
      </c>
      <c r="L24" s="88" t="s">
        <v>1283</v>
      </c>
      <c r="M24" s="65">
        <v>1</v>
      </c>
      <c r="N24" s="117"/>
      <c r="O24" s="68">
        <f>IF(OR(ISBLANK(BOM_table2[[#This Row],[SKU QTY]]),BOM_table2[[#This Row],[SKU Cost]]=0),0,BOM_table2[[#This Row],[SKU Cost]]/BOM_table2[[#This Row],[SKU QTY]])</f>
        <v>0</v>
      </c>
      <c r="P24" s="68">
        <f>IF(OR(ISBLANK(BOM_table2[[#This Row],[ASM QTY]]),ISBLANK(BOM_table2[[#This Row],[Unit Cost]])),0,BOM_table2[[#This Row],[ASM QTY]]*BOM_table2[[#This Row],[Unit Cost]])</f>
        <v>0</v>
      </c>
      <c r="Q24" s="65"/>
      <c r="R24" s="69"/>
      <c r="S24"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24" s="70">
        <f>ROUNDUP((BOM_table2[[#This Row],[Order QTY]]/BOM_table2[[#This Row],[SKU QTY]]),0)</f>
        <v>2</v>
      </c>
      <c r="U24" s="68">
        <f>BOM_table2[[#This Row],[SKU Qty to Order]]*BOM_table2[[#This Row],[SKU Cost]]</f>
        <v>0</v>
      </c>
      <c r="V24" s="50"/>
      <c r="W24" s="45"/>
      <c r="X24" s="45"/>
      <c r="Y24" s="71"/>
      <c r="Z24" s="65"/>
      <c r="AA24" s="67"/>
      <c r="AB24" s="65"/>
      <c r="AC24" s="71"/>
      <c r="AD24" s="71"/>
      <c r="AE24" s="71"/>
      <c r="AF24" s="114" t="s">
        <v>1583</v>
      </c>
    </row>
    <row r="25" spans="1:32" ht="15" customHeight="1" x14ac:dyDescent="0.25">
      <c r="A25" s="64" t="s">
        <v>160</v>
      </c>
      <c r="B25" s="64" t="s">
        <v>1186</v>
      </c>
      <c r="C25" s="65" t="s">
        <v>1230</v>
      </c>
      <c r="D25" s="65"/>
      <c r="E25" s="65" t="s">
        <v>1262</v>
      </c>
      <c r="F25" s="45" t="s">
        <v>2160</v>
      </c>
      <c r="G25" s="65">
        <v>1</v>
      </c>
      <c r="H25" s="45" t="s">
        <v>1367</v>
      </c>
      <c r="I25" s="65"/>
      <c r="J25" s="45" t="s">
        <v>166</v>
      </c>
      <c r="K25" s="65" t="s">
        <v>1272</v>
      </c>
      <c r="L25" s="88" t="s">
        <v>1284</v>
      </c>
      <c r="M25" s="65">
        <v>1</v>
      </c>
      <c r="N25" s="67"/>
      <c r="O25" s="68">
        <f>IF(OR(ISBLANK(BOM_table2[[#This Row],[SKU QTY]]),BOM_table2[[#This Row],[SKU Cost]]=0),0,BOM_table2[[#This Row],[SKU Cost]]/BOM_table2[[#This Row],[SKU QTY]])</f>
        <v>0</v>
      </c>
      <c r="P25" s="68">
        <f>IF(OR(ISBLANK(BOM_table2[[#This Row],[ASM QTY]]),ISBLANK(BOM_table2[[#This Row],[Unit Cost]])),0,BOM_table2[[#This Row],[ASM QTY]]*BOM_table2[[#This Row],[Unit Cost]])</f>
        <v>0</v>
      </c>
      <c r="Q25" s="65"/>
      <c r="R25" s="69"/>
      <c r="S25"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25" s="70">
        <f>ROUNDUP((BOM_table2[[#This Row],[Order QTY]]/BOM_table2[[#This Row],[SKU QTY]]),0)</f>
        <v>2</v>
      </c>
      <c r="U25" s="68">
        <f>BOM_table2[[#This Row],[SKU Qty to Order]]*BOM_table2[[#This Row],[SKU Cost]]</f>
        <v>0</v>
      </c>
      <c r="V25" s="50"/>
      <c r="W25" s="45"/>
      <c r="X25" s="45"/>
      <c r="Y25" s="71"/>
      <c r="Z25" s="65"/>
      <c r="AA25" s="67"/>
      <c r="AB25" s="65"/>
      <c r="AC25" s="71"/>
      <c r="AD25" s="71"/>
      <c r="AE25" s="71"/>
      <c r="AF25" s="114" t="s">
        <v>1584</v>
      </c>
    </row>
    <row r="26" spans="1:32" ht="15" customHeight="1" x14ac:dyDescent="0.25">
      <c r="A26" s="64" t="s">
        <v>160</v>
      </c>
      <c r="B26" s="64" t="s">
        <v>1187</v>
      </c>
      <c r="C26" s="65">
        <v>9454521504</v>
      </c>
      <c r="D26" s="65"/>
      <c r="E26" s="65" t="s">
        <v>1263</v>
      </c>
      <c r="F26" s="45" t="s">
        <v>2160</v>
      </c>
      <c r="G26" s="65">
        <v>1</v>
      </c>
      <c r="H26" s="45" t="s">
        <v>1367</v>
      </c>
      <c r="I26" s="65"/>
      <c r="J26" s="45" t="s">
        <v>166</v>
      </c>
      <c r="K26" s="65" t="s">
        <v>1272</v>
      </c>
      <c r="L26" s="88" t="s">
        <v>1285</v>
      </c>
      <c r="M26" s="65">
        <v>1</v>
      </c>
      <c r="N26" s="67"/>
      <c r="O26" s="68">
        <f>IF(OR(ISBLANK(BOM_table2[[#This Row],[SKU QTY]]),BOM_table2[[#This Row],[SKU Cost]]=0),0,BOM_table2[[#This Row],[SKU Cost]]/BOM_table2[[#This Row],[SKU QTY]])</f>
        <v>0</v>
      </c>
      <c r="P26" s="68">
        <f>IF(OR(ISBLANK(BOM_table2[[#This Row],[ASM QTY]]),ISBLANK(BOM_table2[[#This Row],[Unit Cost]])),0,BOM_table2[[#This Row],[ASM QTY]]*BOM_table2[[#This Row],[Unit Cost]])</f>
        <v>0</v>
      </c>
      <c r="Q26" s="65"/>
      <c r="R26" s="69"/>
      <c r="S26"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26" s="70">
        <f>ROUNDUP((BOM_table2[[#This Row],[Order QTY]]/BOM_table2[[#This Row],[SKU QTY]]),0)</f>
        <v>2</v>
      </c>
      <c r="U26" s="68">
        <f>BOM_table2[[#This Row],[SKU Qty to Order]]*BOM_table2[[#This Row],[SKU Cost]]</f>
        <v>0</v>
      </c>
      <c r="V26" s="50"/>
      <c r="W26" s="45"/>
      <c r="X26" s="45"/>
      <c r="Y26" s="71"/>
      <c r="Z26" s="65"/>
      <c r="AA26" s="67"/>
      <c r="AB26" s="65"/>
      <c r="AC26" s="71"/>
      <c r="AD26" s="71"/>
      <c r="AE26" s="71"/>
      <c r="AF26" s="114" t="s">
        <v>1585</v>
      </c>
    </row>
    <row r="27" spans="1:32" ht="15" customHeight="1" x14ac:dyDescent="0.25">
      <c r="A27" s="64" t="s">
        <v>160</v>
      </c>
      <c r="B27" s="64" t="s">
        <v>1188</v>
      </c>
      <c r="C27" s="65">
        <v>9454521504</v>
      </c>
      <c r="D27" s="65"/>
      <c r="E27" s="65" t="s">
        <v>1263</v>
      </c>
      <c r="F27" s="45" t="s">
        <v>2160</v>
      </c>
      <c r="G27" s="65">
        <v>1</v>
      </c>
      <c r="H27" s="45" t="s">
        <v>1367</v>
      </c>
      <c r="I27" s="65"/>
      <c r="J27" s="45" t="s">
        <v>166</v>
      </c>
      <c r="K27" s="65" t="s">
        <v>1272</v>
      </c>
      <c r="L27" t="s">
        <v>1285</v>
      </c>
      <c r="M27" s="65">
        <v>1</v>
      </c>
      <c r="N27" s="67"/>
      <c r="O27" s="68">
        <f>IF(OR(ISBLANK(BOM_table2[[#This Row],[SKU QTY]]),BOM_table2[[#This Row],[SKU Cost]]=0),0,BOM_table2[[#This Row],[SKU Cost]]/BOM_table2[[#This Row],[SKU QTY]])</f>
        <v>0</v>
      </c>
      <c r="P27" s="68">
        <f>IF(OR(ISBLANK(BOM_table2[[#This Row],[ASM QTY]]),ISBLANK(BOM_table2[[#This Row],[Unit Cost]])),0,BOM_table2[[#This Row],[ASM QTY]]*BOM_table2[[#This Row],[Unit Cost]])</f>
        <v>0</v>
      </c>
      <c r="Q27" s="65"/>
      <c r="R27" s="69"/>
      <c r="S27"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27" s="70">
        <f>ROUNDUP((BOM_table2[[#This Row],[Order QTY]]/BOM_table2[[#This Row],[SKU QTY]]),0)</f>
        <v>2</v>
      </c>
      <c r="U27" s="68">
        <f>BOM_table2[[#This Row],[SKU Qty to Order]]*BOM_table2[[#This Row],[SKU Cost]]</f>
        <v>0</v>
      </c>
      <c r="V27" s="50"/>
      <c r="W27" s="45"/>
      <c r="X27" s="45"/>
      <c r="Y27" s="71"/>
      <c r="Z27" s="65"/>
      <c r="AA27" s="67"/>
      <c r="AB27" s="65"/>
      <c r="AC27" s="71"/>
      <c r="AD27" s="71"/>
      <c r="AE27" s="71"/>
      <c r="AF27" s="114" t="s">
        <v>1585</v>
      </c>
    </row>
    <row r="28" spans="1:32" ht="15" customHeight="1" x14ac:dyDescent="0.25">
      <c r="A28" s="64" t="s">
        <v>160</v>
      </c>
      <c r="B28" s="64" t="s">
        <v>1189</v>
      </c>
      <c r="C28" s="45" t="s">
        <v>1231</v>
      </c>
      <c r="D28" s="65"/>
      <c r="E28" s="65" t="s">
        <v>1264</v>
      </c>
      <c r="F28" s="45" t="s">
        <v>2160</v>
      </c>
      <c r="G28" s="65">
        <v>1</v>
      </c>
      <c r="H28" s="45" t="s">
        <v>1367</v>
      </c>
      <c r="I28" s="65"/>
      <c r="J28" s="45" t="s">
        <v>166</v>
      </c>
      <c r="K28" s="65" t="s">
        <v>1273</v>
      </c>
      <c r="L28" t="s">
        <v>1286</v>
      </c>
      <c r="M28" s="65">
        <v>1</v>
      </c>
      <c r="N28" s="67"/>
      <c r="O28" s="68">
        <f>IF(OR(ISBLANK(BOM_table2[[#This Row],[SKU QTY]]),BOM_table2[[#This Row],[SKU Cost]]=0),0,BOM_table2[[#This Row],[SKU Cost]]/BOM_table2[[#This Row],[SKU QTY]])</f>
        <v>0</v>
      </c>
      <c r="P28" s="68">
        <f>IF(OR(ISBLANK(BOM_table2[[#This Row],[ASM QTY]]),ISBLANK(BOM_table2[[#This Row],[Unit Cost]])),0,BOM_table2[[#This Row],[ASM QTY]]*BOM_table2[[#This Row],[Unit Cost]])</f>
        <v>0</v>
      </c>
      <c r="Q28" s="65"/>
      <c r="R28" s="69"/>
      <c r="S28"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28" s="70">
        <f>ROUNDUP((BOM_table2[[#This Row],[Order QTY]]/BOM_table2[[#This Row],[SKU QTY]]),0)</f>
        <v>2</v>
      </c>
      <c r="U28" s="68">
        <f>BOM_table2[[#This Row],[SKU Qty to Order]]*BOM_table2[[#This Row],[SKU Cost]]</f>
        <v>0</v>
      </c>
      <c r="V28" s="50"/>
      <c r="W28" s="45"/>
      <c r="X28" s="45"/>
      <c r="Y28" s="71"/>
      <c r="Z28" s="65"/>
      <c r="AA28" s="67"/>
      <c r="AB28" s="65"/>
      <c r="AC28" s="71"/>
      <c r="AD28" s="71"/>
      <c r="AE28" s="71"/>
      <c r="AF28" s="114" t="s">
        <v>1603</v>
      </c>
    </row>
    <row r="29" spans="1:32" ht="15" customHeight="1" x14ac:dyDescent="0.25">
      <c r="A29" s="64" t="s">
        <v>160</v>
      </c>
      <c r="B29" s="64" t="s">
        <v>1190</v>
      </c>
      <c r="C29" s="45" t="s">
        <v>1232</v>
      </c>
      <c r="D29" s="65"/>
      <c r="E29" s="65" t="s">
        <v>1264</v>
      </c>
      <c r="F29" s="45" t="s">
        <v>2160</v>
      </c>
      <c r="G29" s="65">
        <v>1</v>
      </c>
      <c r="H29" s="45" t="s">
        <v>1367</v>
      </c>
      <c r="I29" s="65"/>
      <c r="J29" s="45" t="s">
        <v>166</v>
      </c>
      <c r="K29" s="65" t="s">
        <v>1273</v>
      </c>
      <c r="L29" t="s">
        <v>1287</v>
      </c>
      <c r="M29" s="65">
        <v>1</v>
      </c>
      <c r="N29" s="67"/>
      <c r="O29" s="68">
        <f>IF(OR(ISBLANK(BOM_table2[[#This Row],[SKU QTY]]),BOM_table2[[#This Row],[SKU Cost]]=0),0,BOM_table2[[#This Row],[SKU Cost]]/BOM_table2[[#This Row],[SKU QTY]])</f>
        <v>0</v>
      </c>
      <c r="P29" s="68">
        <f>IF(OR(ISBLANK(BOM_table2[[#This Row],[ASM QTY]]),ISBLANK(BOM_table2[[#This Row],[Unit Cost]])),0,BOM_table2[[#This Row],[ASM QTY]]*BOM_table2[[#This Row],[Unit Cost]])</f>
        <v>0</v>
      </c>
      <c r="Q29" s="65"/>
      <c r="R29" s="69"/>
      <c r="S29"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29" s="70">
        <f>ROUNDUP((BOM_table2[[#This Row],[Order QTY]]/BOM_table2[[#This Row],[SKU QTY]]),0)</f>
        <v>2</v>
      </c>
      <c r="U29" s="68">
        <f>BOM_table2[[#This Row],[SKU Qty to Order]]*BOM_table2[[#This Row],[SKU Cost]]</f>
        <v>0</v>
      </c>
      <c r="V29" s="50"/>
      <c r="W29" s="45"/>
      <c r="X29" s="45"/>
      <c r="Y29" s="71"/>
      <c r="Z29" s="65"/>
      <c r="AA29" s="67"/>
      <c r="AB29" s="65"/>
      <c r="AC29" s="71"/>
      <c r="AD29" s="71"/>
      <c r="AE29" s="71"/>
      <c r="AF29" s="114" t="s">
        <v>1604</v>
      </c>
    </row>
    <row r="30" spans="1:32" ht="15" customHeight="1" x14ac:dyDescent="0.25">
      <c r="A30" s="64" t="s">
        <v>160</v>
      </c>
      <c r="B30" s="64" t="s">
        <v>1191</v>
      </c>
      <c r="C30" s="45" t="s">
        <v>1233</v>
      </c>
      <c r="D30" s="65"/>
      <c r="E30" s="65" t="s">
        <v>1264</v>
      </c>
      <c r="F30" s="45" t="s">
        <v>2160</v>
      </c>
      <c r="G30" s="65">
        <v>1</v>
      </c>
      <c r="H30" s="45" t="s">
        <v>1367</v>
      </c>
      <c r="I30" s="65"/>
      <c r="J30" s="45" t="s">
        <v>166</v>
      </c>
      <c r="K30" s="65" t="s">
        <v>1273</v>
      </c>
      <c r="L30" t="s">
        <v>1233</v>
      </c>
      <c r="M30" s="65">
        <v>1</v>
      </c>
      <c r="N30" s="67"/>
      <c r="O30" s="68">
        <f>IF(OR(ISBLANK(BOM_table2[[#This Row],[SKU QTY]]),BOM_table2[[#This Row],[SKU Cost]]=0),0,BOM_table2[[#This Row],[SKU Cost]]/BOM_table2[[#This Row],[SKU QTY]])</f>
        <v>0</v>
      </c>
      <c r="P30" s="68">
        <f>IF(OR(ISBLANK(BOM_table2[[#This Row],[ASM QTY]]),ISBLANK(BOM_table2[[#This Row],[Unit Cost]])),0,BOM_table2[[#This Row],[ASM QTY]]*BOM_table2[[#This Row],[Unit Cost]])</f>
        <v>0</v>
      </c>
      <c r="Q30" s="65"/>
      <c r="R30" s="69"/>
      <c r="S30"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30" s="70">
        <f>ROUNDUP((BOM_table2[[#This Row],[Order QTY]]/BOM_table2[[#This Row],[SKU QTY]]),0)</f>
        <v>2</v>
      </c>
      <c r="U30" s="68">
        <f>BOM_table2[[#This Row],[SKU Qty to Order]]*BOM_table2[[#This Row],[SKU Cost]]</f>
        <v>0</v>
      </c>
      <c r="V30" s="50"/>
      <c r="W30" s="45"/>
      <c r="X30" s="45"/>
      <c r="Y30" s="71"/>
      <c r="Z30" s="65"/>
      <c r="AA30" s="67"/>
      <c r="AB30" s="65"/>
      <c r="AC30" s="71"/>
      <c r="AD30" s="71"/>
      <c r="AE30" s="71"/>
      <c r="AF30" s="114" t="s">
        <v>1605</v>
      </c>
    </row>
    <row r="31" spans="1:32" ht="15" customHeight="1" x14ac:dyDescent="0.25">
      <c r="A31" s="64" t="s">
        <v>160</v>
      </c>
      <c r="B31" s="64" t="s">
        <v>1192</v>
      </c>
      <c r="C31" s="45" t="s">
        <v>1234</v>
      </c>
      <c r="D31" s="65"/>
      <c r="E31" s="65" t="s">
        <v>1264</v>
      </c>
      <c r="F31" s="45" t="s">
        <v>2160</v>
      </c>
      <c r="G31" s="65">
        <v>1</v>
      </c>
      <c r="H31" s="45" t="s">
        <v>1367</v>
      </c>
      <c r="I31" s="65"/>
      <c r="J31" s="45" t="s">
        <v>166</v>
      </c>
      <c r="K31" s="65" t="s">
        <v>1273</v>
      </c>
      <c r="L31" t="s">
        <v>1234</v>
      </c>
      <c r="M31" s="65">
        <v>1</v>
      </c>
      <c r="N31" s="67"/>
      <c r="O31" s="68">
        <f>IF(OR(ISBLANK(BOM_table2[[#This Row],[SKU QTY]]),BOM_table2[[#This Row],[SKU Cost]]=0),0,BOM_table2[[#This Row],[SKU Cost]]/BOM_table2[[#This Row],[SKU QTY]])</f>
        <v>0</v>
      </c>
      <c r="P31" s="68">
        <f>IF(OR(ISBLANK(BOM_table2[[#This Row],[ASM QTY]]),ISBLANK(BOM_table2[[#This Row],[Unit Cost]])),0,BOM_table2[[#This Row],[ASM QTY]]*BOM_table2[[#This Row],[Unit Cost]])</f>
        <v>0</v>
      </c>
      <c r="Q31" s="65"/>
      <c r="R31" s="69"/>
      <c r="S31"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31" s="70">
        <f>ROUNDUP((BOM_table2[[#This Row],[Order QTY]]/BOM_table2[[#This Row],[SKU QTY]]),0)</f>
        <v>2</v>
      </c>
      <c r="U31" s="68">
        <f>BOM_table2[[#This Row],[SKU Qty to Order]]*BOM_table2[[#This Row],[SKU Cost]]</f>
        <v>0</v>
      </c>
      <c r="V31" s="50"/>
      <c r="W31" s="45"/>
      <c r="X31" s="45"/>
      <c r="Y31" s="71"/>
      <c r="Z31" s="65"/>
      <c r="AA31" s="67"/>
      <c r="AB31" s="65"/>
      <c r="AC31" s="71"/>
      <c r="AD31" s="71"/>
      <c r="AE31" s="71"/>
      <c r="AF31" s="114" t="s">
        <v>1606</v>
      </c>
    </row>
    <row r="32" spans="1:32" ht="15" customHeight="1" x14ac:dyDescent="0.25">
      <c r="A32" s="64" t="s">
        <v>160</v>
      </c>
      <c r="B32" s="64" t="s">
        <v>1193</v>
      </c>
      <c r="C32" s="65" t="s">
        <v>1235</v>
      </c>
      <c r="D32" s="65"/>
      <c r="E32" s="65" t="s">
        <v>1265</v>
      </c>
      <c r="F32" s="45" t="s">
        <v>2160</v>
      </c>
      <c r="G32" s="65">
        <v>1</v>
      </c>
      <c r="H32" s="45" t="s">
        <v>1367</v>
      </c>
      <c r="I32" s="65"/>
      <c r="J32" s="45" t="s">
        <v>166</v>
      </c>
      <c r="K32" s="65" t="s">
        <v>1272</v>
      </c>
      <c r="L32" s="88" t="s">
        <v>1288</v>
      </c>
      <c r="M32" s="65">
        <v>1</v>
      </c>
      <c r="N32" s="67"/>
      <c r="O32" s="68">
        <f>IF(OR(ISBLANK(BOM_table2[[#This Row],[SKU QTY]]),BOM_table2[[#This Row],[SKU Cost]]=0),0,BOM_table2[[#This Row],[SKU Cost]]/BOM_table2[[#This Row],[SKU QTY]])</f>
        <v>0</v>
      </c>
      <c r="P32" s="68">
        <f>IF(OR(ISBLANK(BOM_table2[[#This Row],[ASM QTY]]),ISBLANK(BOM_table2[[#This Row],[Unit Cost]])),0,BOM_table2[[#This Row],[ASM QTY]]*BOM_table2[[#This Row],[Unit Cost]])</f>
        <v>0</v>
      </c>
      <c r="Q32" s="65"/>
      <c r="R32" s="69"/>
      <c r="S32"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32" s="70">
        <f>ROUNDUP((BOM_table2[[#This Row],[Order QTY]]/BOM_table2[[#This Row],[SKU QTY]]),0)</f>
        <v>2</v>
      </c>
      <c r="U32" s="68">
        <f>BOM_table2[[#This Row],[SKU Qty to Order]]*BOM_table2[[#This Row],[SKU Cost]]</f>
        <v>0</v>
      </c>
      <c r="V32" s="50"/>
      <c r="W32" s="45"/>
      <c r="X32" s="45"/>
      <c r="Y32" s="71"/>
      <c r="Z32" s="65"/>
      <c r="AA32" s="67"/>
      <c r="AB32" s="65"/>
      <c r="AC32" s="71"/>
      <c r="AD32" s="71"/>
      <c r="AE32" s="71"/>
      <c r="AF32" s="114" t="s">
        <v>1586</v>
      </c>
    </row>
    <row r="33" spans="1:32" ht="15" customHeight="1" x14ac:dyDescent="0.25">
      <c r="A33" s="64" t="s">
        <v>160</v>
      </c>
      <c r="B33" s="64" t="s">
        <v>1194</v>
      </c>
      <c r="C33" s="65" t="s">
        <v>1236</v>
      </c>
      <c r="D33" s="65"/>
      <c r="E33" s="65" t="s">
        <v>1266</v>
      </c>
      <c r="F33" s="45" t="s">
        <v>2160</v>
      </c>
      <c r="G33" s="65">
        <v>1</v>
      </c>
      <c r="H33" s="45" t="s">
        <v>1367</v>
      </c>
      <c r="I33" s="65"/>
      <c r="J33" s="45" t="s">
        <v>166</v>
      </c>
      <c r="K33" s="65" t="s">
        <v>1272</v>
      </c>
      <c r="L33" s="88" t="s">
        <v>1289</v>
      </c>
      <c r="M33" s="65">
        <v>1</v>
      </c>
      <c r="N33" s="67"/>
      <c r="O33" s="68">
        <f>IF(OR(ISBLANK(BOM_table2[[#This Row],[SKU QTY]]),BOM_table2[[#This Row],[SKU Cost]]=0),0,BOM_table2[[#This Row],[SKU Cost]]/BOM_table2[[#This Row],[SKU QTY]])</f>
        <v>0</v>
      </c>
      <c r="P33" s="68">
        <f>IF(OR(ISBLANK(BOM_table2[[#This Row],[ASM QTY]]),ISBLANK(BOM_table2[[#This Row],[Unit Cost]])),0,BOM_table2[[#This Row],[ASM QTY]]*BOM_table2[[#This Row],[Unit Cost]])</f>
        <v>0</v>
      </c>
      <c r="Q33" s="65"/>
      <c r="R33" s="69"/>
      <c r="S33"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33" s="70">
        <f>ROUNDUP((BOM_table2[[#This Row],[Order QTY]]/BOM_table2[[#This Row],[SKU QTY]]),0)</f>
        <v>2</v>
      </c>
      <c r="U33" s="68">
        <f>BOM_table2[[#This Row],[SKU Qty to Order]]*BOM_table2[[#This Row],[SKU Cost]]</f>
        <v>0</v>
      </c>
      <c r="V33" s="50"/>
      <c r="W33" s="45"/>
      <c r="X33" s="45"/>
      <c r="Y33" s="71"/>
      <c r="Z33" s="65"/>
      <c r="AA33" s="67"/>
      <c r="AB33" s="65"/>
      <c r="AC33" s="71"/>
      <c r="AD33" s="71"/>
      <c r="AE33" s="71"/>
      <c r="AF33" s="114" t="s">
        <v>1587</v>
      </c>
    </row>
    <row r="34" spans="1:32" ht="15" customHeight="1" x14ac:dyDescent="0.25">
      <c r="A34" s="64" t="s">
        <v>160</v>
      </c>
      <c r="B34" s="64" t="s">
        <v>1195</v>
      </c>
      <c r="C34" s="65" t="s">
        <v>1237</v>
      </c>
      <c r="D34" s="65"/>
      <c r="E34" s="65" t="s">
        <v>1266</v>
      </c>
      <c r="F34" s="45" t="s">
        <v>2160</v>
      </c>
      <c r="G34" s="65">
        <v>1</v>
      </c>
      <c r="H34" s="45" t="s">
        <v>1367</v>
      </c>
      <c r="I34" s="65"/>
      <c r="J34" s="45" t="s">
        <v>166</v>
      </c>
      <c r="K34" s="65" t="s">
        <v>1272</v>
      </c>
      <c r="L34" s="88" t="s">
        <v>1290</v>
      </c>
      <c r="M34" s="65">
        <v>1</v>
      </c>
      <c r="N34" s="67"/>
      <c r="O34" s="68">
        <f>IF(OR(ISBLANK(BOM_table2[[#This Row],[SKU QTY]]),BOM_table2[[#This Row],[SKU Cost]]=0),0,BOM_table2[[#This Row],[SKU Cost]]/BOM_table2[[#This Row],[SKU QTY]])</f>
        <v>0</v>
      </c>
      <c r="P34" s="68">
        <f>IF(OR(ISBLANK(BOM_table2[[#This Row],[ASM QTY]]),ISBLANK(BOM_table2[[#This Row],[Unit Cost]])),0,BOM_table2[[#This Row],[ASM QTY]]*BOM_table2[[#This Row],[Unit Cost]])</f>
        <v>0</v>
      </c>
      <c r="Q34" s="65"/>
      <c r="R34" s="69"/>
      <c r="S34"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34" s="70">
        <f>ROUNDUP((BOM_table2[[#This Row],[Order QTY]]/BOM_table2[[#This Row],[SKU QTY]]),0)</f>
        <v>2</v>
      </c>
      <c r="U34" s="68">
        <f>BOM_table2[[#This Row],[SKU Qty to Order]]*BOM_table2[[#This Row],[SKU Cost]]</f>
        <v>0</v>
      </c>
      <c r="V34" s="50"/>
      <c r="W34" s="45"/>
      <c r="X34" s="45"/>
      <c r="Y34" s="71"/>
      <c r="Z34" s="65"/>
      <c r="AA34" s="67"/>
      <c r="AB34" s="65"/>
      <c r="AC34" s="71"/>
      <c r="AD34" s="71"/>
      <c r="AE34" s="71"/>
      <c r="AF34" s="114" t="s">
        <v>1588</v>
      </c>
    </row>
    <row r="35" spans="1:32" ht="15" customHeight="1" x14ac:dyDescent="0.25">
      <c r="A35" s="64" t="s">
        <v>160</v>
      </c>
      <c r="B35" s="64" t="s">
        <v>1196</v>
      </c>
      <c r="C35" s="65" t="s">
        <v>1238</v>
      </c>
      <c r="D35" s="65"/>
      <c r="E35" s="65" t="s">
        <v>1267</v>
      </c>
      <c r="F35" s="45" t="s">
        <v>2160</v>
      </c>
      <c r="G35" s="65">
        <v>1</v>
      </c>
      <c r="H35" s="45" t="s">
        <v>1367</v>
      </c>
      <c r="I35" s="65"/>
      <c r="J35" s="45" t="s">
        <v>166</v>
      </c>
      <c r="K35" s="65" t="s">
        <v>1272</v>
      </c>
      <c r="L35" s="88" t="s">
        <v>1291</v>
      </c>
      <c r="M35" s="65">
        <v>1</v>
      </c>
      <c r="N35" s="67"/>
      <c r="O35" s="68">
        <f>IF(OR(ISBLANK(BOM_table2[[#This Row],[SKU QTY]]),BOM_table2[[#This Row],[SKU Cost]]=0),0,BOM_table2[[#This Row],[SKU Cost]]/BOM_table2[[#This Row],[SKU QTY]])</f>
        <v>0</v>
      </c>
      <c r="P35" s="68">
        <f>IF(OR(ISBLANK(BOM_table2[[#This Row],[ASM QTY]]),ISBLANK(BOM_table2[[#This Row],[Unit Cost]])),0,BOM_table2[[#This Row],[ASM QTY]]*BOM_table2[[#This Row],[Unit Cost]])</f>
        <v>0</v>
      </c>
      <c r="Q35" s="65"/>
      <c r="R35" s="69"/>
      <c r="S35"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35" s="70">
        <f>ROUNDUP((BOM_table2[[#This Row],[Order QTY]]/BOM_table2[[#This Row],[SKU QTY]]),0)</f>
        <v>2</v>
      </c>
      <c r="U35" s="68">
        <f>BOM_table2[[#This Row],[SKU Qty to Order]]*BOM_table2[[#This Row],[SKU Cost]]</f>
        <v>0</v>
      </c>
      <c r="V35" s="50"/>
      <c r="W35" s="45"/>
      <c r="X35" s="45"/>
      <c r="Y35" s="71"/>
      <c r="Z35" s="65"/>
      <c r="AA35" s="67"/>
      <c r="AB35" s="65"/>
      <c r="AC35" s="71"/>
      <c r="AD35" s="71"/>
      <c r="AE35" s="71"/>
      <c r="AF35" s="114" t="s">
        <v>1589</v>
      </c>
    </row>
    <row r="36" spans="1:32" ht="15" customHeight="1" x14ac:dyDescent="0.25">
      <c r="A36" s="64" t="s">
        <v>160</v>
      </c>
      <c r="B36" s="64" t="s">
        <v>1197</v>
      </c>
      <c r="C36" s="65" t="s">
        <v>1239</v>
      </c>
      <c r="D36" s="65"/>
      <c r="E36" s="65" t="s">
        <v>1268</v>
      </c>
      <c r="F36" s="45" t="s">
        <v>2160</v>
      </c>
      <c r="G36" s="65">
        <v>1</v>
      </c>
      <c r="H36" s="45" t="s">
        <v>1367</v>
      </c>
      <c r="I36" s="65"/>
      <c r="J36" s="45" t="s">
        <v>166</v>
      </c>
      <c r="K36" s="65" t="s">
        <v>1272</v>
      </c>
      <c r="L36" t="s">
        <v>1292</v>
      </c>
      <c r="M36" s="65">
        <v>1</v>
      </c>
      <c r="N36" s="67"/>
      <c r="O36" s="68">
        <f>IF(OR(ISBLANK(BOM_table2[[#This Row],[SKU QTY]]),BOM_table2[[#This Row],[SKU Cost]]=0),0,BOM_table2[[#This Row],[SKU Cost]]/BOM_table2[[#This Row],[SKU QTY]])</f>
        <v>0</v>
      </c>
      <c r="P36" s="68">
        <f>IF(OR(ISBLANK(BOM_table2[[#This Row],[ASM QTY]]),ISBLANK(BOM_table2[[#This Row],[Unit Cost]])),0,BOM_table2[[#This Row],[ASM QTY]]*BOM_table2[[#This Row],[Unit Cost]])</f>
        <v>0</v>
      </c>
      <c r="Q36" s="65"/>
      <c r="R36" s="69"/>
      <c r="S36"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36" s="70">
        <f>ROUNDUP((BOM_table2[[#This Row],[Order QTY]]/BOM_table2[[#This Row],[SKU QTY]]),0)</f>
        <v>2</v>
      </c>
      <c r="U36" s="68">
        <f>BOM_table2[[#This Row],[SKU Qty to Order]]*BOM_table2[[#This Row],[SKU Cost]]</f>
        <v>0</v>
      </c>
      <c r="V36" s="50"/>
      <c r="W36" s="45"/>
      <c r="X36" s="45"/>
      <c r="Y36" s="71"/>
      <c r="Z36" s="65"/>
      <c r="AA36" s="67"/>
      <c r="AB36" s="65"/>
      <c r="AC36" s="71"/>
      <c r="AD36" s="71"/>
      <c r="AE36" s="71"/>
      <c r="AF36" s="114" t="s">
        <v>1590</v>
      </c>
    </row>
    <row r="37" spans="1:32" ht="15" customHeight="1" x14ac:dyDescent="0.25">
      <c r="A37" s="64" t="s">
        <v>160</v>
      </c>
      <c r="B37" s="64" t="s">
        <v>1198</v>
      </c>
      <c r="C37" s="65" t="s">
        <v>1240</v>
      </c>
      <c r="D37" s="65"/>
      <c r="E37" s="65" t="s">
        <v>1268</v>
      </c>
      <c r="F37" s="45" t="s">
        <v>2160</v>
      </c>
      <c r="G37" s="65">
        <v>1</v>
      </c>
      <c r="H37" s="45" t="s">
        <v>1367</v>
      </c>
      <c r="I37" s="65"/>
      <c r="J37" s="45" t="s">
        <v>166</v>
      </c>
      <c r="K37" s="65" t="s">
        <v>1272</v>
      </c>
      <c r="L37" t="s">
        <v>1293</v>
      </c>
      <c r="M37" s="65">
        <v>1</v>
      </c>
      <c r="N37" s="67"/>
      <c r="O37" s="68">
        <f>IF(OR(ISBLANK(BOM_table2[[#This Row],[SKU QTY]]),BOM_table2[[#This Row],[SKU Cost]]=0),0,BOM_table2[[#This Row],[SKU Cost]]/BOM_table2[[#This Row],[SKU QTY]])</f>
        <v>0</v>
      </c>
      <c r="P37" s="68">
        <f>IF(OR(ISBLANK(BOM_table2[[#This Row],[ASM QTY]]),ISBLANK(BOM_table2[[#This Row],[Unit Cost]])),0,BOM_table2[[#This Row],[ASM QTY]]*BOM_table2[[#This Row],[Unit Cost]])</f>
        <v>0</v>
      </c>
      <c r="Q37" s="65"/>
      <c r="R37" s="69"/>
      <c r="S37"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37" s="70">
        <f>ROUNDUP((BOM_table2[[#This Row],[Order QTY]]/BOM_table2[[#This Row],[SKU QTY]]),0)</f>
        <v>2</v>
      </c>
      <c r="U37" s="68">
        <f>BOM_table2[[#This Row],[SKU Qty to Order]]*BOM_table2[[#This Row],[SKU Cost]]</f>
        <v>0</v>
      </c>
      <c r="V37" s="50"/>
      <c r="W37" s="45"/>
      <c r="X37" s="45"/>
      <c r="Y37" s="71"/>
      <c r="Z37" s="65"/>
      <c r="AA37" s="67"/>
      <c r="AB37" s="65"/>
      <c r="AC37" s="71"/>
      <c r="AD37" s="71"/>
      <c r="AE37" s="71"/>
      <c r="AF37" s="114" t="s">
        <v>1591</v>
      </c>
    </row>
    <row r="38" spans="1:32" ht="15" customHeight="1" x14ac:dyDescent="0.25">
      <c r="A38" s="64" t="s">
        <v>160</v>
      </c>
      <c r="B38" s="64" t="s">
        <v>1199</v>
      </c>
      <c r="C38" s="65" t="s">
        <v>1241</v>
      </c>
      <c r="D38" s="65"/>
      <c r="E38" s="65" t="s">
        <v>1268</v>
      </c>
      <c r="F38" s="45" t="s">
        <v>2160</v>
      </c>
      <c r="G38" s="65">
        <v>1</v>
      </c>
      <c r="H38" s="45" t="s">
        <v>1367</v>
      </c>
      <c r="I38" s="65"/>
      <c r="J38" s="45" t="s">
        <v>166</v>
      </c>
      <c r="K38" s="65" t="s">
        <v>1272</v>
      </c>
      <c r="L38" t="s">
        <v>1294</v>
      </c>
      <c r="M38" s="65">
        <v>1</v>
      </c>
      <c r="N38" s="67"/>
      <c r="O38" s="68">
        <f>IF(OR(ISBLANK(BOM_table2[[#This Row],[SKU QTY]]),BOM_table2[[#This Row],[SKU Cost]]=0),0,BOM_table2[[#This Row],[SKU Cost]]/BOM_table2[[#This Row],[SKU QTY]])</f>
        <v>0</v>
      </c>
      <c r="P38" s="68">
        <f>IF(OR(ISBLANK(BOM_table2[[#This Row],[ASM QTY]]),ISBLANK(BOM_table2[[#This Row],[Unit Cost]])),0,BOM_table2[[#This Row],[ASM QTY]]*BOM_table2[[#This Row],[Unit Cost]])</f>
        <v>0</v>
      </c>
      <c r="Q38" s="65"/>
      <c r="R38" s="69"/>
      <c r="S38"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38" s="70">
        <f>ROUNDUP((BOM_table2[[#This Row],[Order QTY]]/BOM_table2[[#This Row],[SKU QTY]]),0)</f>
        <v>2</v>
      </c>
      <c r="U38" s="68">
        <f>BOM_table2[[#This Row],[SKU Qty to Order]]*BOM_table2[[#This Row],[SKU Cost]]</f>
        <v>0</v>
      </c>
      <c r="V38" s="50"/>
      <c r="W38" s="45"/>
      <c r="X38" s="45"/>
      <c r="Y38" s="71"/>
      <c r="Z38" s="65"/>
      <c r="AA38" s="67"/>
      <c r="AB38" s="65"/>
      <c r="AC38" s="71"/>
      <c r="AD38" s="71"/>
      <c r="AE38" s="71"/>
      <c r="AF38" s="56" t="s">
        <v>1700</v>
      </c>
    </row>
    <row r="39" spans="1:32" ht="15" customHeight="1" x14ac:dyDescent="0.25">
      <c r="A39" s="64" t="s">
        <v>160</v>
      </c>
      <c r="B39" s="64" t="s">
        <v>1200</v>
      </c>
      <c r="C39" s="65" t="s">
        <v>1242</v>
      </c>
      <c r="D39" s="65"/>
      <c r="E39" s="65" t="s">
        <v>1260</v>
      </c>
      <c r="F39" s="45" t="s">
        <v>2160</v>
      </c>
      <c r="G39" s="65">
        <v>1</v>
      </c>
      <c r="H39" s="45" t="s">
        <v>1367</v>
      </c>
      <c r="I39" s="65"/>
      <c r="J39" s="45" t="s">
        <v>166</v>
      </c>
      <c r="K39" s="65" t="s">
        <v>1272</v>
      </c>
      <c r="L39" t="s">
        <v>1295</v>
      </c>
      <c r="M39" s="65">
        <v>1</v>
      </c>
      <c r="N39" s="67"/>
      <c r="O39" s="68">
        <f>IF(OR(ISBLANK(BOM_table2[[#This Row],[SKU QTY]]),BOM_table2[[#This Row],[SKU Cost]]=0),0,BOM_table2[[#This Row],[SKU Cost]]/BOM_table2[[#This Row],[SKU QTY]])</f>
        <v>0</v>
      </c>
      <c r="P39" s="68">
        <f>IF(OR(ISBLANK(BOM_table2[[#This Row],[ASM QTY]]),ISBLANK(BOM_table2[[#This Row],[Unit Cost]])),0,BOM_table2[[#This Row],[ASM QTY]]*BOM_table2[[#This Row],[Unit Cost]])</f>
        <v>0</v>
      </c>
      <c r="Q39" s="65"/>
      <c r="R39" s="69"/>
      <c r="S39"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39" s="70">
        <f>ROUNDUP((BOM_table2[[#This Row],[Order QTY]]/BOM_table2[[#This Row],[SKU QTY]]),0)</f>
        <v>2</v>
      </c>
      <c r="U39" s="68">
        <f>BOM_table2[[#This Row],[SKU Qty to Order]]*BOM_table2[[#This Row],[SKU Cost]]</f>
        <v>0</v>
      </c>
      <c r="V39" s="50"/>
      <c r="W39" s="45"/>
      <c r="X39" s="45"/>
      <c r="Y39" s="71"/>
      <c r="Z39" s="65"/>
      <c r="AA39" s="67"/>
      <c r="AB39" s="65"/>
      <c r="AC39" s="71"/>
      <c r="AD39" s="71"/>
      <c r="AE39" s="71"/>
      <c r="AF39" s="114" t="s">
        <v>1592</v>
      </c>
    </row>
    <row r="40" spans="1:32" ht="15" customHeight="1" x14ac:dyDescent="0.25">
      <c r="A40" s="64" t="s">
        <v>160</v>
      </c>
      <c r="B40" s="64" t="s">
        <v>1201</v>
      </c>
      <c r="C40" s="92" t="s">
        <v>1296</v>
      </c>
      <c r="D40" s="65"/>
      <c r="E40" s="65" t="s">
        <v>1274</v>
      </c>
      <c r="F40" s="45" t="s">
        <v>2160</v>
      </c>
      <c r="G40" s="65">
        <v>1</v>
      </c>
      <c r="H40" s="45" t="s">
        <v>1367</v>
      </c>
      <c r="I40" s="65"/>
      <c r="J40" s="45" t="s">
        <v>166</v>
      </c>
      <c r="K40" s="65" t="s">
        <v>1274</v>
      </c>
      <c r="L40" s="88" t="s">
        <v>1296</v>
      </c>
      <c r="M40" s="65">
        <v>1</v>
      </c>
      <c r="N40" s="67"/>
      <c r="O40" s="68">
        <f>IF(OR(ISBLANK(BOM_table2[[#This Row],[SKU QTY]]),BOM_table2[[#This Row],[SKU Cost]]=0),0,BOM_table2[[#This Row],[SKU Cost]]/BOM_table2[[#This Row],[SKU QTY]])</f>
        <v>0</v>
      </c>
      <c r="P40" s="68">
        <f>IF(OR(ISBLANK(BOM_table2[[#This Row],[ASM QTY]]),ISBLANK(BOM_table2[[#This Row],[Unit Cost]])),0,BOM_table2[[#This Row],[ASM QTY]]*BOM_table2[[#This Row],[Unit Cost]])</f>
        <v>0</v>
      </c>
      <c r="Q40" s="65"/>
      <c r="R40" s="69"/>
      <c r="S40"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40" s="70">
        <f>ROUNDUP((BOM_table2[[#This Row],[Order QTY]]/BOM_table2[[#This Row],[SKU QTY]]),0)</f>
        <v>2</v>
      </c>
      <c r="U40" s="68">
        <f>BOM_table2[[#This Row],[SKU Qty to Order]]*BOM_table2[[#This Row],[SKU Cost]]</f>
        <v>0</v>
      </c>
      <c r="V40" s="50"/>
      <c r="W40" s="45"/>
      <c r="X40" s="45"/>
      <c r="Y40" s="71"/>
      <c r="Z40" s="65"/>
      <c r="AA40" s="67"/>
      <c r="AB40" s="65"/>
      <c r="AC40" s="71"/>
      <c r="AD40" s="71"/>
      <c r="AE40" s="71"/>
      <c r="AF40" s="114" t="s">
        <v>1593</v>
      </c>
    </row>
    <row r="41" spans="1:32" ht="15" customHeight="1" x14ac:dyDescent="0.25">
      <c r="A41" s="64" t="s">
        <v>160</v>
      </c>
      <c r="B41" s="64" t="s">
        <v>1202</v>
      </c>
      <c r="C41" s="45" t="s">
        <v>1243</v>
      </c>
      <c r="D41" s="65"/>
      <c r="E41" s="65" t="s">
        <v>1269</v>
      </c>
      <c r="F41" s="45" t="s">
        <v>2160</v>
      </c>
      <c r="G41" s="65">
        <v>6</v>
      </c>
      <c r="H41" s="45" t="s">
        <v>1367</v>
      </c>
      <c r="I41" s="65"/>
      <c r="J41" s="45" t="s">
        <v>166</v>
      </c>
      <c r="K41" s="65" t="s">
        <v>1275</v>
      </c>
      <c r="L41"/>
      <c r="M41" s="65">
        <v>1</v>
      </c>
      <c r="N41" s="67"/>
      <c r="O41" s="68">
        <f>IF(OR(ISBLANK(BOM_table2[[#This Row],[SKU QTY]]),BOM_table2[[#This Row],[SKU Cost]]=0),0,BOM_table2[[#This Row],[SKU Cost]]/BOM_table2[[#This Row],[SKU QTY]])</f>
        <v>0</v>
      </c>
      <c r="P41" s="68">
        <f>IF(OR(ISBLANK(BOM_table2[[#This Row],[ASM QTY]]),ISBLANK(BOM_table2[[#This Row],[Unit Cost]])),0,BOM_table2[[#This Row],[ASM QTY]]*BOM_table2[[#This Row],[Unit Cost]])</f>
        <v>0</v>
      </c>
      <c r="Q41" s="65"/>
      <c r="R41" s="69"/>
      <c r="S41"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12</v>
      </c>
      <c r="T41" s="70">
        <f>ROUNDUP((BOM_table2[[#This Row],[Order QTY]]/BOM_table2[[#This Row],[SKU QTY]]),0)</f>
        <v>12</v>
      </c>
      <c r="U41" s="68">
        <f>BOM_table2[[#This Row],[SKU Qty to Order]]*BOM_table2[[#This Row],[SKU Cost]]</f>
        <v>0</v>
      </c>
      <c r="V41" s="50"/>
      <c r="W41" s="45"/>
      <c r="X41" s="45"/>
      <c r="Y41" s="71"/>
      <c r="Z41" s="65"/>
      <c r="AA41" s="67"/>
      <c r="AB41" s="65"/>
      <c r="AC41" s="71"/>
      <c r="AD41" s="65"/>
      <c r="AE41" s="65"/>
      <c r="AF41" s="114" t="s">
        <v>1594</v>
      </c>
    </row>
    <row r="42" spans="1:32" ht="15" customHeight="1" x14ac:dyDescent="0.25">
      <c r="A42" s="64" t="s">
        <v>160</v>
      </c>
      <c r="B42" s="64" t="s">
        <v>1203</v>
      </c>
      <c r="C42" s="65" t="s">
        <v>1244</v>
      </c>
      <c r="D42" s="65"/>
      <c r="E42" s="65" t="s">
        <v>1269</v>
      </c>
      <c r="F42" s="45" t="s">
        <v>2160</v>
      </c>
      <c r="G42" s="65">
        <v>15</v>
      </c>
      <c r="H42" s="45" t="s">
        <v>1367</v>
      </c>
      <c r="I42" s="65"/>
      <c r="J42" s="45" t="s">
        <v>166</v>
      </c>
      <c r="K42" s="65" t="s">
        <v>1275</v>
      </c>
      <c r="L42"/>
      <c r="M42" s="65">
        <v>1</v>
      </c>
      <c r="N42" s="67"/>
      <c r="O42" s="68">
        <f>IF(OR(ISBLANK(BOM_table2[[#This Row],[SKU QTY]]),BOM_table2[[#This Row],[SKU Cost]]=0),0,BOM_table2[[#This Row],[SKU Cost]]/BOM_table2[[#This Row],[SKU QTY]])</f>
        <v>0</v>
      </c>
      <c r="P42" s="68">
        <f>IF(OR(ISBLANK(BOM_table2[[#This Row],[ASM QTY]]),ISBLANK(BOM_table2[[#This Row],[Unit Cost]])),0,BOM_table2[[#This Row],[ASM QTY]]*BOM_table2[[#This Row],[Unit Cost]])</f>
        <v>0</v>
      </c>
      <c r="Q42" s="65"/>
      <c r="R42" s="69"/>
      <c r="S42"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30</v>
      </c>
      <c r="T42" s="70">
        <f>ROUNDUP((BOM_table2[[#This Row],[Order QTY]]/BOM_table2[[#This Row],[SKU QTY]]),0)</f>
        <v>30</v>
      </c>
      <c r="U42" s="68">
        <f>BOM_table2[[#This Row],[SKU Qty to Order]]*BOM_table2[[#This Row],[SKU Cost]]</f>
        <v>0</v>
      </c>
      <c r="V42" s="50"/>
      <c r="W42" s="45"/>
      <c r="X42" s="45"/>
      <c r="Y42" s="71"/>
      <c r="Z42" s="65"/>
      <c r="AA42" s="67"/>
      <c r="AB42" s="65"/>
      <c r="AC42" s="71"/>
      <c r="AD42" s="65"/>
      <c r="AE42" s="65"/>
      <c r="AF42" s="114" t="s">
        <v>1595</v>
      </c>
    </row>
    <row r="43" spans="1:32" ht="15" customHeight="1" x14ac:dyDescent="0.25">
      <c r="A43" s="64" t="s">
        <v>160</v>
      </c>
      <c r="B43" s="64" t="s">
        <v>1204</v>
      </c>
      <c r="C43" s="65" t="s">
        <v>1245</v>
      </c>
      <c r="D43" s="65"/>
      <c r="E43" s="65" t="s">
        <v>1269</v>
      </c>
      <c r="F43" s="45" t="s">
        <v>2160</v>
      </c>
      <c r="G43" s="65">
        <v>5</v>
      </c>
      <c r="H43" s="45" t="s">
        <v>1367</v>
      </c>
      <c r="I43" s="65"/>
      <c r="J43" s="45" t="s">
        <v>166</v>
      </c>
      <c r="K43" s="65" t="s">
        <v>1275</v>
      </c>
      <c r="L43"/>
      <c r="M43" s="65">
        <v>1</v>
      </c>
      <c r="N43" s="67"/>
      <c r="O43" s="68">
        <f>IF(OR(ISBLANK(BOM_table2[[#This Row],[SKU QTY]]),BOM_table2[[#This Row],[SKU Cost]]=0),0,BOM_table2[[#This Row],[SKU Cost]]/BOM_table2[[#This Row],[SKU QTY]])</f>
        <v>0</v>
      </c>
      <c r="P43" s="68">
        <f>IF(OR(ISBLANK(BOM_table2[[#This Row],[ASM QTY]]),ISBLANK(BOM_table2[[#This Row],[Unit Cost]])),0,BOM_table2[[#This Row],[ASM QTY]]*BOM_table2[[#This Row],[Unit Cost]])</f>
        <v>0</v>
      </c>
      <c r="Q43" s="65"/>
      <c r="R43" s="69"/>
      <c r="S43"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10</v>
      </c>
      <c r="T43" s="70">
        <f>ROUNDUP((BOM_table2[[#This Row],[Order QTY]]/BOM_table2[[#This Row],[SKU QTY]]),0)</f>
        <v>10</v>
      </c>
      <c r="U43" s="68">
        <f>BOM_table2[[#This Row],[SKU Qty to Order]]*BOM_table2[[#This Row],[SKU Cost]]</f>
        <v>0</v>
      </c>
      <c r="V43" s="50"/>
      <c r="W43" s="45"/>
      <c r="X43" s="45"/>
      <c r="Y43" s="71"/>
      <c r="Z43" s="65"/>
      <c r="AA43" s="67"/>
      <c r="AB43" s="65"/>
      <c r="AC43" s="71"/>
      <c r="AD43" s="65"/>
      <c r="AE43" s="65"/>
      <c r="AF43" s="114" t="s">
        <v>1596</v>
      </c>
    </row>
    <row r="44" spans="1:32" ht="15" customHeight="1" x14ac:dyDescent="0.25">
      <c r="A44" s="64" t="s">
        <v>160</v>
      </c>
      <c r="B44" s="64" t="s">
        <v>1205</v>
      </c>
      <c r="C44" s="65" t="s">
        <v>1246</v>
      </c>
      <c r="D44" s="65"/>
      <c r="E44" s="65" t="s">
        <v>1269</v>
      </c>
      <c r="F44" s="45" t="s">
        <v>2160</v>
      </c>
      <c r="G44" s="65">
        <v>2</v>
      </c>
      <c r="H44" s="45" t="s">
        <v>1367</v>
      </c>
      <c r="I44" s="65"/>
      <c r="J44" s="45" t="s">
        <v>166</v>
      </c>
      <c r="K44" s="65" t="s">
        <v>1275</v>
      </c>
      <c r="L44"/>
      <c r="M44" s="65">
        <v>1</v>
      </c>
      <c r="N44" s="67"/>
      <c r="O44" s="68">
        <f>IF(OR(ISBLANK(BOM_table2[[#This Row],[SKU QTY]]),BOM_table2[[#This Row],[SKU Cost]]=0),0,BOM_table2[[#This Row],[SKU Cost]]/BOM_table2[[#This Row],[SKU QTY]])</f>
        <v>0</v>
      </c>
      <c r="P44" s="68">
        <f>IF(OR(ISBLANK(BOM_table2[[#This Row],[ASM QTY]]),ISBLANK(BOM_table2[[#This Row],[Unit Cost]])),0,BOM_table2[[#This Row],[ASM QTY]]*BOM_table2[[#This Row],[Unit Cost]])</f>
        <v>0</v>
      </c>
      <c r="Q44" s="65"/>
      <c r="R44" s="69"/>
      <c r="S44"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4</v>
      </c>
      <c r="T44" s="70">
        <f>ROUNDUP((BOM_table2[[#This Row],[Order QTY]]/BOM_table2[[#This Row],[SKU QTY]]),0)</f>
        <v>4</v>
      </c>
      <c r="U44" s="68">
        <f>BOM_table2[[#This Row],[SKU Qty to Order]]*BOM_table2[[#This Row],[SKU Cost]]</f>
        <v>0</v>
      </c>
      <c r="V44" s="50"/>
      <c r="W44" s="45"/>
      <c r="X44" s="45"/>
      <c r="Y44" s="71"/>
      <c r="Z44" s="65"/>
      <c r="AA44" s="67"/>
      <c r="AB44" s="65"/>
      <c r="AC44" s="71"/>
      <c r="AD44" s="65"/>
      <c r="AE44" s="65"/>
      <c r="AF44" s="114" t="s">
        <v>1597</v>
      </c>
    </row>
    <row r="45" spans="1:32" ht="15" customHeight="1" x14ac:dyDescent="0.25">
      <c r="A45" s="64" t="s">
        <v>160</v>
      </c>
      <c r="B45" s="64" t="s">
        <v>1206</v>
      </c>
      <c r="C45" s="65" t="s">
        <v>1247</v>
      </c>
      <c r="D45" s="65"/>
      <c r="E45" s="65" t="s">
        <v>1269</v>
      </c>
      <c r="F45" s="45" t="s">
        <v>2160</v>
      </c>
      <c r="G45" s="65">
        <v>8</v>
      </c>
      <c r="H45" s="45" t="s">
        <v>1367</v>
      </c>
      <c r="I45" s="65"/>
      <c r="J45" s="45" t="s">
        <v>166</v>
      </c>
      <c r="K45" s="65" t="s">
        <v>1275</v>
      </c>
      <c r="L45"/>
      <c r="M45" s="65">
        <v>1</v>
      </c>
      <c r="N45" s="67"/>
      <c r="O45" s="68">
        <f>IF(OR(ISBLANK(BOM_table2[[#This Row],[SKU QTY]]),BOM_table2[[#This Row],[SKU Cost]]=0),0,BOM_table2[[#This Row],[SKU Cost]]/BOM_table2[[#This Row],[SKU QTY]])</f>
        <v>0</v>
      </c>
      <c r="P45" s="68">
        <f>IF(OR(ISBLANK(BOM_table2[[#This Row],[ASM QTY]]),ISBLANK(BOM_table2[[#This Row],[Unit Cost]])),0,BOM_table2[[#This Row],[ASM QTY]]*BOM_table2[[#This Row],[Unit Cost]])</f>
        <v>0</v>
      </c>
      <c r="Q45" s="65"/>
      <c r="R45" s="69"/>
      <c r="S45"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16</v>
      </c>
      <c r="T45" s="70">
        <f>ROUNDUP((BOM_table2[[#This Row],[Order QTY]]/BOM_table2[[#This Row],[SKU QTY]]),0)</f>
        <v>16</v>
      </c>
      <c r="U45" s="68">
        <f>BOM_table2[[#This Row],[SKU Qty to Order]]*BOM_table2[[#This Row],[SKU Cost]]</f>
        <v>0</v>
      </c>
      <c r="V45" s="50"/>
      <c r="W45" s="45"/>
      <c r="X45" s="45"/>
      <c r="Y45" s="71"/>
      <c r="Z45" s="65"/>
      <c r="AA45" s="67"/>
      <c r="AB45" s="65"/>
      <c r="AC45" s="71"/>
      <c r="AD45" s="65"/>
      <c r="AE45" s="65"/>
      <c r="AF45" s="114" t="s">
        <v>1598</v>
      </c>
    </row>
    <row r="46" spans="1:32" ht="15" customHeight="1" x14ac:dyDescent="0.25">
      <c r="A46" s="64" t="s">
        <v>160</v>
      </c>
      <c r="B46" s="64" t="s">
        <v>1207</v>
      </c>
      <c r="C46" s="65" t="s">
        <v>1248</v>
      </c>
      <c r="D46" s="65"/>
      <c r="E46" s="65" t="s">
        <v>1269</v>
      </c>
      <c r="F46" s="45" t="s">
        <v>2160</v>
      </c>
      <c r="G46" s="65">
        <v>2</v>
      </c>
      <c r="H46" s="45" t="s">
        <v>1367</v>
      </c>
      <c r="I46" s="65"/>
      <c r="J46" s="45" t="s">
        <v>166</v>
      </c>
      <c r="K46" s="65" t="s">
        <v>1275</v>
      </c>
      <c r="L46"/>
      <c r="M46" s="65">
        <v>1</v>
      </c>
      <c r="N46" s="67"/>
      <c r="O46" s="68">
        <f>IF(OR(ISBLANK(BOM_table2[[#This Row],[SKU QTY]]),BOM_table2[[#This Row],[SKU Cost]]=0),0,BOM_table2[[#This Row],[SKU Cost]]/BOM_table2[[#This Row],[SKU QTY]])</f>
        <v>0</v>
      </c>
      <c r="P46" s="68">
        <f>IF(OR(ISBLANK(BOM_table2[[#This Row],[ASM QTY]]),ISBLANK(BOM_table2[[#This Row],[Unit Cost]])),0,BOM_table2[[#This Row],[ASM QTY]]*BOM_table2[[#This Row],[Unit Cost]])</f>
        <v>0</v>
      </c>
      <c r="Q46" s="65"/>
      <c r="R46" s="69"/>
      <c r="S46"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4</v>
      </c>
      <c r="T46" s="70">
        <f>ROUNDUP((BOM_table2[[#This Row],[Order QTY]]/BOM_table2[[#This Row],[SKU QTY]]),0)</f>
        <v>4</v>
      </c>
      <c r="U46" s="68">
        <f>BOM_table2[[#This Row],[SKU Qty to Order]]*BOM_table2[[#This Row],[SKU Cost]]</f>
        <v>0</v>
      </c>
      <c r="V46" s="50"/>
      <c r="W46" s="45"/>
      <c r="X46" s="45"/>
      <c r="Y46" s="71"/>
      <c r="Z46" s="65"/>
      <c r="AA46" s="67"/>
      <c r="AB46" s="65"/>
      <c r="AC46" s="71"/>
      <c r="AD46" s="65"/>
      <c r="AE46" s="65"/>
      <c r="AF46" s="114" t="s">
        <v>1599</v>
      </c>
    </row>
    <row r="47" spans="1:32" ht="15" customHeight="1" x14ac:dyDescent="0.25">
      <c r="A47" s="64" t="s">
        <v>160</v>
      </c>
      <c r="B47" s="64" t="s">
        <v>1208</v>
      </c>
      <c r="C47" s="65" t="s">
        <v>1249</v>
      </c>
      <c r="D47" s="65"/>
      <c r="E47" s="65" t="s">
        <v>1269</v>
      </c>
      <c r="F47" s="45" t="s">
        <v>2160</v>
      </c>
      <c r="G47" s="65">
        <v>8</v>
      </c>
      <c r="H47" s="45" t="s">
        <v>1367</v>
      </c>
      <c r="I47" s="65"/>
      <c r="J47" s="45" t="s">
        <v>166</v>
      </c>
      <c r="K47" s="65" t="s">
        <v>1275</v>
      </c>
      <c r="L47"/>
      <c r="M47" s="65">
        <v>1</v>
      </c>
      <c r="N47" s="67"/>
      <c r="O47" s="68">
        <f>IF(OR(ISBLANK(BOM_table2[[#This Row],[SKU QTY]]),BOM_table2[[#This Row],[SKU Cost]]=0),0,BOM_table2[[#This Row],[SKU Cost]]/BOM_table2[[#This Row],[SKU QTY]])</f>
        <v>0</v>
      </c>
      <c r="P47" s="68">
        <f>IF(OR(ISBLANK(BOM_table2[[#This Row],[ASM QTY]]),ISBLANK(BOM_table2[[#This Row],[Unit Cost]])),0,BOM_table2[[#This Row],[ASM QTY]]*BOM_table2[[#This Row],[Unit Cost]])</f>
        <v>0</v>
      </c>
      <c r="Q47" s="65"/>
      <c r="R47" s="69"/>
      <c r="S47"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16</v>
      </c>
      <c r="T47" s="70">
        <f>ROUNDUP((BOM_table2[[#This Row],[Order QTY]]/BOM_table2[[#This Row],[SKU QTY]]),0)</f>
        <v>16</v>
      </c>
      <c r="U47" s="68">
        <f>BOM_table2[[#This Row],[SKU Qty to Order]]*BOM_table2[[#This Row],[SKU Cost]]</f>
        <v>0</v>
      </c>
      <c r="V47" s="50"/>
      <c r="W47" s="45"/>
      <c r="X47" s="45"/>
      <c r="Y47" s="71"/>
      <c r="Z47" s="65"/>
      <c r="AA47" s="67"/>
      <c r="AB47" s="65"/>
      <c r="AC47" s="71"/>
      <c r="AD47" s="65"/>
      <c r="AE47" s="65"/>
      <c r="AF47" s="114" t="s">
        <v>1600</v>
      </c>
    </row>
    <row r="48" spans="1:32" ht="15" customHeight="1" x14ac:dyDescent="0.25">
      <c r="A48" s="64" t="s">
        <v>160</v>
      </c>
      <c r="B48" s="64" t="s">
        <v>1209</v>
      </c>
      <c r="C48" s="65"/>
      <c r="D48" s="65"/>
      <c r="E48" s="65"/>
      <c r="F48" s="45" t="s">
        <v>2160</v>
      </c>
      <c r="G48" s="65">
        <v>1</v>
      </c>
      <c r="H48" s="65"/>
      <c r="I48" s="45" t="s">
        <v>1536</v>
      </c>
      <c r="J48" s="45" t="s">
        <v>166</v>
      </c>
      <c r="K48" s="65" t="s">
        <v>1274</v>
      </c>
      <c r="L48" t="s">
        <v>1297</v>
      </c>
      <c r="M48" s="65">
        <v>1</v>
      </c>
      <c r="N48" s="67"/>
      <c r="O48" s="68">
        <f>IF(OR(ISBLANK(BOM_table2[[#This Row],[SKU QTY]]),BOM_table2[[#This Row],[SKU Cost]]=0),0,BOM_table2[[#This Row],[SKU Cost]]/BOM_table2[[#This Row],[SKU QTY]])</f>
        <v>0</v>
      </c>
      <c r="P48" s="68">
        <f>IF(OR(ISBLANK(BOM_table2[[#This Row],[ASM QTY]]),ISBLANK(BOM_table2[[#This Row],[Unit Cost]])),0,BOM_table2[[#This Row],[ASM QTY]]*BOM_table2[[#This Row],[Unit Cost]])</f>
        <v>0</v>
      </c>
      <c r="Q48" s="65"/>
      <c r="R48" s="69"/>
      <c r="S48"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48" s="70">
        <f>ROUNDUP((BOM_table2[[#This Row],[Order QTY]]/BOM_table2[[#This Row],[SKU QTY]]),0)</f>
        <v>2</v>
      </c>
      <c r="U48" s="68">
        <f>BOM_table2[[#This Row],[SKU Qty to Order]]*BOM_table2[[#This Row],[SKU Cost]]</f>
        <v>0</v>
      </c>
      <c r="V48" s="67"/>
      <c r="W48" s="65"/>
      <c r="X48" s="65"/>
      <c r="Y48" s="69"/>
      <c r="Z48" s="65"/>
      <c r="AA48" s="67"/>
      <c r="AB48" s="65"/>
      <c r="AC48" s="71"/>
      <c r="AD48" s="65"/>
      <c r="AE48" s="65"/>
      <c r="AF48" s="72"/>
    </row>
    <row r="49" spans="1:32" ht="15" customHeight="1" x14ac:dyDescent="0.25">
      <c r="A49" s="64" t="s">
        <v>160</v>
      </c>
      <c r="B49" s="64" t="s">
        <v>1210</v>
      </c>
      <c r="C49" s="65"/>
      <c r="D49" s="65"/>
      <c r="E49" s="65"/>
      <c r="F49" s="45" t="s">
        <v>2160</v>
      </c>
      <c r="G49" s="65">
        <v>1</v>
      </c>
      <c r="H49" s="65"/>
      <c r="I49" s="45" t="s">
        <v>1536</v>
      </c>
      <c r="J49" s="45" t="s">
        <v>166</v>
      </c>
      <c r="K49" s="65" t="s">
        <v>1274</v>
      </c>
      <c r="L49" t="s">
        <v>1298</v>
      </c>
      <c r="M49" s="65">
        <v>1</v>
      </c>
      <c r="N49" s="67"/>
      <c r="O49" s="68">
        <f>IF(OR(ISBLANK(BOM_table2[[#This Row],[SKU QTY]]),BOM_table2[[#This Row],[SKU Cost]]=0),0,BOM_table2[[#This Row],[SKU Cost]]/BOM_table2[[#This Row],[SKU QTY]])</f>
        <v>0</v>
      </c>
      <c r="P49" s="68">
        <f>IF(OR(ISBLANK(BOM_table2[[#This Row],[ASM QTY]]),ISBLANK(BOM_table2[[#This Row],[Unit Cost]])),0,BOM_table2[[#This Row],[ASM QTY]]*BOM_table2[[#This Row],[Unit Cost]])</f>
        <v>0</v>
      </c>
      <c r="Q49" s="65"/>
      <c r="R49" s="69"/>
      <c r="S49"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49" s="70">
        <f>ROUNDUP((BOM_table2[[#This Row],[Order QTY]]/BOM_table2[[#This Row],[SKU QTY]]),0)</f>
        <v>2</v>
      </c>
      <c r="U49" s="68">
        <f>BOM_table2[[#This Row],[SKU Qty to Order]]*BOM_table2[[#This Row],[SKU Cost]]</f>
        <v>0</v>
      </c>
      <c r="V49" s="67"/>
      <c r="W49" s="65"/>
      <c r="X49" s="65"/>
      <c r="Y49" s="69"/>
      <c r="Z49" s="65"/>
      <c r="AA49" s="67"/>
      <c r="AB49" s="65"/>
      <c r="AC49" s="71"/>
      <c r="AD49" s="65"/>
      <c r="AE49" s="65"/>
      <c r="AF49" s="72"/>
    </row>
    <row r="50" spans="1:32" ht="15" customHeight="1" x14ac:dyDescent="0.25">
      <c r="A50" s="64" t="s">
        <v>160</v>
      </c>
      <c r="B50" s="64" t="s">
        <v>1211</v>
      </c>
      <c r="C50" s="65"/>
      <c r="D50" s="65"/>
      <c r="E50" s="65"/>
      <c r="F50" s="45" t="s">
        <v>2160</v>
      </c>
      <c r="G50" s="65">
        <v>1</v>
      </c>
      <c r="H50" s="65"/>
      <c r="I50" s="45" t="s">
        <v>1536</v>
      </c>
      <c r="J50" s="45" t="s">
        <v>166</v>
      </c>
      <c r="K50" s="65" t="s">
        <v>1274</v>
      </c>
      <c r="L50" t="s">
        <v>1299</v>
      </c>
      <c r="M50" s="65">
        <v>1</v>
      </c>
      <c r="N50" s="67"/>
      <c r="O50" s="68">
        <f>IF(OR(ISBLANK(BOM_table2[[#This Row],[SKU QTY]]),BOM_table2[[#This Row],[SKU Cost]]=0),0,BOM_table2[[#This Row],[SKU Cost]]/BOM_table2[[#This Row],[SKU QTY]])</f>
        <v>0</v>
      </c>
      <c r="P50" s="68">
        <f>IF(OR(ISBLANK(BOM_table2[[#This Row],[ASM QTY]]),ISBLANK(BOM_table2[[#This Row],[Unit Cost]])),0,BOM_table2[[#This Row],[ASM QTY]]*BOM_table2[[#This Row],[Unit Cost]])</f>
        <v>0</v>
      </c>
      <c r="Q50" s="65"/>
      <c r="R50" s="69"/>
      <c r="S50"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50" s="70">
        <f>ROUNDUP((BOM_table2[[#This Row],[Order QTY]]/BOM_table2[[#This Row],[SKU QTY]]),0)</f>
        <v>2</v>
      </c>
      <c r="U50" s="68">
        <f>BOM_table2[[#This Row],[SKU Qty to Order]]*BOM_table2[[#This Row],[SKU Cost]]</f>
        <v>0</v>
      </c>
      <c r="V50" s="67"/>
      <c r="W50" s="65"/>
      <c r="X50" s="65"/>
      <c r="Y50" s="69"/>
      <c r="Z50" s="65"/>
      <c r="AA50" s="67"/>
      <c r="AB50" s="65"/>
      <c r="AC50" s="71"/>
      <c r="AD50" s="65"/>
      <c r="AE50" s="65"/>
      <c r="AF50" s="72"/>
    </row>
    <row r="51" spans="1:32" ht="15" customHeight="1" x14ac:dyDescent="0.25">
      <c r="A51" s="64" t="s">
        <v>160</v>
      </c>
      <c r="B51" s="44" t="s">
        <v>1212</v>
      </c>
      <c r="C51" s="45" t="s">
        <v>1250</v>
      </c>
      <c r="D51" s="65"/>
      <c r="E51" s="65" t="s">
        <v>1264</v>
      </c>
      <c r="F51" s="45" t="s">
        <v>2160</v>
      </c>
      <c r="G51" s="65">
        <v>1</v>
      </c>
      <c r="H51" s="45" t="s">
        <v>1367</v>
      </c>
      <c r="I51" s="65"/>
      <c r="J51" s="45" t="s">
        <v>166</v>
      </c>
      <c r="K51" s="65" t="s">
        <v>1273</v>
      </c>
      <c r="L51" s="88" t="s">
        <v>1250</v>
      </c>
      <c r="M51" s="65">
        <v>1</v>
      </c>
      <c r="N51" s="67"/>
      <c r="O51" s="68">
        <f>IF(OR(ISBLANK(BOM_table2[[#This Row],[SKU QTY]]),BOM_table2[[#This Row],[SKU Cost]]=0),0,BOM_table2[[#This Row],[SKU Cost]]/BOM_table2[[#This Row],[SKU QTY]])</f>
        <v>0</v>
      </c>
      <c r="P51" s="68">
        <f>IF(OR(ISBLANK(BOM_table2[[#This Row],[ASM QTY]]),ISBLANK(BOM_table2[[#This Row],[Unit Cost]])),0,BOM_table2[[#This Row],[ASM QTY]]*BOM_table2[[#This Row],[Unit Cost]])</f>
        <v>0</v>
      </c>
      <c r="Q51" s="65"/>
      <c r="R51" s="69"/>
      <c r="S51"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51" s="70">
        <f>ROUNDUP((BOM_table2[[#This Row],[Order QTY]]/BOM_table2[[#This Row],[SKU QTY]]),0)</f>
        <v>2</v>
      </c>
      <c r="U51" s="68">
        <f>BOM_table2[[#This Row],[SKU Qty to Order]]*BOM_table2[[#This Row],[SKU Cost]]</f>
        <v>0</v>
      </c>
      <c r="V51" s="67"/>
      <c r="W51" s="65"/>
      <c r="X51" s="65"/>
      <c r="Y51" s="69"/>
      <c r="Z51" s="65"/>
      <c r="AA51" s="67"/>
      <c r="AB51" s="65"/>
      <c r="AC51" s="71"/>
      <c r="AD51" s="65"/>
      <c r="AE51" s="65"/>
      <c r="AF51" s="119" t="s">
        <v>1607</v>
      </c>
    </row>
    <row r="52" spans="1:32" ht="15" customHeight="1" x14ac:dyDescent="0.25">
      <c r="A52" s="64" t="s">
        <v>160</v>
      </c>
      <c r="B52" s="64" t="s">
        <v>1213</v>
      </c>
      <c r="C52" s="45" t="s">
        <v>1251</v>
      </c>
      <c r="D52" s="65"/>
      <c r="E52" s="65" t="s">
        <v>1264</v>
      </c>
      <c r="F52" s="45" t="s">
        <v>2160</v>
      </c>
      <c r="G52" s="65">
        <v>1</v>
      </c>
      <c r="H52" s="45" t="s">
        <v>1367</v>
      </c>
      <c r="I52" s="65"/>
      <c r="J52" s="45" t="s">
        <v>166</v>
      </c>
      <c r="K52" s="65" t="s">
        <v>1273</v>
      </c>
      <c r="L52" t="s">
        <v>1251</v>
      </c>
      <c r="M52" s="65">
        <v>1</v>
      </c>
      <c r="N52" s="67"/>
      <c r="O52" s="68">
        <f>IF(OR(ISBLANK(BOM_table2[[#This Row],[SKU QTY]]),BOM_table2[[#This Row],[SKU Cost]]=0),0,BOM_table2[[#This Row],[SKU Cost]]/BOM_table2[[#This Row],[SKU QTY]])</f>
        <v>0</v>
      </c>
      <c r="P52" s="68">
        <f>IF(OR(ISBLANK(BOM_table2[[#This Row],[ASM QTY]]),ISBLANK(BOM_table2[[#This Row],[Unit Cost]])),0,BOM_table2[[#This Row],[ASM QTY]]*BOM_table2[[#This Row],[Unit Cost]])</f>
        <v>0</v>
      </c>
      <c r="Q52" s="65"/>
      <c r="R52" s="69"/>
      <c r="S52"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52" s="70">
        <f>ROUNDUP((BOM_table2[[#This Row],[Order QTY]]/BOM_table2[[#This Row],[SKU QTY]]),0)</f>
        <v>2</v>
      </c>
      <c r="U52" s="68">
        <f>BOM_table2[[#This Row],[SKU Qty to Order]]*BOM_table2[[#This Row],[SKU Cost]]</f>
        <v>0</v>
      </c>
      <c r="V52" s="50"/>
      <c r="W52" s="45"/>
      <c r="X52" s="45"/>
      <c r="Y52" s="71"/>
      <c r="Z52" s="65"/>
      <c r="AA52" s="67"/>
      <c r="AB52" s="65"/>
      <c r="AC52" s="71"/>
      <c r="AD52" s="65"/>
      <c r="AE52" s="65"/>
      <c r="AF52" s="114" t="s">
        <v>1608</v>
      </c>
    </row>
    <row r="53" spans="1:32" ht="15" customHeight="1" x14ac:dyDescent="0.25">
      <c r="A53" s="64" t="s">
        <v>160</v>
      </c>
      <c r="B53" s="64" t="s">
        <v>1214</v>
      </c>
      <c r="C53" s="45" t="s">
        <v>1252</v>
      </c>
      <c r="D53" s="65"/>
      <c r="E53" s="65" t="s">
        <v>1264</v>
      </c>
      <c r="F53" s="45" t="s">
        <v>2160</v>
      </c>
      <c r="G53" s="65">
        <v>1</v>
      </c>
      <c r="H53" s="45" t="s">
        <v>1367</v>
      </c>
      <c r="I53" s="65"/>
      <c r="J53" s="45" t="s">
        <v>166</v>
      </c>
      <c r="K53" s="65" t="s">
        <v>1273</v>
      </c>
      <c r="L53" t="s">
        <v>1252</v>
      </c>
      <c r="M53" s="65">
        <v>1</v>
      </c>
      <c r="N53" s="67"/>
      <c r="O53" s="68">
        <f>IF(OR(ISBLANK(BOM_table2[[#This Row],[SKU QTY]]),BOM_table2[[#This Row],[SKU Cost]]=0),0,BOM_table2[[#This Row],[SKU Cost]]/BOM_table2[[#This Row],[SKU QTY]])</f>
        <v>0</v>
      </c>
      <c r="P53" s="68">
        <f>IF(OR(ISBLANK(BOM_table2[[#This Row],[ASM QTY]]),ISBLANK(BOM_table2[[#This Row],[Unit Cost]])),0,BOM_table2[[#This Row],[ASM QTY]]*BOM_table2[[#This Row],[Unit Cost]])</f>
        <v>0</v>
      </c>
      <c r="Q53" s="65"/>
      <c r="R53" s="69"/>
      <c r="S53"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53" s="70">
        <f>ROUNDUP((BOM_table2[[#This Row],[Order QTY]]/BOM_table2[[#This Row],[SKU QTY]]),0)</f>
        <v>2</v>
      </c>
      <c r="U53" s="68">
        <f>BOM_table2[[#This Row],[SKU Qty to Order]]*BOM_table2[[#This Row],[SKU Cost]]</f>
        <v>0</v>
      </c>
      <c r="V53" s="50"/>
      <c r="W53" s="45"/>
      <c r="X53" s="45"/>
      <c r="Y53" s="71"/>
      <c r="Z53" s="65"/>
      <c r="AA53" s="67"/>
      <c r="AB53" s="65"/>
      <c r="AC53" s="71"/>
      <c r="AD53" s="71"/>
      <c r="AE53" s="71"/>
      <c r="AF53" s="114" t="s">
        <v>1609</v>
      </c>
    </row>
    <row r="54" spans="1:32" ht="15" customHeight="1" x14ac:dyDescent="0.25">
      <c r="A54" s="64" t="s">
        <v>160</v>
      </c>
      <c r="B54" s="64" t="s">
        <v>1215</v>
      </c>
      <c r="C54" s="45" t="s">
        <v>1253</v>
      </c>
      <c r="D54" s="65"/>
      <c r="E54" s="65" t="s">
        <v>1264</v>
      </c>
      <c r="F54" s="45" t="s">
        <v>2160</v>
      </c>
      <c r="G54" s="65">
        <v>2</v>
      </c>
      <c r="H54" s="45" t="s">
        <v>1367</v>
      </c>
      <c r="I54" s="65"/>
      <c r="J54" s="45" t="s">
        <v>166</v>
      </c>
      <c r="K54" s="65" t="s">
        <v>1273</v>
      </c>
      <c r="L54" t="s">
        <v>1253</v>
      </c>
      <c r="M54" s="65">
        <v>1</v>
      </c>
      <c r="N54" s="67"/>
      <c r="O54" s="68">
        <f>IF(OR(ISBLANK(BOM_table2[[#This Row],[SKU QTY]]),BOM_table2[[#This Row],[SKU Cost]]=0),0,BOM_table2[[#This Row],[SKU Cost]]/BOM_table2[[#This Row],[SKU QTY]])</f>
        <v>0</v>
      </c>
      <c r="P54" s="68">
        <f>IF(OR(ISBLANK(BOM_table2[[#This Row],[ASM QTY]]),ISBLANK(BOM_table2[[#This Row],[Unit Cost]])),0,BOM_table2[[#This Row],[ASM QTY]]*BOM_table2[[#This Row],[Unit Cost]])</f>
        <v>0</v>
      </c>
      <c r="Q54" s="65"/>
      <c r="R54" s="69"/>
      <c r="S54"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4</v>
      </c>
      <c r="T54" s="70">
        <f>ROUNDUP((BOM_table2[[#This Row],[Order QTY]]/BOM_table2[[#This Row],[SKU QTY]]),0)</f>
        <v>4</v>
      </c>
      <c r="U54" s="68">
        <f>BOM_table2[[#This Row],[SKU Qty to Order]]*BOM_table2[[#This Row],[SKU Cost]]</f>
        <v>0</v>
      </c>
      <c r="V54" s="50"/>
      <c r="W54" s="45"/>
      <c r="X54" s="45"/>
      <c r="Y54" s="71"/>
      <c r="Z54" s="65"/>
      <c r="AA54" s="67"/>
      <c r="AB54" s="65"/>
      <c r="AC54" s="71"/>
      <c r="AD54" s="71"/>
      <c r="AE54" s="71"/>
      <c r="AF54" s="56" t="s">
        <v>1610</v>
      </c>
    </row>
    <row r="55" spans="1:32" ht="15" customHeight="1" x14ac:dyDescent="0.25">
      <c r="A55" s="64" t="s">
        <v>160</v>
      </c>
      <c r="B55" s="64" t="s">
        <v>1216</v>
      </c>
      <c r="C55" s="65">
        <v>35110</v>
      </c>
      <c r="D55" s="65"/>
      <c r="E55" s="65" t="s">
        <v>1262</v>
      </c>
      <c r="F55" s="45" t="s">
        <v>2160</v>
      </c>
      <c r="G55" s="65">
        <v>2</v>
      </c>
      <c r="H55" s="45" t="s">
        <v>1367</v>
      </c>
      <c r="I55" s="65"/>
      <c r="J55" s="45" t="s">
        <v>166</v>
      </c>
      <c r="K55" s="65" t="s">
        <v>1272</v>
      </c>
      <c r="L55" s="88" t="s">
        <v>1300</v>
      </c>
      <c r="M55" s="65">
        <v>1</v>
      </c>
      <c r="N55" s="67"/>
      <c r="O55" s="68">
        <f>IF(OR(ISBLANK(BOM_table2[[#This Row],[SKU QTY]]),BOM_table2[[#This Row],[SKU Cost]]=0),0,BOM_table2[[#This Row],[SKU Cost]]/BOM_table2[[#This Row],[SKU QTY]])</f>
        <v>0</v>
      </c>
      <c r="P55" s="68">
        <f>IF(OR(ISBLANK(BOM_table2[[#This Row],[ASM QTY]]),ISBLANK(BOM_table2[[#This Row],[Unit Cost]])),0,BOM_table2[[#This Row],[ASM QTY]]*BOM_table2[[#This Row],[Unit Cost]])</f>
        <v>0</v>
      </c>
      <c r="Q55" s="65"/>
      <c r="R55" s="69"/>
      <c r="S55"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4</v>
      </c>
      <c r="T55" s="70">
        <f>ROUNDUP((BOM_table2[[#This Row],[Order QTY]]/BOM_table2[[#This Row],[SKU QTY]]),0)</f>
        <v>4</v>
      </c>
      <c r="U55" s="68">
        <f>BOM_table2[[#This Row],[SKU Qty to Order]]*BOM_table2[[#This Row],[SKU Cost]]</f>
        <v>0</v>
      </c>
      <c r="V55" s="50"/>
      <c r="W55" s="45"/>
      <c r="X55" s="45"/>
      <c r="Y55" s="71"/>
      <c r="Z55" s="65"/>
      <c r="AA55" s="67"/>
      <c r="AB55" s="65"/>
      <c r="AC55" s="71"/>
      <c r="AD55" s="71"/>
      <c r="AE55" s="71"/>
      <c r="AF55" s="114" t="s">
        <v>1601</v>
      </c>
    </row>
    <row r="56" spans="1:32" ht="15" customHeight="1" x14ac:dyDescent="0.25">
      <c r="A56" s="64" t="s">
        <v>160</v>
      </c>
      <c r="B56" s="44" t="s">
        <v>1537</v>
      </c>
      <c r="C56" s="92" t="s">
        <v>1538</v>
      </c>
      <c r="D56" s="65"/>
      <c r="E56" s="65" t="s">
        <v>1274</v>
      </c>
      <c r="F56" s="45" t="s">
        <v>2160</v>
      </c>
      <c r="G56" s="65">
        <v>2</v>
      </c>
      <c r="H56" s="45" t="s">
        <v>1367</v>
      </c>
      <c r="I56" s="45" t="s">
        <v>1539</v>
      </c>
      <c r="J56" s="45" t="s">
        <v>166</v>
      </c>
      <c r="K56" s="65" t="s">
        <v>1274</v>
      </c>
      <c r="L56" t="s">
        <v>1538</v>
      </c>
      <c r="M56" s="65">
        <v>1</v>
      </c>
      <c r="N56" s="67"/>
      <c r="O56" s="68">
        <f>IF(OR(ISBLANK(BOM_table2[[#This Row],[SKU QTY]]),BOM_table2[[#This Row],[SKU Cost]]=0),0,BOM_table2[[#This Row],[SKU Cost]]/BOM_table2[[#This Row],[SKU QTY]])</f>
        <v>0</v>
      </c>
      <c r="P56" s="68">
        <f>IF(OR(ISBLANK(BOM_table2[[#This Row],[ASM QTY]]),ISBLANK(BOM_table2[[#This Row],[Unit Cost]])),0,BOM_table2[[#This Row],[ASM QTY]]*BOM_table2[[#This Row],[Unit Cost]])</f>
        <v>0</v>
      </c>
      <c r="Q56" s="65"/>
      <c r="R56" s="69"/>
      <c r="S56"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4</v>
      </c>
      <c r="T56" s="70">
        <f>ROUNDUP((BOM_table2[[#This Row],[Order QTY]]/BOM_table2[[#This Row],[SKU QTY]]),0)</f>
        <v>4</v>
      </c>
      <c r="U56" s="68">
        <f>BOM_table2[[#This Row],[SKU Qty to Order]]*BOM_table2[[#This Row],[SKU Cost]]</f>
        <v>0</v>
      </c>
      <c r="V56" s="50"/>
      <c r="W56" s="45"/>
      <c r="X56" s="45"/>
      <c r="Y56" s="71"/>
      <c r="Z56" s="65"/>
      <c r="AA56" s="67"/>
      <c r="AB56" s="65"/>
      <c r="AC56" s="71"/>
      <c r="AD56" s="71"/>
      <c r="AE56" s="71"/>
      <c r="AF56" s="114" t="s">
        <v>1602</v>
      </c>
    </row>
    <row r="57" spans="1:32" ht="15" customHeight="1" x14ac:dyDescent="0.25">
      <c r="A57" s="64" t="s">
        <v>160</v>
      </c>
      <c r="B57" s="44" t="s">
        <v>1217</v>
      </c>
      <c r="C57" s="65"/>
      <c r="D57" s="65"/>
      <c r="E57" s="65"/>
      <c r="F57" s="45" t="s">
        <v>2160</v>
      </c>
      <c r="G57" s="65"/>
      <c r="H57" s="45" t="s">
        <v>1367</v>
      </c>
      <c r="I57" s="45" t="s">
        <v>1541</v>
      </c>
      <c r="J57" s="45" t="s">
        <v>166</v>
      </c>
      <c r="K57" s="65"/>
      <c r="L57"/>
      <c r="M57" s="65">
        <v>1</v>
      </c>
      <c r="N57" s="67"/>
      <c r="O57" s="68">
        <f>IF(OR(ISBLANK(BOM_table2[[#This Row],[SKU QTY]]),BOM_table2[[#This Row],[SKU Cost]]=0),0,BOM_table2[[#This Row],[SKU Cost]]/BOM_table2[[#This Row],[SKU QTY]])</f>
        <v>0</v>
      </c>
      <c r="P57" s="68">
        <f>IF(OR(ISBLANK(BOM_table2[[#This Row],[ASM QTY]]),ISBLANK(BOM_table2[[#This Row],[Unit Cost]])),0,BOM_table2[[#This Row],[ASM QTY]]*BOM_table2[[#This Row],[Unit Cost]])</f>
        <v>0</v>
      </c>
      <c r="Q57" s="65"/>
      <c r="R57" s="69"/>
      <c r="S57"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0</v>
      </c>
      <c r="T57" s="70">
        <f>ROUNDUP((BOM_table2[[#This Row],[Order QTY]]/BOM_table2[[#This Row],[SKU QTY]]),0)</f>
        <v>0</v>
      </c>
      <c r="U57" s="68">
        <f>BOM_table2[[#This Row],[SKU Qty to Order]]*BOM_table2[[#This Row],[SKU Cost]]</f>
        <v>0</v>
      </c>
      <c r="V57" s="67"/>
      <c r="W57" s="65"/>
      <c r="X57" s="65"/>
      <c r="Y57" s="69"/>
      <c r="Z57" s="65"/>
      <c r="AA57" s="67"/>
      <c r="AB57" s="65"/>
      <c r="AC57" s="71"/>
      <c r="AD57" s="65"/>
      <c r="AE57" s="65"/>
      <c r="AF57" s="72"/>
    </row>
    <row r="58" spans="1:32" ht="15" customHeight="1" x14ac:dyDescent="0.25">
      <c r="A58" s="64" t="s">
        <v>160</v>
      </c>
      <c r="B58" s="121" t="s">
        <v>1615</v>
      </c>
      <c r="C58" s="123" t="s">
        <v>1616</v>
      </c>
      <c r="D58" s="65"/>
      <c r="E58" s="45" t="s">
        <v>1617</v>
      </c>
      <c r="F58" s="45" t="s">
        <v>2160</v>
      </c>
      <c r="G58" s="65">
        <v>1</v>
      </c>
      <c r="H58" s="45" t="s">
        <v>1618</v>
      </c>
      <c r="I58" s="65"/>
      <c r="J58" s="45" t="s">
        <v>166</v>
      </c>
      <c r="K58" s="45" t="s">
        <v>1619</v>
      </c>
      <c r="L58" s="122">
        <v>521943</v>
      </c>
      <c r="M58" s="65">
        <v>1</v>
      </c>
      <c r="N58" s="67"/>
      <c r="O58" s="68">
        <f>IF(OR(ISBLANK(BOM_table2[[#This Row],[SKU QTY]]),BOM_table2[[#This Row],[SKU Cost]]=0),0,BOM_table2[[#This Row],[SKU Cost]]/BOM_table2[[#This Row],[SKU QTY]])</f>
        <v>0</v>
      </c>
      <c r="P58" s="68">
        <f>IF(OR(ISBLANK(BOM_table2[[#This Row],[ASM QTY]]),ISBLANK(BOM_table2[[#This Row],[Unit Cost]])),0,BOM_table2[[#This Row],[ASM QTY]]*BOM_table2[[#This Row],[Unit Cost]])</f>
        <v>0</v>
      </c>
      <c r="Q58" s="65"/>
      <c r="R58" s="69"/>
      <c r="S58"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2</v>
      </c>
      <c r="T58" s="70">
        <f>ROUNDUP((BOM_table2[[#This Row],[Order QTY]]/BOM_table2[[#This Row],[SKU QTY]]),0)</f>
        <v>2</v>
      </c>
      <c r="U58" s="68">
        <f>BOM_table2[[#This Row],[SKU Qty to Order]]*BOM_table2[[#This Row],[SKU Cost]]</f>
        <v>0</v>
      </c>
      <c r="V58" s="50"/>
      <c r="W58" s="45"/>
      <c r="X58" s="45"/>
      <c r="Y58" s="71"/>
      <c r="Z58" s="65"/>
      <c r="AA58" s="67"/>
      <c r="AB58" s="65"/>
      <c r="AC58" s="71"/>
      <c r="AD58" s="71"/>
      <c r="AE58" s="71"/>
      <c r="AF58" s="116" t="s">
        <v>1620</v>
      </c>
    </row>
    <row r="59" spans="1:32" ht="15" customHeight="1" x14ac:dyDescent="0.25">
      <c r="A59" s="64"/>
      <c r="B59" s="64"/>
      <c r="C59" s="65"/>
      <c r="D59" s="65"/>
      <c r="E59" s="65"/>
      <c r="F59" s="65"/>
      <c r="G59" s="65"/>
      <c r="H59" s="65"/>
      <c r="I59" s="65"/>
      <c r="J59" s="65"/>
      <c r="K59" s="65"/>
      <c r="L59"/>
      <c r="M59" s="65">
        <v>1</v>
      </c>
      <c r="N59" s="67"/>
      <c r="O59" s="68">
        <f>IF(OR(ISBLANK(BOM_table2[[#This Row],[SKU QTY]]),BOM_table2[[#This Row],[SKU Cost]]=0),0,BOM_table2[[#This Row],[SKU Cost]]/BOM_table2[[#This Row],[SKU QTY]])</f>
        <v>0</v>
      </c>
      <c r="P59" s="68">
        <f>IF(OR(ISBLANK(BOM_table2[[#This Row],[ASM QTY]]),ISBLANK(BOM_table2[[#This Row],[Unit Cost]])),0,BOM_table2[[#This Row],[ASM QTY]]*BOM_table2[[#This Row],[Unit Cost]])</f>
        <v>0</v>
      </c>
      <c r="Q59" s="65"/>
      <c r="R59" s="69"/>
      <c r="S59" s="70">
        <f>IF(OR(AND(ISBLANK(BOM_table2[[#This Row],[ASM QTY]]),ISBLANK(BOM_table2[[#This Row],[Spare QTY Needed]]),ISBLANK(BOM_table2[[#This Row],[QTY in Inventory]])),ISBLANK(BOM_table2[[#This Row],[SKU QTY]]),0&gt;_xlfn.CEILING.MATH(BOM_table2[[#This Row],[ASM QTY]]*$Q$2+BOM_table2[[#This Row],[Spare QTY Needed]]-BOM_table2[[#This Row],[QTY in Inventory]])),0,_xlfn.CEILING.MATH((BOM_table2[[#This Row],[ASM QTY]]*$Q$2+BOM_table2[[#This Row],[Spare QTY Needed]]-BOM_table2[[#This Row],[QTY in Inventory]])/BOM_table2[[#This Row],[SKU QTY]]))</f>
        <v>0</v>
      </c>
      <c r="T59" s="70">
        <f>ROUNDUP((BOM_table2[[#This Row],[Order QTY]]/BOM_table2[[#This Row],[SKU QTY]]),0)</f>
        <v>0</v>
      </c>
      <c r="U59" s="68">
        <f>BOM_table2[[#This Row],[SKU Qty to Order]]*BOM_table2[[#This Row],[SKU Cost]]</f>
        <v>0</v>
      </c>
      <c r="V59" s="67"/>
      <c r="W59" s="65"/>
      <c r="X59" s="65"/>
      <c r="Y59" s="69"/>
      <c r="Z59" s="65"/>
      <c r="AA59" s="67"/>
      <c r="AB59" s="65"/>
      <c r="AC59" s="71"/>
      <c r="AD59" s="65"/>
      <c r="AE59" s="65"/>
      <c r="AF59" s="72"/>
    </row>
    <row r="60" spans="1:32" ht="15" customHeight="1" x14ac:dyDescent="0.2">
      <c r="B60" s="44" t="s">
        <v>12</v>
      </c>
      <c r="C60" s="45">
        <f>SUBTOTAL(103,BOM_table2[Part Number])</f>
        <v>51</v>
      </c>
      <c r="D60" s="45"/>
      <c r="E60" s="45"/>
      <c r="F60" s="45"/>
      <c r="G60" s="45">
        <f>SUBTOTAL(109,BOM_table2[ASM QTY])</f>
        <v>96</v>
      </c>
      <c r="H60" s="45"/>
      <c r="I60" s="45"/>
      <c r="J60" s="45"/>
      <c r="K60" s="45"/>
      <c r="L60" s="45">
        <f>SUBTOTAL(103,BOM_table2[SKU])</f>
        <v>38</v>
      </c>
      <c r="M60" s="45"/>
      <c r="N60" s="45"/>
      <c r="O60" s="45"/>
      <c r="P60" s="50">
        <f>SUBTOTAL(109,BOM_table2[Assembly Cost])</f>
        <v>0</v>
      </c>
      <c r="Q60" s="45"/>
      <c r="R60" s="45"/>
      <c r="S60" s="45"/>
      <c r="T60" s="45"/>
      <c r="U60" s="50">
        <f>SUBTOTAL(109,BOM_table2[Order Cost])</f>
        <v>0</v>
      </c>
      <c r="V60" s="45"/>
      <c r="W60" s="45"/>
      <c r="X60" s="45"/>
      <c r="Y60" s="45"/>
      <c r="Z60" s="45"/>
      <c r="AA60" s="45"/>
      <c r="AB60" s="45"/>
      <c r="AC60" s="45"/>
      <c r="AD60" s="45"/>
      <c r="AE60" s="45"/>
      <c r="AF60" s="55"/>
    </row>
    <row r="61" spans="1:32" ht="15" customHeight="1" x14ac:dyDescent="0.25">
      <c r="J61" s="44"/>
    </row>
    <row r="62" spans="1:32" ht="15" customHeight="1" x14ac:dyDescent="0.25">
      <c r="J62" s="44"/>
    </row>
    <row r="63" spans="1:32" ht="15" customHeight="1" x14ac:dyDescent="0.25">
      <c r="J63" s="44"/>
    </row>
    <row r="64" spans="1:32" ht="15" customHeight="1" x14ac:dyDescent="0.25">
      <c r="J64" s="44"/>
    </row>
    <row r="65" spans="10:10" ht="15" customHeight="1" x14ac:dyDescent="0.25">
      <c r="J65" s="44"/>
    </row>
    <row r="66" spans="10:10" ht="15" customHeight="1" x14ac:dyDescent="0.25">
      <c r="J66" s="44"/>
    </row>
    <row r="67" spans="10:10" ht="15" customHeight="1" x14ac:dyDescent="0.25">
      <c r="J67" s="44"/>
    </row>
    <row r="68" spans="10:10" ht="15" customHeight="1" x14ac:dyDescent="0.25">
      <c r="J68" s="44"/>
    </row>
    <row r="69" spans="10:10" ht="15" customHeight="1" x14ac:dyDescent="0.25">
      <c r="J69" s="44"/>
    </row>
    <row r="70" spans="10:10" ht="15" customHeight="1" x14ac:dyDescent="0.25">
      <c r="J70" s="44"/>
    </row>
    <row r="71" spans="10:10" ht="15" customHeight="1" x14ac:dyDescent="0.25">
      <c r="J71" s="44"/>
    </row>
    <row r="72" spans="10:10" ht="15" customHeight="1" x14ac:dyDescent="0.25">
      <c r="J72" s="44"/>
    </row>
    <row r="73" spans="10:10" ht="15" customHeight="1" x14ac:dyDescent="0.25">
      <c r="J73" s="44"/>
    </row>
    <row r="74" spans="10:10" ht="15" customHeight="1" x14ac:dyDescent="0.25">
      <c r="J74" s="44"/>
    </row>
    <row r="75" spans="10:10" ht="15" customHeight="1" x14ac:dyDescent="0.25">
      <c r="J75" s="44"/>
    </row>
    <row r="76" spans="10:10" ht="15" customHeight="1" x14ac:dyDescent="0.25">
      <c r="J76" s="44"/>
    </row>
    <row r="77" spans="10:10" ht="15" customHeight="1" x14ac:dyDescent="0.25">
      <c r="J77" s="44"/>
    </row>
    <row r="78" spans="10:10" ht="15" customHeight="1" x14ac:dyDescent="0.25">
      <c r="J78" s="44"/>
    </row>
    <row r="79" spans="10:10" ht="15" customHeight="1" x14ac:dyDescent="0.25">
      <c r="J79" s="44"/>
    </row>
    <row r="80" spans="10:10" ht="15" customHeight="1" x14ac:dyDescent="0.25">
      <c r="J80" s="44"/>
    </row>
    <row r="81" spans="10:10" ht="15" customHeight="1" x14ac:dyDescent="0.25">
      <c r="J81" s="44"/>
    </row>
    <row r="82" spans="10:10" ht="15" customHeight="1" x14ac:dyDescent="0.25">
      <c r="J82" s="44"/>
    </row>
    <row r="83" spans="10:10" ht="15" customHeight="1" x14ac:dyDescent="0.25">
      <c r="J83" s="44"/>
    </row>
    <row r="84" spans="10:10" ht="15" customHeight="1" x14ac:dyDescent="0.25">
      <c r="J84" s="44"/>
    </row>
    <row r="85" spans="10:10" ht="15" customHeight="1" x14ac:dyDescent="0.25">
      <c r="J85" s="44"/>
    </row>
    <row r="86" spans="10:10" ht="15" customHeight="1" x14ac:dyDescent="0.25">
      <c r="J86" s="44"/>
    </row>
    <row r="87" spans="10:10" ht="15" customHeight="1" x14ac:dyDescent="0.25">
      <c r="J87" s="44"/>
    </row>
    <row r="88" spans="10:10" ht="15" customHeight="1" x14ac:dyDescent="0.25">
      <c r="J88" s="44"/>
    </row>
    <row r="89" spans="10:10" ht="15" customHeight="1" x14ac:dyDescent="0.25">
      <c r="J89" s="44"/>
    </row>
    <row r="90" spans="10:10" ht="15" customHeight="1" x14ac:dyDescent="0.25">
      <c r="J90" s="44"/>
    </row>
    <row r="91" spans="10:10" ht="15" customHeight="1" x14ac:dyDescent="0.25">
      <c r="J91" s="44"/>
    </row>
    <row r="92" spans="10:10" ht="15" customHeight="1" x14ac:dyDescent="0.25">
      <c r="J92" s="44"/>
    </row>
    <row r="93" spans="10:10" ht="15" customHeight="1" x14ac:dyDescent="0.25">
      <c r="J93" s="44"/>
    </row>
    <row r="94" spans="10:10" ht="15" customHeight="1" x14ac:dyDescent="0.25">
      <c r="J94" s="44"/>
    </row>
    <row r="95" spans="10:10" ht="15" customHeight="1" x14ac:dyDescent="0.25">
      <c r="J95" s="44"/>
    </row>
    <row r="96" spans="10:10" ht="15" customHeight="1" x14ac:dyDescent="0.25">
      <c r="J96" s="44"/>
    </row>
    <row r="97" spans="10:10" ht="15" customHeight="1" x14ac:dyDescent="0.25">
      <c r="J97" s="44"/>
    </row>
    <row r="98" spans="10:10" ht="15" customHeight="1" x14ac:dyDescent="0.25">
      <c r="J98" s="44"/>
    </row>
    <row r="99" spans="10:10" ht="15" customHeight="1" x14ac:dyDescent="0.25">
      <c r="J99" s="44"/>
    </row>
    <row r="100" spans="10:10" ht="15" customHeight="1" x14ac:dyDescent="0.25">
      <c r="J100" s="44"/>
    </row>
    <row r="101" spans="10:10" ht="15" customHeight="1" x14ac:dyDescent="0.25">
      <c r="J101" s="44"/>
    </row>
    <row r="102" spans="10:10" ht="15" customHeight="1" x14ac:dyDescent="0.25">
      <c r="J102" s="44"/>
    </row>
    <row r="103" spans="10:10" ht="15" customHeight="1" x14ac:dyDescent="0.25">
      <c r="J103" s="44"/>
    </row>
    <row r="104" spans="10:10" ht="15" customHeight="1" x14ac:dyDescent="0.25">
      <c r="J104" s="44"/>
    </row>
    <row r="105" spans="10:10" ht="15" customHeight="1" x14ac:dyDescent="0.25">
      <c r="J105" s="44"/>
    </row>
    <row r="106" spans="10:10" ht="15" customHeight="1" x14ac:dyDescent="0.25">
      <c r="J106" s="44"/>
    </row>
    <row r="107" spans="10:10" ht="15" customHeight="1" x14ac:dyDescent="0.25">
      <c r="J107" s="44"/>
    </row>
    <row r="108" spans="10:10" ht="15" customHeight="1" x14ac:dyDescent="0.25">
      <c r="J108" s="44"/>
    </row>
    <row r="109" spans="10:10" ht="15" customHeight="1" x14ac:dyDescent="0.25">
      <c r="J109" s="44"/>
    </row>
    <row r="110" spans="10:10" ht="15" customHeight="1" x14ac:dyDescent="0.25">
      <c r="J110" s="44"/>
    </row>
    <row r="111" spans="10:10" ht="15" customHeight="1" x14ac:dyDescent="0.25">
      <c r="J111" s="44"/>
    </row>
    <row r="112" spans="10:10" ht="15" customHeight="1" x14ac:dyDescent="0.25">
      <c r="J112" s="44"/>
    </row>
    <row r="113" spans="10:10" ht="15" customHeight="1" x14ac:dyDescent="0.25">
      <c r="J113" s="44"/>
    </row>
    <row r="114" spans="10:10" ht="15" customHeight="1" x14ac:dyDescent="0.25">
      <c r="J114" s="44"/>
    </row>
    <row r="115" spans="10:10" ht="15" customHeight="1" x14ac:dyDescent="0.25">
      <c r="J115" s="44"/>
    </row>
    <row r="116" spans="10:10" ht="15" customHeight="1" x14ac:dyDescent="0.25">
      <c r="J116" s="44"/>
    </row>
    <row r="117" spans="10:10" ht="15" customHeight="1" x14ac:dyDescent="0.25">
      <c r="J117" s="44"/>
    </row>
    <row r="118" spans="10:10" ht="15" customHeight="1" x14ac:dyDescent="0.25">
      <c r="J118" s="44"/>
    </row>
    <row r="119" spans="10:10" ht="15" customHeight="1" x14ac:dyDescent="0.25">
      <c r="J119" s="44"/>
    </row>
    <row r="120" spans="10:10" ht="15" customHeight="1" x14ac:dyDescent="0.25">
      <c r="J120" s="44"/>
    </row>
    <row r="121" spans="10:10" ht="15" customHeight="1" x14ac:dyDescent="0.25">
      <c r="J121" s="44"/>
    </row>
    <row r="122" spans="10:10" ht="15" customHeight="1" x14ac:dyDescent="0.25">
      <c r="J122" s="44"/>
    </row>
    <row r="123" spans="10:10" ht="15" customHeight="1" x14ac:dyDescent="0.25">
      <c r="J123" s="44"/>
    </row>
    <row r="124" spans="10:10" ht="15" customHeight="1" x14ac:dyDescent="0.25">
      <c r="J124" s="44"/>
    </row>
    <row r="125" spans="10:10" ht="15" customHeight="1" x14ac:dyDescent="0.25">
      <c r="J125" s="44"/>
    </row>
    <row r="126" spans="10:10" ht="15" customHeight="1" x14ac:dyDescent="0.25">
      <c r="J126" s="44"/>
    </row>
    <row r="127" spans="10:10" ht="15" customHeight="1" x14ac:dyDescent="0.25">
      <c r="J127" s="44"/>
    </row>
    <row r="128" spans="10:10" ht="15" customHeight="1" x14ac:dyDescent="0.25">
      <c r="J128" s="44"/>
    </row>
    <row r="129" spans="10:10" ht="15" customHeight="1" x14ac:dyDescent="0.25">
      <c r="J129" s="44"/>
    </row>
    <row r="130" spans="10:10" ht="15" customHeight="1" x14ac:dyDescent="0.25">
      <c r="J130" s="44"/>
    </row>
    <row r="131" spans="10:10" ht="15" customHeight="1" x14ac:dyDescent="0.25">
      <c r="J131" s="44"/>
    </row>
    <row r="132" spans="10:10" ht="15" customHeight="1" x14ac:dyDescent="0.25">
      <c r="J132" s="44"/>
    </row>
    <row r="133" spans="10:10" ht="15" customHeight="1" x14ac:dyDescent="0.25">
      <c r="J133" s="44"/>
    </row>
    <row r="134" spans="10:10" ht="15" customHeight="1" x14ac:dyDescent="0.25">
      <c r="J134" s="44"/>
    </row>
    <row r="135" spans="10:10" ht="15" customHeight="1" x14ac:dyDescent="0.25">
      <c r="J135" s="44"/>
    </row>
    <row r="136" spans="10:10" ht="15" customHeight="1" x14ac:dyDescent="0.25">
      <c r="J136" s="44"/>
    </row>
    <row r="137" spans="10:10" ht="15" customHeight="1" x14ac:dyDescent="0.25">
      <c r="J137" s="44"/>
    </row>
    <row r="138" spans="10:10" ht="15" customHeight="1" x14ac:dyDescent="0.25">
      <c r="J138" s="44"/>
    </row>
    <row r="139" spans="10:10" ht="15" customHeight="1" x14ac:dyDescent="0.25">
      <c r="J139" s="44"/>
    </row>
    <row r="140" spans="10:10" ht="15" customHeight="1" x14ac:dyDescent="0.25">
      <c r="J140" s="44"/>
    </row>
    <row r="141" spans="10:10" ht="15" customHeight="1" x14ac:dyDescent="0.25">
      <c r="J141" s="44"/>
    </row>
    <row r="142" spans="10:10" ht="15" customHeight="1" x14ac:dyDescent="0.25">
      <c r="J142" s="44"/>
    </row>
    <row r="143" spans="10:10" ht="15" customHeight="1" x14ac:dyDescent="0.25">
      <c r="J143" s="44"/>
    </row>
    <row r="144" spans="10:10" ht="15" customHeight="1" x14ac:dyDescent="0.25">
      <c r="J144" s="44"/>
    </row>
    <row r="145" spans="10:10" ht="15" customHeight="1" x14ac:dyDescent="0.25">
      <c r="J145" s="44"/>
    </row>
    <row r="146" spans="10:10" ht="15" customHeight="1" x14ac:dyDescent="0.25">
      <c r="J146" s="44"/>
    </row>
    <row r="147" spans="10:10" ht="15" customHeight="1" x14ac:dyDescent="0.25">
      <c r="J147" s="44"/>
    </row>
    <row r="148" spans="10:10" ht="15" customHeight="1" x14ac:dyDescent="0.25">
      <c r="J148" s="44"/>
    </row>
    <row r="149" spans="10:10" ht="15" customHeight="1" x14ac:dyDescent="0.25">
      <c r="J149" s="44"/>
    </row>
    <row r="150" spans="10:10" ht="15" customHeight="1" x14ac:dyDescent="0.25">
      <c r="J150" s="44"/>
    </row>
    <row r="151" spans="10:10" ht="15" customHeight="1" x14ac:dyDescent="0.25">
      <c r="J151" s="44"/>
    </row>
    <row r="152" spans="10:10" ht="15" customHeight="1" x14ac:dyDescent="0.25">
      <c r="J152" s="44"/>
    </row>
    <row r="153" spans="10:10" ht="15" customHeight="1" x14ac:dyDescent="0.25">
      <c r="J153" s="44"/>
    </row>
    <row r="154" spans="10:10" ht="15" customHeight="1" x14ac:dyDescent="0.25">
      <c r="J154" s="44"/>
    </row>
    <row r="155" spans="10:10" ht="15" customHeight="1" x14ac:dyDescent="0.25">
      <c r="J155" s="44"/>
    </row>
    <row r="156" spans="10:10" ht="15" customHeight="1" x14ac:dyDescent="0.25">
      <c r="J156" s="44"/>
    </row>
    <row r="157" spans="10:10" ht="15" customHeight="1" x14ac:dyDescent="0.25">
      <c r="J157" s="44"/>
    </row>
    <row r="158" spans="10:10" ht="15" customHeight="1" x14ac:dyDescent="0.25">
      <c r="J158" s="44"/>
    </row>
    <row r="159" spans="10:10" ht="15" customHeight="1" x14ac:dyDescent="0.25">
      <c r="J159" s="44"/>
    </row>
    <row r="160" spans="10:10" ht="15" customHeight="1" x14ac:dyDescent="0.25">
      <c r="J160" s="44"/>
    </row>
    <row r="161" spans="1:13" ht="15" customHeight="1" x14ac:dyDescent="0.25">
      <c r="J161" s="44"/>
    </row>
    <row r="162" spans="1:13" ht="15" customHeight="1" x14ac:dyDescent="0.25">
      <c r="J162" s="44"/>
    </row>
    <row r="163" spans="1:13" ht="15" customHeight="1" x14ac:dyDescent="0.25">
      <c r="J163" s="44"/>
    </row>
    <row r="164" spans="1:13" ht="15" customHeight="1" x14ac:dyDescent="0.25">
      <c r="J164" s="44"/>
    </row>
    <row r="165" spans="1:13" ht="15" customHeight="1" x14ac:dyDescent="0.25">
      <c r="J165" s="44"/>
    </row>
    <row r="166" spans="1:13" ht="15" customHeight="1" x14ac:dyDescent="0.25">
      <c r="J166" s="44"/>
    </row>
    <row r="167" spans="1:13" ht="15" customHeight="1" x14ac:dyDescent="0.25">
      <c r="J167" s="44"/>
    </row>
    <row r="168" spans="1:13" ht="15" customHeight="1" x14ac:dyDescent="0.25">
      <c r="J168" s="44"/>
    </row>
    <row r="169" spans="1:13" ht="15" customHeight="1" x14ac:dyDescent="0.25">
      <c r="J169" s="44"/>
    </row>
    <row r="170" spans="1:13" ht="15" customHeight="1" x14ac:dyDescent="0.25">
      <c r="J170" s="44"/>
    </row>
    <row r="171" spans="1:13" ht="15" customHeight="1" x14ac:dyDescent="0.25">
      <c r="J171" s="44"/>
    </row>
    <row r="172" spans="1:13" ht="15" customHeight="1" x14ac:dyDescent="0.25">
      <c r="A172" s="44" t="s">
        <v>12</v>
      </c>
      <c r="E172" s="44">
        <f>SUBTOTAL(103,'Auxilary Equip'!$E$4:$E$171)</f>
        <v>51</v>
      </c>
      <c r="J172" s="44"/>
      <c r="L172" s="44">
        <f>SUBTOTAL(103,'Auxilary Equip'!$L$4:$L$171)</f>
        <v>38</v>
      </c>
      <c r="M172" s="44">
        <f>SUBTOTAL(103,'Auxilary Equip'!$M$4:$M$171)</f>
        <v>56</v>
      </c>
    </row>
  </sheetData>
  <conditionalFormatting sqref="A56:B56 D56:K56 D58:K58 F4:F58 A4:A58 M56:AE56 A59:AE59 M58:AE58 A57:AE57 A4:AE55 M4:M58 T4:U59">
    <cfRule type="expression" dxfId="20" priority="4">
      <formula>ISNUMBER(FIND("SUPPRESSED",$A4))</formula>
    </cfRule>
  </conditionalFormatting>
  <conditionalFormatting sqref="Z4:Z59">
    <cfRule type="expression" dxfId="19" priority="3">
      <formula>AND($Z4&lt;&gt;$S4,NOT(ISBLANK($Z4)))</formula>
    </cfRule>
  </conditionalFormatting>
  <conditionalFormatting sqref="AD4:AE59">
    <cfRule type="expression" dxfId="18" priority="2">
      <formula>AND(NOT(ISBLANK($AC4)),ISBLANK($AD4),TODAY()&gt;$AC4)</formula>
    </cfRule>
  </conditionalFormatting>
  <conditionalFormatting sqref="AA4:AA59">
    <cfRule type="expression" dxfId="17" priority="1">
      <formula>AND(NOT(ISBLANK($AA4)),$AA4&lt;&gt;$U4)</formula>
    </cfRule>
  </conditionalFormatting>
  <dataValidations count="3">
    <dataValidation type="list" allowBlank="1" showErrorMessage="1" sqref="A61:A171 A4:A59" xr:uid="{00000000-0002-0000-0600-000000000000}">
      <formula1>StatusList</formula1>
    </dataValidation>
    <dataValidation type="list" allowBlank="1" showErrorMessage="1" sqref="AF61:AF171 AG17:AH125" xr:uid="{00000000-0002-0000-0600-000001000000}">
      <formula1>MarkList</formula1>
    </dataValidation>
    <dataValidation type="list" allowBlank="1" showErrorMessage="1" sqref="J4:J59" xr:uid="{00000000-0002-0000-0600-000002000000}">
      <formula1>TypeList</formula1>
    </dataValidation>
  </dataValidations>
  <hyperlinks>
    <hyperlink ref="AF13" r:id="rId1" xr:uid="{00000000-0004-0000-0600-000000000000}"/>
    <hyperlink ref="AF15" r:id="rId2" xr:uid="{00000000-0004-0000-0600-000001000000}"/>
    <hyperlink ref="AF14" r:id="rId3" xr:uid="{00000000-0004-0000-0600-000002000000}"/>
    <hyperlink ref="AF18" r:id="rId4" xr:uid="{00000000-0004-0000-0600-000003000000}"/>
    <hyperlink ref="AF19" r:id="rId5" xr:uid="{00000000-0004-0000-0600-000004000000}"/>
    <hyperlink ref="AF20" r:id="rId6" xr:uid="{00000000-0004-0000-0600-000005000000}"/>
    <hyperlink ref="AF21" r:id="rId7" xr:uid="{00000000-0004-0000-0600-000006000000}"/>
    <hyperlink ref="AF22" r:id="rId8" xr:uid="{00000000-0004-0000-0600-000007000000}"/>
    <hyperlink ref="AF23" r:id="rId9" xr:uid="{00000000-0004-0000-0600-000008000000}"/>
    <hyperlink ref="AF24" r:id="rId10" xr:uid="{00000000-0004-0000-0600-000009000000}"/>
    <hyperlink ref="AF25" r:id="rId11" xr:uid="{00000000-0004-0000-0600-00000A000000}"/>
    <hyperlink ref="AF26" r:id="rId12" xr:uid="{00000000-0004-0000-0600-00000B000000}"/>
    <hyperlink ref="AF27" r:id="rId13" xr:uid="{00000000-0004-0000-0600-00000C000000}"/>
    <hyperlink ref="AF32" r:id="rId14" xr:uid="{00000000-0004-0000-0600-00000D000000}"/>
    <hyperlink ref="AF33" r:id="rId15" xr:uid="{00000000-0004-0000-0600-00000E000000}"/>
    <hyperlink ref="AF34" r:id="rId16" xr:uid="{00000000-0004-0000-0600-00000F000000}"/>
    <hyperlink ref="AF35" r:id="rId17" xr:uid="{00000000-0004-0000-0600-000010000000}"/>
    <hyperlink ref="AF36" r:id="rId18" xr:uid="{00000000-0004-0000-0600-000011000000}"/>
    <hyperlink ref="AF37" r:id="rId19" xr:uid="{00000000-0004-0000-0600-000012000000}"/>
    <hyperlink ref="AF39" r:id="rId20" xr:uid="{00000000-0004-0000-0600-000013000000}"/>
    <hyperlink ref="AF40" r:id="rId21" xr:uid="{00000000-0004-0000-0600-000014000000}"/>
    <hyperlink ref="AF41" r:id="rId22" xr:uid="{00000000-0004-0000-0600-000015000000}"/>
    <hyperlink ref="AF42" r:id="rId23" xr:uid="{00000000-0004-0000-0600-000016000000}"/>
    <hyperlink ref="AF43" r:id="rId24" xr:uid="{00000000-0004-0000-0600-000017000000}"/>
    <hyperlink ref="AF44" r:id="rId25" xr:uid="{00000000-0004-0000-0600-000018000000}"/>
    <hyperlink ref="AF45" r:id="rId26" xr:uid="{00000000-0004-0000-0600-000019000000}"/>
    <hyperlink ref="AF46" r:id="rId27" xr:uid="{00000000-0004-0000-0600-00001A000000}"/>
    <hyperlink ref="AF47" r:id="rId28" xr:uid="{00000000-0004-0000-0600-00001B000000}"/>
    <hyperlink ref="AF55" r:id="rId29" xr:uid="{00000000-0004-0000-0600-00001C000000}"/>
    <hyperlink ref="AF56" r:id="rId30" xr:uid="{00000000-0004-0000-0600-00001D000000}"/>
    <hyperlink ref="AF28" r:id="rId31" xr:uid="{00000000-0004-0000-0600-00001E000000}"/>
    <hyperlink ref="AF29" r:id="rId32" xr:uid="{00000000-0004-0000-0600-00001F000000}"/>
    <hyperlink ref="AF30" r:id="rId33" xr:uid="{00000000-0004-0000-0600-000020000000}"/>
    <hyperlink ref="AF31" r:id="rId34" xr:uid="{00000000-0004-0000-0600-000021000000}"/>
    <hyperlink ref="AF52" r:id="rId35" xr:uid="{00000000-0004-0000-0600-000022000000}"/>
    <hyperlink ref="AF53" r:id="rId36" xr:uid="{00000000-0004-0000-0600-000023000000}"/>
    <hyperlink ref="AF58" r:id="rId37" display="https://www.cdw.com/product/NETGEAR-5-Port-Gigabit-Ethernet-Unmanaged-Switch-Plug-and-Play-GS105NA/521943?cm_cat=google&amp;cm_ite=521943&amp;cm_pla=NA-NA-NETGEAR_NW&amp;cm_ven=acquirgy&amp;ef_id=EAIaIQobChMI_NDM086k6QIVjODICh2j3AVOEAQYAyABEgI52fD_BwE:G:s&amp;gclid=EAIaIQobChMI_NDM086k6QIVjODICh2j3AVOEAQYAyABEgI52fD_BwE&amp;s_kwcid=AL!4223!3!243462491255!!!g!305574539941" xr:uid="{00000000-0004-0000-0600-000024000000}"/>
  </hyperlinks>
  <pageMargins left="0.7" right="0.7" top="0.75" bottom="0.75" header="0.3" footer="0.3"/>
  <pageSetup orientation="portrait" r:id="rId38"/>
  <legacyDrawing r:id="rId39"/>
  <tableParts count="1">
    <tablePart r:id="rId40"/>
  </tableParts>
  <extLst>
    <ext xmlns:x14="http://schemas.microsoft.com/office/spreadsheetml/2009/9/main" uri="{78C0D931-6437-407d-A8EE-F0AAD7539E65}">
      <x14:conditionalFormattings>
        <x14:conditionalFormatting xmlns:xm="http://schemas.microsoft.com/office/excel/2006/main">
          <x14:cfRule type="containsText" priority="5" operator="containsText" id="{A73896FE-DAB8-4C65-ABF5-9FB63DEA8C93}">
            <xm:f>NOT(ISERROR(SEARCH('HOW TO USE'!$A$49,A4)))</xm:f>
            <xm:f>'HOW TO USE'!$A$49</xm:f>
            <x14:dxf>
              <font>
                <color auto="1"/>
              </font>
              <fill>
                <patternFill patternType="solid">
                  <fgColor rgb="FF000000"/>
                  <bgColor rgb="FFFF0000"/>
                </patternFill>
              </fill>
              <border>
                <left/>
                <right/>
                <top/>
                <bottom/>
              </border>
            </x14:dxf>
          </x14:cfRule>
          <x14:cfRule type="containsText" priority="6" operator="containsText" id="{E3CC9BF7-4762-4572-AAFC-B1C9757F64EE}">
            <xm:f>NOT(ISERROR(SEARCH('HOW TO USE'!$A$50,A4)))</xm:f>
            <xm:f>'HOW TO USE'!$A$50</xm:f>
            <x14:dxf>
              <fill>
                <patternFill patternType="solid">
                  <fgColor rgb="FF0070C0"/>
                  <bgColor rgb="FFFFC000"/>
                </patternFill>
              </fill>
              <border>
                <left/>
                <right/>
                <top/>
                <bottom/>
              </border>
            </x14:dxf>
          </x14:cfRule>
          <x14:cfRule type="containsText" priority="7" operator="containsText" id="{E5AA8139-6B80-4ACB-81F3-61440BEA0445}">
            <xm:f>NOT(ISERROR(SEARCH('HOW TO USE'!$A$51,A4)))</xm:f>
            <xm:f>'HOW TO USE'!$A$51</xm:f>
            <x14:dxf>
              <fill>
                <patternFill patternType="solid">
                  <fgColor rgb="FFFF0000"/>
                  <bgColor rgb="FFFFFF00"/>
                </patternFill>
              </fill>
              <border>
                <left/>
                <right/>
                <top/>
                <bottom/>
              </border>
            </x14:dxf>
          </x14:cfRule>
          <x14:cfRule type="containsText" priority="8" operator="containsText" id="{27C6D240-971F-4CA0-A7B6-821B2A684AA5}">
            <xm:f>NOT(ISERROR(SEARCH('HOW TO USE'!$A$54,A4)))</xm:f>
            <xm:f>'HOW TO USE'!$A$54</xm:f>
            <x14:dxf>
              <fill>
                <patternFill patternType="solid">
                  <fgColor rgb="FF00B050"/>
                  <bgColor rgb="FF92D050"/>
                </patternFill>
              </fill>
              <border>
                <left/>
                <right/>
                <top/>
                <bottom/>
              </border>
            </x14:dxf>
          </x14:cfRule>
          <x14:cfRule type="cellIs" priority="9" operator="equal" id="{827B4F19-3A06-49FA-B78C-4D7F037320F5}">
            <xm:f>'HOW TO USE'!$A$55</xm:f>
            <x14:dxf>
              <fill>
                <patternFill>
                  <bgColor rgb="FF0070C0"/>
                </patternFill>
              </fill>
            </x14:dxf>
          </x14:cfRule>
          <xm:sqref>A4:A59</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sheetPr>
  <dimension ref="A1:B80"/>
  <sheetViews>
    <sheetView topLeftCell="A4" zoomScaleNormal="100" workbookViewId="0">
      <selection activeCell="B3" sqref="B3"/>
    </sheetView>
  </sheetViews>
  <sheetFormatPr defaultColWidth="9.42578125" defaultRowHeight="12.75" x14ac:dyDescent="0.2"/>
  <cols>
    <col min="1" max="1" width="32" style="60" customWidth="1"/>
    <col min="2" max="2" width="70.42578125" style="60" customWidth="1"/>
    <col min="3" max="16384" width="9.42578125" style="43"/>
  </cols>
  <sheetData>
    <row r="1" spans="1:2" ht="114.75" x14ac:dyDescent="0.2">
      <c r="A1" s="60" t="s">
        <v>2354</v>
      </c>
      <c r="B1" s="60" t="s">
        <v>2125</v>
      </c>
    </row>
    <row r="3" spans="1:2" ht="63.75" x14ac:dyDescent="0.2">
      <c r="A3" s="60" t="s">
        <v>2126</v>
      </c>
      <c r="B3" s="60" t="s">
        <v>2127</v>
      </c>
    </row>
    <row r="5" spans="1:2" x14ac:dyDescent="0.2">
      <c r="A5" s="58" t="s">
        <v>391</v>
      </c>
      <c r="B5" s="59"/>
    </row>
    <row r="6" spans="1:2" ht="229.5" x14ac:dyDescent="0.2">
      <c r="A6" s="60" t="s">
        <v>182</v>
      </c>
      <c r="B6" s="60" t="s">
        <v>2120</v>
      </c>
    </row>
    <row r="8" spans="1:2" ht="38.25" x14ac:dyDescent="0.2">
      <c r="A8" s="60" t="s">
        <v>204</v>
      </c>
      <c r="B8" s="60" t="s">
        <v>205</v>
      </c>
    </row>
    <row r="10" spans="1:2" x14ac:dyDescent="0.2">
      <c r="A10" s="58" t="s">
        <v>392</v>
      </c>
      <c r="B10" s="58"/>
    </row>
    <row r="11" spans="1:2" ht="25.5" x14ac:dyDescent="0.2">
      <c r="A11" s="60" t="s">
        <v>393</v>
      </c>
      <c r="B11" s="60" t="s">
        <v>408</v>
      </c>
    </row>
    <row r="12" spans="1:2" x14ac:dyDescent="0.2">
      <c r="A12" s="60" t="s">
        <v>394</v>
      </c>
      <c r="B12" s="60" t="s">
        <v>409</v>
      </c>
    </row>
    <row r="13" spans="1:2" ht="25.5" x14ac:dyDescent="0.2">
      <c r="A13" s="60" t="s">
        <v>192</v>
      </c>
      <c r="B13" s="60" t="s">
        <v>2121</v>
      </c>
    </row>
    <row r="14" spans="1:2" x14ac:dyDescent="0.2">
      <c r="A14" s="60" t="s">
        <v>15</v>
      </c>
      <c r="B14" s="60" t="s">
        <v>410</v>
      </c>
    </row>
    <row r="15" spans="1:2" ht="38.25" x14ac:dyDescent="0.2">
      <c r="A15" s="60" t="s">
        <v>191</v>
      </c>
      <c r="B15" s="60" t="s">
        <v>417</v>
      </c>
    </row>
    <row r="16" spans="1:2" ht="25.5" x14ac:dyDescent="0.2">
      <c r="A16" s="60" t="s">
        <v>878</v>
      </c>
      <c r="B16" s="60" t="s">
        <v>2122</v>
      </c>
    </row>
    <row r="17" spans="1:2" ht="38.25" x14ac:dyDescent="0.2">
      <c r="A17" s="60" t="s">
        <v>162</v>
      </c>
      <c r="B17" s="60" t="s">
        <v>406</v>
      </c>
    </row>
    <row r="18" spans="1:2" ht="25.5" x14ac:dyDescent="0.2">
      <c r="A18" s="60" t="s">
        <v>203</v>
      </c>
      <c r="B18" s="60" t="s">
        <v>401</v>
      </c>
    </row>
    <row r="19" spans="1:2" x14ac:dyDescent="0.2">
      <c r="A19" s="60" t="s">
        <v>395</v>
      </c>
      <c r="B19" s="60" t="s">
        <v>416</v>
      </c>
    </row>
    <row r="20" spans="1:2" ht="25.5" x14ac:dyDescent="0.2">
      <c r="A20" s="60" t="s">
        <v>190</v>
      </c>
      <c r="B20" s="60" t="s">
        <v>405</v>
      </c>
    </row>
    <row r="21" spans="1:2" ht="25.5" x14ac:dyDescent="0.2">
      <c r="A21" s="60" t="s">
        <v>189</v>
      </c>
      <c r="B21" s="60" t="s">
        <v>418</v>
      </c>
    </row>
    <row r="22" spans="1:2" ht="25.5" x14ac:dyDescent="0.2">
      <c r="A22" s="60" t="s">
        <v>155</v>
      </c>
      <c r="B22" s="60" t="s">
        <v>872</v>
      </c>
    </row>
    <row r="23" spans="1:2" x14ac:dyDescent="0.2">
      <c r="A23" s="60" t="s">
        <v>188</v>
      </c>
      <c r="B23" s="60" t="s">
        <v>873</v>
      </c>
    </row>
    <row r="24" spans="1:2" x14ac:dyDescent="0.2">
      <c r="A24" s="60" t="s">
        <v>185</v>
      </c>
      <c r="B24" s="60" t="s">
        <v>404</v>
      </c>
    </row>
    <row r="25" spans="1:2" ht="25.5" x14ac:dyDescent="0.2">
      <c r="A25" s="60" t="s">
        <v>880</v>
      </c>
      <c r="B25" s="60" t="s">
        <v>407</v>
      </c>
    </row>
    <row r="26" spans="1:2" x14ac:dyDescent="0.2">
      <c r="A26" s="60" t="s">
        <v>193</v>
      </c>
      <c r="B26" s="60" t="s">
        <v>874</v>
      </c>
    </row>
    <row r="27" spans="1:2" x14ac:dyDescent="0.2">
      <c r="A27" s="60" t="s">
        <v>175</v>
      </c>
      <c r="B27" s="60" t="s">
        <v>875</v>
      </c>
    </row>
    <row r="28" spans="1:2" ht="25.5" x14ac:dyDescent="0.2">
      <c r="A28" s="60" t="s">
        <v>411</v>
      </c>
      <c r="B28" s="60" t="s">
        <v>2123</v>
      </c>
    </row>
    <row r="29" spans="1:2" ht="25.5" x14ac:dyDescent="0.2">
      <c r="A29" s="60" t="s">
        <v>2084</v>
      </c>
      <c r="B29" s="60" t="s">
        <v>2124</v>
      </c>
    </row>
    <row r="30" spans="1:2" x14ac:dyDescent="0.2">
      <c r="A30" s="60" t="s">
        <v>197</v>
      </c>
      <c r="B30" s="60" t="s">
        <v>403</v>
      </c>
    </row>
    <row r="31" spans="1:2" ht="25.5" x14ac:dyDescent="0.2">
      <c r="A31" s="60" t="s">
        <v>187</v>
      </c>
      <c r="B31" s="60" t="s">
        <v>876</v>
      </c>
    </row>
    <row r="32" spans="1:2" ht="25.5" x14ac:dyDescent="0.2">
      <c r="A32" s="60" t="s">
        <v>201</v>
      </c>
      <c r="B32" s="60" t="s">
        <v>402</v>
      </c>
    </row>
    <row r="33" spans="1:2" ht="38.25" x14ac:dyDescent="0.2">
      <c r="A33" s="60" t="s">
        <v>881</v>
      </c>
      <c r="B33" s="60" t="s">
        <v>882</v>
      </c>
    </row>
    <row r="34" spans="1:2" x14ac:dyDescent="0.2">
      <c r="A34" s="60" t="s">
        <v>396</v>
      </c>
      <c r="B34" s="60" t="s">
        <v>399</v>
      </c>
    </row>
    <row r="35" spans="1:2" x14ac:dyDescent="0.2">
      <c r="A35" s="60" t="s">
        <v>195</v>
      </c>
    </row>
    <row r="36" spans="1:2" ht="25.5" x14ac:dyDescent="0.2">
      <c r="A36" s="60" t="s">
        <v>196</v>
      </c>
      <c r="B36" s="60" t="s">
        <v>400</v>
      </c>
    </row>
    <row r="37" spans="1:2" x14ac:dyDescent="0.2">
      <c r="A37" s="60" t="s">
        <v>414</v>
      </c>
      <c r="B37" s="60" t="s">
        <v>415</v>
      </c>
    </row>
    <row r="39" spans="1:2" x14ac:dyDescent="0.2">
      <c r="A39" s="58" t="s">
        <v>180</v>
      </c>
      <c r="B39" s="59"/>
    </row>
    <row r="40" spans="1:2" ht="51" x14ac:dyDescent="0.2">
      <c r="A40" s="60" t="s">
        <v>154</v>
      </c>
      <c r="B40" s="60" t="s">
        <v>156</v>
      </c>
    </row>
    <row r="41" spans="1:2" x14ac:dyDescent="0.2">
      <c r="A41" s="60" t="s">
        <v>176</v>
      </c>
      <c r="B41" s="60" t="s">
        <v>177</v>
      </c>
    </row>
    <row r="42" spans="1:2" x14ac:dyDescent="0.2">
      <c r="A42" s="60" t="s">
        <v>178</v>
      </c>
      <c r="B42" s="60" t="s">
        <v>179</v>
      </c>
    </row>
    <row r="46" spans="1:2" x14ac:dyDescent="0.2">
      <c r="A46" s="58" t="s">
        <v>181</v>
      </c>
      <c r="B46" s="58"/>
    </row>
    <row r="48" spans="1:2" x14ac:dyDescent="0.2">
      <c r="A48" s="58" t="s">
        <v>0</v>
      </c>
    </row>
    <row r="49" spans="1:1" x14ac:dyDescent="0.2">
      <c r="A49" s="60" t="s">
        <v>157</v>
      </c>
    </row>
    <row r="50" spans="1:1" x14ac:dyDescent="0.2">
      <c r="A50" s="60" t="s">
        <v>160</v>
      </c>
    </row>
    <row r="51" spans="1:1" x14ac:dyDescent="0.2">
      <c r="A51" s="60" t="s">
        <v>158</v>
      </c>
    </row>
    <row r="52" spans="1:1" x14ac:dyDescent="0.2">
      <c r="A52" s="60" t="s">
        <v>1318</v>
      </c>
    </row>
    <row r="53" spans="1:1" x14ac:dyDescent="0.2">
      <c r="A53" s="60" t="s">
        <v>1386</v>
      </c>
    </row>
    <row r="54" spans="1:1" x14ac:dyDescent="0.2">
      <c r="A54" s="60" t="s">
        <v>159</v>
      </c>
    </row>
    <row r="55" spans="1:1" x14ac:dyDescent="0.2">
      <c r="A55" s="60" t="s">
        <v>161</v>
      </c>
    </row>
    <row r="56" spans="1:1" x14ac:dyDescent="0.2">
      <c r="A56" s="60" t="s">
        <v>171</v>
      </c>
    </row>
    <row r="57" spans="1:1" x14ac:dyDescent="0.2">
      <c r="A57" s="60" t="s">
        <v>172</v>
      </c>
    </row>
    <row r="59" spans="1:1" x14ac:dyDescent="0.2">
      <c r="A59" s="58" t="s">
        <v>5</v>
      </c>
    </row>
    <row r="60" spans="1:1" x14ac:dyDescent="0.2">
      <c r="A60" s="60" t="s">
        <v>166</v>
      </c>
    </row>
    <row r="61" spans="1:1" x14ac:dyDescent="0.2">
      <c r="A61" s="60" t="s">
        <v>1321</v>
      </c>
    </row>
    <row r="62" spans="1:1" x14ac:dyDescent="0.2">
      <c r="A62" s="60" t="s">
        <v>167</v>
      </c>
    </row>
    <row r="63" spans="1:1" x14ac:dyDescent="0.2">
      <c r="A63" s="60" t="s">
        <v>1319</v>
      </c>
    </row>
    <row r="64" spans="1:1" x14ac:dyDescent="0.2">
      <c r="A64" s="60" t="s">
        <v>168</v>
      </c>
    </row>
    <row r="65" spans="1:1" x14ac:dyDescent="0.2">
      <c r="A65" s="60" t="s">
        <v>169</v>
      </c>
    </row>
    <row r="66" spans="1:1" x14ac:dyDescent="0.2">
      <c r="A66" s="60" t="s">
        <v>170</v>
      </c>
    </row>
    <row r="67" spans="1:1" x14ac:dyDescent="0.2">
      <c r="A67" s="60" t="s">
        <v>867</v>
      </c>
    </row>
    <row r="68" spans="1:1" x14ac:dyDescent="0.2">
      <c r="A68" s="60" t="s">
        <v>865</v>
      </c>
    </row>
    <row r="69" spans="1:1" x14ac:dyDescent="0.2">
      <c r="A69" s="60" t="s">
        <v>1320</v>
      </c>
    </row>
    <row r="70" spans="1:1" x14ac:dyDescent="0.2">
      <c r="A70" s="60" t="s">
        <v>143</v>
      </c>
    </row>
    <row r="71" spans="1:1" x14ac:dyDescent="0.2">
      <c r="A71" s="60" t="s">
        <v>171</v>
      </c>
    </row>
    <row r="73" spans="1:1" x14ac:dyDescent="0.2">
      <c r="A73" s="61" t="s">
        <v>2085</v>
      </c>
    </row>
    <row r="74" spans="1:1" x14ac:dyDescent="0.2">
      <c r="A74" s="60" t="s">
        <v>2086</v>
      </c>
    </row>
    <row r="75" spans="1:1" x14ac:dyDescent="0.2">
      <c r="A75" s="60" t="s">
        <v>2087</v>
      </c>
    </row>
    <row r="76" spans="1:1" x14ac:dyDescent="0.2">
      <c r="A76" s="60" t="s">
        <v>2088</v>
      </c>
    </row>
    <row r="77" spans="1:1" x14ac:dyDescent="0.2">
      <c r="A77" s="60" t="s">
        <v>2114</v>
      </c>
    </row>
    <row r="78" spans="1:1" x14ac:dyDescent="0.2">
      <c r="A78" s="60" t="s">
        <v>2118</v>
      </c>
    </row>
    <row r="79" spans="1:1" x14ac:dyDescent="0.2">
      <c r="A79" s="60" t="s">
        <v>2103</v>
      </c>
    </row>
    <row r="80" spans="1:1" x14ac:dyDescent="0.2">
      <c r="A80" s="60" t="s">
        <v>2104</v>
      </c>
    </row>
  </sheetData>
  <pageMargins left="0.7" right="0.7" top="0.75" bottom="0.75" header="0.3" footer="0.3"/>
  <pageSetup orientation="portrait" r:id="rId1"/>
  <rowBreaks count="1" manualBreakCount="1">
    <brk id="44"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sheetPr>
  <dimension ref="A1:AF120"/>
  <sheetViews>
    <sheetView showGridLines="0" zoomScaleNormal="100" workbookViewId="0">
      <pane xSplit="2" ySplit="3" topLeftCell="C4" activePane="bottomRight" state="frozen"/>
      <selection pane="topRight" activeCell="C1" sqref="C1"/>
      <selection pane="bottomLeft" activeCell="A4" sqref="A4"/>
      <selection pane="bottomRight" activeCell="T4" sqref="T4"/>
    </sheetView>
  </sheetViews>
  <sheetFormatPr defaultColWidth="14.5703125" defaultRowHeight="15" customHeight="1" x14ac:dyDescent="0.25"/>
  <cols>
    <col min="1" max="1" width="14.5703125" style="44"/>
    <col min="2" max="2" width="30.5703125" style="44" customWidth="1"/>
    <col min="3" max="3" width="14.5703125" style="44"/>
    <col min="4" max="4" width="7.5703125" style="44" customWidth="1"/>
    <col min="5" max="5" width="14.5703125" style="44"/>
    <col min="6" max="6" width="14.5703125" style="44" customWidth="1"/>
    <col min="7" max="8" width="14.5703125" style="44"/>
    <col min="9" max="9" width="30.5703125" style="44" customWidth="1"/>
    <col min="11" max="14" width="14.5703125" style="44"/>
    <col min="16" max="21" width="14.5703125" style="44"/>
    <col min="22" max="23" width="24.5703125" style="44" customWidth="1"/>
    <col min="24" max="24" width="20.5703125" style="44" customWidth="1"/>
    <col min="25" max="26" width="14.5703125" style="44" hidden="1" customWidth="1"/>
    <col min="27" max="31" width="14.5703125" style="44"/>
    <col min="32" max="32" width="40.5703125" style="44" customWidth="1"/>
    <col min="33" max="16384" width="14.5703125" style="44"/>
  </cols>
  <sheetData>
    <row r="1" spans="1:32" ht="15" customHeight="1" x14ac:dyDescent="0.2">
      <c r="A1" s="46" t="str">
        <f ca="1">MID(CELL("filename",A1),FIND("]",CELL("filename",A1))+1,255)&amp;" Bill of Materials"</f>
        <v>BOM TEMPLATE Bill of Materials</v>
      </c>
      <c r="B1" s="46"/>
      <c r="C1" s="48" t="s">
        <v>164</v>
      </c>
      <c r="D1" s="48"/>
      <c r="E1" s="48"/>
      <c r="F1" s="48"/>
      <c r="G1" s="48"/>
      <c r="H1" s="48"/>
      <c r="I1" s="48"/>
      <c r="J1" s="49" t="s">
        <v>173</v>
      </c>
      <c r="K1" s="49"/>
      <c r="L1" s="49"/>
      <c r="M1" s="49"/>
      <c r="N1" s="49"/>
      <c r="O1" s="49"/>
      <c r="P1" s="49"/>
      <c r="Q1" s="49"/>
      <c r="R1" s="49"/>
      <c r="S1" s="49"/>
      <c r="T1" s="49"/>
      <c r="U1" s="49"/>
      <c r="V1" s="47" t="s">
        <v>174</v>
      </c>
      <c r="W1" s="47"/>
      <c r="X1" s="47"/>
      <c r="Y1" s="47"/>
      <c r="Z1" s="47"/>
      <c r="AA1" s="47"/>
      <c r="AB1" s="47"/>
      <c r="AC1" s="47"/>
      <c r="AD1" s="47"/>
      <c r="AE1" s="47"/>
      <c r="AF1" s="47"/>
    </row>
    <row r="2" spans="1:32" ht="15" customHeight="1" x14ac:dyDescent="0.2">
      <c r="A2" s="46"/>
      <c r="B2" s="46"/>
      <c r="C2" s="48"/>
      <c r="D2" s="48"/>
      <c r="E2" s="48"/>
      <c r="F2" s="48"/>
      <c r="G2" s="48"/>
      <c r="H2" s="48"/>
      <c r="I2" s="48"/>
      <c r="J2" s="49"/>
      <c r="K2" s="49"/>
      <c r="L2" s="49"/>
      <c r="M2" s="49"/>
      <c r="N2" s="49"/>
      <c r="O2" s="49" t="s">
        <v>879</v>
      </c>
      <c r="P2" s="49"/>
      <c r="Q2" s="52">
        <v>2</v>
      </c>
      <c r="R2" s="49"/>
      <c r="S2" s="49"/>
      <c r="T2" s="49"/>
      <c r="U2" s="49"/>
      <c r="V2" s="47"/>
      <c r="W2" s="47"/>
      <c r="X2" s="47"/>
      <c r="Y2" s="47"/>
      <c r="Z2" s="47"/>
      <c r="AA2" s="47"/>
      <c r="AB2" s="47"/>
      <c r="AC2" s="47"/>
      <c r="AD2" s="47"/>
      <c r="AE2" s="47"/>
      <c r="AF2" s="47"/>
    </row>
    <row r="3" spans="1:32" ht="15" customHeight="1" x14ac:dyDescent="0.2">
      <c r="A3" s="44" t="s">
        <v>393</v>
      </c>
      <c r="B3" s="44" t="s">
        <v>394</v>
      </c>
      <c r="C3" s="48" t="s">
        <v>192</v>
      </c>
      <c r="D3" s="48" t="s">
        <v>15</v>
      </c>
      <c r="E3" s="48" t="s">
        <v>191</v>
      </c>
      <c r="F3" s="48" t="s">
        <v>878</v>
      </c>
      <c r="G3" s="48" t="s">
        <v>162</v>
      </c>
      <c r="H3" s="48" t="s">
        <v>203</v>
      </c>
      <c r="I3" s="48" t="s">
        <v>395</v>
      </c>
      <c r="J3" s="49" t="s">
        <v>190</v>
      </c>
      <c r="K3" s="49" t="s">
        <v>189</v>
      </c>
      <c r="L3" s="49" t="s">
        <v>154</v>
      </c>
      <c r="M3" s="49" t="s">
        <v>155</v>
      </c>
      <c r="N3" s="49" t="s">
        <v>188</v>
      </c>
      <c r="O3" s="49" t="s">
        <v>185</v>
      </c>
      <c r="P3" s="49" t="s">
        <v>186</v>
      </c>
      <c r="Q3" s="49" t="s">
        <v>193</v>
      </c>
      <c r="R3" s="49" t="s">
        <v>175</v>
      </c>
      <c r="S3" s="49" t="s">
        <v>412</v>
      </c>
      <c r="T3" s="49" t="s">
        <v>197</v>
      </c>
      <c r="U3" s="49" t="s">
        <v>187</v>
      </c>
      <c r="V3" s="47" t="s">
        <v>201</v>
      </c>
      <c r="W3" s="47" t="s">
        <v>198</v>
      </c>
      <c r="X3" s="47" t="s">
        <v>165</v>
      </c>
      <c r="Y3" s="47" t="s">
        <v>413</v>
      </c>
      <c r="Z3" s="47" t="s">
        <v>206</v>
      </c>
      <c r="AA3" s="47" t="s">
        <v>194</v>
      </c>
      <c r="AB3" s="47" t="s">
        <v>397</v>
      </c>
      <c r="AC3" s="47" t="s">
        <v>398</v>
      </c>
      <c r="AD3" s="47" t="s">
        <v>195</v>
      </c>
      <c r="AE3" s="47" t="s">
        <v>196</v>
      </c>
      <c r="AF3" s="47" t="s">
        <v>414</v>
      </c>
    </row>
    <row r="4" spans="1:32" ht="15" customHeight="1" x14ac:dyDescent="0.2">
      <c r="A4" s="44" t="s">
        <v>158</v>
      </c>
      <c r="B4" s="44" t="s">
        <v>153</v>
      </c>
      <c r="C4" s="45">
        <v>12101</v>
      </c>
      <c r="D4" s="45" t="s">
        <v>152</v>
      </c>
      <c r="E4" s="45" t="s">
        <v>199</v>
      </c>
      <c r="F4" s="45"/>
      <c r="G4" s="45">
        <v>15</v>
      </c>
      <c r="H4" s="45" t="s">
        <v>207</v>
      </c>
      <c r="I4" s="45"/>
      <c r="J4" s="45" t="s">
        <v>168</v>
      </c>
      <c r="K4" s="45" t="s">
        <v>200</v>
      </c>
      <c r="L4" s="45" t="s">
        <v>183</v>
      </c>
      <c r="M4" s="45">
        <v>5</v>
      </c>
      <c r="N4" s="50">
        <v>1234</v>
      </c>
      <c r="O4" s="51">
        <f>IF(OR(ISBLANK(BOM_table[[#This Row],[SKU QTY]]),BOM_table[[#This Row],[SKU Cost]]=0),0,BOM_table[[#This Row],[SKU Cost]]/BOM_table[[#This Row],[SKU QTY]])</f>
        <v>246.8</v>
      </c>
      <c r="P4" s="51">
        <f>IF(OR(ISBLANK(BOM_table[[#This Row],[ASM QTY]]),ISBLANK(BOM_table[[#This Row],[Unit Cost]])),0,BOM_table[[#This Row],[ASM QTY]]*BOM_table[[#This Row],[Unit Cost]])</f>
        <v>3702</v>
      </c>
      <c r="Q4" s="45">
        <v>5</v>
      </c>
      <c r="R4" s="45">
        <v>21</v>
      </c>
      <c r="S4" s="53">
        <f>IF(OR(AND(ISBLANK(BOM_table[[#This Row],[ASM QTY]]),ISBLANK(BOM_table[[#This Row],[Spare QTY Needed]]),ISBLANK(BOM_table[[#This Row],[QTY in Inventory]])),ISBLANK(BOM_table[[#This Row],[SKU QTY]]),0&gt;_xlfn.CEILING.MATH(BOM_table[[#This Row],[ASM QTY]]*$Q$2+BOM_table[[#This Row],[Spare QTY Needed]]-BOM_table[[#This Row],[QTY in Inventory]])),0,_xlfn.CEILING.MATH((BOM_table[[#This Row],[ASM QTY]]*$Q$2+BOM_table[[#This Row],[Spare QTY Needed]]-BOM_table[[#This Row],[QTY in Inventory]])/BOM_table[[#This Row],[SKU QTY]]))</f>
        <v>3</v>
      </c>
      <c r="T4" s="51">
        <f>IF(OR(ISBLANK(BOM_table[[#This Row],[Order QTY]]),ISBLANK(BOM_table[[#This Row],[SKU Cost]])),0,BOM_table[[#This Row],[Order QTY]]*BOM_table[[#This Row],[SKU Cost]])</f>
        <v>3702</v>
      </c>
      <c r="U4" s="45"/>
      <c r="V4" s="45"/>
      <c r="W4" s="45"/>
      <c r="X4" s="45"/>
      <c r="Y4" s="45"/>
      <c r="Z4" s="50"/>
      <c r="AA4" s="45"/>
      <c r="AB4" s="45"/>
      <c r="AC4" s="45"/>
      <c r="AD4" s="54"/>
      <c r="AE4" s="45"/>
      <c r="AF4" s="56"/>
    </row>
    <row r="5" spans="1:32" ht="15" customHeight="1" x14ac:dyDescent="0.2">
      <c r="C5" s="45"/>
      <c r="D5" s="45"/>
      <c r="E5" s="45"/>
      <c r="F5" s="45"/>
      <c r="G5" s="45"/>
      <c r="H5" s="45"/>
      <c r="I5" s="45"/>
      <c r="J5" s="45"/>
      <c r="K5" s="45"/>
      <c r="L5" s="45"/>
      <c r="M5" s="45"/>
      <c r="N5" s="50"/>
      <c r="O5" s="51">
        <f>IF(OR(ISBLANK(BOM_table[[#This Row],[SKU QTY]]),BOM_table[[#This Row],[SKU Cost]]=0),0,BOM_table[[#This Row],[SKU Cost]]/BOM_table[[#This Row],[SKU QTY]])</f>
        <v>0</v>
      </c>
      <c r="P5" s="51">
        <f>IF(OR(ISBLANK(BOM_table[[#This Row],[ASM QTY]]),ISBLANK(BOM_table[[#This Row],[Unit Cost]])),0,BOM_table[[#This Row],[ASM QTY]]*BOM_table[[#This Row],[Unit Cost]])</f>
        <v>0</v>
      </c>
      <c r="Q5" s="45"/>
      <c r="R5" s="45"/>
      <c r="S5" s="53">
        <f>IF(OR(AND(ISBLANK(BOM_table[[#This Row],[ASM QTY]]),ISBLANK(BOM_table[[#This Row],[Spare QTY Needed]]),ISBLANK(BOM_table[[#This Row],[QTY in Inventory]])),ISBLANK(BOM_table[[#This Row],[SKU QTY]]),0&gt;_xlfn.CEILING.MATH(BOM_table[[#This Row],[ASM QTY]]*$Q$2+BOM_table[[#This Row],[Spare QTY Needed]]-BOM_table[[#This Row],[QTY in Inventory]])),0,_xlfn.CEILING.MATH((BOM_table[[#This Row],[ASM QTY]]*$Q$2+BOM_table[[#This Row],[Spare QTY Needed]]-BOM_table[[#This Row],[QTY in Inventory]])/BOM_table[[#This Row],[SKU QTY]]))</f>
        <v>0</v>
      </c>
      <c r="T5" s="51">
        <f>IF(OR(ISBLANK(BOM_table[[#This Row],[Order QTY]]),ISBLANK(BOM_table[[#This Row],[SKU Cost]])),0,BOM_table[[#This Row],[Order QTY]]*BOM_table[[#This Row],[SKU Cost]])</f>
        <v>0</v>
      </c>
      <c r="U5" s="45"/>
      <c r="V5" s="45"/>
      <c r="W5" s="45"/>
      <c r="X5" s="45"/>
      <c r="Y5" s="45"/>
      <c r="Z5" s="50"/>
      <c r="AA5" s="45"/>
      <c r="AB5" s="45"/>
      <c r="AC5" s="45"/>
      <c r="AD5" s="54"/>
      <c r="AE5" s="45"/>
      <c r="AF5" s="56"/>
    </row>
    <row r="6" spans="1:32" ht="15" customHeight="1" x14ac:dyDescent="0.2">
      <c r="C6" s="45"/>
      <c r="D6" s="45"/>
      <c r="E6" s="45"/>
      <c r="F6" s="45"/>
      <c r="G6" s="45"/>
      <c r="H6" s="45"/>
      <c r="I6" s="45"/>
      <c r="J6" s="45"/>
      <c r="K6" s="45"/>
      <c r="L6" s="45"/>
      <c r="M6" s="45">
        <v>1</v>
      </c>
      <c r="N6" s="50"/>
      <c r="O6" s="51">
        <f>IF(OR(ISBLANK(BOM_table[[#This Row],[SKU QTY]]),BOM_table[[#This Row],[SKU Cost]]=0),0,BOM_table[[#This Row],[SKU Cost]]/BOM_table[[#This Row],[SKU QTY]])</f>
        <v>0</v>
      </c>
      <c r="P6" s="51">
        <f>IF(OR(ISBLANK(BOM_table[[#This Row],[ASM QTY]]),ISBLANK(BOM_table[[#This Row],[Unit Cost]])),0,BOM_table[[#This Row],[ASM QTY]]*BOM_table[[#This Row],[Unit Cost]])</f>
        <v>0</v>
      </c>
      <c r="Q6" s="45"/>
      <c r="R6" s="45"/>
      <c r="S6" s="53">
        <f>IF(OR(AND(ISBLANK(BOM_table[[#This Row],[ASM QTY]]),ISBLANK(BOM_table[[#This Row],[Spare QTY Needed]]),ISBLANK(BOM_table[[#This Row],[QTY in Inventory]])),ISBLANK(BOM_table[[#This Row],[SKU QTY]]),0&gt;_xlfn.CEILING.MATH(BOM_table[[#This Row],[ASM QTY]]*$Q$2+BOM_table[[#This Row],[Spare QTY Needed]]-BOM_table[[#This Row],[QTY in Inventory]])),0,_xlfn.CEILING.MATH((BOM_table[[#This Row],[ASM QTY]]*$Q$2+BOM_table[[#This Row],[Spare QTY Needed]]-BOM_table[[#This Row],[QTY in Inventory]])/BOM_table[[#This Row],[SKU QTY]]))</f>
        <v>0</v>
      </c>
      <c r="T6" s="51">
        <f>IF(OR(ISBLANK(BOM_table[[#This Row],[Order QTY]]),ISBLANK(BOM_table[[#This Row],[SKU Cost]])),0,BOM_table[[#This Row],[Order QTY]]*BOM_table[[#This Row],[SKU Cost]])</f>
        <v>0</v>
      </c>
      <c r="U6" s="45"/>
      <c r="V6" s="45"/>
      <c r="W6" s="45"/>
      <c r="X6" s="45"/>
      <c r="Y6" s="45"/>
      <c r="Z6" s="50"/>
      <c r="AA6" s="45"/>
      <c r="AB6" s="45"/>
      <c r="AC6" s="45"/>
      <c r="AD6" s="54"/>
      <c r="AE6" s="45"/>
      <c r="AF6" s="56"/>
    </row>
    <row r="7" spans="1:32" ht="15" customHeight="1" x14ac:dyDescent="0.2">
      <c r="C7" s="45"/>
      <c r="D7" s="45"/>
      <c r="E7" s="45"/>
      <c r="F7" s="45"/>
      <c r="G7" s="45"/>
      <c r="H7" s="45"/>
      <c r="I7" s="45"/>
      <c r="J7" s="45"/>
      <c r="K7" s="45"/>
      <c r="L7" s="45"/>
      <c r="M7" s="45">
        <v>1</v>
      </c>
      <c r="N7" s="50"/>
      <c r="O7" s="51">
        <f>IF(OR(ISBLANK(BOM_table[[#This Row],[SKU QTY]]),BOM_table[[#This Row],[SKU Cost]]=0),0,BOM_table[[#This Row],[SKU Cost]]/BOM_table[[#This Row],[SKU QTY]])</f>
        <v>0</v>
      </c>
      <c r="P7" s="51">
        <f>IF(OR(ISBLANK(BOM_table[[#This Row],[ASM QTY]]),ISBLANK(BOM_table[[#This Row],[Unit Cost]])),0,BOM_table[[#This Row],[ASM QTY]]*BOM_table[[#This Row],[Unit Cost]])</f>
        <v>0</v>
      </c>
      <c r="Q7" s="45"/>
      <c r="R7" s="45"/>
      <c r="S7" s="53">
        <f>IF(OR(AND(ISBLANK(BOM_table[[#This Row],[ASM QTY]]),ISBLANK(BOM_table[[#This Row],[Spare QTY Needed]]),ISBLANK(BOM_table[[#This Row],[QTY in Inventory]])),ISBLANK(BOM_table[[#This Row],[SKU QTY]]),0&gt;_xlfn.CEILING.MATH(BOM_table[[#This Row],[ASM QTY]]*$Q$2+BOM_table[[#This Row],[Spare QTY Needed]]-BOM_table[[#This Row],[QTY in Inventory]])),0,_xlfn.CEILING.MATH((BOM_table[[#This Row],[ASM QTY]]*$Q$2+BOM_table[[#This Row],[Spare QTY Needed]]-BOM_table[[#This Row],[QTY in Inventory]])/BOM_table[[#This Row],[SKU QTY]]))</f>
        <v>0</v>
      </c>
      <c r="T7" s="51">
        <f>IF(OR(ISBLANK(BOM_table[[#This Row],[Order QTY]]),ISBLANK(BOM_table[[#This Row],[SKU Cost]])),0,BOM_table[[#This Row],[Order QTY]]*BOM_table[[#This Row],[SKU Cost]])</f>
        <v>0</v>
      </c>
      <c r="U7" s="45"/>
      <c r="V7" s="45"/>
      <c r="W7" s="45"/>
      <c r="X7" s="45"/>
      <c r="Y7" s="45"/>
      <c r="Z7" s="50"/>
      <c r="AA7" s="45"/>
      <c r="AB7" s="45"/>
      <c r="AC7" s="45"/>
      <c r="AD7" s="54"/>
      <c r="AE7" s="45"/>
      <c r="AF7" s="56"/>
    </row>
    <row r="8" spans="1:32" s="45" customFormat="1" ht="15" customHeight="1" x14ac:dyDescent="0.2">
      <c r="A8" s="44"/>
      <c r="B8" s="44" t="s">
        <v>12</v>
      </c>
      <c r="C8" s="45">
        <f>SUBTOTAL(103,BOM_table[Part Number])</f>
        <v>1</v>
      </c>
      <c r="G8" s="45">
        <f>SUBTOTAL(109,BOM_table[ASM QTY])</f>
        <v>15</v>
      </c>
      <c r="L8" s="45">
        <f>SUBTOTAL(103,BOM_table[SKU])</f>
        <v>1</v>
      </c>
      <c r="P8" s="50">
        <f>SUBTOTAL(109,BOM_table[Assembly Cost])</f>
        <v>3702</v>
      </c>
      <c r="T8" s="50">
        <f>SUBTOTAL(109,BOM_table[Order Cost])</f>
        <v>3702</v>
      </c>
      <c r="AF8" s="55"/>
    </row>
    <row r="9" spans="1:32" ht="15" customHeight="1" x14ac:dyDescent="0.25">
      <c r="J9" s="44"/>
    </row>
    <row r="10" spans="1:32" ht="15" customHeight="1" x14ac:dyDescent="0.25">
      <c r="J10" s="44"/>
    </row>
    <row r="11" spans="1:32" ht="15" customHeight="1" x14ac:dyDescent="0.25">
      <c r="J11" s="44"/>
    </row>
    <row r="12" spans="1:32" ht="15" customHeight="1" x14ac:dyDescent="0.25">
      <c r="J12" s="44"/>
    </row>
    <row r="13" spans="1:32" ht="15" customHeight="1" x14ac:dyDescent="0.25">
      <c r="J13" s="44"/>
    </row>
    <row r="14" spans="1:32" ht="15" customHeight="1" x14ac:dyDescent="0.25">
      <c r="J14" s="44"/>
    </row>
    <row r="15" spans="1:32" ht="15" customHeight="1" x14ac:dyDescent="0.25">
      <c r="J15" s="44"/>
    </row>
    <row r="16" spans="1:32" ht="15" customHeight="1" x14ac:dyDescent="0.25">
      <c r="J16" s="44"/>
    </row>
    <row r="17" spans="10:10" ht="15" customHeight="1" x14ac:dyDescent="0.25">
      <c r="J17" s="44"/>
    </row>
    <row r="18" spans="10:10" ht="15" customHeight="1" x14ac:dyDescent="0.25">
      <c r="J18" s="44"/>
    </row>
    <row r="19" spans="10:10" ht="15" customHeight="1" x14ac:dyDescent="0.25">
      <c r="J19" s="44"/>
    </row>
    <row r="20" spans="10:10" ht="15" customHeight="1" x14ac:dyDescent="0.25">
      <c r="J20" s="44"/>
    </row>
    <row r="21" spans="10:10" ht="15" customHeight="1" x14ac:dyDescent="0.25">
      <c r="J21" s="44"/>
    </row>
    <row r="22" spans="10:10" ht="15" customHeight="1" x14ac:dyDescent="0.25">
      <c r="J22" s="44"/>
    </row>
    <row r="23" spans="10:10" ht="15" customHeight="1" x14ac:dyDescent="0.25">
      <c r="J23" s="44"/>
    </row>
    <row r="24" spans="10:10" ht="15" customHeight="1" x14ac:dyDescent="0.25">
      <c r="J24" s="44"/>
    </row>
    <row r="25" spans="10:10" ht="15" customHeight="1" x14ac:dyDescent="0.25">
      <c r="J25" s="44"/>
    </row>
    <row r="26" spans="10:10" ht="15" customHeight="1" x14ac:dyDescent="0.25">
      <c r="J26" s="44"/>
    </row>
    <row r="27" spans="10:10" ht="15" customHeight="1" x14ac:dyDescent="0.25">
      <c r="J27" s="44"/>
    </row>
    <row r="28" spans="10:10" ht="15" customHeight="1" x14ac:dyDescent="0.25">
      <c r="J28" s="44"/>
    </row>
    <row r="29" spans="10:10" ht="15" customHeight="1" x14ac:dyDescent="0.25">
      <c r="J29" s="44"/>
    </row>
    <row r="30" spans="10:10" ht="15" customHeight="1" x14ac:dyDescent="0.25">
      <c r="J30" s="44"/>
    </row>
    <row r="31" spans="10:10" ht="15" customHeight="1" x14ac:dyDescent="0.25">
      <c r="J31" s="44"/>
    </row>
    <row r="32" spans="10:10" ht="15" customHeight="1" x14ac:dyDescent="0.25">
      <c r="J32" s="44"/>
    </row>
    <row r="33" spans="10:10" ht="15" customHeight="1" x14ac:dyDescent="0.25">
      <c r="J33" s="44"/>
    </row>
    <row r="34" spans="10:10" ht="15" customHeight="1" x14ac:dyDescent="0.25">
      <c r="J34" s="44"/>
    </row>
    <row r="35" spans="10:10" ht="15" customHeight="1" x14ac:dyDescent="0.25">
      <c r="J35" s="44"/>
    </row>
    <row r="36" spans="10:10" ht="15" customHeight="1" x14ac:dyDescent="0.25">
      <c r="J36" s="44"/>
    </row>
    <row r="37" spans="10:10" ht="15" customHeight="1" x14ac:dyDescent="0.25">
      <c r="J37" s="44"/>
    </row>
    <row r="38" spans="10:10" ht="15" customHeight="1" x14ac:dyDescent="0.25">
      <c r="J38" s="44"/>
    </row>
    <row r="39" spans="10:10" ht="15" customHeight="1" x14ac:dyDescent="0.25">
      <c r="J39" s="44"/>
    </row>
    <row r="40" spans="10:10" ht="15" customHeight="1" x14ac:dyDescent="0.25">
      <c r="J40" s="44"/>
    </row>
    <row r="41" spans="10:10" ht="15" customHeight="1" x14ac:dyDescent="0.25">
      <c r="J41" s="44"/>
    </row>
    <row r="42" spans="10:10" ht="15" customHeight="1" x14ac:dyDescent="0.25">
      <c r="J42" s="44"/>
    </row>
    <row r="43" spans="10:10" ht="15" customHeight="1" x14ac:dyDescent="0.25">
      <c r="J43" s="44"/>
    </row>
    <row r="44" spans="10:10" ht="15" customHeight="1" x14ac:dyDescent="0.25">
      <c r="J44" s="44"/>
    </row>
    <row r="45" spans="10:10" ht="15" customHeight="1" x14ac:dyDescent="0.25">
      <c r="J45" s="44"/>
    </row>
    <row r="46" spans="10:10" ht="15" customHeight="1" x14ac:dyDescent="0.25">
      <c r="J46" s="44"/>
    </row>
    <row r="47" spans="10:10" ht="15" customHeight="1" x14ac:dyDescent="0.25">
      <c r="J47" s="44"/>
    </row>
    <row r="48" spans="10:10" ht="15" customHeight="1" x14ac:dyDescent="0.25">
      <c r="J48" s="44"/>
    </row>
    <row r="49" spans="10:10" ht="15" customHeight="1" x14ac:dyDescent="0.25">
      <c r="J49" s="44"/>
    </row>
    <row r="50" spans="10:10" ht="15" customHeight="1" x14ac:dyDescent="0.25">
      <c r="J50" s="44"/>
    </row>
    <row r="51" spans="10:10" ht="15" customHeight="1" x14ac:dyDescent="0.25">
      <c r="J51" s="44"/>
    </row>
    <row r="52" spans="10:10" ht="15" customHeight="1" x14ac:dyDescent="0.25">
      <c r="J52" s="44"/>
    </row>
    <row r="53" spans="10:10" ht="15" customHeight="1" x14ac:dyDescent="0.25">
      <c r="J53" s="44"/>
    </row>
    <row r="54" spans="10:10" ht="15" customHeight="1" x14ac:dyDescent="0.25">
      <c r="J54" s="44"/>
    </row>
    <row r="55" spans="10:10" ht="15" customHeight="1" x14ac:dyDescent="0.25">
      <c r="J55" s="44"/>
    </row>
    <row r="56" spans="10:10" ht="15" customHeight="1" x14ac:dyDescent="0.25">
      <c r="J56" s="44"/>
    </row>
    <row r="57" spans="10:10" ht="15" customHeight="1" x14ac:dyDescent="0.25">
      <c r="J57" s="44"/>
    </row>
    <row r="58" spans="10:10" ht="15" customHeight="1" x14ac:dyDescent="0.25">
      <c r="J58" s="44"/>
    </row>
    <row r="59" spans="10:10" ht="15" customHeight="1" x14ac:dyDescent="0.25">
      <c r="J59" s="44"/>
    </row>
    <row r="60" spans="10:10" ht="15" customHeight="1" x14ac:dyDescent="0.25">
      <c r="J60" s="44"/>
    </row>
    <row r="61" spans="10:10" ht="15" customHeight="1" x14ac:dyDescent="0.25">
      <c r="J61" s="44"/>
    </row>
    <row r="62" spans="10:10" ht="15" customHeight="1" x14ac:dyDescent="0.25">
      <c r="J62" s="44"/>
    </row>
    <row r="63" spans="10:10" ht="15" customHeight="1" x14ac:dyDescent="0.25">
      <c r="J63" s="44"/>
    </row>
    <row r="64" spans="10:10" ht="15" customHeight="1" x14ac:dyDescent="0.25">
      <c r="J64" s="44"/>
    </row>
    <row r="65" spans="10:10" ht="15" customHeight="1" x14ac:dyDescent="0.25">
      <c r="J65" s="44"/>
    </row>
    <row r="66" spans="10:10" ht="15" customHeight="1" x14ac:dyDescent="0.25">
      <c r="J66" s="44"/>
    </row>
    <row r="67" spans="10:10" ht="15" customHeight="1" x14ac:dyDescent="0.25">
      <c r="J67" s="44"/>
    </row>
    <row r="68" spans="10:10" ht="15" customHeight="1" x14ac:dyDescent="0.25">
      <c r="J68" s="44"/>
    </row>
    <row r="69" spans="10:10" ht="15" customHeight="1" x14ac:dyDescent="0.25">
      <c r="J69" s="44"/>
    </row>
    <row r="70" spans="10:10" ht="15" customHeight="1" x14ac:dyDescent="0.25">
      <c r="J70" s="44"/>
    </row>
    <row r="71" spans="10:10" ht="15" customHeight="1" x14ac:dyDescent="0.25">
      <c r="J71" s="44"/>
    </row>
    <row r="72" spans="10:10" ht="15" customHeight="1" x14ac:dyDescent="0.25">
      <c r="J72" s="44"/>
    </row>
    <row r="73" spans="10:10" ht="15" customHeight="1" x14ac:dyDescent="0.25">
      <c r="J73" s="44"/>
    </row>
    <row r="74" spans="10:10" ht="15" customHeight="1" x14ac:dyDescent="0.25">
      <c r="J74" s="44"/>
    </row>
    <row r="75" spans="10:10" ht="15" customHeight="1" x14ac:dyDescent="0.25">
      <c r="J75" s="44"/>
    </row>
    <row r="76" spans="10:10" ht="15" customHeight="1" x14ac:dyDescent="0.25">
      <c r="J76" s="44"/>
    </row>
    <row r="77" spans="10:10" ht="15" customHeight="1" x14ac:dyDescent="0.25">
      <c r="J77" s="44"/>
    </row>
    <row r="78" spans="10:10" ht="15" customHeight="1" x14ac:dyDescent="0.25">
      <c r="J78" s="44"/>
    </row>
    <row r="79" spans="10:10" ht="15" customHeight="1" x14ac:dyDescent="0.25">
      <c r="J79" s="44"/>
    </row>
    <row r="80" spans="10:10" ht="15" customHeight="1" x14ac:dyDescent="0.25">
      <c r="J80" s="44"/>
    </row>
    <row r="81" spans="10:10" ht="15" customHeight="1" x14ac:dyDescent="0.25">
      <c r="J81" s="44"/>
    </row>
    <row r="82" spans="10:10" ht="15" customHeight="1" x14ac:dyDescent="0.25">
      <c r="J82" s="44"/>
    </row>
    <row r="83" spans="10:10" ht="15" customHeight="1" x14ac:dyDescent="0.25">
      <c r="J83" s="44"/>
    </row>
    <row r="84" spans="10:10" ht="15" customHeight="1" x14ac:dyDescent="0.25">
      <c r="J84" s="44"/>
    </row>
    <row r="85" spans="10:10" ht="15" customHeight="1" x14ac:dyDescent="0.25">
      <c r="J85" s="44"/>
    </row>
    <row r="86" spans="10:10" ht="15" customHeight="1" x14ac:dyDescent="0.25">
      <c r="J86" s="44"/>
    </row>
    <row r="87" spans="10:10" ht="15" customHeight="1" x14ac:dyDescent="0.25">
      <c r="J87" s="44"/>
    </row>
    <row r="88" spans="10:10" ht="15" customHeight="1" x14ac:dyDescent="0.25">
      <c r="J88" s="44"/>
    </row>
    <row r="89" spans="10:10" ht="15" customHeight="1" x14ac:dyDescent="0.25">
      <c r="J89" s="44"/>
    </row>
    <row r="90" spans="10:10" ht="15" customHeight="1" x14ac:dyDescent="0.25">
      <c r="J90" s="44"/>
    </row>
    <row r="91" spans="10:10" ht="15" customHeight="1" x14ac:dyDescent="0.25">
      <c r="J91" s="44"/>
    </row>
    <row r="92" spans="10:10" ht="15" customHeight="1" x14ac:dyDescent="0.25">
      <c r="J92" s="44"/>
    </row>
    <row r="93" spans="10:10" ht="15" customHeight="1" x14ac:dyDescent="0.25">
      <c r="J93" s="44"/>
    </row>
    <row r="94" spans="10:10" ht="15" customHeight="1" x14ac:dyDescent="0.25">
      <c r="J94" s="44"/>
    </row>
    <row r="95" spans="10:10" ht="15" customHeight="1" x14ac:dyDescent="0.25">
      <c r="J95" s="44"/>
    </row>
    <row r="96" spans="10:10" ht="15" customHeight="1" x14ac:dyDescent="0.25">
      <c r="J96" s="44"/>
    </row>
    <row r="97" spans="10:10" ht="15" customHeight="1" x14ac:dyDescent="0.25">
      <c r="J97" s="44"/>
    </row>
    <row r="98" spans="10:10" ht="15" customHeight="1" x14ac:dyDescent="0.25">
      <c r="J98" s="44"/>
    </row>
    <row r="99" spans="10:10" ht="15" customHeight="1" x14ac:dyDescent="0.25">
      <c r="J99" s="44"/>
    </row>
    <row r="100" spans="10:10" ht="15" customHeight="1" x14ac:dyDescent="0.25">
      <c r="J100" s="44"/>
    </row>
    <row r="101" spans="10:10" ht="15" customHeight="1" x14ac:dyDescent="0.25">
      <c r="J101" s="44"/>
    </row>
    <row r="102" spans="10:10" ht="15" customHeight="1" x14ac:dyDescent="0.25">
      <c r="J102" s="44"/>
    </row>
    <row r="103" spans="10:10" ht="15" customHeight="1" x14ac:dyDescent="0.25">
      <c r="J103" s="44"/>
    </row>
    <row r="104" spans="10:10" ht="15" customHeight="1" x14ac:dyDescent="0.25">
      <c r="J104" s="44"/>
    </row>
    <row r="105" spans="10:10" ht="15" customHeight="1" x14ac:dyDescent="0.25">
      <c r="J105" s="44"/>
    </row>
    <row r="106" spans="10:10" ht="15" customHeight="1" x14ac:dyDescent="0.25">
      <c r="J106" s="44"/>
    </row>
    <row r="107" spans="10:10" ht="15" customHeight="1" x14ac:dyDescent="0.25">
      <c r="J107" s="44"/>
    </row>
    <row r="108" spans="10:10" ht="15" customHeight="1" x14ac:dyDescent="0.25">
      <c r="J108" s="44"/>
    </row>
    <row r="109" spans="10:10" ht="15" customHeight="1" x14ac:dyDescent="0.25">
      <c r="J109" s="44"/>
    </row>
    <row r="110" spans="10:10" ht="15" customHeight="1" x14ac:dyDescent="0.25">
      <c r="J110" s="44"/>
    </row>
    <row r="111" spans="10:10" ht="15" customHeight="1" x14ac:dyDescent="0.25">
      <c r="J111" s="44"/>
    </row>
    <row r="112" spans="10:10" ht="15" customHeight="1" x14ac:dyDescent="0.25">
      <c r="J112" s="44"/>
    </row>
    <row r="113" spans="1:13" ht="15" customHeight="1" x14ac:dyDescent="0.25">
      <c r="J113" s="44"/>
    </row>
    <row r="114" spans="1:13" ht="15" customHeight="1" x14ac:dyDescent="0.25">
      <c r="J114" s="44"/>
    </row>
    <row r="115" spans="1:13" ht="15" customHeight="1" x14ac:dyDescent="0.25">
      <c r="J115" s="44"/>
    </row>
    <row r="116" spans="1:13" ht="15" customHeight="1" x14ac:dyDescent="0.25">
      <c r="J116" s="44"/>
    </row>
    <row r="117" spans="1:13" ht="15" customHeight="1" x14ac:dyDescent="0.25">
      <c r="J117" s="44"/>
    </row>
    <row r="118" spans="1:13" ht="15" customHeight="1" x14ac:dyDescent="0.25">
      <c r="J118" s="44"/>
    </row>
    <row r="119" spans="1:13" ht="15" customHeight="1" x14ac:dyDescent="0.25">
      <c r="J119" s="44"/>
    </row>
    <row r="120" spans="1:13" ht="15" customHeight="1" x14ac:dyDescent="0.25">
      <c r="A120" s="44" t="s">
        <v>12</v>
      </c>
      <c r="E120" s="44">
        <f>SUBTOTAL(103,'BOM TEMPLATE'!$E$4:$E$119)</f>
        <v>1</v>
      </c>
      <c r="J120" s="44"/>
      <c r="L120" s="44">
        <f>SUBTOTAL(103,'BOM TEMPLATE'!$L$4:$L$119)</f>
        <v>1</v>
      </c>
      <c r="M120" s="44">
        <f>SUBTOTAL(103,'BOM TEMPLATE'!$M$4:$M$119)</f>
        <v>3</v>
      </c>
    </row>
  </sheetData>
  <conditionalFormatting sqref="A4:AE7">
    <cfRule type="expression" dxfId="11" priority="12">
      <formula>ISNUMBER(FIND("SUPPRESSED",$A4))</formula>
    </cfRule>
  </conditionalFormatting>
  <conditionalFormatting sqref="Y4:Y7">
    <cfRule type="expression" dxfId="10" priority="4">
      <formula>AND($Y4&lt;&gt;$S4,NOT(ISBLANK($Y4)))</formula>
    </cfRule>
  </conditionalFormatting>
  <conditionalFormatting sqref="AE4:AE7">
    <cfRule type="expression" dxfId="9" priority="3">
      <formula>AND(NOT(ISBLANK($AD4)),ISBLANK($AE4),TODAY()&gt;$AD4)</formula>
    </cfRule>
  </conditionalFormatting>
  <conditionalFormatting sqref="Z4:Z7">
    <cfRule type="expression" dxfId="8" priority="2">
      <formula>AND(NOT(ISBLANK($Z4)),$Z4&lt;&gt;$T4)</formula>
    </cfRule>
  </conditionalFormatting>
  <dataValidations count="3">
    <dataValidation type="list" allowBlank="1" showErrorMessage="1" sqref="AF9:AH119" xr:uid="{00000000-0002-0000-0800-000000000000}">
      <formula1>MarkList</formula1>
    </dataValidation>
    <dataValidation type="list" allowBlank="1" showErrorMessage="1" sqref="J4:J7" xr:uid="{00000000-0002-0000-0800-000001000000}">
      <formula1>TypeList</formula1>
    </dataValidation>
    <dataValidation type="list" allowBlank="1" showErrorMessage="1" sqref="A9:A119 A4:A7" xr:uid="{00000000-0002-0000-0800-000002000000}">
      <formula1>StatusList</formula1>
    </dataValidation>
  </dataValidations>
  <pageMargins left="0.7" right="0.7" top="0.75" bottom="0.75" header="0.3" footer="0.3"/>
  <pageSetup orientation="portrait" r:id="rId1"/>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4070072B-79F5-4484-BBC5-21971196577E}">
            <xm:f>'HOW TO USE'!$A$52</xm:f>
            <x14:dxf>
              <fill>
                <patternFill>
                  <bgColor rgb="FF92D050"/>
                </patternFill>
              </fill>
            </x14:dxf>
          </x14:cfRule>
          <x14:cfRule type="containsText" priority="13" operator="containsText" id="{3C6ECB3A-BA99-435E-842A-BE1B6A05DE6A}">
            <xm:f>NOT(ISERROR(SEARCH('HOW TO USE'!$A$49,A4)))</xm:f>
            <xm:f>'HOW TO USE'!$A$49</xm:f>
            <x14:dxf>
              <font>
                <color auto="1"/>
              </font>
              <fill>
                <patternFill patternType="solid">
                  <fgColor rgb="FF000000"/>
                  <bgColor rgb="FFFF0000"/>
                </patternFill>
              </fill>
              <border>
                <left/>
                <right/>
                <top/>
                <bottom/>
              </border>
            </x14:dxf>
          </x14:cfRule>
          <x14:cfRule type="containsText" priority="14" operator="containsText" id="{94A80028-3D53-4E5B-8046-976D0EEC26CC}">
            <xm:f>NOT(ISERROR(SEARCH('HOW TO USE'!$A$50,A4)))</xm:f>
            <xm:f>'HOW TO USE'!$A$50</xm:f>
            <x14:dxf>
              <fill>
                <patternFill patternType="solid">
                  <fgColor rgb="FF0070C0"/>
                  <bgColor rgb="FFFFC000"/>
                </patternFill>
              </fill>
              <border>
                <left/>
                <right/>
                <top/>
                <bottom/>
              </border>
            </x14:dxf>
          </x14:cfRule>
          <x14:cfRule type="containsText" priority="15" operator="containsText" id="{FCCD5689-ED24-4353-8E03-24AAA36F4670}">
            <xm:f>NOT(ISERROR(SEARCH('HOW TO USE'!$A$51,A4)))</xm:f>
            <xm:f>'HOW TO USE'!$A$51</xm:f>
            <x14:dxf>
              <fill>
                <patternFill patternType="solid">
                  <fgColor rgb="FFFF0000"/>
                  <bgColor rgb="FFFFFF00"/>
                </patternFill>
              </fill>
              <border>
                <left/>
                <right/>
                <top/>
                <bottom/>
              </border>
            </x14:dxf>
          </x14:cfRule>
          <x14:cfRule type="containsText" priority="16" operator="containsText" id="{875AD305-8FC1-4D66-A8A7-1745FCEBE10A}">
            <xm:f>NOT(ISERROR(SEARCH('HOW TO USE'!$A$54,A4)))</xm:f>
            <xm:f>'HOW TO USE'!$A$54</xm:f>
            <x14:dxf>
              <fill>
                <patternFill patternType="solid">
                  <fgColor rgb="FF00B050"/>
                  <bgColor rgb="FF00B050"/>
                </patternFill>
              </fill>
              <border>
                <left/>
                <right/>
                <top/>
                <bottom/>
              </border>
            </x14:dxf>
          </x14:cfRule>
          <x14:cfRule type="cellIs" priority="17" operator="equal" id="{317B5082-8818-415A-9968-2B22DDE66C39}">
            <xm:f>'HOW TO USE'!$A$55</xm:f>
            <x14:dxf>
              <fill>
                <patternFill>
                  <bgColor rgb="FF0070C0"/>
                </patternFill>
              </fill>
            </x14:dxf>
          </x14:cfRule>
          <xm:sqref>A4:A7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Revision Log</vt:lpstr>
      <vt:lpstr>Task List</vt:lpstr>
      <vt:lpstr>Build List</vt:lpstr>
      <vt:lpstr>IO Matrix</vt:lpstr>
      <vt:lpstr>Core Vehicle</vt:lpstr>
      <vt:lpstr>Payload Noses</vt:lpstr>
      <vt:lpstr>Auxilary Equip</vt:lpstr>
      <vt:lpstr>HOW TO USE</vt:lpstr>
      <vt:lpstr>BOM TEMPLATE</vt:lpstr>
      <vt:lpstr>VENDOR LIST</vt:lpstr>
      <vt:lpstr>'Auxilary Equip'!DPN</vt:lpstr>
      <vt:lpstr>'BOM TEMPLATE'!DPN</vt:lpstr>
      <vt:lpstr>'Core Vehicle'!DPN</vt:lpstr>
      <vt:lpstr>'Payload Noses'!DPN</vt:lpstr>
      <vt:lpstr>'Auxilary Equip'!PART</vt:lpstr>
      <vt:lpstr>'BOM TEMPLATE'!PART</vt:lpstr>
      <vt:lpstr>'Core Vehicle'!PART</vt:lpstr>
      <vt:lpstr>'Payload Noses'!PART</vt:lpstr>
      <vt:lpstr>StatusList</vt:lpstr>
      <vt:lpstr>TypeList</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Manyu</dc:creator>
  <cp:keywords/>
  <dc:description/>
  <cp:lastModifiedBy>Brett Hobson</cp:lastModifiedBy>
  <cp:lastPrinted>2020-02-28T18:03:44Z</cp:lastPrinted>
  <dcterms:created xsi:type="dcterms:W3CDTF">2019-01-15T19:57:01Z</dcterms:created>
  <dcterms:modified xsi:type="dcterms:W3CDTF">2023-11-14T00:41:52Z</dcterms:modified>
</cp:coreProperties>
</file>