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adley/projects/carbon-wg/doc/admin/"/>
    </mc:Choice>
  </mc:AlternateContent>
  <xr:revisionPtr revIDLastSave="0" documentId="13_ncr:1_{D647CB73-FB20-7444-B792-B1EE3F33BD7A}" xr6:coauthVersionLast="45" xr6:coauthVersionMax="45" xr10:uidLastSave="{00000000-0000-0000-0000-000000000000}"/>
  <bookViews>
    <workbookView xWindow="-47760" yWindow="7780" windowWidth="33600" windowHeight="20540" xr2:uid="{FC5675D9-AFC3-234E-8596-CC10E933548A}"/>
  </bookViews>
  <sheets>
    <sheet name="sdkTracking" sheetId="1" r:id="rId1"/>
    <sheet name="packing-list" sheetId="2" r:id="rId2"/>
    <sheet name="labels" sheetId="11" r:id="rId3"/>
    <sheet name="hwTracking" sheetId="6" r:id="rId4"/>
    <sheet name="swTracking" sheetId="10" r:id="rId5"/>
    <sheet name="testCableTracking" sheetId="9" r:id="rId6"/>
    <sheet name="hwBuilds" sheetId="7" r:id="rId7"/>
    <sheet name="testCableBuilds" sheetId="8" r:id="rId8"/>
    <sheet name="contactDB" sheetId="5" r:id="rId9"/>
  </sheets>
  <externalReferences>
    <externalReference r:id="rId10"/>
  </externalReferences>
  <definedNames>
    <definedName name="CONTACT_DB">contactDB!$A$1:$E$53</definedName>
    <definedName name="HW_DB">hwTracking!$B$1:$U$54</definedName>
    <definedName name="hwdb">sdkTracking!$C$2:$S$54</definedName>
    <definedName name="LTCABLE_BUILDS">[1]LabTestCableBuilds!$A$2:$K$11</definedName>
    <definedName name="_xlnm.Print_Area" localSheetId="2">labels!$B$1:$D$10</definedName>
    <definedName name="_xlnm.Print_Area" localSheetId="1">'packing-list'!$A$1:$G$23</definedName>
    <definedName name="SDK_DIST_DB">sdkTracking!$A$2:$S$53</definedName>
    <definedName name="SW_DB">swTracking!$A$1:$G$52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0" l="1"/>
  <c r="D8" i="1"/>
  <c r="R8" i="1"/>
  <c r="Q8" i="1"/>
  <c r="P8" i="1"/>
  <c r="B9" i="6"/>
  <c r="F5" i="10"/>
  <c r="F4" i="10"/>
  <c r="F3" i="10"/>
  <c r="F6" i="10"/>
  <c r="I1" i="11"/>
  <c r="J1" i="11"/>
  <c r="K1" i="11"/>
  <c r="L1" i="11"/>
  <c r="M1" i="11"/>
  <c r="H1" i="11"/>
  <c r="H2" i="11"/>
  <c r="I2" i="11"/>
  <c r="J2" i="11"/>
  <c r="K2" i="11"/>
  <c r="L2" i="11"/>
  <c r="M2" i="11"/>
  <c r="H3" i="11"/>
  <c r="I3" i="11"/>
  <c r="J3" i="11"/>
  <c r="K3" i="11"/>
  <c r="L3" i="11"/>
  <c r="M3" i="11"/>
  <c r="H4" i="11"/>
  <c r="I4" i="11"/>
  <c r="J4" i="11"/>
  <c r="K4" i="11"/>
  <c r="L4" i="11"/>
  <c r="M4" i="11"/>
  <c r="H5" i="11"/>
  <c r="I5" i="11"/>
  <c r="J5" i="11"/>
  <c r="K5" i="11"/>
  <c r="L5" i="11"/>
  <c r="M5" i="11"/>
  <c r="H6" i="11"/>
  <c r="I6" i="11"/>
  <c r="J6" i="11"/>
  <c r="K6" i="11"/>
  <c r="L6" i="11"/>
  <c r="M6" i="11"/>
  <c r="H7" i="11"/>
  <c r="I7" i="11"/>
  <c r="J7" i="11"/>
  <c r="K7" i="11"/>
  <c r="L7" i="11"/>
  <c r="M7" i="11"/>
  <c r="H8" i="11"/>
  <c r="I8" i="11"/>
  <c r="J8" i="11"/>
  <c r="K8" i="11"/>
  <c r="L8" i="11"/>
  <c r="M8" i="11"/>
  <c r="H9" i="11"/>
  <c r="I9" i="11"/>
  <c r="J9" i="11"/>
  <c r="K9" i="11"/>
  <c r="L9" i="11"/>
  <c r="M9" i="11"/>
  <c r="H10" i="11"/>
  <c r="I10" i="11"/>
  <c r="J10" i="11"/>
  <c r="K10" i="11"/>
  <c r="L10" i="11"/>
  <c r="M10" i="11"/>
  <c r="H11" i="11"/>
  <c r="I11" i="11"/>
  <c r="J11" i="11"/>
  <c r="K11" i="11"/>
  <c r="L11" i="11"/>
  <c r="M11" i="11"/>
  <c r="H12" i="11"/>
  <c r="I12" i="11"/>
  <c r="J12" i="11"/>
  <c r="K12" i="11"/>
  <c r="L12" i="11"/>
  <c r="M12" i="11"/>
  <c r="H13" i="11"/>
  <c r="I13" i="11"/>
  <c r="J13" i="11"/>
  <c r="K13" i="11"/>
  <c r="L13" i="11"/>
  <c r="M13" i="11"/>
  <c r="H14" i="11"/>
  <c r="I14" i="11"/>
  <c r="J14" i="11"/>
  <c r="K14" i="11"/>
  <c r="L14" i="11"/>
  <c r="M14" i="11"/>
  <c r="H15" i="11"/>
  <c r="I15" i="11"/>
  <c r="J15" i="11"/>
  <c r="K15" i="11"/>
  <c r="L15" i="11"/>
  <c r="M15" i="11"/>
  <c r="H16" i="11"/>
  <c r="I16" i="11"/>
  <c r="J16" i="11"/>
  <c r="K16" i="11"/>
  <c r="L16" i="11"/>
  <c r="M16" i="11"/>
  <c r="H17" i="11"/>
  <c r="I17" i="11"/>
  <c r="J17" i="11"/>
  <c r="K17" i="11"/>
  <c r="L17" i="11"/>
  <c r="M17" i="11"/>
  <c r="H18" i="11"/>
  <c r="I18" i="11"/>
  <c r="J18" i="11"/>
  <c r="K18" i="11"/>
  <c r="L18" i="11"/>
  <c r="M18" i="11"/>
  <c r="H19" i="11"/>
  <c r="I19" i="11"/>
  <c r="J19" i="11"/>
  <c r="K19" i="11"/>
  <c r="L19" i="11"/>
  <c r="M19" i="11"/>
  <c r="C14" i="11"/>
  <c r="C16" i="11"/>
  <c r="C17" i="11"/>
  <c r="C18" i="11"/>
  <c r="C19" i="11"/>
  <c r="C20" i="11"/>
  <c r="C15" i="11"/>
  <c r="C13" i="11"/>
  <c r="C3" i="11"/>
  <c r="C5" i="11"/>
  <c r="D5" i="1"/>
  <c r="C2" i="11"/>
  <c r="B8" i="6"/>
  <c r="F2" i="10"/>
  <c r="B4" i="6"/>
  <c r="B5" i="6"/>
  <c r="B6" i="6"/>
  <c r="B7" i="6"/>
  <c r="B3" i="6"/>
  <c r="B2" i="6"/>
  <c r="E6" i="2"/>
  <c r="C4" i="11"/>
  <c r="C8" i="11"/>
  <c r="C7" i="11"/>
  <c r="C6" i="11"/>
  <c r="C9" i="11"/>
  <c r="D7" i="1"/>
  <c r="R7" i="1"/>
  <c r="Q7" i="1"/>
  <c r="P7" i="1"/>
  <c r="B17" i="2"/>
  <c r="B7" i="2"/>
  <c r="B8" i="2"/>
  <c r="B9" i="2"/>
  <c r="E7" i="2"/>
  <c r="B10" i="2"/>
  <c r="G7" i="2"/>
  <c r="B11" i="2"/>
  <c r="B12" i="2"/>
  <c r="B13" i="2"/>
  <c r="B14" i="2"/>
  <c r="B15" i="2"/>
  <c r="B16" i="2"/>
  <c r="B6" i="2"/>
  <c r="B19" i="2"/>
  <c r="E5" i="2"/>
  <c r="R6" i="1"/>
  <c r="Q6" i="1"/>
  <c r="P6" i="1"/>
  <c r="D6" i="1"/>
  <c r="E13" i="2"/>
  <c r="E11" i="2"/>
  <c r="E10" i="2"/>
  <c r="E8" i="2"/>
  <c r="E9" i="2"/>
  <c r="E12" i="2"/>
  <c r="G12" i="2"/>
  <c r="G8" i="2"/>
  <c r="G11" i="2"/>
  <c r="G10" i="2"/>
  <c r="G9" i="2"/>
  <c r="B23" i="2"/>
  <c r="B22" i="2"/>
  <c r="B21" i="2"/>
  <c r="B20" i="2"/>
  <c r="B18" i="2"/>
  <c r="C1" i="2"/>
  <c r="B5" i="2"/>
</calcChain>
</file>

<file path=xl/sharedStrings.xml><?xml version="1.0" encoding="utf-8"?>
<sst xmlns="http://schemas.openxmlformats.org/spreadsheetml/2006/main" count="324" uniqueCount="135">
  <si>
    <t>headley</t>
  </si>
  <si>
    <t>0.0.1beta2</t>
  </si>
  <si>
    <t>ADC0</t>
  </si>
  <si>
    <t>ADC1</t>
  </si>
  <si>
    <t>ADC2</t>
  </si>
  <si>
    <t>OK</t>
  </si>
  <si>
    <t>SDC</t>
  </si>
  <si>
    <t>Org</t>
  </si>
  <si>
    <t>Date</t>
  </si>
  <si>
    <t>Contact</t>
  </si>
  <si>
    <t>board label</t>
  </si>
  <si>
    <t>HW ver</t>
  </si>
  <si>
    <t>HW rev</t>
  </si>
  <si>
    <t>0.0.1</t>
  </si>
  <si>
    <t>cwg_boot</t>
  </si>
  <si>
    <t>SW cfg</t>
  </si>
  <si>
    <t>SW ver</t>
  </si>
  <si>
    <t>SW tag</t>
  </si>
  <si>
    <t xml:space="preserve"> HW Ver</t>
  </si>
  <si>
    <t>HW Rev</t>
  </si>
  <si>
    <t>Drawing</t>
  </si>
  <si>
    <t>Qty</t>
  </si>
  <si>
    <t>S/N start</t>
  </si>
  <si>
    <t>S/N end</t>
  </si>
  <si>
    <t>Design</t>
  </si>
  <si>
    <t>Layout</t>
  </si>
  <si>
    <t>Build</t>
  </si>
  <si>
    <t>Notes</t>
  </si>
  <si>
    <t>A</t>
  </si>
  <si>
    <t>FFFF</t>
  </si>
  <si>
    <t>okuda</t>
  </si>
  <si>
    <t>rosal</t>
  </si>
  <si>
    <t>initial hardware build using PIC24FJGA606</t>
  </si>
  <si>
    <t>issues</t>
  </si>
  <si>
    <t>battery holders broke on two boards</t>
  </si>
  <si>
    <t>montgomery</t>
  </si>
  <si>
    <t>Builder</t>
  </si>
  <si>
    <t>Owner</t>
  </si>
  <si>
    <t>Name</t>
  </si>
  <si>
    <t>Shipping Address</t>
  </si>
  <si>
    <t>email</t>
  </si>
  <si>
    <t>Kent Headley</t>
  </si>
  <si>
    <t>MBARI</t>
  </si>
  <si>
    <t>MBARI
7700 Sandholdt Road
Moss Landing CA 93950</t>
  </si>
  <si>
    <t>headley@mbari.org</t>
  </si>
  <si>
    <t>831-775-1822</t>
  </si>
  <si>
    <t>Noah Lawrence-Slavas</t>
  </si>
  <si>
    <t>NOAA/PMEL</t>
  </si>
  <si>
    <t>noah.lawrence-slavas@noaa.gov</t>
  </si>
  <si>
    <t>206-526-6209</t>
  </si>
  <si>
    <t>NOAA-PMEL
Engineering Development Division
7600 Sand Point Way N.E.
Seattle, WA 98115</t>
  </si>
  <si>
    <t>SDK SN</t>
  </si>
  <si>
    <t>SDK Distribution</t>
  </si>
  <si>
    <t>Shipper ID</t>
  </si>
  <si>
    <t>Phone</t>
  </si>
  <si>
    <t>Status</t>
  </si>
  <si>
    <t>SDK version</t>
  </si>
  <si>
    <t>SDK S/N</t>
  </si>
  <si>
    <t>mfg date</t>
  </si>
  <si>
    <t>PMEL</t>
  </si>
  <si>
    <t>Host Cable</t>
  </si>
  <si>
    <t>Licor Cable</t>
  </si>
  <si>
    <t>Port Test Cable</t>
  </si>
  <si>
    <t>Valve Test Cable</t>
  </si>
  <si>
    <t>Extras</t>
  </si>
  <si>
    <t>test date</t>
  </si>
  <si>
    <t>tested by</t>
  </si>
  <si>
    <t>Valve Power</t>
  </si>
  <si>
    <t>Port Power</t>
  </si>
  <si>
    <t>SDCard</t>
  </si>
  <si>
    <t>Fuses</t>
  </si>
  <si>
    <t>Script</t>
  </si>
  <si>
    <t>N/A</t>
  </si>
  <si>
    <t>Console</t>
  </si>
  <si>
    <t>Host</t>
  </si>
  <si>
    <t>Licor</t>
  </si>
  <si>
    <t>S/N (dec)</t>
  </si>
  <si>
    <t>PnL</t>
  </si>
  <si>
    <t>phone</t>
  </si>
  <si>
    <t>Shipping
Address</t>
  </si>
  <si>
    <t>RTC</t>
  </si>
  <si>
    <t>RTC Battery</t>
  </si>
  <si>
    <t>SW S/N</t>
  </si>
  <si>
    <t>Sandisk  SDHC
UHS-1
32GB</t>
  </si>
  <si>
    <t>Sandisk  SDHC
UHS-1
16GB</t>
  </si>
  <si>
    <t xml:space="preserve"> ----A 2020/09/16 10:48     35813  HELP.MD                                      
 ----A 2020/09/16 10:48       171  SYSBOOT.SCR                                  
 ----A 2020/09/16 10:48        13  UTIME.SCR                                    
 ----A 2020/09/16 10:51       365  CONFIG.TXT                                   </t>
  </si>
  <si>
    <t>Sep 10 2020 - 16:58:22</t>
  </si>
  <si>
    <t xml:space="preserve"> ----A 2020/08/11 16:55      1634  BITTEST.SCR                                  
 ----A 2020/08/11 16:55       292  CONFIG.TXT                                                                  
 ----A 2020/08/11 16:55       858  DIC2.SCR                                                                    
 ----A 2020/08/11 16:55     35854  HELP.MD                                      
 ----A 2020/09/11 00:15        13  UTIME.SCR                                    
 ----A 2020/08/11 16:55       171  SYSBOOT.SCR                                                  </t>
  </si>
  <si>
    <t>cfg S/N</t>
  </si>
  <si>
    <t>HW S/N</t>
  </si>
  <si>
    <t>SDC Contents</t>
  </si>
  <si>
    <t>Build Information</t>
  </si>
  <si>
    <t>Packing List</t>
  </si>
  <si>
    <t>Andrea Fassbender</t>
  </si>
  <si>
    <t>fassbender@mbari.org</t>
  </si>
  <si>
    <t>NOAA</t>
  </si>
  <si>
    <t>Jacki Long</t>
  </si>
  <si>
    <t>jlong@mbari.org</t>
  </si>
  <si>
    <t>831-775-2043</t>
  </si>
  <si>
    <t>831-775-1747 </t>
  </si>
  <si>
    <t>MBARI DIC Lab Test Cable Distribution</t>
  </si>
  <si>
    <t>MBARI DIC Test Cable Builds</t>
  </si>
  <si>
    <t>Mfg</t>
  </si>
  <si>
    <t>Console Cable</t>
  </si>
  <si>
    <t>Build ID</t>
  </si>
  <si>
    <t>Distributed To</t>
  </si>
  <si>
    <t>Assigned By</t>
  </si>
  <si>
    <t>SDK 0001</t>
  </si>
  <si>
    <t>MBARI DIC Hardware Tracking</t>
  </si>
  <si>
    <t>Cable Build</t>
  </si>
  <si>
    <t>draft-20200813</t>
  </si>
  <si>
    <t>HW Build ID</t>
  </si>
  <si>
    <t>SW Build ID</t>
  </si>
  <si>
    <r>
      <t>MBARI DIC/pCO</t>
    </r>
    <r>
      <rPr>
        <sz val="12"/>
        <color theme="1"/>
        <rFont val="Calibri (Body)"/>
      </rPr>
      <t>2</t>
    </r>
    <r>
      <rPr>
        <sz val="16"/>
        <color theme="1"/>
        <rFont val="Calibri"/>
        <family val="2"/>
        <scheme val="minor"/>
      </rPr>
      <t xml:space="preserve"> SDK</t>
    </r>
  </si>
  <si>
    <t>cwg_nonboot</t>
  </si>
  <si>
    <t>Sep 16 2020 - 14:49:17</t>
  </si>
  <si>
    <t>?</t>
  </si>
  <si>
    <t>none</t>
  </si>
  <si>
    <t>Hardware Info</t>
  </si>
  <si>
    <t xml:space="preserve">Enter HW S/N </t>
  </si>
  <si>
    <t>Sofware Info</t>
  </si>
  <si>
    <t xml:space="preserve">Enter SW S/N </t>
  </si>
  <si>
    <t xml:space="preserve"> ----A 2020/09/16 17:32       171  SYSBOOT.SCR                                  
 ----A 2020/09/16 17:32        13  UTIME.SCR                                    
 ----A 2020/09/16 17:32       365  CONFIG.TXT                                                                   
 ----A 2020/09/16 17:32     35813  HELP.MD                                     </t>
  </si>
  <si>
    <t xml:space="preserve"> ----A 2020/09/16 17:41       171  SYSBOOT.SCR                                  
 ----A 2020/09/16 17:41        13  UTIME.SCR                                    
 ----A 2020/09/16 17:41     35813  HELP.MD                                      
 ----A 2020/09/16 17:41       365  CONFIG.TXT </t>
  </si>
  <si>
    <t>offset</t>
  </si>
  <si>
    <t>Use decimal or hex2dec("hex_text")</t>
  </si>
  <si>
    <t>0.0.0</t>
  </si>
  <si>
    <t>3.0.0beta0</t>
  </si>
  <si>
    <t>Oct 22 2020 - 09:35.27</t>
  </si>
  <si>
    <t>Craig Okuda</t>
  </si>
  <si>
    <t>craig@mbari.org</t>
  </si>
  <si>
    <t>831-775-1931</t>
  </si>
  <si>
    <t>3.4.0b0</t>
  </si>
  <si>
    <t>Nov 18 2020 - 13:58:32</t>
  </si>
  <si>
    <t>pending firmware updates, lab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</si>
</sst>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yyyy\-mm\-dd"/>
    <numFmt numFmtId="165" formatCode="000"/>
    <numFmt numFmtId="166" formatCode="0.0000"/>
    <numFmt numFmtId="167" formatCode="0000"/>
    <numFmt numFmtId="168" formatCode="0.0"/>
    <numFmt numFmtId="169" formatCode="yyyy\-mm\-dd;@"/>
  </numFmts>
  <fonts count="1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name val="Arial"/>
      <family val="2"/>
    </font>
    <font>
      <sz val="14"/>
      <name val="Arial"/>
      <family val="2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4" tint="-0.249977111117893"/>
      <name val="Arial"/>
      <family val="2"/>
    </font>
    <font>
      <sz val="12"/>
      <color theme="4" tint="-0.249977111117893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sz val="10.8"/>
      <color theme="1"/>
      <name val="Arial"/>
      <family val="2"/>
    </font>
    <font>
      <u/>
      <sz val="14"/>
      <color theme="10"/>
      <name val="Calibri"/>
      <family val="2"/>
      <scheme val="minor"/>
    </font>
    <font>
      <b/>
      <sz val="14"/>
      <name val="Arial"/>
      <family val="2"/>
    </font>
    <font>
      <sz val="12"/>
      <color theme="1"/>
      <name val="Calibri (Body)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15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8" xfId="0" applyBorder="1"/>
    <xf numFmtId="0" fontId="2" fillId="2" borderId="0" xfId="0" applyFont="1" applyFill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167" fontId="2" fillId="2" borderId="0" xfId="0" applyNumberFormat="1" applyFont="1" applyFill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167" fontId="0" fillId="0" borderId="0" xfId="0" applyNumberFormat="1"/>
    <xf numFmtId="167" fontId="10" fillId="0" borderId="0" xfId="0" applyNumberFormat="1" applyFont="1"/>
    <xf numFmtId="0" fontId="5" fillId="3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167" fontId="9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11" fillId="3" borderId="4" xfId="0" applyFont="1" applyFill="1" applyBorder="1" applyAlignment="1">
      <alignment horizontal="right"/>
    </xf>
    <xf numFmtId="22" fontId="11" fillId="3" borderId="5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167" fontId="12" fillId="0" borderId="0" xfId="0" applyNumberFormat="1" applyFont="1" applyFill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11" fillId="3" borderId="4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Border="1"/>
    <xf numFmtId="22" fontId="11" fillId="3" borderId="0" xfId="0" applyNumberFormat="1" applyFont="1" applyFill="1" applyBorder="1" applyAlignment="1">
      <alignment horizontal="center"/>
    </xf>
    <xf numFmtId="0" fontId="0" fillId="3" borderId="9" xfId="0" applyFill="1" applyBorder="1"/>
    <xf numFmtId="0" fontId="0" fillId="3" borderId="3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0" xfId="0" applyFill="1" applyBorder="1"/>
    <xf numFmtId="0" fontId="0" fillId="3" borderId="7" xfId="0" applyFill="1" applyBorder="1"/>
    <xf numFmtId="0" fontId="11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2" fillId="3" borderId="3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right" vertical="center"/>
    </xf>
    <xf numFmtId="167" fontId="11" fillId="0" borderId="0" xfId="0" applyNumberFormat="1" applyFont="1" applyBorder="1" applyAlignment="1">
      <alignment horizontal="left" vertical="center"/>
    </xf>
    <xf numFmtId="0" fontId="11" fillId="4" borderId="0" xfId="0" applyFont="1" applyFill="1" applyBorder="1" applyAlignment="1">
      <alignment horizontal="right" vertical="center"/>
    </xf>
    <xf numFmtId="167" fontId="11" fillId="4" borderId="5" xfId="0" applyNumberFormat="1" applyFont="1" applyFill="1" applyBorder="1" applyAlignment="1">
      <alignment horizontal="left" vertical="center"/>
    </xf>
    <xf numFmtId="167" fontId="11" fillId="0" borderId="5" xfId="0" applyNumberFormat="1" applyFont="1" applyBorder="1" applyAlignment="1">
      <alignment horizontal="left" vertical="center"/>
    </xf>
    <xf numFmtId="169" fontId="11" fillId="0" borderId="0" xfId="0" applyNumberFormat="1" applyFont="1" applyBorder="1" applyAlignment="1">
      <alignment horizontal="left" vertical="center"/>
    </xf>
    <xf numFmtId="167" fontId="11" fillId="4" borderId="5" xfId="0" applyNumberFormat="1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right" vertical="center" wrapText="1"/>
    </xf>
    <xf numFmtId="167" fontId="11" fillId="4" borderId="4" xfId="0" applyNumberFormat="1" applyFont="1" applyFill="1" applyBorder="1" applyAlignment="1">
      <alignment horizontal="right" vertical="center" wrapText="1"/>
    </xf>
    <xf numFmtId="1" fontId="11" fillId="0" borderId="5" xfId="0" applyNumberFormat="1" applyFont="1" applyBorder="1" applyAlignment="1">
      <alignment horizontal="left" vertical="center" wrapText="1"/>
    </xf>
    <xf numFmtId="1" fontId="11" fillId="0" borderId="7" xfId="0" applyNumberFormat="1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9" fontId="11" fillId="0" borderId="5" xfId="0" applyNumberFormat="1" applyFont="1" applyBorder="1" applyAlignment="1">
      <alignment horizontal="left" vertical="center"/>
    </xf>
    <xf numFmtId="0" fontId="11" fillId="0" borderId="5" xfId="0" applyNumberFormat="1" applyFont="1" applyBorder="1" applyAlignment="1">
      <alignment horizontal="left" vertical="center"/>
    </xf>
    <xf numFmtId="167" fontId="11" fillId="0" borderId="7" xfId="0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/>
    <xf numFmtId="0" fontId="2" fillId="0" borderId="0" xfId="0" applyFont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0" xfId="1" applyFont="1" applyAlignment="1">
      <alignment vertical="center"/>
    </xf>
    <xf numFmtId="0" fontId="15" fillId="3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17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center"/>
    </xf>
    <xf numFmtId="167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left"/>
    </xf>
    <xf numFmtId="169" fontId="11" fillId="0" borderId="0" xfId="0" applyNumberFormat="1" applyFont="1" applyAlignment="1">
      <alignment horizontal="center"/>
    </xf>
    <xf numFmtId="0" fontId="14" fillId="0" borderId="0" xfId="1" applyFont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Fill="1" applyAlignment="1">
      <alignment horizontal="center" vertical="center" wrapText="1"/>
    </xf>
    <xf numFmtId="167" fontId="11" fillId="0" borderId="0" xfId="0" applyNumberFormat="1" applyFont="1" applyAlignment="1">
      <alignment horizontal="center" vertical="center"/>
    </xf>
    <xf numFmtId="167" fontId="11" fillId="5" borderId="12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left" vertical="center"/>
    </xf>
    <xf numFmtId="1" fontId="11" fillId="0" borderId="3" xfId="0" applyNumberFormat="1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  <xf numFmtId="167" fontId="11" fillId="0" borderId="5" xfId="0" applyNumberFormat="1" applyFont="1" applyBorder="1" applyAlignment="1">
      <alignment horizontal="left" vertical="center" wrapText="1"/>
    </xf>
    <xf numFmtId="167" fontId="0" fillId="0" borderId="0" xfId="0" applyNumberFormat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center" vertical="center"/>
    </xf>
    <xf numFmtId="167" fontId="17" fillId="6" borderId="15" xfId="0" applyNumberFormat="1" applyFont="1" applyFill="1" applyBorder="1" applyAlignment="1">
      <alignment horizontal="center" vertical="center"/>
    </xf>
    <xf numFmtId="169" fontId="11" fillId="0" borderId="0" xfId="0" applyNumberFormat="1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adley/archive/cvs/export/prdk/productionTools/SENSORS-prdkProduction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DKDistribution"/>
      <sheetName val="Datasheet"/>
      <sheetName val="PackingList"/>
      <sheetName val="ShippingRequest"/>
      <sheetName val="ContactDB"/>
      <sheetName val="PUCKTracking"/>
      <sheetName val="PUCKBuilds"/>
      <sheetName val="LabTestCableBuilds"/>
      <sheetName val="LabTestCableTracking"/>
      <sheetName val="AdapterCableBuilds"/>
      <sheetName val="AdapterCableTracking"/>
    </sheetNames>
    <sheetDataSet>
      <sheetData sheetId="0">
        <row r="4">
          <cell r="A4" t="str">
            <v>PRDK SN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HW Build</v>
          </cell>
          <cell r="B2" t="str">
            <v>Date</v>
          </cell>
          <cell r="C2" t="str">
            <v xml:space="preserve"> HW Ver</v>
          </cell>
          <cell r="D2" t="str">
            <v>HW Rev</v>
          </cell>
          <cell r="E2" t="str">
            <v>Drawing</v>
          </cell>
          <cell r="F2" t="str">
            <v>MAX</v>
          </cell>
          <cell r="G2" t="str">
            <v>Qty</v>
          </cell>
          <cell r="H2" t="str">
            <v>Design</v>
          </cell>
          <cell r="I2" t="str">
            <v>Layout</v>
          </cell>
          <cell r="J2" t="str">
            <v>Build</v>
          </cell>
          <cell r="K2" t="str">
            <v>Notes</v>
          </cell>
        </row>
        <row r="3">
          <cell r="A3">
            <v>1</v>
          </cell>
          <cell r="B3">
            <v>39387</v>
          </cell>
          <cell r="C3">
            <v>1</v>
          </cell>
          <cell r="D3" t="str">
            <v>A</v>
          </cell>
          <cell r="E3">
            <v>1002936</v>
          </cell>
          <cell r="G3">
            <v>10</v>
          </cell>
          <cell r="H3" t="str">
            <v>McBride/Headley</v>
          </cell>
          <cell r="I3" t="str">
            <v>Rosal</v>
          </cell>
          <cell r="J3" t="str">
            <v>Rosal</v>
          </cell>
          <cell r="K3" t="str">
            <v>SENSORS PUCK Reference Design Kit (PRDK) Build</v>
          </cell>
        </row>
        <row r="4">
          <cell r="A4">
            <v>2</v>
          </cell>
          <cell r="B4">
            <v>39814</v>
          </cell>
          <cell r="C4">
            <v>1</v>
          </cell>
          <cell r="D4" t="str">
            <v>A</v>
          </cell>
          <cell r="E4">
            <v>1002936</v>
          </cell>
          <cell r="G4">
            <v>20</v>
          </cell>
          <cell r="H4" t="str">
            <v>McBride/Headley</v>
          </cell>
          <cell r="I4" t="str">
            <v>Montgomery</v>
          </cell>
          <cell r="J4" t="str">
            <v>Montgomery</v>
          </cell>
          <cell r="K4" t="str">
            <v>SENSORS PUCK Reference Design Kit (PRDK) Build</v>
          </cell>
        </row>
        <row r="5">
          <cell r="A5">
            <v>3</v>
          </cell>
          <cell r="B5">
            <v>40751</v>
          </cell>
          <cell r="C5">
            <v>1</v>
          </cell>
          <cell r="D5" t="str">
            <v>A</v>
          </cell>
          <cell r="E5">
            <v>1002936</v>
          </cell>
          <cell r="G5">
            <v>20</v>
          </cell>
          <cell r="H5" t="str">
            <v>McBride/Headley</v>
          </cell>
          <cell r="I5" t="str">
            <v>Montgomery</v>
          </cell>
          <cell r="J5" t="str">
            <v>Montgomery</v>
          </cell>
          <cell r="K5" t="str">
            <v>SENSORS PUCK Reference Design Kit (PRDK) Build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headley@mbari.org" TargetMode="External"/><Relationship Id="rId1" Type="http://schemas.openxmlformats.org/officeDocument/2006/relationships/hyperlink" Target="mailto:headley@mbari.org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headley@mbari.org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jlong@mbari.org" TargetMode="External"/><Relationship Id="rId2" Type="http://schemas.openxmlformats.org/officeDocument/2006/relationships/hyperlink" Target="mailto:fassbender@mbari.org" TargetMode="External"/><Relationship Id="rId1" Type="http://schemas.openxmlformats.org/officeDocument/2006/relationships/hyperlink" Target="mailto:headley@mbari.org" TargetMode="External"/><Relationship Id="rId4" Type="http://schemas.openxmlformats.org/officeDocument/2006/relationships/hyperlink" Target="mailto:craig@mbari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88E9-E2FE-D34A-97D6-A185F0EE3C50}">
  <dimension ref="A1:S9"/>
  <sheetViews>
    <sheetView tabSelected="1" workbookViewId="0">
      <selection activeCell="H8" sqref="H8"/>
    </sheetView>
  </sheetViews>
  <sheetFormatPr baseColWidth="10" defaultRowHeight="16" x14ac:dyDescent="0.2"/>
  <cols>
    <col min="1" max="1" width="10.83203125" style="17"/>
    <col min="2" max="2" width="12.83203125" style="21" customWidth="1"/>
    <col min="3" max="3" width="10.83203125" style="1"/>
    <col min="4" max="4" width="10.83203125" style="11"/>
    <col min="5" max="6" width="10.6640625" style="1" customWidth="1"/>
    <col min="7" max="9" width="11.33203125" customWidth="1"/>
    <col min="10" max="10" width="14.33203125" customWidth="1"/>
    <col min="11" max="11" width="18.6640625" customWidth="1"/>
    <col min="12" max="12" width="13.5" bestFit="1" customWidth="1"/>
    <col min="13" max="13" width="21.33203125" style="20" customWidth="1"/>
    <col min="14" max="14" width="10.83203125" style="1"/>
    <col min="15" max="15" width="21" style="20" customWidth="1"/>
    <col min="16" max="16" width="27.1640625" style="20" customWidth="1"/>
    <col min="17" max="17" width="12.83203125" style="20" customWidth="1"/>
    <col min="18" max="18" width="21.83203125" style="20" customWidth="1"/>
    <col min="19" max="19" width="12.83203125" style="20" customWidth="1"/>
  </cols>
  <sheetData>
    <row r="1" spans="1:19" ht="42" customHeight="1" x14ac:dyDescent="0.2">
      <c r="A1" s="19" t="s">
        <v>52</v>
      </c>
      <c r="B1" s="1"/>
      <c r="M1"/>
      <c r="N1"/>
      <c r="O1"/>
      <c r="P1"/>
      <c r="Q1"/>
      <c r="R1"/>
      <c r="S1"/>
    </row>
    <row r="2" spans="1:19" s="2" customFormat="1" ht="44" x14ac:dyDescent="0.2">
      <c r="A2" s="16" t="s">
        <v>51</v>
      </c>
      <c r="B2" s="28" t="s">
        <v>56</v>
      </c>
      <c r="C2" s="9" t="s">
        <v>58</v>
      </c>
      <c r="D2" s="15" t="s">
        <v>89</v>
      </c>
      <c r="E2" s="9" t="s">
        <v>82</v>
      </c>
      <c r="F2" s="9" t="s">
        <v>109</v>
      </c>
      <c r="G2" s="9" t="s">
        <v>60</v>
      </c>
      <c r="H2" s="9" t="s">
        <v>61</v>
      </c>
      <c r="I2" s="9" t="s">
        <v>62</v>
      </c>
      <c r="J2" s="9" t="s">
        <v>63</v>
      </c>
      <c r="K2" s="9" t="s">
        <v>6</v>
      </c>
      <c r="L2" s="9" t="s">
        <v>64</v>
      </c>
      <c r="M2" s="25" t="s">
        <v>53</v>
      </c>
      <c r="N2" s="25" t="s">
        <v>7</v>
      </c>
      <c r="O2" s="25" t="s">
        <v>9</v>
      </c>
      <c r="P2" s="25" t="s">
        <v>40</v>
      </c>
      <c r="Q2" s="25" t="s">
        <v>54</v>
      </c>
      <c r="R2" s="25" t="s">
        <v>39</v>
      </c>
      <c r="S2" s="25" t="s">
        <v>55</v>
      </c>
    </row>
    <row r="3" spans="1:19" ht="51" x14ac:dyDescent="0.2">
      <c r="C3" s="5">
        <v>44084</v>
      </c>
      <c r="D3" s="18">
        <v>0</v>
      </c>
      <c r="E3" s="2"/>
      <c r="F3" s="2">
        <v>-1</v>
      </c>
      <c r="G3" s="2">
        <v>1</v>
      </c>
      <c r="H3" s="2">
        <v>1</v>
      </c>
      <c r="I3" s="2">
        <v>1</v>
      </c>
      <c r="J3" s="2">
        <v>1</v>
      </c>
      <c r="K3" s="21" t="s">
        <v>83</v>
      </c>
      <c r="L3" s="3"/>
      <c r="M3" s="31" t="s">
        <v>44</v>
      </c>
      <c r="N3" s="2" t="s">
        <v>42</v>
      </c>
    </row>
    <row r="4" spans="1:19" ht="51" x14ac:dyDescent="0.2">
      <c r="C4" s="5">
        <v>44084</v>
      </c>
      <c r="D4" s="18">
        <v>1</v>
      </c>
      <c r="E4" s="2"/>
      <c r="F4" s="2">
        <v>-1</v>
      </c>
      <c r="G4" s="2">
        <v>1</v>
      </c>
      <c r="H4" s="2">
        <v>1</v>
      </c>
      <c r="I4" s="2">
        <v>1</v>
      </c>
      <c r="J4" s="2">
        <v>1</v>
      </c>
      <c r="K4" s="21" t="s">
        <v>83</v>
      </c>
      <c r="L4" s="3"/>
      <c r="M4" s="2" t="s">
        <v>44</v>
      </c>
      <c r="N4" s="2" t="s">
        <v>42</v>
      </c>
    </row>
    <row r="5" spans="1:19" x14ac:dyDescent="0.2">
      <c r="A5" s="18">
        <v>0</v>
      </c>
      <c r="B5" s="21">
        <v>0</v>
      </c>
      <c r="C5" s="5">
        <v>1</v>
      </c>
      <c r="D5" s="27" t="str">
        <f>TEXT(DEC2HEX(0),"0000")</f>
        <v>0000</v>
      </c>
      <c r="E5" s="18">
        <v>0</v>
      </c>
      <c r="F5" s="18"/>
      <c r="G5" s="2"/>
      <c r="H5" s="2"/>
      <c r="I5" s="2"/>
      <c r="J5" s="2"/>
      <c r="K5" s="21"/>
      <c r="L5" s="21"/>
      <c r="M5" s="2"/>
      <c r="N5" s="2"/>
      <c r="O5" s="21"/>
      <c r="P5" s="86"/>
      <c r="Q5" s="86"/>
      <c r="R5" s="26"/>
      <c r="S5" s="22"/>
    </row>
    <row r="6" spans="1:19" ht="84" x14ac:dyDescent="0.2">
      <c r="A6" s="18">
        <v>1</v>
      </c>
      <c r="B6" s="21">
        <v>0</v>
      </c>
      <c r="C6" s="5">
        <v>44084</v>
      </c>
      <c r="D6" s="27" t="str">
        <f>TEXT(DEC2HEX(2),"0000")</f>
        <v>0002</v>
      </c>
      <c r="E6" s="18">
        <v>1</v>
      </c>
      <c r="F6" s="18">
        <v>1</v>
      </c>
      <c r="G6" s="2">
        <v>1</v>
      </c>
      <c r="H6" s="2">
        <v>1</v>
      </c>
      <c r="I6" s="2">
        <v>1</v>
      </c>
      <c r="J6" s="2">
        <v>1</v>
      </c>
      <c r="K6" s="21" t="s">
        <v>84</v>
      </c>
      <c r="L6" s="21" t="s">
        <v>72</v>
      </c>
      <c r="M6" s="2" t="s">
        <v>44</v>
      </c>
      <c r="N6" s="2" t="s">
        <v>59</v>
      </c>
      <c r="O6" s="21" t="s">
        <v>46</v>
      </c>
      <c r="P6" s="86" t="str">
        <f>VLOOKUP($O6,CONTACT_DB,3,FALSE)</f>
        <v>noah.lawrence-slavas@noaa.gov</v>
      </c>
      <c r="Q6" s="86" t="str">
        <f>VLOOKUP($O6,CONTACT_DB,4,FALSE)</f>
        <v>206-526-6209</v>
      </c>
      <c r="R6" s="26" t="str">
        <f>VLOOKUP($O6,CONTACT_DB,5,FALSE)</f>
        <v>NOAA-PMEL
Engineering Development Division
7600 Sand Point Way N.E.
Seattle, WA 98115</v>
      </c>
      <c r="S6" s="22" t="s">
        <v>134</v>
      </c>
    </row>
    <row r="7" spans="1:19" ht="51" x14ac:dyDescent="0.2">
      <c r="A7" s="18">
        <v>2</v>
      </c>
      <c r="B7" s="21">
        <v>0</v>
      </c>
      <c r="C7" s="5">
        <v>44090</v>
      </c>
      <c r="D7" s="27" t="str">
        <f>TEXT(DEC2HEX(3),"0000")</f>
        <v>0003</v>
      </c>
      <c r="E7" s="18">
        <v>2</v>
      </c>
      <c r="F7" s="18">
        <v>1</v>
      </c>
      <c r="G7" s="2">
        <v>1</v>
      </c>
      <c r="H7" s="2">
        <v>1</v>
      </c>
      <c r="I7" s="2">
        <v>0</v>
      </c>
      <c r="J7" s="2">
        <v>0</v>
      </c>
      <c r="K7" s="21" t="s">
        <v>83</v>
      </c>
      <c r="L7" s="21" t="s">
        <v>72</v>
      </c>
      <c r="M7" s="2" t="s">
        <v>44</v>
      </c>
      <c r="N7" s="2" t="s">
        <v>42</v>
      </c>
      <c r="O7" s="21" t="s">
        <v>96</v>
      </c>
      <c r="P7" s="86" t="str">
        <f>VLOOKUP($O7,CONTACT_DB,3,FALSE)</f>
        <v>jlong@mbari.org</v>
      </c>
      <c r="Q7" s="86" t="str">
        <f>VLOOKUP($O7,CONTACT_DB,4,FALSE)</f>
        <v>831-775-2043</v>
      </c>
      <c r="R7" s="26" t="str">
        <f>VLOOKUP($O7,CONTACT_DB,5,FALSE)</f>
        <v>MBARI
7700 Sandholdt Road
Moss Landing CA 93950</v>
      </c>
      <c r="S7" s="22"/>
    </row>
    <row r="8" spans="1:19" ht="51" x14ac:dyDescent="0.2">
      <c r="A8" s="18">
        <v>3</v>
      </c>
      <c r="B8" s="21">
        <v>0</v>
      </c>
      <c r="C8" s="5">
        <v>44090</v>
      </c>
      <c r="D8" s="27" t="str">
        <f>TEXT(DEC2HEX(6),"0000")</f>
        <v>0006</v>
      </c>
      <c r="E8" s="18">
        <v>5</v>
      </c>
      <c r="F8" s="18">
        <v>1</v>
      </c>
      <c r="G8" s="2">
        <v>1</v>
      </c>
      <c r="H8" s="2">
        <v>1</v>
      </c>
      <c r="I8" s="2">
        <v>0</v>
      </c>
      <c r="J8" s="2">
        <v>0</v>
      </c>
      <c r="K8" s="21" t="s">
        <v>83</v>
      </c>
      <c r="L8" s="21" t="s">
        <v>72</v>
      </c>
      <c r="M8" s="2" t="s">
        <v>44</v>
      </c>
      <c r="N8" s="2" t="s">
        <v>42</v>
      </c>
      <c r="O8" s="21" t="s">
        <v>129</v>
      </c>
      <c r="P8" s="86" t="str">
        <f>VLOOKUP($O8,CONTACT_DB,3,FALSE)</f>
        <v>craig@mbari.org</v>
      </c>
      <c r="Q8" s="86" t="str">
        <f>VLOOKUP($O8,CONTACT_DB,4,FALSE)</f>
        <v>831-775-1931</v>
      </c>
      <c r="R8" s="26" t="str">
        <f>VLOOKUP($O8,CONTACT_DB,5,FALSE)</f>
        <v>MBARI
7700 Sandholdt Road
Moss Landing CA 93950</v>
      </c>
      <c r="S8" s="22"/>
    </row>
    <row r="9" spans="1:19" x14ac:dyDescent="0.2">
      <c r="M9" s="21"/>
    </row>
  </sheetData>
  <phoneticPr fontId="1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3054-8A7F-A141-89EF-A5E1555908C8}">
  <sheetPr>
    <pageSetUpPr fitToPage="1"/>
  </sheetPr>
  <dimension ref="A1:K24"/>
  <sheetViews>
    <sheetView workbookViewId="0">
      <selection sqref="A1:G23"/>
    </sheetView>
  </sheetViews>
  <sheetFormatPr baseColWidth="10" defaultRowHeight="16" x14ac:dyDescent="0.2"/>
  <cols>
    <col min="1" max="1" width="25" bestFit="1" customWidth="1"/>
    <col min="2" max="2" width="21" customWidth="1"/>
    <col min="3" max="3" width="13.1640625" customWidth="1"/>
    <col min="4" max="4" width="12.5" bestFit="1" customWidth="1"/>
    <col min="5" max="5" width="20.33203125" bestFit="1" customWidth="1"/>
    <col min="6" max="6" width="12" bestFit="1" customWidth="1"/>
    <col min="7" max="7" width="23.1640625" bestFit="1" customWidth="1"/>
    <col min="8" max="8" width="20.33203125" bestFit="1" customWidth="1"/>
    <col min="9" max="9" width="12" bestFit="1" customWidth="1"/>
    <col min="10" max="10" width="22.83203125" bestFit="1" customWidth="1"/>
    <col min="11" max="11" width="12.83203125" customWidth="1"/>
  </cols>
  <sheetData>
    <row r="1" spans="1:11" ht="33" customHeight="1" thickBot="1" x14ac:dyDescent="0.25">
      <c r="A1" s="61" t="s">
        <v>57</v>
      </c>
      <c r="B1" s="88">
        <v>3</v>
      </c>
      <c r="C1" s="89" t="str">
        <f>_xlfn.CONCAT("SN:",B9)</f>
        <v>SN:0006</v>
      </c>
      <c r="D1" s="91" t="s">
        <v>10</v>
      </c>
      <c r="E1" s="8"/>
      <c r="F1" s="8"/>
      <c r="G1" s="8"/>
      <c r="H1" s="8"/>
      <c r="I1" s="8"/>
      <c r="J1" s="8"/>
      <c r="K1" s="8"/>
    </row>
    <row r="2" spans="1:11" ht="16" customHeight="1" x14ac:dyDescent="0.2">
      <c r="A2" s="92"/>
      <c r="B2" s="92"/>
      <c r="C2" s="92"/>
      <c r="D2" s="90"/>
      <c r="E2" s="37"/>
      <c r="F2" s="37"/>
      <c r="G2" s="37"/>
      <c r="H2" s="37"/>
      <c r="I2" s="37"/>
      <c r="J2" s="37"/>
      <c r="K2" s="37"/>
    </row>
    <row r="3" spans="1:11" ht="45" customHeight="1" thickBot="1" x14ac:dyDescent="0.25">
      <c r="A3" s="62" t="s">
        <v>113</v>
      </c>
      <c r="B3" s="23"/>
    </row>
    <row r="4" spans="1:11" ht="28" customHeight="1" x14ac:dyDescent="0.2">
      <c r="A4" s="47"/>
      <c r="B4" s="48" t="s">
        <v>92</v>
      </c>
      <c r="D4" s="46"/>
      <c r="E4" s="49" t="s">
        <v>91</v>
      </c>
      <c r="F4" s="39"/>
      <c r="G4" s="40"/>
    </row>
    <row r="5" spans="1:11" ht="19" x14ac:dyDescent="0.25">
      <c r="A5" s="29" t="s">
        <v>8</v>
      </c>
      <c r="B5" s="30">
        <f ca="1">NOW()</f>
        <v>44153.613590624998</v>
      </c>
      <c r="D5" s="29" t="s">
        <v>8</v>
      </c>
      <c r="E5" s="38">
        <f ca="1">NOW()</f>
        <v>44153.613590624998</v>
      </c>
      <c r="F5" s="41"/>
      <c r="G5" s="42"/>
    </row>
    <row r="6" spans="1:11" ht="25" customHeight="1" x14ac:dyDescent="0.2">
      <c r="A6" s="50" t="s">
        <v>51</v>
      </c>
      <c r="B6" s="54">
        <f t="shared" ref="B6:B17" si="0">VLOOKUP($B$1,SDK_DIST_DB,ROW()-5,FALSE)</f>
        <v>3</v>
      </c>
      <c r="D6" s="50" t="s">
        <v>57</v>
      </c>
      <c r="E6" s="51">
        <f>VLOOKUP($B$1,SDK_DIST_DB,ROW()-5,FALSE)</f>
        <v>3</v>
      </c>
      <c r="F6" s="52"/>
      <c r="G6" s="53"/>
    </row>
    <row r="7" spans="1:11" ht="25" customHeight="1" x14ac:dyDescent="0.2">
      <c r="A7" s="57" t="s">
        <v>56</v>
      </c>
      <c r="B7" s="54">
        <f t="shared" si="0"/>
        <v>0</v>
      </c>
      <c r="D7" s="50" t="s">
        <v>89</v>
      </c>
      <c r="E7" s="51" t="str">
        <f>B9</f>
        <v>0006</v>
      </c>
      <c r="F7" s="52" t="s">
        <v>82</v>
      </c>
      <c r="G7" s="54">
        <f>B10</f>
        <v>5</v>
      </c>
    </row>
    <row r="8" spans="1:11" ht="25" customHeight="1" x14ac:dyDescent="0.2">
      <c r="A8" s="57" t="s">
        <v>58</v>
      </c>
      <c r="B8" s="63">
        <f t="shared" si="0"/>
        <v>44090</v>
      </c>
      <c r="D8" s="50" t="s">
        <v>58</v>
      </c>
      <c r="E8" s="55">
        <f>VLOOKUP(E$7,HW_DB,ROW()-6,FALSE)</f>
        <v>44044</v>
      </c>
      <c r="F8" s="52" t="s">
        <v>15</v>
      </c>
      <c r="G8" s="54" t="str">
        <f>VLOOKUP(G$7,SW_DB,ROW()-6,FALSE)</f>
        <v>cwg_nonboot</v>
      </c>
    </row>
    <row r="9" spans="1:11" ht="25" customHeight="1" x14ac:dyDescent="0.2">
      <c r="A9" s="58" t="s">
        <v>89</v>
      </c>
      <c r="B9" s="54" t="str">
        <f t="shared" si="0"/>
        <v>0006</v>
      </c>
      <c r="D9" s="50" t="s">
        <v>11</v>
      </c>
      <c r="E9" s="93">
        <f>VLOOKUP(E$7,HW_DB,ROW()-6,FALSE)</f>
        <v>1</v>
      </c>
      <c r="F9" s="52" t="s">
        <v>16</v>
      </c>
      <c r="G9" s="54" t="str">
        <f>VLOOKUP(G$7,SW_DB,ROW()-6,FALSE)</f>
        <v>0.0.0</v>
      </c>
    </row>
    <row r="10" spans="1:11" ht="25" customHeight="1" x14ac:dyDescent="0.2">
      <c r="A10" s="57" t="s">
        <v>82</v>
      </c>
      <c r="B10" s="54">
        <f t="shared" si="0"/>
        <v>5</v>
      </c>
      <c r="D10" s="50" t="s">
        <v>12</v>
      </c>
      <c r="E10" s="55" t="str">
        <f>VLOOKUP(E$7,HW_DB,ROW()-6,FALSE)</f>
        <v>A</v>
      </c>
      <c r="F10" s="52" t="s">
        <v>17</v>
      </c>
      <c r="G10" s="54" t="str">
        <f>VLOOKUP(G$7,SW_DB,ROW()-6,FALSE)</f>
        <v>3.4.0b0</v>
      </c>
    </row>
    <row r="11" spans="1:11" ht="25" customHeight="1" x14ac:dyDescent="0.2">
      <c r="A11" s="57" t="s">
        <v>109</v>
      </c>
      <c r="B11" s="64">
        <f t="shared" si="0"/>
        <v>1</v>
      </c>
      <c r="D11" s="50" t="s">
        <v>111</v>
      </c>
      <c r="E11" s="93">
        <f>VLOOKUP(E$7,HW_DB,ROW()-6,FALSE)</f>
        <v>1</v>
      </c>
      <c r="F11" s="52" t="s">
        <v>112</v>
      </c>
      <c r="G11" s="54" t="str">
        <f>VLOOKUP(G$7,SW_DB,ROW()-6,FALSE)</f>
        <v>Nov 18 2020 - 13:58:32</v>
      </c>
    </row>
    <row r="12" spans="1:11" ht="25" customHeight="1" x14ac:dyDescent="0.2">
      <c r="A12" s="57" t="s">
        <v>60</v>
      </c>
      <c r="B12" s="64">
        <f t="shared" si="0"/>
        <v>1</v>
      </c>
      <c r="D12" s="50" t="s">
        <v>65</v>
      </c>
      <c r="E12" s="55">
        <f>VLOOKUP(E$7,HW_DB,ROW()-6,FALSE)</f>
        <v>44153</v>
      </c>
      <c r="F12" s="52" t="s">
        <v>88</v>
      </c>
      <c r="G12" s="54" t="str">
        <f>VLOOKUP(G$7,SW_DB,ROW()-6,FALSE)</f>
        <v>0006</v>
      </c>
    </row>
    <row r="13" spans="1:11" ht="25" customHeight="1" x14ac:dyDescent="0.2">
      <c r="A13" s="57" t="s">
        <v>61</v>
      </c>
      <c r="B13" s="64">
        <f t="shared" si="0"/>
        <v>1</v>
      </c>
      <c r="D13" s="50" t="s">
        <v>66</v>
      </c>
      <c r="E13" s="55" t="str">
        <f>VLOOKUP(E$7,HW_DB,ROW()-6,FALSE)</f>
        <v>headley</v>
      </c>
      <c r="F13" s="52"/>
      <c r="G13" s="56"/>
    </row>
    <row r="14" spans="1:11" ht="25" customHeight="1" thickBot="1" x14ac:dyDescent="0.25">
      <c r="A14" s="57" t="s">
        <v>62</v>
      </c>
      <c r="B14" s="64">
        <f t="shared" si="0"/>
        <v>0</v>
      </c>
      <c r="D14" s="43"/>
      <c r="E14" s="44"/>
      <c r="F14" s="44"/>
      <c r="G14" s="45"/>
    </row>
    <row r="15" spans="1:11" ht="25" customHeight="1" x14ac:dyDescent="0.2">
      <c r="A15" s="57" t="s">
        <v>63</v>
      </c>
      <c r="B15" s="64">
        <f t="shared" si="0"/>
        <v>0</v>
      </c>
    </row>
    <row r="16" spans="1:11" ht="80" x14ac:dyDescent="0.2">
      <c r="A16" s="57" t="s">
        <v>6</v>
      </c>
      <c r="B16" s="96" t="str">
        <f t="shared" si="0"/>
        <v>Sandisk  SDHC
UHS-1
32GB</v>
      </c>
    </row>
    <row r="17" spans="1:3" ht="25" customHeight="1" thickBot="1" x14ac:dyDescent="0.25">
      <c r="A17" s="35" t="s">
        <v>64</v>
      </c>
      <c r="B17" s="65" t="str">
        <f t="shared" si="0"/>
        <v>N/A</v>
      </c>
    </row>
    <row r="18" spans="1:3" ht="40" x14ac:dyDescent="0.2">
      <c r="A18" s="95" t="s">
        <v>53</v>
      </c>
      <c r="B18" s="94" t="str">
        <f>VLOOKUP(B$6,SDK_DIST_DB,ROW()-5,FALSE)</f>
        <v>headley@mbari.org</v>
      </c>
    </row>
    <row r="19" spans="1:3" ht="25" customHeight="1" x14ac:dyDescent="0.2">
      <c r="A19" s="34" t="s">
        <v>7</v>
      </c>
      <c r="B19" s="59" t="str">
        <f>VLOOKUP(B$6,SDK_DIST_DB,ROW()-5,FALSE)</f>
        <v>MBARI</v>
      </c>
    </row>
    <row r="20" spans="1:3" ht="25" customHeight="1" x14ac:dyDescent="0.2">
      <c r="A20" s="34" t="s">
        <v>9</v>
      </c>
      <c r="B20" s="59" t="str">
        <f>VLOOKUP(B$6,SDK_DIST_DB,ROW()-5,FALSE)</f>
        <v>Craig Okuda</v>
      </c>
    </row>
    <row r="21" spans="1:3" ht="25" customHeight="1" x14ac:dyDescent="0.2">
      <c r="A21" s="34" t="s">
        <v>40</v>
      </c>
      <c r="B21" s="59" t="str">
        <f>VLOOKUP(B$6,SDK_DIST_DB,ROW()-5,FALSE)</f>
        <v>craig@mbari.org</v>
      </c>
    </row>
    <row r="22" spans="1:3" ht="40" x14ac:dyDescent="0.2">
      <c r="A22" s="34" t="s">
        <v>54</v>
      </c>
      <c r="B22" s="59" t="str">
        <f>VLOOKUP(B$6,SDK_DIST_DB,ROW()-5,FALSE)</f>
        <v>831-775-1931</v>
      </c>
    </row>
    <row r="23" spans="1:3" ht="141" thickBot="1" x14ac:dyDescent="0.25">
      <c r="A23" s="35" t="s">
        <v>79</v>
      </c>
      <c r="B23" s="60" t="str">
        <f>VLOOKUP(B$6,SDK_DIST_DB,ROW()-5,FALSE)</f>
        <v>MBARI
7700 Sandholdt Road
Moss Landing CA 93950</v>
      </c>
      <c r="C23" s="24"/>
    </row>
    <row r="24" spans="1:3" ht="25" customHeight="1" x14ac:dyDescent="0.2"/>
  </sheetData>
  <phoneticPr fontId="1" type="noConversion"/>
  <printOptions horizontalCentered="1"/>
  <pageMargins left="0.7" right="0.7" top="0.5" bottom="0.5" header="0" footer="0"/>
  <pageSetup scale="67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AEA35-8D9B-D446-B55E-E41BC4F747B4}">
  <sheetPr>
    <pageSetUpPr fitToPage="1"/>
  </sheetPr>
  <dimension ref="B1:O26"/>
  <sheetViews>
    <sheetView workbookViewId="0">
      <selection activeCell="H1" sqref="H1:M19"/>
    </sheetView>
  </sheetViews>
  <sheetFormatPr baseColWidth="10" defaultRowHeight="16" x14ac:dyDescent="0.2"/>
  <cols>
    <col min="2" max="2" width="14.83203125" bestFit="1" customWidth="1"/>
    <col min="3" max="3" width="47.6640625" customWidth="1"/>
    <col min="5" max="5" width="16.5" bestFit="1" customWidth="1"/>
    <col min="7" max="10" width="10.83203125" customWidth="1"/>
    <col min="13" max="13" width="10.83203125" customWidth="1"/>
    <col min="14" max="14" width="11.83203125" customWidth="1"/>
  </cols>
  <sheetData>
    <row r="1" spans="2:15" ht="25" customHeight="1" x14ac:dyDescent="0.2">
      <c r="B1" s="100" t="s">
        <v>118</v>
      </c>
      <c r="C1" s="49"/>
      <c r="D1" s="40"/>
      <c r="E1" s="102" t="s">
        <v>119</v>
      </c>
      <c r="H1" s="98" t="str">
        <f t="shared" ref="H1:H19" si="0">_xlfn.CONCAT("SN:",TEXT(DEC2HEX(ROW()+$N$2-1,4),"0000"))</f>
        <v>SN:0000</v>
      </c>
      <c r="I1" s="98" t="str">
        <f t="shared" ref="I1:M1" si="1">_xlfn.CONCAT("SN:",TEXT(DEC2HEX(ROW()+$N$2-1,4),"0000"))</f>
        <v>SN:0000</v>
      </c>
      <c r="J1" s="98" t="str">
        <f t="shared" si="1"/>
        <v>SN:0000</v>
      </c>
      <c r="K1" s="98" t="str">
        <f t="shared" si="1"/>
        <v>SN:0000</v>
      </c>
      <c r="L1" s="98" t="str">
        <f t="shared" si="1"/>
        <v>SN:0000</v>
      </c>
      <c r="M1" s="98" t="str">
        <f t="shared" si="1"/>
        <v>SN:0000</v>
      </c>
      <c r="N1" s="102" t="s">
        <v>124</v>
      </c>
      <c r="O1" t="s">
        <v>125</v>
      </c>
    </row>
    <row r="2" spans="2:15" ht="25" customHeight="1" thickBot="1" x14ac:dyDescent="0.3">
      <c r="B2" s="99" t="s">
        <v>8</v>
      </c>
      <c r="C2" s="38">
        <f ca="1">NOW()</f>
        <v>44153.613590624998</v>
      </c>
      <c r="D2" s="42"/>
      <c r="E2" s="103">
        <v>6</v>
      </c>
      <c r="H2" s="98" t="str">
        <f t="shared" si="0"/>
        <v>SN:0001</v>
      </c>
      <c r="I2" s="98" t="str">
        <f t="shared" ref="I2:M11" si="2">_xlfn.CONCAT("SN:",TEXT(DEC2HEX(ROW()+$N$2-1,4),"0000"))</f>
        <v>SN:0001</v>
      </c>
      <c r="J2" s="98" t="str">
        <f t="shared" si="2"/>
        <v>SN:0001</v>
      </c>
      <c r="K2" s="98" t="str">
        <f t="shared" si="2"/>
        <v>SN:0001</v>
      </c>
      <c r="L2" s="98" t="str">
        <f t="shared" si="2"/>
        <v>SN:0001</v>
      </c>
      <c r="M2" s="98" t="str">
        <f t="shared" si="2"/>
        <v>SN:0001</v>
      </c>
      <c r="N2" s="103">
        <v>0</v>
      </c>
    </row>
    <row r="3" spans="2:15" ht="25" customHeight="1" x14ac:dyDescent="0.2">
      <c r="B3" s="50" t="s">
        <v>89</v>
      </c>
      <c r="C3" s="51" t="str">
        <f>TEXT(E2,"0000")</f>
        <v>0006</v>
      </c>
      <c r="D3" s="101"/>
      <c r="H3" s="98" t="str">
        <f t="shared" si="0"/>
        <v>SN:0002</v>
      </c>
      <c r="I3" s="98" t="str">
        <f t="shared" si="2"/>
        <v>SN:0002</v>
      </c>
      <c r="J3" s="98" t="str">
        <f t="shared" si="2"/>
        <v>SN:0002</v>
      </c>
      <c r="K3" s="98" t="str">
        <f t="shared" si="2"/>
        <v>SN:0002</v>
      </c>
      <c r="L3" s="98" t="str">
        <f t="shared" si="2"/>
        <v>SN:0002</v>
      </c>
      <c r="M3" s="98" t="str">
        <f t="shared" si="2"/>
        <v>SN:0002</v>
      </c>
    </row>
    <row r="4" spans="2:15" ht="25" customHeight="1" x14ac:dyDescent="0.2">
      <c r="B4" s="50" t="s">
        <v>58</v>
      </c>
      <c r="C4" s="55">
        <f t="shared" ref="C4:C9" si="3">VLOOKUP(C$3,HW_DB,ROW()-ROW(C$3)+1,FALSE)</f>
        <v>44044</v>
      </c>
      <c r="D4" s="101"/>
      <c r="H4" s="98" t="str">
        <f t="shared" si="0"/>
        <v>SN:0003</v>
      </c>
      <c r="I4" s="98" t="str">
        <f t="shared" si="2"/>
        <v>SN:0003</v>
      </c>
      <c r="J4" s="98" t="str">
        <f t="shared" si="2"/>
        <v>SN:0003</v>
      </c>
      <c r="K4" s="98" t="str">
        <f t="shared" si="2"/>
        <v>SN:0003</v>
      </c>
      <c r="L4" s="98" t="str">
        <f t="shared" si="2"/>
        <v>SN:0003</v>
      </c>
      <c r="M4" s="98" t="str">
        <f t="shared" si="2"/>
        <v>SN:0003</v>
      </c>
    </row>
    <row r="5" spans="2:15" ht="25" customHeight="1" x14ac:dyDescent="0.2">
      <c r="B5" s="50" t="s">
        <v>11</v>
      </c>
      <c r="C5" s="93">
        <f t="shared" si="3"/>
        <v>1</v>
      </c>
      <c r="D5" s="101"/>
      <c r="H5" s="98" t="str">
        <f t="shared" si="0"/>
        <v>SN:0004</v>
      </c>
      <c r="I5" s="98" t="str">
        <f t="shared" si="2"/>
        <v>SN:0004</v>
      </c>
      <c r="J5" s="98" t="str">
        <f t="shared" si="2"/>
        <v>SN:0004</v>
      </c>
      <c r="K5" s="98" t="str">
        <f t="shared" si="2"/>
        <v>SN:0004</v>
      </c>
      <c r="L5" s="98" t="str">
        <f t="shared" si="2"/>
        <v>SN:0004</v>
      </c>
      <c r="M5" s="98" t="str">
        <f t="shared" si="2"/>
        <v>SN:0004</v>
      </c>
    </row>
    <row r="6" spans="2:15" ht="25" customHeight="1" x14ac:dyDescent="0.2">
      <c r="B6" s="50" t="s">
        <v>12</v>
      </c>
      <c r="C6" s="55" t="str">
        <f t="shared" si="3"/>
        <v>A</v>
      </c>
      <c r="D6" s="101"/>
      <c r="H6" s="98" t="str">
        <f t="shared" si="0"/>
        <v>SN:0005</v>
      </c>
      <c r="I6" s="98" t="str">
        <f t="shared" si="2"/>
        <v>SN:0005</v>
      </c>
      <c r="J6" s="98" t="str">
        <f t="shared" si="2"/>
        <v>SN:0005</v>
      </c>
      <c r="K6" s="98" t="str">
        <f t="shared" si="2"/>
        <v>SN:0005</v>
      </c>
      <c r="L6" s="98" t="str">
        <f t="shared" si="2"/>
        <v>SN:0005</v>
      </c>
      <c r="M6" s="98" t="str">
        <f t="shared" si="2"/>
        <v>SN:0005</v>
      </c>
    </row>
    <row r="7" spans="2:15" ht="25" customHeight="1" x14ac:dyDescent="0.2">
      <c r="B7" s="50" t="s">
        <v>111</v>
      </c>
      <c r="C7" s="93">
        <f t="shared" si="3"/>
        <v>1</v>
      </c>
      <c r="D7" s="101"/>
      <c r="H7" s="98" t="str">
        <f t="shared" si="0"/>
        <v>SN:0006</v>
      </c>
      <c r="I7" s="98" t="str">
        <f t="shared" si="2"/>
        <v>SN:0006</v>
      </c>
      <c r="J7" s="98" t="str">
        <f t="shared" si="2"/>
        <v>SN:0006</v>
      </c>
      <c r="K7" s="98" t="str">
        <f t="shared" si="2"/>
        <v>SN:0006</v>
      </c>
      <c r="L7" s="98" t="str">
        <f t="shared" si="2"/>
        <v>SN:0006</v>
      </c>
      <c r="M7" s="98" t="str">
        <f t="shared" si="2"/>
        <v>SN:0006</v>
      </c>
    </row>
    <row r="8" spans="2:15" ht="25" customHeight="1" x14ac:dyDescent="0.2">
      <c r="B8" s="50" t="s">
        <v>65</v>
      </c>
      <c r="C8" s="55">
        <f t="shared" si="3"/>
        <v>44153</v>
      </c>
      <c r="D8" s="101"/>
      <c r="H8" s="98" t="str">
        <f t="shared" si="0"/>
        <v>SN:0007</v>
      </c>
      <c r="I8" s="98" t="str">
        <f t="shared" si="2"/>
        <v>SN:0007</v>
      </c>
      <c r="J8" s="98" t="str">
        <f t="shared" si="2"/>
        <v>SN:0007</v>
      </c>
      <c r="K8" s="98" t="str">
        <f t="shared" si="2"/>
        <v>SN:0007</v>
      </c>
      <c r="L8" s="98" t="str">
        <f t="shared" si="2"/>
        <v>SN:0007</v>
      </c>
      <c r="M8" s="98" t="str">
        <f t="shared" si="2"/>
        <v>SN:0007</v>
      </c>
    </row>
    <row r="9" spans="2:15" ht="25" customHeight="1" x14ac:dyDescent="0.2">
      <c r="B9" s="50" t="s">
        <v>66</v>
      </c>
      <c r="C9" s="55" t="str">
        <f t="shared" si="3"/>
        <v>headley</v>
      </c>
      <c r="D9" s="101"/>
      <c r="H9" s="98" t="str">
        <f t="shared" si="0"/>
        <v>SN:0008</v>
      </c>
      <c r="I9" s="98" t="str">
        <f t="shared" si="2"/>
        <v>SN:0008</v>
      </c>
      <c r="J9" s="98" t="str">
        <f t="shared" si="2"/>
        <v>SN:0008</v>
      </c>
      <c r="K9" s="98" t="str">
        <f t="shared" si="2"/>
        <v>SN:0008</v>
      </c>
      <c r="L9" s="98" t="str">
        <f t="shared" si="2"/>
        <v>SN:0008</v>
      </c>
      <c r="M9" s="98" t="str">
        <f t="shared" si="2"/>
        <v>SN:0008</v>
      </c>
    </row>
    <row r="10" spans="2:15" ht="25" customHeight="1" thickBot="1" x14ac:dyDescent="0.25">
      <c r="B10" s="43"/>
      <c r="C10" s="44"/>
      <c r="D10" s="45"/>
      <c r="H10" s="98" t="str">
        <f t="shared" si="0"/>
        <v>SN:0009</v>
      </c>
      <c r="I10" s="98" t="str">
        <f t="shared" si="2"/>
        <v>SN:0009</v>
      </c>
      <c r="J10" s="98" t="str">
        <f t="shared" si="2"/>
        <v>SN:0009</v>
      </c>
      <c r="K10" s="98" t="str">
        <f t="shared" si="2"/>
        <v>SN:0009</v>
      </c>
      <c r="L10" s="98" t="str">
        <f t="shared" si="2"/>
        <v>SN:0009</v>
      </c>
      <c r="M10" s="98" t="str">
        <f t="shared" si="2"/>
        <v>SN:0009</v>
      </c>
    </row>
    <row r="11" spans="2:15" ht="25" customHeight="1" thickBot="1" x14ac:dyDescent="0.25">
      <c r="H11" s="98" t="str">
        <f t="shared" si="0"/>
        <v>SN:000A</v>
      </c>
      <c r="I11" s="98" t="str">
        <f t="shared" si="2"/>
        <v>SN:000A</v>
      </c>
      <c r="J11" s="98" t="str">
        <f t="shared" si="2"/>
        <v>SN:000A</v>
      </c>
      <c r="K11" s="98" t="str">
        <f t="shared" si="2"/>
        <v>SN:000A</v>
      </c>
      <c r="L11" s="98" t="str">
        <f t="shared" si="2"/>
        <v>SN:000A</v>
      </c>
      <c r="M11" s="98" t="str">
        <f t="shared" si="2"/>
        <v>SN:000A</v>
      </c>
    </row>
    <row r="12" spans="2:15" ht="25" customHeight="1" x14ac:dyDescent="0.2">
      <c r="B12" s="100" t="s">
        <v>120</v>
      </c>
      <c r="C12" s="49"/>
      <c r="D12" s="40"/>
      <c r="E12" s="102" t="s">
        <v>121</v>
      </c>
      <c r="H12" s="98" t="str">
        <f t="shared" si="0"/>
        <v>SN:000B</v>
      </c>
      <c r="I12" s="98" t="str">
        <f t="shared" ref="I12:M19" si="4">_xlfn.CONCAT("SN:",TEXT(DEC2HEX(ROW()+$N$2-1,4),"0000"))</f>
        <v>SN:000B</v>
      </c>
      <c r="J12" s="98" t="str">
        <f t="shared" si="4"/>
        <v>SN:000B</v>
      </c>
      <c r="K12" s="98" t="str">
        <f t="shared" si="4"/>
        <v>SN:000B</v>
      </c>
      <c r="L12" s="98" t="str">
        <f t="shared" si="4"/>
        <v>SN:000B</v>
      </c>
      <c r="M12" s="98" t="str">
        <f t="shared" si="4"/>
        <v>SN:000B</v>
      </c>
    </row>
    <row r="13" spans="2:15" ht="25" customHeight="1" thickBot="1" x14ac:dyDescent="0.3">
      <c r="B13" s="99" t="s">
        <v>8</v>
      </c>
      <c r="C13" s="38">
        <f ca="1">NOW()</f>
        <v>44153.613590624998</v>
      </c>
      <c r="D13" s="42"/>
      <c r="E13" s="103">
        <v>5</v>
      </c>
      <c r="H13" s="98" t="str">
        <f t="shared" si="0"/>
        <v>SN:000C</v>
      </c>
      <c r="I13" s="98" t="str">
        <f t="shared" si="4"/>
        <v>SN:000C</v>
      </c>
      <c r="J13" s="98" t="str">
        <f t="shared" si="4"/>
        <v>SN:000C</v>
      </c>
      <c r="K13" s="98" t="str">
        <f t="shared" si="4"/>
        <v>SN:000C</v>
      </c>
      <c r="L13" s="98" t="str">
        <f t="shared" si="4"/>
        <v>SN:000C</v>
      </c>
      <c r="M13" s="98" t="str">
        <f t="shared" si="4"/>
        <v>SN:000C</v>
      </c>
    </row>
    <row r="14" spans="2:15" ht="25" customHeight="1" x14ac:dyDescent="0.2">
      <c r="B14" s="50" t="s">
        <v>82</v>
      </c>
      <c r="C14" s="51">
        <f>E13</f>
        <v>5</v>
      </c>
      <c r="D14" s="101"/>
      <c r="H14" s="98" t="str">
        <f t="shared" si="0"/>
        <v>SN:000D</v>
      </c>
      <c r="I14" s="98" t="str">
        <f t="shared" si="4"/>
        <v>SN:000D</v>
      </c>
      <c r="J14" s="98" t="str">
        <f t="shared" si="4"/>
        <v>SN:000D</v>
      </c>
      <c r="K14" s="98" t="str">
        <f t="shared" si="4"/>
        <v>SN:000D</v>
      </c>
      <c r="L14" s="98" t="str">
        <f t="shared" si="4"/>
        <v>SN:000D</v>
      </c>
      <c r="M14" s="98" t="str">
        <f t="shared" si="4"/>
        <v>SN:000D</v>
      </c>
    </row>
    <row r="15" spans="2:15" ht="25" customHeight="1" x14ac:dyDescent="0.2">
      <c r="B15" s="50" t="s">
        <v>15</v>
      </c>
      <c r="C15" s="55" t="str">
        <f t="shared" ref="C15:C20" si="5">VLOOKUP(C$14,SW_DB,ROW()-ROW(C$14)+1,FALSE)</f>
        <v>cwg_nonboot</v>
      </c>
      <c r="D15" s="101"/>
      <c r="H15" s="98" t="str">
        <f t="shared" si="0"/>
        <v>SN:000E</v>
      </c>
      <c r="I15" s="98" t="str">
        <f t="shared" si="4"/>
        <v>SN:000E</v>
      </c>
      <c r="J15" s="98" t="str">
        <f t="shared" si="4"/>
        <v>SN:000E</v>
      </c>
      <c r="K15" s="98" t="str">
        <f t="shared" si="4"/>
        <v>SN:000E</v>
      </c>
      <c r="L15" s="98" t="str">
        <f t="shared" si="4"/>
        <v>SN:000E</v>
      </c>
      <c r="M15" s="98" t="str">
        <f t="shared" si="4"/>
        <v>SN:000E</v>
      </c>
    </row>
    <row r="16" spans="2:15" ht="25" customHeight="1" x14ac:dyDescent="0.2">
      <c r="B16" s="50" t="s">
        <v>16</v>
      </c>
      <c r="C16" s="55" t="str">
        <f t="shared" si="5"/>
        <v>0.0.0</v>
      </c>
      <c r="D16" s="101"/>
      <c r="H16" s="98" t="str">
        <f t="shared" si="0"/>
        <v>SN:000F</v>
      </c>
      <c r="I16" s="98" t="str">
        <f t="shared" si="4"/>
        <v>SN:000F</v>
      </c>
      <c r="J16" s="98" t="str">
        <f t="shared" si="4"/>
        <v>SN:000F</v>
      </c>
      <c r="K16" s="98" t="str">
        <f t="shared" si="4"/>
        <v>SN:000F</v>
      </c>
      <c r="L16" s="98" t="str">
        <f t="shared" si="4"/>
        <v>SN:000F</v>
      </c>
      <c r="M16" s="98" t="str">
        <f t="shared" si="4"/>
        <v>SN:000F</v>
      </c>
    </row>
    <row r="17" spans="2:13" ht="25" customHeight="1" x14ac:dyDescent="0.2">
      <c r="B17" s="50" t="s">
        <v>17</v>
      </c>
      <c r="C17" s="55" t="str">
        <f t="shared" si="5"/>
        <v>3.4.0b0</v>
      </c>
      <c r="D17" s="101"/>
      <c r="H17" s="98" t="str">
        <f t="shared" si="0"/>
        <v>SN:0010</v>
      </c>
      <c r="I17" s="98" t="str">
        <f t="shared" si="4"/>
        <v>SN:0010</v>
      </c>
      <c r="J17" s="98" t="str">
        <f t="shared" si="4"/>
        <v>SN:0010</v>
      </c>
      <c r="K17" s="98" t="str">
        <f t="shared" si="4"/>
        <v>SN:0010</v>
      </c>
      <c r="L17" s="98" t="str">
        <f t="shared" si="4"/>
        <v>SN:0010</v>
      </c>
      <c r="M17" s="98" t="str">
        <f t="shared" si="4"/>
        <v>SN:0010</v>
      </c>
    </row>
    <row r="18" spans="2:13" ht="25" customHeight="1" x14ac:dyDescent="0.2">
      <c r="B18" s="50" t="s">
        <v>112</v>
      </c>
      <c r="C18" s="55" t="str">
        <f t="shared" si="5"/>
        <v>Nov 18 2020 - 13:58:32</v>
      </c>
      <c r="D18" s="101"/>
      <c r="H18" s="98" t="str">
        <f t="shared" si="0"/>
        <v>SN:0011</v>
      </c>
      <c r="I18" s="98" t="str">
        <f t="shared" si="4"/>
        <v>SN:0011</v>
      </c>
      <c r="J18" s="98" t="str">
        <f t="shared" si="4"/>
        <v>SN:0011</v>
      </c>
      <c r="K18" s="98" t="str">
        <f t="shared" si="4"/>
        <v>SN:0011</v>
      </c>
      <c r="L18" s="98" t="str">
        <f t="shared" si="4"/>
        <v>SN:0011</v>
      </c>
      <c r="M18" s="98" t="str">
        <f t="shared" si="4"/>
        <v>SN:0011</v>
      </c>
    </row>
    <row r="19" spans="2:13" ht="25" customHeight="1" x14ac:dyDescent="0.2">
      <c r="B19" s="50" t="s">
        <v>88</v>
      </c>
      <c r="C19" s="55" t="str">
        <f t="shared" si="5"/>
        <v>0006</v>
      </c>
      <c r="D19" s="101"/>
      <c r="H19" s="98" t="str">
        <f t="shared" si="0"/>
        <v>SN:0012</v>
      </c>
      <c r="I19" s="98" t="str">
        <f t="shared" si="4"/>
        <v>SN:0012</v>
      </c>
      <c r="J19" s="98" t="str">
        <f t="shared" si="4"/>
        <v>SN:0012</v>
      </c>
      <c r="K19" s="98" t="str">
        <f t="shared" si="4"/>
        <v>SN:0012</v>
      </c>
      <c r="L19" s="98" t="str">
        <f t="shared" si="4"/>
        <v>SN:0012</v>
      </c>
      <c r="M19" s="98" t="str">
        <f t="shared" si="4"/>
        <v>SN:0012</v>
      </c>
    </row>
    <row r="20" spans="2:13" ht="80" x14ac:dyDescent="0.2">
      <c r="B20" s="50" t="s">
        <v>90</v>
      </c>
      <c r="C20" s="104" t="str">
        <f t="shared" si="5"/>
        <v xml:space="preserve"> ----A 2020/09/16 17:41       171  SYSBOOT.SCR                                  
 ----A 2020/09/16 17:41        13  UTIME.SCR                                    
 ----A 2020/09/16 17:41     35813  HELP.MD                                      
 ----A 2020/09/16 17:41       365  CONFIG.TXT </v>
      </c>
      <c r="D20" s="101"/>
    </row>
    <row r="21" spans="2:13" ht="25" customHeight="1" thickBot="1" x14ac:dyDescent="0.25">
      <c r="B21" s="43"/>
      <c r="C21" s="44"/>
      <c r="D21" s="45"/>
    </row>
    <row r="22" spans="2:13" ht="25" customHeight="1" x14ac:dyDescent="0.2"/>
    <row r="23" spans="2:13" ht="25" customHeight="1" x14ac:dyDescent="0.2"/>
    <row r="25" spans="2:13" ht="25" customHeight="1" x14ac:dyDescent="0.2"/>
    <row r="26" spans="2:13" ht="25" customHeight="1" x14ac:dyDescent="0.2"/>
  </sheetData>
  <printOptions horizontalCentered="1" verticalCentered="1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A0C9-ED94-A142-8F07-558BF2DB0E4B}">
  <dimension ref="A1:U9"/>
  <sheetViews>
    <sheetView workbookViewId="0">
      <selection activeCell="U8" sqref="U8:U9"/>
    </sheetView>
  </sheetViews>
  <sheetFormatPr baseColWidth="10" defaultRowHeight="16" x14ac:dyDescent="0.2"/>
  <cols>
    <col min="3" max="5" width="10.83203125" style="1"/>
    <col min="6" max="6" width="12.33203125" style="1" customWidth="1"/>
    <col min="7" max="7" width="12.6640625" bestFit="1" customWidth="1"/>
  </cols>
  <sheetData>
    <row r="1" spans="1:21" ht="44" x14ac:dyDescent="0.2">
      <c r="A1" s="9" t="s">
        <v>76</v>
      </c>
      <c r="B1" s="9" t="s">
        <v>89</v>
      </c>
      <c r="C1" s="9" t="s">
        <v>58</v>
      </c>
      <c r="D1" s="9" t="s">
        <v>11</v>
      </c>
      <c r="E1" s="9" t="s">
        <v>12</v>
      </c>
      <c r="F1" s="9" t="s">
        <v>104</v>
      </c>
      <c r="G1" s="9" t="s">
        <v>65</v>
      </c>
      <c r="H1" s="9" t="s">
        <v>66</v>
      </c>
      <c r="I1" s="9" t="s">
        <v>81</v>
      </c>
      <c r="J1" s="9" t="s">
        <v>70</v>
      </c>
      <c r="K1" s="9" t="s">
        <v>69</v>
      </c>
      <c r="L1" s="9" t="s">
        <v>73</v>
      </c>
      <c r="M1" s="9" t="s">
        <v>74</v>
      </c>
      <c r="N1" s="9" t="s">
        <v>75</v>
      </c>
      <c r="O1" s="9" t="s">
        <v>80</v>
      </c>
      <c r="P1" s="9" t="s">
        <v>2</v>
      </c>
      <c r="Q1" s="9" t="s">
        <v>3</v>
      </c>
      <c r="R1" s="9" t="s">
        <v>4</v>
      </c>
      <c r="S1" s="9" t="s">
        <v>67</v>
      </c>
      <c r="T1" s="9" t="s">
        <v>68</v>
      </c>
      <c r="U1" s="9" t="s">
        <v>71</v>
      </c>
    </row>
    <row r="2" spans="1:21" x14ac:dyDescent="0.2">
      <c r="A2" s="23">
        <v>65535</v>
      </c>
      <c r="B2" s="32" t="str">
        <f>TEXT(DEC2HEX(A2),"0000")</f>
        <v>FFFF</v>
      </c>
      <c r="C2" s="5">
        <v>43466</v>
      </c>
      <c r="D2" s="10">
        <v>0</v>
      </c>
      <c r="E2" s="5" t="s">
        <v>77</v>
      </c>
      <c r="F2" s="33">
        <v>0</v>
      </c>
      <c r="G2" s="3"/>
      <c r="H2" s="2" t="s">
        <v>0</v>
      </c>
      <c r="I2" s="2"/>
      <c r="J2" s="2"/>
    </row>
    <row r="3" spans="1:21" x14ac:dyDescent="0.2">
      <c r="A3" s="97">
        <v>0</v>
      </c>
      <c r="B3" s="32" t="str">
        <f>TEXT(DEC2HEX(A3),"0000")</f>
        <v>0000</v>
      </c>
      <c r="C3" s="5">
        <v>0</v>
      </c>
      <c r="D3" s="10">
        <v>-1</v>
      </c>
      <c r="E3" s="10" t="s">
        <v>116</v>
      </c>
      <c r="F3" s="10">
        <v>-1</v>
      </c>
      <c r="G3" s="6">
        <v>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23">
        <v>1</v>
      </c>
      <c r="B4" s="32" t="str">
        <f t="shared" ref="B4:B8" si="0">TEXT(DEC2HEX(A4),"0000")</f>
        <v>0001</v>
      </c>
      <c r="C4" s="5">
        <v>43617</v>
      </c>
      <c r="D4" s="10">
        <v>1</v>
      </c>
      <c r="E4" s="5" t="s">
        <v>28</v>
      </c>
      <c r="F4" s="33">
        <v>0.1</v>
      </c>
      <c r="G4" s="3"/>
      <c r="H4" s="2" t="s">
        <v>0</v>
      </c>
      <c r="I4" s="2"/>
      <c r="J4" s="2"/>
    </row>
    <row r="5" spans="1:21" x14ac:dyDescent="0.2">
      <c r="A5" s="23">
        <v>2</v>
      </c>
      <c r="B5" s="32" t="str">
        <f t="shared" si="0"/>
        <v>0002</v>
      </c>
      <c r="C5" s="5">
        <v>44044</v>
      </c>
      <c r="D5" s="10">
        <v>1</v>
      </c>
      <c r="E5" s="10" t="s">
        <v>28</v>
      </c>
      <c r="F5" s="10">
        <v>1</v>
      </c>
      <c r="G5" s="6">
        <v>44084</v>
      </c>
      <c r="H5" s="2" t="s">
        <v>0</v>
      </c>
      <c r="I5" s="2" t="s">
        <v>5</v>
      </c>
      <c r="J5" s="2" t="s">
        <v>5</v>
      </c>
      <c r="K5" s="2" t="s">
        <v>5</v>
      </c>
      <c r="L5" s="2" t="s">
        <v>5</v>
      </c>
      <c r="M5" s="2" t="s">
        <v>5</v>
      </c>
      <c r="N5" s="2" t="s">
        <v>5</v>
      </c>
      <c r="O5" s="2" t="s">
        <v>5</v>
      </c>
      <c r="P5" s="2" t="s">
        <v>5</v>
      </c>
      <c r="Q5" s="2" t="s">
        <v>5</v>
      </c>
      <c r="R5" s="2" t="s">
        <v>5</v>
      </c>
      <c r="S5" s="2" t="s">
        <v>5</v>
      </c>
      <c r="T5" s="2" t="s">
        <v>5</v>
      </c>
      <c r="U5" s="2" t="s">
        <v>5</v>
      </c>
    </row>
    <row r="6" spans="1:21" x14ac:dyDescent="0.2">
      <c r="A6" s="23">
        <v>3</v>
      </c>
      <c r="B6" s="32" t="str">
        <f t="shared" si="0"/>
        <v>0003</v>
      </c>
      <c r="C6" s="5">
        <v>44044</v>
      </c>
      <c r="D6" s="10">
        <v>1</v>
      </c>
      <c r="E6" s="10" t="s">
        <v>28</v>
      </c>
      <c r="F6" s="10">
        <v>1</v>
      </c>
      <c r="G6" s="6">
        <v>44090</v>
      </c>
      <c r="H6" s="2" t="s">
        <v>0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</row>
    <row r="7" spans="1:21" x14ac:dyDescent="0.2">
      <c r="A7" s="23">
        <v>4</v>
      </c>
      <c r="B7" s="32" t="str">
        <f t="shared" si="0"/>
        <v>0004</v>
      </c>
      <c r="C7" s="5">
        <v>44044</v>
      </c>
      <c r="D7" s="10">
        <v>1</v>
      </c>
      <c r="E7" s="10" t="s">
        <v>28</v>
      </c>
      <c r="F7" s="10">
        <v>1</v>
      </c>
      <c r="G7" s="6">
        <v>44090</v>
      </c>
      <c r="H7" s="2" t="s">
        <v>0</v>
      </c>
      <c r="I7" s="2" t="s">
        <v>5</v>
      </c>
      <c r="J7" s="2" t="s">
        <v>5</v>
      </c>
      <c r="K7" s="2" t="s">
        <v>5</v>
      </c>
      <c r="L7" s="2" t="s">
        <v>5</v>
      </c>
      <c r="M7" s="2" t="s">
        <v>5</v>
      </c>
      <c r="N7" s="2" t="s">
        <v>5</v>
      </c>
      <c r="O7" s="2" t="s">
        <v>5</v>
      </c>
      <c r="P7" s="2" t="s">
        <v>5</v>
      </c>
      <c r="Q7" s="2" t="s">
        <v>5</v>
      </c>
      <c r="R7" s="2" t="s">
        <v>5</v>
      </c>
      <c r="S7" s="2" t="s">
        <v>5</v>
      </c>
      <c r="T7" s="2" t="s">
        <v>5</v>
      </c>
      <c r="U7" s="2" t="s">
        <v>5</v>
      </c>
    </row>
    <row r="8" spans="1:21" x14ac:dyDescent="0.2">
      <c r="A8" s="23">
        <v>5</v>
      </c>
      <c r="B8" s="32" t="str">
        <f t="shared" si="0"/>
        <v>0005</v>
      </c>
      <c r="C8" s="5">
        <v>44044</v>
      </c>
      <c r="D8" s="10">
        <v>1</v>
      </c>
      <c r="E8" s="10" t="s">
        <v>28</v>
      </c>
      <c r="F8" s="10">
        <v>1</v>
      </c>
      <c r="G8" s="6">
        <v>44090</v>
      </c>
      <c r="H8" s="2" t="s">
        <v>0</v>
      </c>
      <c r="I8" s="2" t="s">
        <v>5</v>
      </c>
      <c r="J8" s="2" t="s">
        <v>5</v>
      </c>
      <c r="K8" s="2" t="s">
        <v>5</v>
      </c>
      <c r="L8" s="2" t="s">
        <v>5</v>
      </c>
      <c r="M8" s="2" t="s">
        <v>5</v>
      </c>
      <c r="N8" s="2" t="s">
        <v>5</v>
      </c>
      <c r="O8" s="2" t="s">
        <v>5</v>
      </c>
      <c r="P8" s="2" t="s">
        <v>5</v>
      </c>
      <c r="Q8" s="2" t="s">
        <v>5</v>
      </c>
      <c r="R8" s="2" t="s">
        <v>5</v>
      </c>
      <c r="S8" s="2" t="s">
        <v>5</v>
      </c>
      <c r="T8" s="2" t="s">
        <v>5</v>
      </c>
      <c r="U8" s="2" t="s">
        <v>5</v>
      </c>
    </row>
    <row r="9" spans="1:21" x14ac:dyDescent="0.2">
      <c r="A9" s="23">
        <v>6</v>
      </c>
      <c r="B9" s="32" t="str">
        <f t="shared" ref="B9" si="1">TEXT(DEC2HEX(A9),"0000")</f>
        <v>0006</v>
      </c>
      <c r="C9" s="5">
        <v>44044</v>
      </c>
      <c r="D9" s="10">
        <v>1</v>
      </c>
      <c r="E9" s="10" t="s">
        <v>28</v>
      </c>
      <c r="F9" s="10">
        <v>1</v>
      </c>
      <c r="G9" s="6">
        <v>44153</v>
      </c>
      <c r="H9" s="2" t="s">
        <v>0</v>
      </c>
      <c r="I9" s="2" t="s">
        <v>5</v>
      </c>
      <c r="J9" s="2" t="s">
        <v>5</v>
      </c>
      <c r="K9" s="2" t="s">
        <v>5</v>
      </c>
      <c r="L9" s="2" t="s">
        <v>5</v>
      </c>
      <c r="M9" s="2" t="s">
        <v>5</v>
      </c>
      <c r="N9" s="2" t="s">
        <v>5</v>
      </c>
      <c r="O9" s="2" t="s">
        <v>5</v>
      </c>
      <c r="P9" s="2" t="s">
        <v>5</v>
      </c>
      <c r="Q9" s="2" t="s">
        <v>5</v>
      </c>
      <c r="R9" s="2" t="s">
        <v>5</v>
      </c>
      <c r="S9" s="2" t="s">
        <v>5</v>
      </c>
      <c r="T9" s="2" t="s">
        <v>5</v>
      </c>
      <c r="U9" s="2" t="s">
        <v>5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AA87-B989-894C-A55A-7222D303214E}">
  <dimension ref="A1:G7"/>
  <sheetViews>
    <sheetView workbookViewId="0">
      <selection activeCell="F8" sqref="F8"/>
    </sheetView>
  </sheetViews>
  <sheetFormatPr baseColWidth="10" defaultRowHeight="16" x14ac:dyDescent="0.2"/>
  <cols>
    <col min="1" max="1" width="10.1640625" customWidth="1"/>
    <col min="2" max="2" width="12.1640625" style="1" bestFit="1" customWidth="1"/>
    <col min="3" max="3" width="13" customWidth="1"/>
    <col min="4" max="4" width="11.33203125" customWidth="1"/>
    <col min="5" max="5" width="20" bestFit="1" customWidth="1"/>
    <col min="6" max="6" width="20" customWidth="1"/>
    <col min="7" max="7" width="40.5" bestFit="1" customWidth="1"/>
  </cols>
  <sheetData>
    <row r="1" spans="1:7" ht="22" x14ac:dyDescent="0.2">
      <c r="A1" s="9" t="s">
        <v>82</v>
      </c>
      <c r="B1" s="9" t="s">
        <v>15</v>
      </c>
      <c r="C1" s="9" t="s">
        <v>16</v>
      </c>
      <c r="D1" s="9" t="s">
        <v>17</v>
      </c>
      <c r="E1" s="9" t="s">
        <v>112</v>
      </c>
      <c r="F1" s="9" t="s">
        <v>88</v>
      </c>
      <c r="G1" s="9" t="s">
        <v>90</v>
      </c>
    </row>
    <row r="2" spans="1:7" ht="102" x14ac:dyDescent="0.2">
      <c r="A2" s="18">
        <v>0</v>
      </c>
      <c r="B2" s="2" t="s">
        <v>117</v>
      </c>
      <c r="C2" s="2" t="s">
        <v>117</v>
      </c>
      <c r="D2" s="2"/>
      <c r="E2" s="2"/>
      <c r="F2" s="36" t="str">
        <f>TEXT(HEX2DEC("ffff"),"0000")</f>
        <v>65535</v>
      </c>
      <c r="G2" s="4" t="s">
        <v>87</v>
      </c>
    </row>
    <row r="3" spans="1:7" ht="102" x14ac:dyDescent="0.2">
      <c r="A3" s="18">
        <v>1</v>
      </c>
      <c r="B3" s="2" t="s">
        <v>14</v>
      </c>
      <c r="C3" s="2" t="s">
        <v>13</v>
      </c>
      <c r="D3" s="2" t="s">
        <v>1</v>
      </c>
      <c r="E3" s="2" t="s">
        <v>86</v>
      </c>
      <c r="F3" s="36" t="str">
        <f>TEXT(HEX2DEC(2),"0000")</f>
        <v>0002</v>
      </c>
      <c r="G3" s="4" t="s">
        <v>87</v>
      </c>
    </row>
    <row r="4" spans="1:7" ht="68" x14ac:dyDescent="0.2">
      <c r="A4" s="18">
        <v>2</v>
      </c>
      <c r="B4" s="2" t="s">
        <v>14</v>
      </c>
      <c r="C4" s="2" t="s">
        <v>126</v>
      </c>
      <c r="D4" s="2" t="s">
        <v>127</v>
      </c>
      <c r="E4" s="2" t="s">
        <v>128</v>
      </c>
      <c r="F4" s="36" t="str">
        <f>TEXT(HEX2DEC(3),"0000")</f>
        <v>0003</v>
      </c>
      <c r="G4" s="4" t="s">
        <v>85</v>
      </c>
    </row>
    <row r="5" spans="1:7" ht="68" x14ac:dyDescent="0.2">
      <c r="A5" s="18">
        <v>3</v>
      </c>
      <c r="B5" s="2" t="s">
        <v>114</v>
      </c>
      <c r="C5" s="2" t="s">
        <v>13</v>
      </c>
      <c r="D5" s="2" t="s">
        <v>1</v>
      </c>
      <c r="E5" s="2" t="s">
        <v>115</v>
      </c>
      <c r="F5" s="36" t="str">
        <f>TEXT(HEX2DEC(4),"0000")</f>
        <v>0004</v>
      </c>
      <c r="G5" s="4" t="s">
        <v>122</v>
      </c>
    </row>
    <row r="6" spans="1:7" ht="68" x14ac:dyDescent="0.2">
      <c r="A6" s="18">
        <v>4</v>
      </c>
      <c r="B6" s="2" t="s">
        <v>114</v>
      </c>
      <c r="C6" s="2" t="s">
        <v>13</v>
      </c>
      <c r="D6" s="2" t="s">
        <v>1</v>
      </c>
      <c r="E6" s="2" t="s">
        <v>115</v>
      </c>
      <c r="F6" s="36" t="str">
        <f>TEXT(HEX2DEC(5),"0000")</f>
        <v>0005</v>
      </c>
      <c r="G6" s="4" t="s">
        <v>123</v>
      </c>
    </row>
    <row r="7" spans="1:7" ht="68" x14ac:dyDescent="0.2">
      <c r="A7" s="18">
        <v>5</v>
      </c>
      <c r="B7" s="2" t="s">
        <v>114</v>
      </c>
      <c r="C7" s="2" t="s">
        <v>126</v>
      </c>
      <c r="D7" s="2" t="s">
        <v>132</v>
      </c>
      <c r="E7" s="2" t="s">
        <v>133</v>
      </c>
      <c r="F7" s="36" t="str">
        <f>TEXT(HEX2DEC(6),"0000")</f>
        <v>0006</v>
      </c>
      <c r="G7" s="4" t="s">
        <v>123</v>
      </c>
    </row>
  </sheetData>
  <phoneticPr fontId="1" type="noConversion"/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F3FD-3728-024C-9C4F-143C0DA26790}">
  <dimension ref="A1:G4"/>
  <sheetViews>
    <sheetView workbookViewId="0">
      <selection activeCell="A3" sqref="A3"/>
    </sheetView>
  </sheetViews>
  <sheetFormatPr baseColWidth="10" defaultRowHeight="16" x14ac:dyDescent="0.2"/>
  <cols>
    <col min="6" max="6" width="16" customWidth="1"/>
    <col min="7" max="7" width="20.1640625" bestFit="1" customWidth="1"/>
  </cols>
  <sheetData>
    <row r="1" spans="1:7" ht="31" customHeight="1" x14ac:dyDescent="0.2">
      <c r="A1" s="71" t="s">
        <v>100</v>
      </c>
      <c r="B1" s="1"/>
      <c r="C1" s="1"/>
      <c r="D1" s="1"/>
      <c r="E1" s="1"/>
      <c r="F1" s="1"/>
      <c r="G1" s="12"/>
    </row>
    <row r="2" spans="1:7" ht="51" x14ac:dyDescent="0.2">
      <c r="A2" s="70" t="s">
        <v>104</v>
      </c>
      <c r="B2" s="70" t="s">
        <v>60</v>
      </c>
      <c r="C2" s="70" t="s">
        <v>103</v>
      </c>
      <c r="D2" s="70" t="s">
        <v>63</v>
      </c>
      <c r="E2" s="70" t="s">
        <v>62</v>
      </c>
      <c r="F2" s="70" t="s">
        <v>105</v>
      </c>
      <c r="G2" s="70" t="s">
        <v>106</v>
      </c>
    </row>
    <row r="3" spans="1:7" s="3" customFormat="1" ht="19" x14ac:dyDescent="0.2">
      <c r="A3" s="87">
        <v>1</v>
      </c>
      <c r="B3" s="73">
        <v>1</v>
      </c>
      <c r="C3" s="73">
        <v>1</v>
      </c>
      <c r="D3" s="73">
        <v>1</v>
      </c>
      <c r="E3" s="73">
        <v>1</v>
      </c>
      <c r="F3" s="72" t="s">
        <v>107</v>
      </c>
      <c r="G3" s="74" t="s">
        <v>44</v>
      </c>
    </row>
    <row r="4" spans="1:7" s="3" customFormat="1" ht="19" x14ac:dyDescent="0.2">
      <c r="A4" s="87">
        <v>1</v>
      </c>
      <c r="B4" s="73">
        <v>1</v>
      </c>
      <c r="C4" s="73">
        <v>1</v>
      </c>
      <c r="D4" s="73"/>
      <c r="E4" s="73"/>
      <c r="F4" s="72" t="s">
        <v>107</v>
      </c>
      <c r="G4" s="74" t="s">
        <v>44</v>
      </c>
    </row>
  </sheetData>
  <hyperlinks>
    <hyperlink ref="G3" r:id="rId1" xr:uid="{C997CD86-2FC4-4940-82AD-AB9B7EBB624C}"/>
    <hyperlink ref="G4" r:id="rId2" xr:uid="{33B1BB00-177E-1348-8D65-7E0DB0B502D2}"/>
  </hyperlink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02863-5E21-8348-ABA1-652FAE7B6E5E}">
  <dimension ref="A1:M3"/>
  <sheetViews>
    <sheetView workbookViewId="0">
      <selection activeCell="A3" sqref="A3"/>
    </sheetView>
  </sheetViews>
  <sheetFormatPr baseColWidth="10" defaultRowHeight="16" x14ac:dyDescent="0.2"/>
  <cols>
    <col min="1" max="1" width="11.83203125" bestFit="1" customWidth="1"/>
    <col min="2" max="2" width="7.1640625" bestFit="1" customWidth="1"/>
    <col min="3" max="3" width="10.1640625" bestFit="1" customWidth="1"/>
    <col min="4" max="4" width="10" bestFit="1" customWidth="1"/>
    <col min="5" max="5" width="10.5" bestFit="1" customWidth="1"/>
    <col min="6" max="6" width="5.1640625" bestFit="1" customWidth="1"/>
    <col min="7" max="7" width="11" bestFit="1" customWidth="1"/>
    <col min="8" max="8" width="10" bestFit="1" customWidth="1"/>
    <col min="9" max="10" width="9.1640625" bestFit="1" customWidth="1"/>
    <col min="11" max="11" width="7.1640625" bestFit="1" customWidth="1"/>
    <col min="12" max="12" width="41" bestFit="1" customWidth="1"/>
    <col min="13" max="13" width="35.83203125" bestFit="1" customWidth="1"/>
  </cols>
  <sheetData>
    <row r="1" spans="1:13" ht="34" customHeight="1" x14ac:dyDescent="0.2">
      <c r="A1" s="62" t="s">
        <v>108</v>
      </c>
    </row>
    <row r="2" spans="1:13" ht="18" x14ac:dyDescent="0.2">
      <c r="A2" s="75" t="s">
        <v>104</v>
      </c>
      <c r="B2" s="75" t="s">
        <v>8</v>
      </c>
      <c r="C2" s="75" t="s">
        <v>18</v>
      </c>
      <c r="D2" s="75" t="s">
        <v>19</v>
      </c>
      <c r="E2" s="75" t="s">
        <v>20</v>
      </c>
      <c r="F2" s="75" t="s">
        <v>21</v>
      </c>
      <c r="G2" s="75" t="s">
        <v>22</v>
      </c>
      <c r="H2" s="75" t="s">
        <v>23</v>
      </c>
      <c r="I2" s="75" t="s">
        <v>24</v>
      </c>
      <c r="J2" s="75" t="s">
        <v>25</v>
      </c>
      <c r="K2" s="75" t="s">
        <v>26</v>
      </c>
      <c r="L2" s="75" t="s">
        <v>27</v>
      </c>
      <c r="M2" s="75" t="s">
        <v>33</v>
      </c>
    </row>
    <row r="3" spans="1:13" s="67" customFormat="1" ht="19" x14ac:dyDescent="0.25">
      <c r="A3" s="76">
        <v>1</v>
      </c>
      <c r="B3" s="77">
        <v>43617</v>
      </c>
      <c r="C3" s="78">
        <v>1</v>
      </c>
      <c r="D3" s="79" t="s">
        <v>28</v>
      </c>
      <c r="E3" s="76"/>
      <c r="F3" s="76"/>
      <c r="G3" s="80">
        <v>0</v>
      </c>
      <c r="H3" s="80" t="s">
        <v>29</v>
      </c>
      <c r="I3" s="81" t="s">
        <v>30</v>
      </c>
      <c r="J3" s="81" t="s">
        <v>30</v>
      </c>
      <c r="K3" s="81" t="s">
        <v>31</v>
      </c>
      <c r="L3" s="82" t="s">
        <v>32</v>
      </c>
      <c r="M3" s="81" t="s">
        <v>34</v>
      </c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96DC6-3732-D847-9EF2-A82460C4136C}">
  <dimension ref="A1:N3"/>
  <sheetViews>
    <sheetView workbookViewId="0">
      <selection activeCell="B5" sqref="B5"/>
    </sheetView>
  </sheetViews>
  <sheetFormatPr baseColWidth="10" defaultRowHeight="16" x14ac:dyDescent="0.2"/>
  <cols>
    <col min="1" max="1" width="11" bestFit="1" customWidth="1"/>
    <col min="2" max="2" width="11.83203125" bestFit="1" customWidth="1"/>
    <col min="3" max="3" width="11" bestFit="1" customWidth="1"/>
    <col min="5" max="5" width="15.83203125" bestFit="1" customWidth="1"/>
    <col min="6" max="9" width="11" bestFit="1" customWidth="1"/>
    <col min="10" max="10" width="20.1640625" bestFit="1" customWidth="1"/>
    <col min="11" max="11" width="11" bestFit="1" customWidth="1"/>
    <col min="13" max="13" width="13.33203125" bestFit="1" customWidth="1"/>
    <col min="14" max="14" width="27.6640625" customWidth="1"/>
  </cols>
  <sheetData>
    <row r="1" spans="1:14" ht="21" x14ac:dyDescent="0.25">
      <c r="A1" s="68" t="s">
        <v>101</v>
      </c>
    </row>
    <row r="2" spans="1:14" ht="39" customHeight="1" x14ac:dyDescent="0.2">
      <c r="A2" s="69" t="s">
        <v>104</v>
      </c>
      <c r="B2" s="69" t="s">
        <v>8</v>
      </c>
      <c r="C2" s="69" t="s">
        <v>18</v>
      </c>
      <c r="D2" s="69" t="s">
        <v>19</v>
      </c>
      <c r="E2" s="69" t="s">
        <v>20</v>
      </c>
      <c r="F2" s="70" t="s">
        <v>60</v>
      </c>
      <c r="G2" s="70" t="s">
        <v>103</v>
      </c>
      <c r="H2" s="70" t="s">
        <v>63</v>
      </c>
      <c r="I2" s="70" t="s">
        <v>62</v>
      </c>
      <c r="J2" s="69" t="s">
        <v>37</v>
      </c>
      <c r="K2" s="69" t="s">
        <v>21</v>
      </c>
      <c r="L2" s="69" t="s">
        <v>102</v>
      </c>
      <c r="M2" s="69" t="s">
        <v>36</v>
      </c>
      <c r="N2" s="69" t="s">
        <v>27</v>
      </c>
    </row>
    <row r="3" spans="1:14" s="67" customFormat="1" ht="19" x14ac:dyDescent="0.25">
      <c r="A3" s="87">
        <v>1</v>
      </c>
      <c r="B3" s="83">
        <v>44044</v>
      </c>
      <c r="C3" s="78">
        <v>1</v>
      </c>
      <c r="D3" s="79" t="s">
        <v>28</v>
      </c>
      <c r="E3" s="76" t="s">
        <v>110</v>
      </c>
      <c r="F3" s="76">
        <v>5</v>
      </c>
      <c r="G3" s="76">
        <v>5</v>
      </c>
      <c r="H3" s="76">
        <v>5</v>
      </c>
      <c r="I3" s="76">
        <v>5</v>
      </c>
      <c r="J3" s="84" t="s">
        <v>44</v>
      </c>
      <c r="K3" s="76">
        <v>10</v>
      </c>
      <c r="L3" s="76" t="s">
        <v>42</v>
      </c>
      <c r="M3" s="81" t="s">
        <v>35</v>
      </c>
      <c r="N3" s="85"/>
    </row>
  </sheetData>
  <hyperlinks>
    <hyperlink ref="J3" r:id="rId1" xr:uid="{5FE99878-7673-A84E-AA43-DD0765360142}"/>
  </hyperlink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8B407-B4E2-8943-ABDB-1DB6FFF0B1C6}">
  <dimension ref="A1:E7"/>
  <sheetViews>
    <sheetView workbookViewId="0">
      <selection activeCell="E7" sqref="E7"/>
    </sheetView>
  </sheetViews>
  <sheetFormatPr baseColWidth="10" defaultRowHeight="16" x14ac:dyDescent="0.2"/>
  <cols>
    <col min="1" max="1" width="19.83203125" bestFit="1" customWidth="1"/>
    <col min="2" max="2" width="15.6640625" bestFit="1" customWidth="1"/>
    <col min="3" max="3" width="28.5" bestFit="1" customWidth="1"/>
    <col min="4" max="4" width="15.5" bestFit="1" customWidth="1"/>
    <col min="5" max="5" width="31" customWidth="1"/>
  </cols>
  <sheetData>
    <row r="1" spans="1:5" x14ac:dyDescent="0.2">
      <c r="A1" s="13" t="s">
        <v>38</v>
      </c>
      <c r="B1" s="13" t="s">
        <v>7</v>
      </c>
      <c r="C1" s="13" t="s">
        <v>40</v>
      </c>
      <c r="D1" s="13" t="s">
        <v>78</v>
      </c>
      <c r="E1" s="13" t="s">
        <v>39</v>
      </c>
    </row>
    <row r="2" spans="1:5" ht="68" x14ac:dyDescent="0.2">
      <c r="A2" s="2" t="s">
        <v>46</v>
      </c>
      <c r="B2" s="2" t="s">
        <v>47</v>
      </c>
      <c r="C2" s="14" t="s">
        <v>48</v>
      </c>
      <c r="D2" s="7" t="s">
        <v>49</v>
      </c>
      <c r="E2" s="4" t="s">
        <v>50</v>
      </c>
    </row>
    <row r="3" spans="1:5" ht="51" x14ac:dyDescent="0.2">
      <c r="A3" s="2" t="s">
        <v>41</v>
      </c>
      <c r="B3" s="2" t="s">
        <v>42</v>
      </c>
      <c r="C3" s="14" t="s">
        <v>44</v>
      </c>
      <c r="D3" s="3" t="s">
        <v>45</v>
      </c>
      <c r="E3" s="7" t="s">
        <v>43</v>
      </c>
    </row>
    <row r="4" spans="1:5" ht="51" x14ac:dyDescent="0.2">
      <c r="A4" s="2" t="s">
        <v>93</v>
      </c>
      <c r="B4" s="2" t="s">
        <v>42</v>
      </c>
      <c r="C4" s="14" t="s">
        <v>94</v>
      </c>
      <c r="D4" s="66" t="s">
        <v>99</v>
      </c>
      <c r="E4" s="7" t="s">
        <v>43</v>
      </c>
    </row>
    <row r="5" spans="1:5" x14ac:dyDescent="0.2">
      <c r="A5" s="2" t="s">
        <v>93</v>
      </c>
      <c r="B5" s="2" t="s">
        <v>95</v>
      </c>
      <c r="C5" s="14"/>
      <c r="D5" s="66"/>
      <c r="E5" s="7"/>
    </row>
    <row r="6" spans="1:5" ht="51" x14ac:dyDescent="0.2">
      <c r="A6" s="2" t="s">
        <v>96</v>
      </c>
      <c r="B6" s="2" t="s">
        <v>42</v>
      </c>
      <c r="C6" s="14" t="s">
        <v>97</v>
      </c>
      <c r="D6" s="66" t="s">
        <v>98</v>
      </c>
      <c r="E6" s="7" t="s">
        <v>43</v>
      </c>
    </row>
    <row r="7" spans="1:5" ht="51" x14ac:dyDescent="0.2">
      <c r="A7" s="2" t="s">
        <v>129</v>
      </c>
      <c r="B7" s="2" t="s">
        <v>42</v>
      </c>
      <c r="C7" s="14" t="s">
        <v>130</v>
      </c>
      <c r="D7" s="66" t="s">
        <v>131</v>
      </c>
      <c r="E7" s="7" t="s">
        <v>43</v>
      </c>
    </row>
  </sheetData>
  <hyperlinks>
    <hyperlink ref="C3" r:id="rId1" xr:uid="{E7DB0F9B-2FC2-6440-AC38-496421F260E1}"/>
    <hyperlink ref="C4" r:id="rId2" xr:uid="{C154569B-D03E-A64F-8B1D-5F167F9C6D2B}"/>
    <hyperlink ref="C6" r:id="rId3" xr:uid="{4C17AE54-89B8-E74B-B624-641010A51DBF}"/>
    <hyperlink ref="C7" r:id="rId4" xr:uid="{395DDE8F-A484-2C44-A40F-74519C9AFFED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sdkTracking</vt:lpstr>
      <vt:lpstr>packing-list</vt:lpstr>
      <vt:lpstr>labels</vt:lpstr>
      <vt:lpstr>hwTracking</vt:lpstr>
      <vt:lpstr>swTracking</vt:lpstr>
      <vt:lpstr>testCableTracking</vt:lpstr>
      <vt:lpstr>hwBuilds</vt:lpstr>
      <vt:lpstr>testCableBuilds</vt:lpstr>
      <vt:lpstr>contactDB</vt:lpstr>
      <vt:lpstr>CONTACT_DB</vt:lpstr>
      <vt:lpstr>HW_DB</vt:lpstr>
      <vt:lpstr>hwdb</vt:lpstr>
      <vt:lpstr>labels!Print_Area</vt:lpstr>
      <vt:lpstr>'packing-list'!Print_Area</vt:lpstr>
      <vt:lpstr>SDK_DIST_DB</vt:lpstr>
      <vt:lpstr>SW_DB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2020-11-18T22:41:54Z</cp:lastPrinted>
  <dcterms:created xsi:type="dcterms:W3CDTF">2020-09-10T22:22:11Z</dcterms:created>
  <dcterms:modified xsi:type="dcterms:W3CDTF">2020-11-18T22:57:41Z</dcterms:modified>
</cp:coreProperties>
</file>