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halassa\ProjectLibrary\901805_Coastal_Biogeochemical_Sensing\Spray_Data\Calibrations\"/>
    </mc:Choice>
  </mc:AlternateContent>
  <xr:revisionPtr revIDLastSave="0" documentId="13_ncr:1_{E770E700-8A15-4E38-9BDB-F6C5FFA26034}" xr6:coauthVersionLast="47" xr6:coauthVersionMax="47" xr10:uidLastSave="{00000000-0000-0000-0000-000000000000}"/>
  <bookViews>
    <workbookView xWindow="4935" yWindow="7710" windowWidth="38700" windowHeight="15345" xr2:uid="{00000000-000D-0000-FFFF-FFFF00000000}"/>
  </bookViews>
  <sheets>
    <sheet name="SN029" sheetId="1" r:id="rId1"/>
    <sheet name="SN034" sheetId="2" r:id="rId2"/>
    <sheet name="Data Translator" sheetId="3" r:id="rId3"/>
    <sheet name="ol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20" i="2" l="1"/>
  <c r="Y20" i="2" s="1"/>
  <c r="Z20" i="2"/>
  <c r="AA20" i="2" s="1"/>
  <c r="AB20" i="2"/>
  <c r="AD20" i="2"/>
  <c r="AC20" i="2" l="1"/>
  <c r="AE20" i="2" s="1"/>
  <c r="Y24" i="1"/>
  <c r="Z24" i="1" s="1"/>
  <c r="AA24" i="1"/>
  <c r="AB24" i="1" s="1"/>
  <c r="AC24" i="1"/>
  <c r="AE24" i="1"/>
  <c r="AD24" i="1" l="1"/>
  <c r="AF24" i="1" s="1"/>
  <c r="X19" i="2"/>
  <c r="Y19" i="2" s="1"/>
  <c r="Z19" i="2"/>
  <c r="AA19" i="2" s="1"/>
  <c r="AB19" i="2"/>
  <c r="AD19" i="2"/>
  <c r="AC19" i="2" l="1"/>
  <c r="AE19" i="2" s="1"/>
  <c r="Y23" i="1"/>
  <c r="Z23" i="1" s="1"/>
  <c r="AA23" i="1"/>
  <c r="AB23" i="1" s="1"/>
  <c r="AD23" i="1" s="1"/>
  <c r="AF23" i="1" s="1"/>
  <c r="AC23" i="1"/>
  <c r="AE23" i="1"/>
  <c r="Y22" i="1" l="1"/>
  <c r="Z22" i="1" s="1"/>
  <c r="AA22" i="1"/>
  <c r="AB22" i="1" s="1"/>
  <c r="AC22" i="1"/>
  <c r="AE22" i="1"/>
  <c r="X18" i="2"/>
  <c r="Y18" i="2" s="1"/>
  <c r="Z18" i="2"/>
  <c r="AA18" i="2" s="1"/>
  <c r="AB18" i="2"/>
  <c r="AD18" i="2"/>
  <c r="L3" i="3"/>
  <c r="AC18" i="2" l="1"/>
  <c r="AE18" i="2" s="1"/>
  <c r="AD22" i="1"/>
  <c r="AF22" i="1" s="1"/>
  <c r="Y21" i="1"/>
  <c r="Z21" i="1" s="1"/>
  <c r="AA21" i="1"/>
  <c r="AB21" i="1" s="1"/>
  <c r="AC21" i="1"/>
  <c r="AE21" i="1"/>
  <c r="AD21" i="1" l="1"/>
  <c r="AF21" i="1" s="1"/>
  <c r="AB17" i="2"/>
  <c r="AD17" i="2"/>
  <c r="X17" i="2" l="1"/>
  <c r="Y17" i="2" s="1"/>
  <c r="Z17" i="2"/>
  <c r="AA17" i="2" s="1"/>
  <c r="AC17" i="2" s="1"/>
  <c r="AE20" i="1"/>
  <c r="AC20" i="1"/>
  <c r="AA20" i="1"/>
  <c r="AB20" i="1" s="1"/>
  <c r="AD20" i="1" s="1"/>
  <c r="Y20" i="1"/>
  <c r="Z20" i="1" s="1"/>
  <c r="AF20" i="1" l="1"/>
  <c r="AE17" i="2"/>
  <c r="M4" i="3"/>
  <c r="M3" i="3"/>
  <c r="L4" i="3"/>
  <c r="K3" i="3"/>
  <c r="J4" i="3"/>
  <c r="J3" i="3"/>
  <c r="K4" i="3"/>
  <c r="L5" i="3" l="1"/>
  <c r="AC26" i="2"/>
  <c r="AC27" i="2"/>
  <c r="AC28" i="2"/>
  <c r="AC29" i="2"/>
  <c r="AC30" i="2"/>
  <c r="AC31" i="2"/>
  <c r="AC32" i="2"/>
  <c r="AC33" i="2"/>
  <c r="AC34" i="2"/>
  <c r="AC35" i="2"/>
  <c r="AI15" i="2"/>
  <c r="AI9" i="2"/>
  <c r="AI7" i="2"/>
  <c r="AJ15" i="1"/>
  <c r="AJ13" i="1"/>
  <c r="AJ8" i="1"/>
  <c r="Y19" i="1"/>
  <c r="Z19" i="1" s="1"/>
  <c r="AA19" i="1"/>
  <c r="AB19" i="1" s="1"/>
  <c r="AC19" i="1"/>
  <c r="AE19" i="1"/>
  <c r="AD19" i="1" l="1"/>
  <c r="AF19" i="1"/>
  <c r="AE15" i="4" l="1"/>
  <c r="AB16" i="4"/>
  <c r="AC16" i="4" s="1"/>
  <c r="X16" i="4"/>
  <c r="L22" i="4"/>
  <c r="M22" i="4" s="1"/>
  <c r="N22" i="4" s="1"/>
  <c r="AD14" i="4"/>
  <c r="AB14" i="4"/>
  <c r="Z14" i="4"/>
  <c r="AA14" i="4" s="1"/>
  <c r="AC14" i="4" s="1"/>
  <c r="X14" i="4"/>
  <c r="Y14" i="4" s="1"/>
  <c r="AD13" i="4"/>
  <c r="AB13" i="4"/>
  <c r="Z13" i="4"/>
  <c r="AA13" i="4" s="1"/>
  <c r="AC13" i="4" s="1"/>
  <c r="X13" i="4"/>
  <c r="Y13" i="4" s="1"/>
  <c r="AD12" i="4"/>
  <c r="AB12" i="4"/>
  <c r="Z12" i="4"/>
  <c r="AA12" i="4" s="1"/>
  <c r="AC12" i="4" s="1"/>
  <c r="X12" i="4"/>
  <c r="Y12" i="4" s="1"/>
  <c r="AD11" i="4"/>
  <c r="AB11" i="4"/>
  <c r="Z11" i="4"/>
  <c r="AA11" i="4" s="1"/>
  <c r="AC11" i="4" s="1"/>
  <c r="X11" i="4"/>
  <c r="Y11" i="4" s="1"/>
  <c r="AD10" i="4"/>
  <c r="AB10" i="4"/>
  <c r="Z10" i="4"/>
  <c r="AA10" i="4" s="1"/>
  <c r="AC10" i="4" s="1"/>
  <c r="X10" i="4"/>
  <c r="Y10" i="4" s="1"/>
  <c r="AD9" i="4"/>
  <c r="AB9" i="4"/>
  <c r="Z9" i="4"/>
  <c r="AA9" i="4" s="1"/>
  <c r="AC9" i="4" s="1"/>
  <c r="X9" i="4"/>
  <c r="Y9" i="4" s="1"/>
  <c r="AD8" i="4"/>
  <c r="AB8" i="4"/>
  <c r="Z8" i="4"/>
  <c r="AA8" i="4" s="1"/>
  <c r="AC8" i="4" s="1"/>
  <c r="X8" i="4"/>
  <c r="Y8" i="4" s="1"/>
  <c r="AD7" i="4"/>
  <c r="AB7" i="4"/>
  <c r="Z7" i="4"/>
  <c r="AA7" i="4" s="1"/>
  <c r="AC7" i="4" s="1"/>
  <c r="X7" i="4"/>
  <c r="Y7" i="4" s="1"/>
  <c r="AE6" i="4"/>
  <c r="AE5" i="4"/>
  <c r="X16" i="2"/>
  <c r="AD15" i="2"/>
  <c r="AE11" i="4" l="1"/>
  <c r="AE12" i="4"/>
  <c r="AE13" i="4"/>
  <c r="AE14" i="4"/>
  <c r="AE16" i="4"/>
  <c r="AE9" i="4"/>
  <c r="AE7" i="4"/>
  <c r="AE10" i="4"/>
  <c r="AE8" i="4"/>
  <c r="AP15" i="2"/>
  <c r="AQ15" i="2" l="1"/>
  <c r="AR15" i="2" s="1"/>
  <c r="AV15" i="2" s="1"/>
  <c r="Y16" i="2"/>
  <c r="Z16" i="2"/>
  <c r="AA16" i="2" s="1"/>
  <c r="AB16" i="2"/>
  <c r="AD16" i="2"/>
  <c r="AC16" i="2" l="1"/>
  <c r="AE16" i="2" s="1"/>
  <c r="AE5" i="2"/>
  <c r="AE6" i="2"/>
  <c r="AB15" i="2" l="1"/>
  <c r="Z15" i="2"/>
  <c r="AA15" i="2" s="1"/>
  <c r="AC15" i="2" s="1"/>
  <c r="X15" i="2"/>
  <c r="Y15" i="2" s="1"/>
  <c r="AE15" i="2" l="1"/>
  <c r="X12" i="2"/>
  <c r="Y12" i="2" s="1"/>
  <c r="Z12" i="2"/>
  <c r="AA12" i="2" s="1"/>
  <c r="AB12" i="2"/>
  <c r="AD12" i="2"/>
  <c r="AC12" i="2" l="1"/>
  <c r="AE12" i="2" s="1"/>
  <c r="X11" i="2"/>
  <c r="Y11" i="2" s="1"/>
  <c r="Z11" i="2"/>
  <c r="AA11" i="2" s="1"/>
  <c r="AB11" i="2"/>
  <c r="AD11" i="2"/>
  <c r="AC11" i="2" l="1"/>
  <c r="AE11" i="2" s="1"/>
  <c r="Y18" i="1"/>
  <c r="Z18" i="1" s="1"/>
  <c r="AA18" i="1"/>
  <c r="AB18" i="1" s="1"/>
  <c r="AC18" i="1"/>
  <c r="AE18" i="1"/>
  <c r="AD18" i="1" l="1"/>
  <c r="AF18" i="1" s="1"/>
  <c r="X10" i="2"/>
  <c r="Y10" i="2" s="1"/>
  <c r="Z10" i="2"/>
  <c r="AA10" i="2" s="1"/>
  <c r="AB10" i="2"/>
  <c r="AD10" i="2"/>
  <c r="Y16" i="1"/>
  <c r="Z16" i="1" s="1"/>
  <c r="AA16" i="1"/>
  <c r="AB16" i="1" s="1"/>
  <c r="AC16" i="1"/>
  <c r="AE16" i="1"/>
  <c r="AD16" i="1" l="1"/>
  <c r="AF16" i="1" s="1"/>
  <c r="AC10" i="2"/>
  <c r="AE10" i="2" s="1"/>
  <c r="X9" i="2"/>
  <c r="Y9" i="2" s="1"/>
  <c r="Z9" i="2"/>
  <c r="AA9" i="2" s="1"/>
  <c r="AB9" i="2"/>
  <c r="AD9" i="2"/>
  <c r="Y15" i="1"/>
  <c r="Z15" i="1" s="1"/>
  <c r="AA15" i="1"/>
  <c r="AB15" i="1" s="1"/>
  <c r="AC15" i="1"/>
  <c r="AE15" i="1"/>
  <c r="AD15" i="1" l="1"/>
  <c r="AF15" i="1" s="1"/>
  <c r="AC9" i="2"/>
  <c r="AE9" i="2" s="1"/>
  <c r="X8" i="2"/>
  <c r="Y8" i="2" s="1"/>
  <c r="Z8" i="2"/>
  <c r="AA8" i="2" s="1"/>
  <c r="AB8" i="2"/>
  <c r="AD8" i="2"/>
  <c r="AC8" i="2" l="1"/>
  <c r="AE8" i="2" s="1"/>
  <c r="AD7" i="2"/>
  <c r="AB7" i="2"/>
  <c r="Z7" i="2"/>
  <c r="AA7" i="2" s="1"/>
  <c r="X7" i="2"/>
  <c r="Y7" i="2" s="1"/>
  <c r="AC7" i="2" l="1"/>
  <c r="AE7" i="2" s="1"/>
  <c r="Y14" i="1"/>
  <c r="Z14" i="1" s="1"/>
  <c r="AA14" i="1"/>
  <c r="AB14" i="1" s="1"/>
  <c r="AC14" i="1"/>
  <c r="AE14" i="1"/>
  <c r="AD14" i="1" l="1"/>
  <c r="AF14" i="1" s="1"/>
  <c r="Y13" i="1"/>
  <c r="Z13" i="1" s="1"/>
  <c r="AA13" i="1"/>
  <c r="AB13" i="1" s="1"/>
  <c r="AC13" i="1"/>
  <c r="AE13" i="1"/>
  <c r="AD13" i="1" l="1"/>
  <c r="AF13" i="1" s="1"/>
  <c r="Y12" i="1"/>
  <c r="Z12" i="1" s="1"/>
  <c r="AA12" i="1"/>
  <c r="AB12" i="1" s="1"/>
  <c r="AC12" i="1"/>
  <c r="AE12" i="1"/>
  <c r="AD12" i="1" l="1"/>
  <c r="AF12" i="1" s="1"/>
  <c r="S11" i="1"/>
  <c r="O11" i="1"/>
  <c r="AE11" i="1" s="1"/>
  <c r="T11" i="1"/>
  <c r="P11" i="1"/>
  <c r="AC11" i="1" s="1"/>
  <c r="Q11" i="1"/>
  <c r="M11" i="1"/>
  <c r="Y11" i="1" l="1"/>
  <c r="Z11" i="1" s="1"/>
  <c r="AA11" i="1"/>
  <c r="AB11" i="1" s="1"/>
  <c r="AD11" i="1" s="1"/>
  <c r="T10" i="1"/>
  <c r="P10" i="1"/>
  <c r="S10" i="1"/>
  <c r="O10" i="1"/>
  <c r="AE10" i="1" s="1"/>
  <c r="Q10" i="1"/>
  <c r="M10" i="1"/>
  <c r="AF11" i="1" l="1"/>
  <c r="Y10" i="1"/>
  <c r="Z10" i="1" s="1"/>
  <c r="AA10" i="1"/>
  <c r="AB10" i="1" s="1"/>
  <c r="AC10" i="1"/>
  <c r="AE9" i="1"/>
  <c r="AC9" i="1"/>
  <c r="AA9" i="1"/>
  <c r="AB9" i="1" s="1"/>
  <c r="Y9" i="1"/>
  <c r="Z9" i="1" s="1"/>
  <c r="AD10" i="1" l="1"/>
  <c r="AF10" i="1" s="1"/>
  <c r="AD9" i="1"/>
  <c r="AF9" i="1" s="1"/>
  <c r="AE8" i="1"/>
  <c r="AC8" i="1"/>
  <c r="AA8" i="1"/>
  <c r="AB8" i="1" s="1"/>
  <c r="AD8" i="1" l="1"/>
  <c r="Y8" i="1"/>
  <c r="Z8" i="1" s="1"/>
  <c r="AF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Yui Takeshita</author>
  </authors>
  <commentList>
    <comment ref="AQ4" authorId="0" shapeId="0" xr:uid="{9D0AAC13-63C6-4346-97DA-03216D2FCFD0}">
      <text>
        <r>
          <rPr>
            <b/>
            <sz val="9"/>
            <color indexed="81"/>
            <rFont val="Tahoma"/>
            <family val="2"/>
          </rPr>
          <t>Yui Takeshita:</t>
        </r>
        <r>
          <rPr>
            <sz val="9"/>
            <color indexed="81"/>
            <rFont val="Tahoma"/>
            <family val="2"/>
          </rPr>
          <t xml:space="preserve">
Assumes salinity preset for the sensor = 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Yui Takeshita</author>
  </authors>
  <commentList>
    <comment ref="M21" authorId="0" shapeId="0" xr:uid="{CA88C3B8-6FA5-F744-B530-E5EA0387C4B4}">
      <text>
        <r>
          <rPr>
            <b/>
            <sz val="9"/>
            <color rgb="FF000000"/>
            <rFont val="Tahoma"/>
            <family val="2"/>
          </rPr>
          <t>Yui Takeshita: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Assumes salinity preset for the sensor = 0
</t>
        </r>
      </text>
    </comment>
  </commentList>
</comments>
</file>

<file path=xl/sharedStrings.xml><?xml version="1.0" encoding="utf-8"?>
<sst xmlns="http://schemas.openxmlformats.org/spreadsheetml/2006/main" count="312" uniqueCount="105">
  <si>
    <t>Date</t>
  </si>
  <si>
    <t>Time</t>
  </si>
  <si>
    <t>Spray Air Calibration Log</t>
  </si>
  <si>
    <t>Mission</t>
  </si>
  <si>
    <t>Pre/Post</t>
  </si>
  <si>
    <t>Operator</t>
  </si>
  <si>
    <t>Optode reading (average readings over 1 minute after stable)</t>
  </si>
  <si>
    <t>Raw Phase</t>
  </si>
  <si>
    <t>Raw Thermistor</t>
  </si>
  <si>
    <t>O2 (mL/L)</t>
  </si>
  <si>
    <t xml:space="preserve">Temp </t>
  </si>
  <si>
    <t>Std dev</t>
  </si>
  <si>
    <t>Barometer Reading</t>
  </si>
  <si>
    <t>Temp</t>
  </si>
  <si>
    <t>Pre</t>
  </si>
  <si>
    <t>Calculations</t>
  </si>
  <si>
    <t>YT/BJ/KC</t>
  </si>
  <si>
    <t>Atmospheric 
Pressure</t>
  </si>
  <si>
    <t>Relative 
Humidity</t>
  </si>
  <si>
    <t>pH2O @ 
100% hum</t>
  </si>
  <si>
    <t>pH2O real</t>
  </si>
  <si>
    <t xml:space="preserve">Gain </t>
  </si>
  <si>
    <t>O2_soly
 (umol/kg)</t>
  </si>
  <si>
    <t>Density 
water (kg/L)</t>
  </si>
  <si>
    <t>O2_soly
 (uM)</t>
  </si>
  <si>
    <t>Post</t>
  </si>
  <si>
    <t>T_O2soly</t>
  </si>
  <si>
    <t>O2raw,air
(uM)</t>
  </si>
  <si>
    <t>JKW/BJ</t>
  </si>
  <si>
    <t>Spray ID</t>
  </si>
  <si>
    <t>Optode S/N</t>
  </si>
  <si>
    <t>19A02901</t>
  </si>
  <si>
    <t xml:space="preserve">JKW </t>
  </si>
  <si>
    <t>19C02902</t>
  </si>
  <si>
    <t>JKW</t>
  </si>
  <si>
    <t>PRE (100% Humidity)</t>
  </si>
  <si>
    <t>JKW/BDJ</t>
  </si>
  <si>
    <t>Test Tank K0</t>
  </si>
  <si>
    <t>Test Tank Date</t>
  </si>
  <si>
    <t>N/A</t>
  </si>
  <si>
    <t>pH S/N</t>
  </si>
  <si>
    <t>K2 from Data Sheet</t>
  </si>
  <si>
    <t>SBE_10330</t>
  </si>
  <si>
    <t>T37</t>
  </si>
  <si>
    <t>POST (100% Humidity)</t>
  </si>
  <si>
    <t>POST2 (100% Humidity)</t>
  </si>
  <si>
    <t>POST3 SETRA</t>
  </si>
  <si>
    <t>20A02901</t>
  </si>
  <si>
    <t>20A03401</t>
  </si>
  <si>
    <t>BDJ</t>
  </si>
  <si>
    <t>T51</t>
  </si>
  <si>
    <t>err=</t>
  </si>
  <si>
    <t>Z_1&gt;</t>
  </si>
  <si>
    <t>DO</t>
  </si>
  <si>
    <t>TEMP</t>
  </si>
  <si>
    <t>RAWPHASE</t>
  </si>
  <si>
    <t>Avg</t>
  </si>
  <si>
    <t>Stdev</t>
  </si>
  <si>
    <t>Barometer mb/hpa</t>
  </si>
  <si>
    <t>JKW/JSL</t>
  </si>
  <si>
    <t>IDK</t>
  </si>
  <si>
    <t>Winkler2</t>
  </si>
  <si>
    <t>metadatas</t>
  </si>
  <si>
    <t>Gain1</t>
  </si>
  <si>
    <t>Gain2</t>
  </si>
  <si>
    <t>Avg Gain</t>
  </si>
  <si>
    <t>Winkler1 (uM)</t>
  </si>
  <si>
    <t>Test tank Winkler based gains</t>
  </si>
  <si>
    <t>Air cals start here</t>
  </si>
  <si>
    <t>Scorr</t>
  </si>
  <si>
    <t>O2(mL/L)</t>
  </si>
  <si>
    <t>phase</t>
  </si>
  <si>
    <t>Temperature
(optode)</t>
  </si>
  <si>
    <t>Tscaled</t>
  </si>
  <si>
    <t>O2(uM) Glider Salinity corrected</t>
  </si>
  <si>
    <t>Temperature (CTD)</t>
  </si>
  <si>
    <t>Salinity</t>
  </si>
  <si>
    <t>scorr</t>
  </si>
  <si>
    <t>I just copied this vlue rom above</t>
  </si>
  <si>
    <t>Pre (100% Humidity)</t>
  </si>
  <si>
    <t>QF</t>
  </si>
  <si>
    <t>Gain QF</t>
  </si>
  <si>
    <t>Gain used</t>
  </si>
  <si>
    <t>Datenum</t>
  </si>
  <si>
    <t>Comments</t>
  </si>
  <si>
    <t>Calculated based on fit of y = 0.00003235*x-0.3815 (from previous deployments)</t>
  </si>
  <si>
    <t>Gain Used</t>
  </si>
  <si>
    <t>QC_gain</t>
  </si>
  <si>
    <t>QC'd Gain</t>
  </si>
  <si>
    <t>Calculated based on fit of y = 0.00001408 * x + 0.427921 from the following 4 gain values</t>
  </si>
  <si>
    <t>Calculated based on fit of y = 0.00001408 * x + 0.427921 from the prior 4 gain values</t>
  </si>
  <si>
    <t>20C02901</t>
  </si>
  <si>
    <t>No air cal - copied 19702901</t>
  </si>
  <si>
    <t>Calculated based on fit of y = 0.00003287x - 0.40459442 (from previous deployments)</t>
  </si>
  <si>
    <t>22B03401</t>
  </si>
  <si>
    <t>Calculated based on fit</t>
  </si>
  <si>
    <t>Barometer Temp</t>
  </si>
  <si>
    <t>23C02901</t>
  </si>
  <si>
    <t>If new aircal is +/- 1.5% from previous trend line then re-do aircal</t>
  </si>
  <si>
    <t>JWK</t>
  </si>
  <si>
    <t>BW/JKW</t>
  </si>
  <si>
    <t>24A03401</t>
  </si>
  <si>
    <t>BW</t>
  </si>
  <si>
    <t>Did not measure CTD offsets in TT so optode was at room temp not TT temp</t>
  </si>
  <si>
    <t>BW/BD/JKW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</si>
</sst>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1D1C1D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D0021B"/>
      <name val="Menlo"/>
      <family val="2"/>
    </font>
    <font>
      <sz val="18"/>
      <color rgb="FFFBDE2D"/>
      <name val="Courier New"/>
      <family val="1"/>
    </font>
    <font>
      <sz val="12"/>
      <color theme="1"/>
      <name val="Menlo"/>
      <family val="2"/>
    </font>
    <font>
      <sz val="12"/>
      <color theme="1"/>
      <name val="Arial"/>
      <family val="2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Border="1"/>
    <xf numFmtId="0" fontId="4" fillId="0" borderId="0" xfId="0" applyNumberFormat="1" applyFont="1"/>
    <xf numFmtId="0" fontId="0" fillId="0" borderId="0" xfId="0" applyNumberFormat="1" applyAlignment="1">
      <alignment horizontal="left"/>
    </xf>
    <xf numFmtId="10" fontId="0" fillId="0" borderId="1" xfId="1" applyNumberFormat="1" applyFont="1" applyBorder="1"/>
    <xf numFmtId="0" fontId="0" fillId="0" borderId="0" xfId="0"/>
    <xf numFmtId="166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0" fillId="0" borderId="1" xfId="0" applyFill="1" applyBorder="1"/>
    <xf numFmtId="0" fontId="0" fillId="2" borderId="3" xfId="0" applyFill="1" applyBorder="1"/>
    <xf numFmtId="0" fontId="0" fillId="0" borderId="2" xfId="0" applyFill="1" applyBorder="1"/>
    <xf numFmtId="11" fontId="5" fillId="0" borderId="1" xfId="0" applyNumberFormat="1" applyFont="1" applyBorder="1"/>
    <xf numFmtId="0" fontId="5" fillId="0" borderId="1" xfId="0" applyFont="1" applyBorder="1"/>
    <xf numFmtId="0" fontId="0" fillId="5" borderId="1" xfId="0" applyFill="1" applyBorder="1"/>
    <xf numFmtId="10" fontId="0" fillId="0" borderId="4" xfId="1" applyNumberFormat="1" applyFont="1" applyBorder="1"/>
    <xf numFmtId="10" fontId="0" fillId="0" borderId="5" xfId="1" applyNumberFormat="1" applyFont="1" applyBorder="1"/>
    <xf numFmtId="0" fontId="0" fillId="0" borderId="0" xfId="0" applyBorder="1"/>
    <xf numFmtId="10" fontId="0" fillId="0" borderId="0" xfId="1" applyNumberFormat="1" applyFont="1"/>
    <xf numFmtId="10" fontId="0" fillId="0" borderId="0" xfId="0" applyNumberFormat="1"/>
    <xf numFmtId="0" fontId="0" fillId="0" borderId="3" xfId="0" applyFill="1" applyBorder="1" applyAlignment="1">
      <alignment wrapText="1"/>
    </xf>
    <xf numFmtId="0" fontId="0" fillId="5" borderId="0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6" borderId="1" xfId="0" applyFill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0" fontId="0" fillId="0" borderId="0" xfId="1" applyNumberFormat="1" applyFont="1" applyBorder="1"/>
    <xf numFmtId="2" fontId="0" fillId="0" borderId="0" xfId="0" applyNumberFormat="1"/>
    <xf numFmtId="1" fontId="0" fillId="0" borderId="0" xfId="1" applyNumberFormat="1" applyFont="1" applyBorder="1"/>
    <xf numFmtId="1" fontId="0" fillId="0" borderId="0" xfId="0" applyNumberFormat="1"/>
    <xf numFmtId="2" fontId="0" fillId="0" borderId="1" xfId="0" applyNumberFormat="1" applyBorder="1"/>
    <xf numFmtId="0" fontId="11" fillId="0" borderId="6" xfId="0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0" fillId="0" borderId="0" xfId="0" applyFill="1" applyAlignment="1">
      <alignment horizontal="right"/>
    </xf>
    <xf numFmtId="14" fontId="0" fillId="0" borderId="1" xfId="0" applyNumberFormat="1" applyFill="1" applyBorder="1"/>
    <xf numFmtId="0" fontId="4" fillId="0" borderId="0" xfId="0" applyNumberFormat="1" applyFont="1" applyFill="1"/>
    <xf numFmtId="0" fontId="0" fillId="0" borderId="0" xfId="0" applyFill="1"/>
    <xf numFmtId="10" fontId="0" fillId="0" borderId="1" xfId="1" applyNumberFormat="1" applyFont="1" applyFill="1" applyBorder="1"/>
    <xf numFmtId="10" fontId="0" fillId="0" borderId="0" xfId="1" applyNumberFormat="1" applyFont="1" applyFill="1"/>
    <xf numFmtId="0" fontId="0" fillId="0" borderId="1" xfId="0" applyFill="1" applyBorder="1" applyAlignment="1">
      <alignment horizontal="right"/>
    </xf>
    <xf numFmtId="14" fontId="0" fillId="0" borderId="0" xfId="0" applyNumberFormat="1" applyBorder="1"/>
    <xf numFmtId="2" fontId="0" fillId="0" borderId="2" xfId="0" applyNumberFormat="1" applyBorder="1"/>
    <xf numFmtId="0" fontId="10" fillId="0" borderId="0" xfId="0" applyFont="1"/>
    <xf numFmtId="10" fontId="0" fillId="0" borderId="0" xfId="0" applyNumberFormat="1" applyFill="1"/>
    <xf numFmtId="0" fontId="1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1" xfId="0" applyNumberFormat="1" applyFill="1" applyBorder="1"/>
    <xf numFmtId="14" fontId="0" fillId="0" borderId="0" xfId="0" applyNumberFormat="1"/>
    <xf numFmtId="0" fontId="0" fillId="0" borderId="0" xfId="0" applyAlignment="1"/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12" fillId="0" borderId="0" xfId="0" applyFont="1"/>
    <xf numFmtId="0" fontId="13" fillId="0" borderId="0" xfId="0" applyFont="1"/>
    <xf numFmtId="0" fontId="0" fillId="2" borderId="7" xfId="0" applyFill="1" applyBorder="1"/>
    <xf numFmtId="11" fontId="14" fillId="0" borderId="0" xfId="0" applyNumberFormat="1" applyFont="1"/>
    <xf numFmtId="0" fontId="14" fillId="0" borderId="0" xfId="0" applyFont="1"/>
    <xf numFmtId="0" fontId="0" fillId="0" borderId="6" xfId="0" applyFill="1" applyBorder="1"/>
    <xf numFmtId="0" fontId="15" fillId="0" borderId="0" xfId="0" applyFont="1"/>
    <xf numFmtId="0" fontId="1" fillId="0" borderId="1" xfId="0" applyFont="1" applyBorder="1"/>
    <xf numFmtId="0" fontId="0" fillId="0" borderId="7" xfId="0" applyFill="1" applyBorder="1" applyAlignment="1">
      <alignment horizontal="right"/>
    </xf>
    <xf numFmtId="0" fontId="0" fillId="0" borderId="0" xfId="0" applyFill="1" applyBorder="1"/>
    <xf numFmtId="0" fontId="0" fillId="5" borderId="8" xfId="0" applyFill="1" applyBorder="1"/>
    <xf numFmtId="0" fontId="0" fillId="0" borderId="0" xfId="0" applyBorder="1" applyAlignment="1">
      <alignment horizontal="right"/>
    </xf>
    <xf numFmtId="20" fontId="0" fillId="0" borderId="0" xfId="0" applyNumberFormat="1" applyBorder="1"/>
    <xf numFmtId="0" fontId="0" fillId="0" borderId="0" xfId="0" applyNumberFormat="1" applyBorder="1"/>
    <xf numFmtId="0" fontId="0" fillId="0" borderId="0" xfId="0" applyNumberFormat="1" applyBorder="1" applyAlignment="1">
      <alignment horizontal="left"/>
    </xf>
    <xf numFmtId="164" fontId="0" fillId="0" borderId="0" xfId="0" applyNumberFormat="1" applyBorder="1"/>
    <xf numFmtId="0" fontId="0" fillId="0" borderId="0" xfId="0" applyFill="1" applyBorder="1" applyAlignment="1">
      <alignment horizontal="right"/>
    </xf>
    <xf numFmtId="11" fontId="5" fillId="0" borderId="0" xfId="0" applyNumberFormat="1" applyFont="1" applyBorder="1"/>
    <xf numFmtId="0" fontId="5" fillId="0" borderId="0" xfId="0" applyFont="1" applyBorder="1"/>
    <xf numFmtId="0" fontId="4" fillId="0" borderId="0" xfId="0" applyFont="1" applyBorder="1"/>
    <xf numFmtId="0" fontId="0" fillId="0" borderId="9" xfId="0" applyBorder="1"/>
    <xf numFmtId="10" fontId="0" fillId="0" borderId="3" xfId="1" applyNumberFormat="1" applyFont="1" applyBorder="1"/>
    <xf numFmtId="0" fontId="0" fillId="5" borderId="10" xfId="0" applyFill="1" applyBorder="1"/>
    <xf numFmtId="2" fontId="2" fillId="0" borderId="10" xfId="0" applyNumberFormat="1" applyFont="1" applyBorder="1"/>
    <xf numFmtId="0" fontId="0" fillId="0" borderId="10" xfId="0" applyBorder="1"/>
    <xf numFmtId="0" fontId="4" fillId="0" borderId="1" xfId="0" applyFont="1" applyBorder="1"/>
    <xf numFmtId="0" fontId="4" fillId="0" borderId="8" xfId="0" applyFont="1" applyBorder="1"/>
    <xf numFmtId="20" fontId="0" fillId="0" borderId="0" xfId="0" applyNumberFormat="1"/>
    <xf numFmtId="0" fontId="16" fillId="7" borderId="0" xfId="0" applyFont="1" applyFill="1" applyAlignment="1">
      <alignment horizontal="center" vertical="center"/>
    </xf>
    <xf numFmtId="10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29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SN029 Gain Used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7291A3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3.4203762992428331E-4"/>
                  <c:y val="0.4449479396693065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2400" baseline="0"/>
                      <a:t>y = 3E-05x - 0.4398</a:t>
                    </a:r>
                    <a:endParaRPr lang="en-US" sz="24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'SN029'!$C$5:$C$34</c:f>
              <c:numCache>
                <c:formatCode>m/d/yyyy</c:formatCode>
                <c:ptCount val="30"/>
                <c:pt idx="3">
                  <c:v>43661</c:v>
                </c:pt>
                <c:pt idx="4">
                  <c:v>43724</c:v>
                </c:pt>
                <c:pt idx="5">
                  <c:v>43738</c:v>
                </c:pt>
                <c:pt idx="6">
                  <c:v>43811</c:v>
                </c:pt>
                <c:pt idx="7">
                  <c:v>43871</c:v>
                </c:pt>
                <c:pt idx="8">
                  <c:v>44033</c:v>
                </c:pt>
                <c:pt idx="9">
                  <c:v>44091</c:v>
                </c:pt>
                <c:pt idx="10">
                  <c:v>44110</c:v>
                </c:pt>
                <c:pt idx="11">
                  <c:v>44126</c:v>
                </c:pt>
                <c:pt idx="12">
                  <c:v>44168</c:v>
                </c:pt>
                <c:pt idx="13">
                  <c:v>44235</c:v>
                </c:pt>
                <c:pt idx="14">
                  <c:v>44719</c:v>
                </c:pt>
                <c:pt idx="15">
                  <c:v>44805</c:v>
                </c:pt>
                <c:pt idx="16">
                  <c:v>44970</c:v>
                </c:pt>
                <c:pt idx="17">
                  <c:v>44987</c:v>
                </c:pt>
                <c:pt idx="18">
                  <c:v>45112</c:v>
                </c:pt>
                <c:pt idx="19">
                  <c:v>45265</c:v>
                </c:pt>
                <c:pt idx="20">
                  <c:v>45511</c:v>
                </c:pt>
                <c:pt idx="21">
                  <c:v>45692</c:v>
                </c:pt>
                <c:pt idx="22">
                  <c:v>46223</c:v>
                </c:pt>
              </c:numCache>
            </c:numRef>
          </c:xVal>
          <c:yVal>
            <c:numRef>
              <c:f>'SN029'!$AJ$5:$AJ$35</c:f>
              <c:numCache>
                <c:formatCode>0.00%</c:formatCode>
                <c:ptCount val="31"/>
                <c:pt idx="0">
                  <c:v>1.0334472471102871</c:v>
                </c:pt>
                <c:pt idx="1">
                  <c:v>1.0334472471102871</c:v>
                </c:pt>
                <c:pt idx="2">
                  <c:v>1.0334472471102871</c:v>
                </c:pt>
                <c:pt idx="3">
                  <c:v>1.0334472471102871</c:v>
                </c:pt>
                <c:pt idx="5">
                  <c:v>1.02764560121659</c:v>
                </c:pt>
                <c:pt idx="6">
                  <c:v>1.0461999165954292</c:v>
                </c:pt>
                <c:pt idx="7">
                  <c:v>1.0260566779817331</c:v>
                </c:pt>
                <c:pt idx="8">
                  <c:v>1.0455034455669059</c:v>
                </c:pt>
                <c:pt idx="10">
                  <c:v>1.0458480140634439</c:v>
                </c:pt>
                <c:pt idx="12">
                  <c:v>1.0458272000000002</c:v>
                </c:pt>
                <c:pt idx="13">
                  <c:v>1.046257752964405</c:v>
                </c:pt>
                <c:pt idx="14">
                  <c:v>1.0674249158176019</c:v>
                </c:pt>
                <c:pt idx="15">
                  <c:v>1.06742</c:v>
                </c:pt>
                <c:pt idx="16">
                  <c:v>1.0712499067741175</c:v>
                </c:pt>
                <c:pt idx="17">
                  <c:v>1.0721964550753316</c:v>
                </c:pt>
                <c:pt idx="18">
                  <c:v>1.08381916468579</c:v>
                </c:pt>
                <c:pt idx="19">
                  <c:v>1.0758430418565526</c:v>
                </c:pt>
                <c:pt idx="20">
                  <c:v>1.0785</c:v>
                </c:pt>
                <c:pt idx="21">
                  <c:v>1.056</c:v>
                </c:pt>
                <c:pt idx="22">
                  <c:v>1.1242000000000001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FE-CC42-85B0-D64276115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226751"/>
        <c:axId val="508228431"/>
      </c:scatterChart>
      <c:valAx>
        <c:axId val="5082267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d\-mmm\-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228431"/>
        <c:crosses val="autoZero"/>
        <c:crossBetween val="midCat"/>
      </c:valAx>
      <c:valAx>
        <c:axId val="508228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2267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SN034 Gain variability over time</a:t>
            </a:r>
          </a:p>
          <a:p>
            <a:pPr>
              <a:defRPr/>
            </a:pPr>
            <a:r>
              <a:rPr lang="en-US"/>
              <a:t>Data with QF = 4 not included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Gain variability over time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7291A3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2.1095126544315376E-2"/>
                  <c:y val="0.336015433558100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('SN034'!$C$7:$C$11,'SN034'!$C$15:$C$16)</c:f>
              <c:numCache>
                <c:formatCode>m/d/yyyy</c:formatCode>
                <c:ptCount val="7"/>
                <c:pt idx="0">
                  <c:v>44098</c:v>
                </c:pt>
                <c:pt idx="1">
                  <c:v>44099</c:v>
                </c:pt>
                <c:pt idx="2">
                  <c:v>44110</c:v>
                </c:pt>
                <c:pt idx="3">
                  <c:v>44126</c:v>
                </c:pt>
                <c:pt idx="4">
                  <c:v>44278</c:v>
                </c:pt>
                <c:pt idx="5">
                  <c:v>44629</c:v>
                </c:pt>
                <c:pt idx="6">
                  <c:v>44657</c:v>
                </c:pt>
              </c:numCache>
            </c:numRef>
          </c:xVal>
          <c:yVal>
            <c:numRef>
              <c:f>('SN034'!$AE$7:$AE$11,'SN034'!$AE$15:$AE$16)</c:f>
              <c:numCache>
                <c:formatCode>0.00%</c:formatCode>
                <c:ptCount val="7"/>
                <c:pt idx="0">
                  <c:v>1.0406275817175681</c:v>
                </c:pt>
                <c:pt idx="1">
                  <c:v>1.0413144588392675</c:v>
                </c:pt>
                <c:pt idx="2">
                  <c:v>1.0494455545743127</c:v>
                </c:pt>
                <c:pt idx="3">
                  <c:v>1.0579705360344429</c:v>
                </c:pt>
                <c:pt idx="4">
                  <c:v>1.05015581229202</c:v>
                </c:pt>
                <c:pt idx="5">
                  <c:v>1.050569601725186</c:v>
                </c:pt>
                <c:pt idx="6">
                  <c:v>1.0616611765931339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D1-3949-88F5-E208AC23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226751"/>
        <c:axId val="508228431"/>
      </c:scatterChart>
      <c:valAx>
        <c:axId val="5082267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d\-mmm\-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228431"/>
        <c:crosses val="autoZero"/>
        <c:crossBetween val="midCat"/>
      </c:valAx>
      <c:valAx>
        <c:axId val="508228431"/>
        <c:scaling>
          <c:orientation val="minMax"/>
          <c:min val="1.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2267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Deployment 22303401</a:t>
            </a:r>
            <a:r>
              <a:rPr lang="en-US" baseline="0"/>
              <a:t> O2 calibration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Aircal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'SN034'!$B$15:$B$16</c:f>
              <c:strCache>
                <c:ptCount val="2"/>
                <c:pt idx="0">
                  <c:v>PRE (100% Humidity)</c:v>
                </c:pt>
                <c:pt idx="1">
                  <c:v>POST (100% Humidity)</c:v>
                </c:pt>
              </c:strCache>
            </c:strRef>
          </c:cat>
          <c:val>
            <c:numRef>
              <c:f>'SN034'!$N$15:$N$16</c:f>
              <c:numCache>
                <c:formatCode>General</c:formatCode>
                <c:ptCount val="2"/>
                <c:pt idx="0">
                  <c:v>6.24</c:v>
                </c:pt>
                <c:pt idx="1">
                  <c:v>6.1701111111111109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A-B14E-8548-4C9C44114C56}"/>
            </c:ext>
          </c:extLst>
        </c:ser>
        <c:ser>
          <c:idx val="1"/>
          <c:order val="1"/>
          <c:tx>
            <c:v>Winkler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'SN034'!$B$15:$B$16</c:f>
              <c:strCache>
                <c:ptCount val="2"/>
                <c:pt idx="0">
                  <c:v>PRE (100% Humidity)</c:v>
                </c:pt>
                <c:pt idx="1">
                  <c:v>POST (100% Humidity)</c:v>
                </c:pt>
              </c:strCache>
            </c:strRef>
          </c:cat>
          <c:val>
            <c:numRef>
              <c:f>'SN034'!$AM$15:$AM$16</c:f>
              <c:numCache>
                <c:formatCode>General</c:formatCode>
                <c:ptCount val="2"/>
                <c:pt idx="0">
                  <c:v>6.4239999999999995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A-B14E-8548-4C9C4411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924431"/>
        <c:axId val="1882853263"/>
      </c:barChart>
      <c:catAx>
        <c:axId val="18829244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2853263"/>
        <c:crosses val="autoZero"/>
        <c:auto val="0"/>
        <c:lblAlgn val="ctr"/>
        <c:lblOffset val="100"/>
        <c:noMultiLvlLbl val="0"/>
      </c:catAx>
      <c:valAx>
        <c:axId val="1882853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O2</a:t>
                </a:r>
                <a:r>
                  <a:rPr lang="en-US" baseline="0"/>
                  <a:t> (mL/L)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2924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6773172306808473"/>
                  <c:y val="-9.4643482064741907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'SN034'!$Y$29:$Y$32</c:f>
              <c:numCache>
                <c:formatCode>m/d/yyyy</c:formatCode>
                <c:ptCount val="4"/>
                <c:pt idx="0">
                  <c:v>44099</c:v>
                </c:pt>
                <c:pt idx="1">
                  <c:v>44110</c:v>
                </c:pt>
                <c:pt idx="2">
                  <c:v>44126</c:v>
                </c:pt>
                <c:pt idx="3">
                  <c:v>44278</c:v>
                </c:pt>
              </c:numCache>
            </c:numRef>
          </c:xVal>
          <c:yVal>
            <c:numRef>
              <c:f>'SN034'!$AA$29:$AA$32</c:f>
              <c:numCache>
                <c:formatCode>General</c:formatCode>
                <c:ptCount val="4"/>
                <c:pt idx="0">
                  <c:v>1.0413144588392675</c:v>
                </c:pt>
                <c:pt idx="1">
                  <c:v>1.0494455545743127</c:v>
                </c:pt>
                <c:pt idx="2">
                  <c:v>1.0579705360344429</c:v>
                </c:pt>
                <c:pt idx="3">
                  <c:v>1.05015581229202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EB-D24E-A6A2-97118241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15887"/>
        <c:axId val="241632975"/>
      </c:scatterChart>
      <c:valAx>
        <c:axId val="207015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632975"/>
        <c:crosses val="autoZero"/>
        <c:crossBetween val="midCat"/>
      </c:valAx>
      <c:valAx>
        <c:axId val="241632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015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SN034 Gain Used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7291A3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2.1095126544315376E-2"/>
                  <c:y val="0.336015433558100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'SN034'!$C$5:$C$21</c:f>
              <c:numCache>
                <c:formatCode>m/d/yyyy</c:formatCode>
                <c:ptCount val="17"/>
                <c:pt idx="0">
                  <c:v>44011</c:v>
                </c:pt>
                <c:pt idx="1">
                  <c:v>44091</c:v>
                </c:pt>
                <c:pt idx="2">
                  <c:v>44098</c:v>
                </c:pt>
                <c:pt idx="3">
                  <c:v>44099</c:v>
                </c:pt>
                <c:pt idx="4">
                  <c:v>44110</c:v>
                </c:pt>
                <c:pt idx="5">
                  <c:v>44126</c:v>
                </c:pt>
                <c:pt idx="6">
                  <c:v>44278</c:v>
                </c:pt>
                <c:pt idx="7">
                  <c:v>44321</c:v>
                </c:pt>
                <c:pt idx="8">
                  <c:v>44364</c:v>
                </c:pt>
                <c:pt idx="9">
                  <c:v>44460</c:v>
                </c:pt>
                <c:pt idx="10">
                  <c:v>44629</c:v>
                </c:pt>
                <c:pt idx="11">
                  <c:v>44657</c:v>
                </c:pt>
                <c:pt idx="12">
                  <c:v>44868</c:v>
                </c:pt>
                <c:pt idx="13">
                  <c:v>44987</c:v>
                </c:pt>
                <c:pt idx="14">
                  <c:v>45139</c:v>
                </c:pt>
                <c:pt idx="15">
                  <c:v>45386</c:v>
                </c:pt>
                <c:pt idx="16">
                  <c:v>45586</c:v>
                </c:pt>
              </c:numCache>
            </c:numRef>
          </c:xVal>
          <c:yVal>
            <c:numRef>
              <c:f>'SN034'!$AI$5:$AI$21</c:f>
              <c:numCache>
                <c:formatCode>0.00%</c:formatCode>
                <c:ptCount val="17"/>
                <c:pt idx="0">
                  <c:v>1.04759588</c:v>
                </c:pt>
                <c:pt idx="2">
                  <c:v>1.0409710202784179</c:v>
                </c:pt>
                <c:pt idx="4">
                  <c:v>1.0537080453043779</c:v>
                </c:pt>
                <c:pt idx="6">
                  <c:v>1.05015581229202</c:v>
                </c:pt>
                <c:pt idx="7">
                  <c:v>1.0519606800000001</c:v>
                </c:pt>
                <c:pt idx="8">
                  <c:v>1.05256612</c:v>
                </c:pt>
                <c:pt idx="9">
                  <c:v>1.0539178</c:v>
                </c:pt>
                <c:pt idx="10">
                  <c:v>1.0561153891591599</c:v>
                </c:pt>
                <c:pt idx="11">
                  <c:v>1.0616611765931339</c:v>
                </c:pt>
                <c:pt idx="12">
                  <c:v>1.0827125622454097</c:v>
                </c:pt>
                <c:pt idx="13">
                  <c:v>1.0622844510074536</c:v>
                </c:pt>
                <c:pt idx="14">
                  <c:v>1.0620799586658758</c:v>
                </c:pt>
                <c:pt idx="15">
                  <c:v>1.0666321052535888</c:v>
                </c:pt>
                <c:pt idx="16">
                  <c:v>1.0558638671640801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C2-3A4F-81C3-1112D205E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226751"/>
        <c:axId val="508228431"/>
      </c:scatterChart>
      <c:valAx>
        <c:axId val="5082267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d\-mmm\-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228431"/>
        <c:crosses val="autoZero"/>
        <c:crossBetween val="midCat"/>
      </c:valAx>
      <c:valAx>
        <c:axId val="508228431"/>
        <c:scaling>
          <c:orientation val="minMax"/>
          <c:min val="1.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2267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513602</xdr:colOff>
      <xdr:row>32</xdr:row>
      <xdr:rowOff>30184</xdr:rowOff>
    </xdr:from>
    <xdr:to>
      <xdr:col>18</xdr:col>
      <xdr:colOff>670671</xdr:colOff>
      <xdr:row>62</xdr:row>
      <xdr:rowOff>102721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8EB95D-26C4-AA43-ADC7-BF796E0E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155341</xdr:colOff>
      <xdr:row>23</xdr:row>
      <xdr:rowOff>93133</xdr:rowOff>
    </xdr:from>
    <xdr:to>
      <xdr:col>8</xdr:col>
      <xdr:colOff>177800</xdr:colOff>
      <xdr:row>45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B7FE0D-31A9-BC4B-81CE-463FB59C0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71070</xdr:colOff>
      <xdr:row>46</xdr:row>
      <xdr:rowOff>109515</xdr:rowOff>
    </xdr:from>
    <xdr:to>
      <xdr:col>5</xdr:col>
      <xdr:colOff>474132</xdr:colOff>
      <xdr:row>62</xdr:row>
      <xdr:rowOff>64769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259B7B-37A9-B840-816C-AAF8017C93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299641</xdr:colOff>
      <xdr:row>36</xdr:row>
      <xdr:rowOff>58737</xdr:rowOff>
    </xdr:from>
    <xdr:to>
      <xdr:col>31</xdr:col>
      <xdr:colOff>76200</xdr:colOff>
      <xdr:row>50</xdr:row>
      <xdr:rowOff>23812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A559A3-9170-CB43-8E87-0D21F759DE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124918</xdr:colOff>
      <xdr:row>33</xdr:row>
      <xdr:rowOff>0</xdr:rowOff>
    </xdr:from>
    <xdr:to>
      <xdr:col>21</xdr:col>
      <xdr:colOff>345051</xdr:colOff>
      <xdr:row>54</xdr:row>
      <xdr:rowOff>143934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6FB61F-07AA-9B4F-B097-06816EBF7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"/>
  <sheetViews>
    <sheetView tabSelected="1" topLeftCell="C16" zoomScale="68" zoomScaleNormal="100" workbookViewId="0">
      <selection activeCell="AE33" sqref="AE33"/>
    </sheetView>
  </sheetViews>
  <sheetFormatPr defaultColWidth="8.85546875" defaultRowHeight="15"/>
  <cols>
    <col min="1" max="1" width="15.42578125" customWidth="1"/>
    <col min="2" max="2" width="17.7109375" customWidth="1"/>
    <col min="3" max="3" width="12.28515625" bestFit="1" customWidth="1"/>
    <col min="4" max="4" width="10.7109375" style="20" customWidth="1"/>
    <col min="5" max="7" width="8.85546875" customWidth="1"/>
    <col min="8" max="10" width="11.42578125" customWidth="1"/>
    <col min="11" max="11" width="12" customWidth="1"/>
    <col min="12" max="12" width="11.42578125" customWidth="1"/>
    <col min="13" max="13" width="14" customWidth="1"/>
    <col min="14" max="14" width="12.7109375" customWidth="1"/>
    <col min="15" max="15" width="10.7109375" customWidth="1"/>
    <col min="16" max="16" width="13.85546875" customWidth="1"/>
    <col min="17" max="17" width="13.7109375" customWidth="1"/>
    <col min="18" max="18" width="11.140625" customWidth="1"/>
    <col min="19" max="19" width="10.42578125" customWidth="1"/>
    <col min="20" max="20" width="10.85546875" customWidth="1"/>
    <col min="21" max="21" width="12.42578125" customWidth="1"/>
    <col min="22" max="22" width="10.140625" customWidth="1"/>
    <col min="23" max="23" width="8.85546875" customWidth="1"/>
    <col min="24" max="24" width="2.7109375" style="4" customWidth="1"/>
    <col min="25" max="25" width="12.140625" customWidth="1"/>
    <col min="26" max="27" width="10.42578125" customWidth="1"/>
    <col min="28" max="28" width="12" customWidth="1"/>
    <col min="29" max="29" width="12.85546875" customWidth="1"/>
    <col min="30" max="30" width="8.85546875" customWidth="1"/>
    <col min="31" max="31" width="11" customWidth="1"/>
    <col min="32" max="32" width="11.140625" customWidth="1"/>
    <col min="33" max="33" width="5" customWidth="1"/>
    <col min="34" max="34" width="12.140625" style="20" customWidth="1"/>
    <col min="35" max="35" width="16" customWidth="1"/>
    <col min="36" max="36" width="11.85546875" customWidth="1"/>
  </cols>
  <sheetData>
    <row r="1" spans="1:39" ht="33" customHeight="1">
      <c r="A1" t="s">
        <v>2</v>
      </c>
      <c r="D1" s="96" t="s">
        <v>98</v>
      </c>
      <c r="E1" s="96"/>
      <c r="F1" s="96"/>
      <c r="G1" s="96"/>
      <c r="H1" s="96"/>
      <c r="I1" s="96"/>
      <c r="J1" s="96"/>
      <c r="K1" s="96"/>
      <c r="L1" s="96"/>
      <c r="M1" s="96"/>
    </row>
    <row r="2" spans="1:39" ht="20.100000000000001" customHeight="1"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39" ht="20.100000000000001" customHeight="1">
      <c r="M3" s="1" t="s">
        <v>6</v>
      </c>
      <c r="N3" s="1"/>
      <c r="O3" s="1"/>
      <c r="P3" s="1"/>
      <c r="Q3" s="2" t="s">
        <v>11</v>
      </c>
      <c r="R3" s="2"/>
      <c r="S3" s="2"/>
      <c r="T3" s="2"/>
      <c r="U3" s="3" t="s">
        <v>12</v>
      </c>
      <c r="V3" s="3"/>
      <c r="W3" s="3"/>
      <c r="Y3" t="s">
        <v>15</v>
      </c>
    </row>
    <row r="4" spans="1:39" ht="38.25">
      <c r="A4" s="5" t="s">
        <v>3</v>
      </c>
      <c r="B4" s="5" t="s">
        <v>4</v>
      </c>
      <c r="C4" s="5" t="s">
        <v>0</v>
      </c>
      <c r="D4" s="5" t="s">
        <v>83</v>
      </c>
      <c r="E4" s="5" t="s">
        <v>1</v>
      </c>
      <c r="F4" s="5" t="s">
        <v>5</v>
      </c>
      <c r="G4" s="5" t="s">
        <v>29</v>
      </c>
      <c r="H4" s="5" t="s">
        <v>30</v>
      </c>
      <c r="I4" s="5" t="s">
        <v>40</v>
      </c>
      <c r="J4" s="12" t="s">
        <v>41</v>
      </c>
      <c r="K4" s="12" t="s">
        <v>38</v>
      </c>
      <c r="L4" s="12" t="s">
        <v>37</v>
      </c>
      <c r="M4" s="6" t="s">
        <v>7</v>
      </c>
      <c r="N4" s="6" t="s">
        <v>8</v>
      </c>
      <c r="O4" s="6" t="s">
        <v>9</v>
      </c>
      <c r="P4" s="6" t="s">
        <v>10</v>
      </c>
      <c r="Q4" s="7" t="s">
        <v>7</v>
      </c>
      <c r="R4" s="7" t="s">
        <v>8</v>
      </c>
      <c r="S4" s="7" t="s">
        <v>9</v>
      </c>
      <c r="T4" s="7" t="s">
        <v>10</v>
      </c>
      <c r="U4" s="8" t="s">
        <v>17</v>
      </c>
      <c r="V4" s="8" t="s">
        <v>18</v>
      </c>
      <c r="W4" s="9" t="s">
        <v>13</v>
      </c>
      <c r="Y4" s="12" t="s">
        <v>19</v>
      </c>
      <c r="Z4" s="5" t="s">
        <v>20</v>
      </c>
      <c r="AA4" s="5" t="s">
        <v>26</v>
      </c>
      <c r="AB4" s="12" t="s">
        <v>22</v>
      </c>
      <c r="AC4" s="12" t="s">
        <v>23</v>
      </c>
      <c r="AD4" s="12" t="s">
        <v>24</v>
      </c>
      <c r="AE4" s="12" t="s">
        <v>27</v>
      </c>
      <c r="AF4" s="13" t="s">
        <v>21</v>
      </c>
      <c r="AG4" s="47" t="s">
        <v>80</v>
      </c>
      <c r="AH4" s="48" t="s">
        <v>87</v>
      </c>
      <c r="AI4" s="48" t="s">
        <v>84</v>
      </c>
      <c r="AJ4" s="48" t="s">
        <v>82</v>
      </c>
      <c r="AK4" s="35"/>
      <c r="AL4" s="35"/>
      <c r="AM4" s="35"/>
    </row>
    <row r="5" spans="1:39" s="20" customFormat="1" ht="21" customHeight="1">
      <c r="A5" s="41">
        <v>19402901</v>
      </c>
      <c r="B5" s="5"/>
      <c r="C5" s="10"/>
      <c r="D5" s="5"/>
      <c r="E5" s="5"/>
      <c r="F5" s="5"/>
      <c r="G5" s="5"/>
      <c r="H5" s="5"/>
      <c r="I5" s="5"/>
      <c r="J5" s="12"/>
      <c r="K5" s="12"/>
      <c r="L5" s="12"/>
      <c r="M5" s="6"/>
      <c r="N5" s="6"/>
      <c r="O5" s="6"/>
      <c r="P5" s="6"/>
      <c r="Q5" s="7"/>
      <c r="R5" s="7"/>
      <c r="S5" s="7"/>
      <c r="T5" s="7"/>
      <c r="U5" s="8"/>
      <c r="V5" s="8"/>
      <c r="W5" s="9"/>
      <c r="X5" s="4"/>
      <c r="Y5" s="12"/>
      <c r="Z5" s="5"/>
      <c r="AA5" s="5"/>
      <c r="AB5" s="12"/>
      <c r="AC5" s="12"/>
      <c r="AD5" s="12"/>
      <c r="AE5" s="12"/>
      <c r="AF5" s="13"/>
      <c r="AG5" s="60"/>
      <c r="AH5" s="33">
        <v>1.0335875784322697</v>
      </c>
      <c r="AI5" s="65" t="s">
        <v>92</v>
      </c>
      <c r="AJ5" s="34">
        <v>1.0334472471102871</v>
      </c>
      <c r="AK5" s="61"/>
      <c r="AL5" s="61"/>
      <c r="AM5" s="61"/>
    </row>
    <row r="6" spans="1:39" s="20" customFormat="1" ht="18" customHeight="1">
      <c r="A6" s="41">
        <v>19502901</v>
      </c>
      <c r="B6" s="5"/>
      <c r="C6" s="10"/>
      <c r="D6" s="5"/>
      <c r="E6" s="5"/>
      <c r="F6" s="5"/>
      <c r="G6" s="5"/>
      <c r="H6" s="5"/>
      <c r="I6" s="5"/>
      <c r="J6" s="12"/>
      <c r="K6" s="12"/>
      <c r="L6" s="12"/>
      <c r="M6" s="6"/>
      <c r="N6" s="6"/>
      <c r="O6" s="6"/>
      <c r="P6" s="6"/>
      <c r="Q6" s="7"/>
      <c r="R6" s="7"/>
      <c r="S6" s="7"/>
      <c r="T6" s="7"/>
      <c r="U6" s="8"/>
      <c r="V6" s="8"/>
      <c r="W6" s="9"/>
      <c r="X6" s="4"/>
      <c r="Y6" s="12"/>
      <c r="Z6" s="5"/>
      <c r="AA6" s="5"/>
      <c r="AB6" s="12"/>
      <c r="AC6" s="12"/>
      <c r="AD6" s="12"/>
      <c r="AE6" s="12"/>
      <c r="AF6" s="13"/>
      <c r="AG6" s="60"/>
      <c r="AH6" s="33">
        <v>1.0335875784322697</v>
      </c>
      <c r="AI6" s="65" t="s">
        <v>92</v>
      </c>
      <c r="AJ6" s="34">
        <v>1.0334472471102871</v>
      </c>
      <c r="AK6" s="61"/>
      <c r="AL6" s="61"/>
      <c r="AM6" s="61"/>
    </row>
    <row r="7" spans="1:39" s="20" customFormat="1" ht="15.95" customHeight="1">
      <c r="A7" s="41">
        <v>19502902</v>
      </c>
      <c r="B7" s="5"/>
      <c r="C7" s="10"/>
      <c r="D7" s="5"/>
      <c r="E7" s="5"/>
      <c r="F7" s="5"/>
      <c r="G7" s="5"/>
      <c r="H7" s="5"/>
      <c r="I7" s="5"/>
      <c r="J7" s="12"/>
      <c r="K7" s="12"/>
      <c r="L7" s="12"/>
      <c r="M7" s="6"/>
      <c r="N7" s="6"/>
      <c r="O7" s="6"/>
      <c r="P7" s="6"/>
      <c r="Q7" s="7"/>
      <c r="R7" s="7"/>
      <c r="S7" s="7"/>
      <c r="T7" s="7"/>
      <c r="U7" s="8"/>
      <c r="V7" s="8"/>
      <c r="W7" s="9"/>
      <c r="X7" s="4"/>
      <c r="Y7" s="12"/>
      <c r="Z7" s="5"/>
      <c r="AA7" s="5"/>
      <c r="AB7" s="12"/>
      <c r="AC7" s="12"/>
      <c r="AD7" s="12"/>
      <c r="AE7" s="12"/>
      <c r="AF7" s="13"/>
      <c r="AG7" s="60"/>
      <c r="AH7" s="33">
        <v>1.0335875784322697</v>
      </c>
      <c r="AI7" s="65" t="s">
        <v>92</v>
      </c>
      <c r="AJ7" s="34">
        <v>1.0334472471102871</v>
      </c>
      <c r="AK7" s="61"/>
      <c r="AL7" s="61"/>
      <c r="AM7" s="61"/>
    </row>
    <row r="8" spans="1:39" ht="21.95" customHeight="1">
      <c r="A8" s="40">
        <v>19702901</v>
      </c>
      <c r="B8" s="5" t="s">
        <v>14</v>
      </c>
      <c r="C8" s="10">
        <v>43661</v>
      </c>
      <c r="D8" s="10"/>
      <c r="E8" s="11">
        <v>0.54166666666666663</v>
      </c>
      <c r="F8" s="5" t="s">
        <v>16</v>
      </c>
      <c r="G8" s="5">
        <v>29</v>
      </c>
      <c r="H8" s="5"/>
      <c r="I8" s="5"/>
      <c r="J8" s="5"/>
      <c r="K8" s="5"/>
      <c r="L8" s="5"/>
      <c r="M8" s="5">
        <v>17.062222222222221</v>
      </c>
      <c r="N8" s="5">
        <v>0.62147944444444447</v>
      </c>
      <c r="O8" s="5">
        <v>6.0829999999999993</v>
      </c>
      <c r="P8" s="5">
        <v>21.305055555555558</v>
      </c>
      <c r="Q8" s="5">
        <v>3.0731814857645674E-3</v>
      </c>
      <c r="R8" s="5">
        <v>6.214923795010804E-5</v>
      </c>
      <c r="S8" s="5">
        <v>2.7838821814149838E-3</v>
      </c>
      <c r="T8" s="5">
        <v>3.1729761703769548E-3</v>
      </c>
      <c r="U8" s="5">
        <v>1017</v>
      </c>
      <c r="V8" s="5">
        <v>0.56999999999999995</v>
      </c>
      <c r="W8" s="5">
        <v>22.6</v>
      </c>
      <c r="Y8" s="5">
        <f t="shared" ref="Y8:Y12" si="0">EXP(52.57-(6690.9/(P8+273.15))-4.681*LN(P8+273.15))</f>
        <v>25.404618434016584</v>
      </c>
      <c r="Z8" s="5">
        <f t="shared" ref="Z8:Z12" si="1">Y8*V8</f>
        <v>14.480632507389451</v>
      </c>
      <c r="AA8" s="5">
        <f t="shared" ref="AA8:AA12" si="2">LN((298.15-P8)/(273.15+P8))</f>
        <v>-6.1668796620024016E-2</v>
      </c>
      <c r="AB8" s="5">
        <f t="shared" ref="AB8:AB12" si="3">EXP(5.80818 + 3.20684*AA8 + 4.1189*AA8^2 + 4.93845*AA8^3 + 1.01567*AA8^4 + 1.41575*AA8^5)</f>
        <v>277.25498252020355</v>
      </c>
      <c r="AC8" s="5">
        <f t="shared" ref="AC8:AC12" si="4">(999.84847+0.06337563*P8-0.008523829*P8^2+0.00006943248*P8^3-0.0000003821216*P8^4)/1000</f>
        <v>0.99792239620040746</v>
      </c>
      <c r="AD8" s="5">
        <f t="shared" ref="AD8:AD12" si="5">AB8*AC8</f>
        <v>276.67895651506359</v>
      </c>
      <c r="AE8" s="5">
        <f t="shared" ref="AE8:AE12" si="6">O8*44.6596</f>
        <v>271.66434679999998</v>
      </c>
      <c r="AF8" s="19">
        <f t="shared" ref="AF8:AF12" si="7">(AD8*(U8-Z8))/((1013.25-Y8))/AE8</f>
        <v>1.0335875784322697</v>
      </c>
      <c r="AG8">
        <v>2</v>
      </c>
      <c r="AH8" s="33">
        <v>1.0335875784322697</v>
      </c>
      <c r="AI8" s="66"/>
      <c r="AJ8" s="34">
        <f>AVERAGE(AH8:AH9)</f>
        <v>1.0334472471102871</v>
      </c>
    </row>
    <row r="9" spans="1:39" ht="21.95" customHeight="1">
      <c r="A9" s="40">
        <v>19702901</v>
      </c>
      <c r="B9" s="5" t="s">
        <v>25</v>
      </c>
      <c r="C9" s="10">
        <v>43724</v>
      </c>
      <c r="D9" s="10"/>
      <c r="E9" s="11">
        <v>0.63541666666666663</v>
      </c>
      <c r="F9" s="5" t="s">
        <v>28</v>
      </c>
      <c r="G9" s="5">
        <v>29</v>
      </c>
      <c r="H9" s="5"/>
      <c r="I9" s="5"/>
      <c r="J9" s="5"/>
      <c r="K9" s="5"/>
      <c r="L9" s="5"/>
      <c r="M9" s="5">
        <v>17.234000000000002</v>
      </c>
      <c r="N9" s="5"/>
      <c r="O9" s="5">
        <v>6.2586666666666666</v>
      </c>
      <c r="P9" s="5">
        <v>19.752499999999998</v>
      </c>
      <c r="Q9" s="15">
        <v>9.9999999999944578E-4</v>
      </c>
      <c r="R9" s="5"/>
      <c r="S9" s="5">
        <v>5.7735026918981857E-4</v>
      </c>
      <c r="T9" s="5">
        <v>9.5393920141639832E-4</v>
      </c>
      <c r="U9" s="5">
        <v>1016</v>
      </c>
      <c r="V9" s="5">
        <v>0.59</v>
      </c>
      <c r="W9" s="5">
        <v>20.6</v>
      </c>
      <c r="Y9" s="5">
        <f t="shared" si="0"/>
        <v>23.086136465665902</v>
      </c>
      <c r="Z9" s="5">
        <f t="shared" si="1"/>
        <v>13.620820514742881</v>
      </c>
      <c r="AA9" s="5">
        <f t="shared" si="2"/>
        <v>-5.0789840598666529E-2</v>
      </c>
      <c r="AB9" s="5">
        <f t="shared" si="3"/>
        <v>285.79921234554934</v>
      </c>
      <c r="AC9" s="5">
        <f t="shared" si="4"/>
        <v>0.99825155306355218</v>
      </c>
      <c r="AD9" s="5">
        <f t="shared" si="5"/>
        <v>285.29950758828454</v>
      </c>
      <c r="AE9" s="5">
        <f t="shared" si="6"/>
        <v>279.50954986666665</v>
      </c>
      <c r="AF9" s="19">
        <f t="shared" si="7"/>
        <v>1.0333069157883048</v>
      </c>
      <c r="AG9" s="20">
        <v>2</v>
      </c>
      <c r="AH9" s="33">
        <v>1.0333069157883048</v>
      </c>
      <c r="AI9" s="66"/>
    </row>
    <row r="10" spans="1:39" ht="21.95" customHeight="1">
      <c r="A10" s="41" t="s">
        <v>31</v>
      </c>
      <c r="B10" s="5" t="s">
        <v>14</v>
      </c>
      <c r="C10" s="10">
        <v>43738</v>
      </c>
      <c r="D10" s="10"/>
      <c r="E10" s="11">
        <v>0.625</v>
      </c>
      <c r="F10" s="5" t="s">
        <v>28</v>
      </c>
      <c r="G10" s="5">
        <v>29</v>
      </c>
      <c r="H10" s="5"/>
      <c r="I10" s="5"/>
      <c r="J10" s="5"/>
      <c r="K10" s="5"/>
      <c r="L10" s="5"/>
      <c r="M10" s="5">
        <f>AVERAGE(17.199,17.203,17.203,17.202,17.199)</f>
        <v>17.2012</v>
      </c>
      <c r="N10" s="5"/>
      <c r="O10" s="5">
        <f>AVERAGE(6.316,6.313,6.313,6.314,6.318)</f>
        <v>6.3148</v>
      </c>
      <c r="P10" s="5">
        <f>AVERAGE(19.6261,19.6247,19.623,19.6222,19.6174)</f>
        <v>19.622680000000003</v>
      </c>
      <c r="Q10" s="14">
        <f>STDEV(17.199,17.203,17.203,17.202,17.199)</f>
        <v>2.0493901531909572E-3</v>
      </c>
      <c r="R10" s="5"/>
      <c r="S10" s="5">
        <f>STDEV(6.316,6.313,6.313,6.314,6.318)</f>
        <v>2.1679483388678256E-3</v>
      </c>
      <c r="T10" s="5">
        <f>STDEV(19.6261,19.6247,19.623,19.6222,19.6174)</f>
        <v>3.3161724924983698E-3</v>
      </c>
      <c r="U10" s="5">
        <v>1016</v>
      </c>
      <c r="V10" s="5">
        <v>0.55000000000000004</v>
      </c>
      <c r="W10" s="5">
        <v>20.5</v>
      </c>
      <c r="Y10" s="5">
        <f t="shared" si="0"/>
        <v>22.90094816942948</v>
      </c>
      <c r="Z10" s="5">
        <f t="shared" si="1"/>
        <v>12.595521493186215</v>
      </c>
      <c r="AA10" s="5">
        <f t="shared" si="2"/>
        <v>-4.9880320218867812E-2</v>
      </c>
      <c r="AB10" s="5">
        <f t="shared" si="3"/>
        <v>286.53559638782752</v>
      </c>
      <c r="AC10" s="5">
        <f t="shared" si="4"/>
        <v>0.9982779297542953</v>
      </c>
      <c r="AD10" s="5">
        <f t="shared" si="5"/>
        <v>286.04216196295278</v>
      </c>
      <c r="AE10" s="5">
        <f t="shared" si="6"/>
        <v>282.01644207999999</v>
      </c>
      <c r="AF10" s="19">
        <f t="shared" si="7"/>
        <v>1.02764560121659</v>
      </c>
      <c r="AG10" s="20">
        <v>2</v>
      </c>
      <c r="AH10" s="33">
        <v>1.02764560121659</v>
      </c>
      <c r="AI10" s="66"/>
      <c r="AJ10" s="33">
        <v>1.02764560121659</v>
      </c>
    </row>
    <row r="11" spans="1:39" ht="21.95" customHeight="1">
      <c r="A11" s="41" t="s">
        <v>33</v>
      </c>
      <c r="B11" s="5" t="s">
        <v>14</v>
      </c>
      <c r="C11" s="10">
        <v>43811</v>
      </c>
      <c r="D11" s="10"/>
      <c r="E11" s="11">
        <v>0.5625</v>
      </c>
      <c r="F11" s="5" t="s">
        <v>32</v>
      </c>
      <c r="G11" s="5">
        <v>29</v>
      </c>
      <c r="H11" s="5"/>
      <c r="I11" s="5"/>
      <c r="J11" s="5"/>
      <c r="K11" s="5"/>
      <c r="L11" s="5"/>
      <c r="M11" s="5">
        <f>AVERAGE(17.168,17.164,17.169)</f>
        <v>17.167000000000002</v>
      </c>
      <c r="N11" s="5"/>
      <c r="O11" s="5">
        <f>AVERAGE(6.134,6.137,6.133)</f>
        <v>6.1346666666666669</v>
      </c>
      <c r="P11" s="5">
        <f>AVERAGE(20.6136,20.6141,20.6139)</f>
        <v>20.613866666666667</v>
      </c>
      <c r="Q11" s="5">
        <f>_xlfn.STDEV.P(17.168,17.164,17.169)</f>
        <v>2.1602468994686378E-3</v>
      </c>
      <c r="R11" s="5"/>
      <c r="S11" s="5">
        <f>_xlfn.STDEV.P(6.134,6.137,6.133)</f>
        <v>1.6996731711973498E-3</v>
      </c>
      <c r="T11" s="5">
        <f>_xlfn.STDEV.P(20.6136,20.6141,20.6139)</f>
        <v>2.0548046676515367E-4</v>
      </c>
      <c r="U11" s="5">
        <v>1026</v>
      </c>
      <c r="V11" s="5">
        <v>0.63</v>
      </c>
      <c r="W11" s="5">
        <v>20.8</v>
      </c>
      <c r="Y11" s="5">
        <f t="shared" si="0"/>
        <v>24.348434189743848</v>
      </c>
      <c r="Z11" s="5">
        <f t="shared" si="1"/>
        <v>15.339513539538624</v>
      </c>
      <c r="AA11" s="5">
        <f t="shared" si="2"/>
        <v>-5.6825135097889237E-2</v>
      </c>
      <c r="AB11" s="5">
        <f t="shared" si="3"/>
        <v>281.00003215157739</v>
      </c>
      <c r="AC11" s="5">
        <f t="shared" si="4"/>
        <v>0.99807203739406414</v>
      </c>
      <c r="AD11" s="5">
        <f t="shared" si="5"/>
        <v>280.45827459732237</v>
      </c>
      <c r="AE11" s="5">
        <f t="shared" si="6"/>
        <v>273.97175946666664</v>
      </c>
      <c r="AF11" s="19">
        <f t="shared" si="7"/>
        <v>1.0461999165954292</v>
      </c>
      <c r="AG11" s="20">
        <v>2</v>
      </c>
      <c r="AH11" s="33">
        <v>1.0461999165954292</v>
      </c>
      <c r="AI11" s="64"/>
      <c r="AJ11" s="33">
        <v>1.0461999165954292</v>
      </c>
    </row>
    <row r="12" spans="1:39" ht="21.95" customHeight="1">
      <c r="A12" s="40">
        <v>20202901</v>
      </c>
      <c r="B12" s="5" t="s">
        <v>14</v>
      </c>
      <c r="C12" s="10">
        <v>43871</v>
      </c>
      <c r="D12" s="10"/>
      <c r="E12" s="5">
        <v>1430</v>
      </c>
      <c r="F12" s="5" t="s">
        <v>49</v>
      </c>
      <c r="G12" s="5">
        <v>29</v>
      </c>
      <c r="H12" s="5"/>
      <c r="I12" s="5"/>
      <c r="J12" s="5"/>
      <c r="K12" s="5"/>
      <c r="L12" s="5"/>
      <c r="M12" s="5">
        <v>17.5078</v>
      </c>
      <c r="N12" s="5"/>
      <c r="O12">
        <v>6.7496</v>
      </c>
      <c r="P12">
        <v>16.49522</v>
      </c>
      <c r="Q12" s="5">
        <v>7.4799999999999997E-4</v>
      </c>
      <c r="R12" s="5"/>
      <c r="S12" s="5">
        <v>2.245E-3</v>
      </c>
      <c r="T12" s="5">
        <v>1.0491E-2</v>
      </c>
      <c r="U12" s="5">
        <v>1016</v>
      </c>
      <c r="V12" s="5">
        <v>0.41</v>
      </c>
      <c r="W12" s="5">
        <v>18.3</v>
      </c>
      <c r="Y12" s="5">
        <f t="shared" si="0"/>
        <v>18.815633873254555</v>
      </c>
      <c r="Z12" s="5">
        <f t="shared" si="1"/>
        <v>7.7144098880343668</v>
      </c>
      <c r="AA12" s="5">
        <f t="shared" si="2"/>
        <v>-2.7974658115682342E-2</v>
      </c>
      <c r="AB12" s="5">
        <f t="shared" si="3"/>
        <v>305.38876530928212</v>
      </c>
      <c r="AC12" s="5">
        <f t="shared" si="4"/>
        <v>0.99885793518616717</v>
      </c>
      <c r="AD12" s="5">
        <f t="shared" si="5"/>
        <v>305.03999154588251</v>
      </c>
      <c r="AE12" s="5">
        <f t="shared" si="6"/>
        <v>301.43443615999996</v>
      </c>
      <c r="AF12" s="19">
        <f t="shared" si="7"/>
        <v>1.0260566779817331</v>
      </c>
      <c r="AG12" s="20">
        <v>2</v>
      </c>
      <c r="AH12" s="33">
        <v>1.0260566779817331</v>
      </c>
      <c r="AI12" s="64"/>
      <c r="AJ12" s="33">
        <v>1.0260566779817331</v>
      </c>
    </row>
    <row r="13" spans="1:39" ht="21.95" customHeight="1">
      <c r="A13" s="40">
        <v>20702901</v>
      </c>
      <c r="B13" s="5" t="s">
        <v>35</v>
      </c>
      <c r="C13" s="10">
        <v>44033</v>
      </c>
      <c r="D13" s="10"/>
      <c r="E13" s="5">
        <v>934</v>
      </c>
      <c r="F13" s="5" t="s">
        <v>36</v>
      </c>
      <c r="G13" s="5">
        <v>29</v>
      </c>
      <c r="H13" s="5"/>
      <c r="I13" s="5"/>
      <c r="J13" s="17">
        <v>-1.026E-3</v>
      </c>
      <c r="K13" s="10">
        <v>44034</v>
      </c>
      <c r="L13">
        <v>-1.393</v>
      </c>
      <c r="M13" s="5">
        <v>17.345199999999998</v>
      </c>
      <c r="N13" s="5"/>
      <c r="O13" s="5">
        <v>6.1147999999999998</v>
      </c>
      <c r="P13" s="5">
        <v>19.772240000000004</v>
      </c>
      <c r="Q13" s="5">
        <v>2.135415650406476E-3</v>
      </c>
      <c r="R13" s="5"/>
      <c r="S13" s="5">
        <v>1.7204650534084597E-3</v>
      </c>
      <c r="T13" s="5">
        <v>2.870540018888141E-4</v>
      </c>
      <c r="U13" s="5">
        <v>1015</v>
      </c>
      <c r="V13" s="5">
        <v>1</v>
      </c>
      <c r="W13" s="5">
        <v>19.600000000000001</v>
      </c>
      <c r="Y13" s="5">
        <f t="shared" ref="Y13" si="8">EXP(52.57-(6690.9/(P13+273.15))-4.681*LN(P13+273.15))</f>
        <v>23.114410138656812</v>
      </c>
      <c r="Z13" s="5">
        <f t="shared" ref="Z13" si="9">Y13*V13</f>
        <v>23.114410138656812</v>
      </c>
      <c r="AA13" s="5">
        <f t="shared" ref="AA13" si="10">LN((298.15-P13)/(273.15+P13))</f>
        <v>-5.0928141090968271E-2</v>
      </c>
      <c r="AB13" s="5">
        <f t="shared" ref="AB13" si="11">EXP(5.80818 + 3.20684*AA13 + 4.1189*AA13^2 + 4.93845*AA13^3 + 1.01567*AA13^4 + 1.41575*AA13^5)</f>
        <v>285.68754472076512</v>
      </c>
      <c r="AC13" s="5">
        <f t="shared" ref="AC13" si="12">(999.84847+0.06337563*P13-0.008523829*P13^2+0.00006943248*P13^3-0.0000003821216*P13^4)/1000</f>
        <v>0.99824752663941108</v>
      </c>
      <c r="AD13" s="5">
        <f t="shared" ref="AD13" si="13">AB13*AC13</f>
        <v>285.18688490918993</v>
      </c>
      <c r="AE13" s="5">
        <f t="shared" ref="AE13" si="14">O13*44.6596</f>
        <v>273.08452208</v>
      </c>
      <c r="AF13" s="19">
        <f t="shared" ref="AF13" si="15">(AD13*(U13-Z13))/((1013.25-Y13))/AE13</f>
        <v>1.0461630411338116</v>
      </c>
      <c r="AG13" s="20">
        <v>2</v>
      </c>
      <c r="AH13" s="33">
        <v>1.0461630411338116</v>
      </c>
      <c r="AI13" s="64"/>
      <c r="AJ13" s="34">
        <f>AVERAGE(AH13:AH14)</f>
        <v>1.0455034455669059</v>
      </c>
    </row>
    <row r="14" spans="1:39" s="52" customFormat="1" ht="21.95" customHeight="1">
      <c r="A14" s="49">
        <v>20702901</v>
      </c>
      <c r="B14" s="24" t="s">
        <v>44</v>
      </c>
      <c r="C14" s="50">
        <v>44091</v>
      </c>
      <c r="D14" s="50"/>
      <c r="E14" s="24">
        <v>2037</v>
      </c>
      <c r="F14" s="24" t="s">
        <v>34</v>
      </c>
      <c r="G14" s="24">
        <v>29</v>
      </c>
      <c r="H14" s="24"/>
      <c r="I14" s="24"/>
      <c r="J14" s="51">
        <v>-1.026E-3</v>
      </c>
      <c r="K14" s="50">
        <v>44091</v>
      </c>
      <c r="L14" s="24"/>
      <c r="M14" s="24">
        <v>17.65175</v>
      </c>
      <c r="N14" s="24"/>
      <c r="O14" s="24">
        <v>6.1555</v>
      </c>
      <c r="P14" s="24">
        <v>18.55885</v>
      </c>
      <c r="Q14" s="24">
        <v>2.5860201081974771E-3</v>
      </c>
      <c r="R14" s="24"/>
      <c r="S14" s="24">
        <v>2.0615528128090877E-3</v>
      </c>
      <c r="T14" s="24">
        <v>2.6874709300754524E-3</v>
      </c>
      <c r="U14" s="24">
        <v>1016</v>
      </c>
      <c r="V14" s="24">
        <v>1</v>
      </c>
      <c r="W14" s="24">
        <v>21</v>
      </c>
      <c r="X14" s="4"/>
      <c r="Y14" s="24">
        <f t="shared" ref="Y14" si="16">EXP(52.57-(6690.9/(P14+273.15))-4.681*LN(P14+273.15))</f>
        <v>21.431759595596226</v>
      </c>
      <c r="Z14" s="24">
        <f t="shared" ref="Z14" si="17">Y14*V14</f>
        <v>21.431759595596226</v>
      </c>
      <c r="AA14" s="24">
        <f t="shared" ref="AA14" si="18">LN((298.15-P14)/(273.15+P14))</f>
        <v>-4.2427858305036148E-2</v>
      </c>
      <c r="AB14" s="24">
        <f t="shared" ref="AB14" si="19">EXP(5.80818 + 3.20684*AA14 + 4.1189*AA14^2 + 4.93845*AA14^3 + 1.01567*AA14^4 + 1.41575*AA14^5)</f>
        <v>292.70377617317052</v>
      </c>
      <c r="AC14" s="24">
        <f t="shared" ref="AC14" si="20">(999.84847+0.06337563*P14-0.008523829*P14^2+0.00006943248*P14^3-0.0000003821216*P14^4)/1000</f>
        <v>0.99848727569468754</v>
      </c>
      <c r="AD14" s="24">
        <f t="shared" ref="AD14" si="21">AB14*AC14</f>
        <v>292.26099605669663</v>
      </c>
      <c r="AE14" s="24">
        <f t="shared" ref="AE14" si="22">O14*44.6596</f>
        <v>274.90216779999997</v>
      </c>
      <c r="AF14" s="53">
        <f t="shared" ref="AF14" si="23">(AD14*(U14-Z14))/((1013.25-Y14))/AE14</f>
        <v>1.0660932440519801</v>
      </c>
      <c r="AG14" s="52">
        <v>4</v>
      </c>
      <c r="AH14" s="54">
        <v>1.0448438500000001</v>
      </c>
      <c r="AI14" s="52" t="s">
        <v>85</v>
      </c>
    </row>
    <row r="15" spans="1:39" s="52" customFormat="1" ht="21.95" customHeight="1">
      <c r="A15" s="55" t="s">
        <v>47</v>
      </c>
      <c r="B15" s="24" t="s">
        <v>35</v>
      </c>
      <c r="C15" s="50">
        <v>44110</v>
      </c>
      <c r="D15" s="50"/>
      <c r="E15" s="24">
        <v>1745</v>
      </c>
      <c r="F15" s="24" t="s">
        <v>34</v>
      </c>
      <c r="G15" s="24">
        <v>29</v>
      </c>
      <c r="H15" s="24"/>
      <c r="I15" s="24"/>
      <c r="J15" s="51">
        <v>-1.026E-3</v>
      </c>
      <c r="K15" s="50">
        <v>44110</v>
      </c>
      <c r="L15" s="24"/>
      <c r="M15" s="52">
        <v>17.703600000000002</v>
      </c>
      <c r="N15" s="24"/>
      <c r="O15" s="52">
        <v>6.153999999999999</v>
      </c>
      <c r="P15" s="52">
        <v>18.363119999999999</v>
      </c>
      <c r="Q15" s="52">
        <v>2.6532998322838135E-3</v>
      </c>
      <c r="R15" s="24"/>
      <c r="S15" s="52">
        <v>1.8973665961010057E-3</v>
      </c>
      <c r="T15" s="52">
        <v>6.3294233544611521E-3</v>
      </c>
      <c r="U15" s="24">
        <v>1017</v>
      </c>
      <c r="V15" s="24">
        <v>1</v>
      </c>
      <c r="W15" s="24">
        <v>20.3</v>
      </c>
      <c r="X15" s="4"/>
      <c r="Y15" s="24">
        <f t="shared" ref="Y15" si="24">EXP(52.57-(6690.9/(P15+273.15))-4.681*LN(P15+273.15))</f>
        <v>21.170640397482387</v>
      </c>
      <c r="Z15" s="24">
        <f t="shared" ref="Z15" si="25">Y15*V15</f>
        <v>21.170640397482387</v>
      </c>
      <c r="AA15" s="24">
        <f t="shared" ref="AA15" si="26">LN((298.15-P15)/(273.15+P15))</f>
        <v>-4.105684285820882E-2</v>
      </c>
      <c r="AB15" s="24">
        <f t="shared" ref="AB15" si="27">EXP(5.80818 + 3.20684*AA15 + 4.1189*AA15^2 + 4.93845*AA15^3 + 1.01567*AA15^4 + 1.41575*AA15^5)</f>
        <v>293.86524067984192</v>
      </c>
      <c r="AC15" s="24">
        <f t="shared" ref="AC15" si="28">(999.84847+0.06337563*P15-0.008523829*P15^2+0.00006943248*P15^3-0.0000003821216*P15^4)/1000</f>
        <v>0.99852445809402635</v>
      </c>
      <c r="AD15" s="24">
        <f t="shared" ref="AD15" si="29">AB15*AC15</f>
        <v>293.43163020250978</v>
      </c>
      <c r="AE15" s="24">
        <f t="shared" ref="AE15" si="30">O15*44.6596</f>
        <v>274.83517839999996</v>
      </c>
      <c r="AF15" s="53">
        <f>(AD15*(U15-Z15))/((1013.25-Y15))/AE15</f>
        <v>1.0716997210439252</v>
      </c>
      <c r="AG15" s="52">
        <v>4</v>
      </c>
      <c r="AH15" s="54">
        <v>1.0454585000000001</v>
      </c>
      <c r="AI15" s="52" t="s">
        <v>85</v>
      </c>
      <c r="AJ15" s="59">
        <f>AVERAGE(AH15:AH16)</f>
        <v>1.0458480140634439</v>
      </c>
    </row>
    <row r="16" spans="1:39" ht="21.95" customHeight="1">
      <c r="A16" s="40" t="s">
        <v>47</v>
      </c>
      <c r="B16" s="5" t="s">
        <v>44</v>
      </c>
      <c r="C16" s="10">
        <v>44126</v>
      </c>
      <c r="D16" s="10"/>
      <c r="E16" s="5">
        <v>1445</v>
      </c>
      <c r="F16" s="5" t="s">
        <v>49</v>
      </c>
      <c r="G16" s="5">
        <v>29</v>
      </c>
      <c r="H16" s="5"/>
      <c r="I16" s="5"/>
      <c r="J16" s="17">
        <v>-1.026E-3</v>
      </c>
      <c r="K16" s="5" t="s">
        <v>39</v>
      </c>
      <c r="L16" s="5"/>
      <c r="M16" s="21">
        <v>17.291999999999998</v>
      </c>
      <c r="N16" s="5"/>
      <c r="O16" s="5">
        <v>5.9319999999999995</v>
      </c>
      <c r="P16" s="5">
        <v>21.097799999999999</v>
      </c>
      <c r="Q16" s="5">
        <v>5.099019513592885E-3</v>
      </c>
      <c r="R16" s="5"/>
      <c r="S16" s="5">
        <v>3.4641016151377318E-3</v>
      </c>
      <c r="T16" s="5">
        <v>8.1097472217081697E-3</v>
      </c>
      <c r="U16" s="5">
        <v>1011</v>
      </c>
      <c r="V16" s="5">
        <v>1</v>
      </c>
      <c r="W16" s="5">
        <v>21.1</v>
      </c>
      <c r="Y16" s="5">
        <f t="shared" ref="Y16" si="31">EXP(52.57-(6690.9/(P16+273.15))-4.681*LN(P16+273.15))</f>
        <v>25.083789924602812</v>
      </c>
      <c r="Z16" s="5">
        <f t="shared" ref="Z16" si="32">Y16*V16</f>
        <v>25.083789924602812</v>
      </c>
      <c r="AA16" s="5">
        <f t="shared" ref="AA16" si="33">LN((298.15-P16)/(273.15+P16))</f>
        <v>-6.0216333390182446E-2</v>
      </c>
      <c r="AB16" s="5">
        <f t="shared" ref="AB16" si="34">EXP(5.80818 + 3.20684*AA16 + 4.1189*AA16^2 + 4.93845*AA16^3 + 1.01567*AA16^4 + 1.41575*AA16^5)</f>
        <v>278.36827323775822</v>
      </c>
      <c r="AC16" s="5">
        <f t="shared" ref="AC16" si="35">(999.84847+0.06337563*P16-0.008523829*P16^2+0.00006943248*P16^3-0.0000003821216*P16^4)/1000</f>
        <v>0.99796778421520838</v>
      </c>
      <c r="AD16" s="5">
        <f t="shared" ref="AD16" si="36">AB16*AC16</f>
        <v>277.80256883889928</v>
      </c>
      <c r="AE16" s="5">
        <f t="shared" ref="AE16" si="37">O16*44.6596</f>
        <v>264.92074719999994</v>
      </c>
      <c r="AF16" s="19">
        <f>(AD16*(U16-Z16))/((1013.25-Y16))/AE16</f>
        <v>1.0462375281268876</v>
      </c>
      <c r="AG16">
        <v>2</v>
      </c>
      <c r="AH16" s="33">
        <v>1.0462375281268876</v>
      </c>
    </row>
    <row r="17" spans="1:39" s="20" customFormat="1" ht="21.95" customHeight="1">
      <c r="A17" s="41" t="s">
        <v>91</v>
      </c>
      <c r="B17" s="5"/>
      <c r="C17" s="10">
        <v>44168</v>
      </c>
      <c r="D17" s="10"/>
      <c r="E17" s="5"/>
      <c r="F17" s="5"/>
      <c r="G17" s="5"/>
      <c r="H17" s="5"/>
      <c r="I17" s="5"/>
      <c r="J17" s="17"/>
      <c r="K17" s="5"/>
      <c r="L17" s="5"/>
      <c r="M17" s="21"/>
      <c r="N17" s="5"/>
      <c r="O17" s="5"/>
      <c r="P17" s="5"/>
      <c r="Q17" s="5"/>
      <c r="R17" s="5"/>
      <c r="S17" s="5"/>
      <c r="T17" s="5"/>
      <c r="U17" s="5"/>
      <c r="V17" s="5"/>
      <c r="W17" s="5"/>
      <c r="X17" s="4"/>
      <c r="Y17" s="5"/>
      <c r="Z17" s="5"/>
      <c r="AA17" s="5"/>
      <c r="AB17" s="5"/>
      <c r="AC17" s="5"/>
      <c r="AD17" s="5"/>
      <c r="AE17" s="5"/>
      <c r="AF17" s="19"/>
      <c r="AH17" s="33">
        <v>1.0458272000000002</v>
      </c>
      <c r="AI17" s="52" t="s">
        <v>93</v>
      </c>
      <c r="AJ17" s="33">
        <v>1.0458272000000002</v>
      </c>
    </row>
    <row r="18" spans="1:39" ht="21.95" customHeight="1">
      <c r="A18" s="41">
        <v>21202901</v>
      </c>
      <c r="B18" s="5" t="s">
        <v>35</v>
      </c>
      <c r="C18" s="10">
        <v>44235</v>
      </c>
      <c r="D18" s="10"/>
      <c r="E18" s="5">
        <v>1100</v>
      </c>
      <c r="F18" s="5" t="s">
        <v>49</v>
      </c>
      <c r="G18" s="5">
        <v>29</v>
      </c>
      <c r="H18" s="5"/>
      <c r="I18" s="5"/>
      <c r="J18" s="17">
        <v>-1.026E-3</v>
      </c>
      <c r="K18" s="10">
        <v>44236</v>
      </c>
      <c r="L18" s="5"/>
      <c r="M18" s="5">
        <v>17.226833333333335</v>
      </c>
      <c r="N18" s="5"/>
      <c r="O18" s="5">
        <v>5.942333333333333</v>
      </c>
      <c r="P18" s="5">
        <v>21.318166666666666</v>
      </c>
      <c r="Q18" s="5">
        <v>1.4624940645659938E-3</v>
      </c>
      <c r="R18" s="5"/>
      <c r="S18" s="5">
        <v>1.4907119849999603E-3</v>
      </c>
      <c r="T18" s="5">
        <v>2.5183769023367202E-3</v>
      </c>
      <c r="U18" s="5">
        <v>1017</v>
      </c>
      <c r="V18" s="5">
        <v>1</v>
      </c>
      <c r="W18" s="5">
        <v>21</v>
      </c>
      <c r="Y18" s="5">
        <f t="shared" ref="Y18" si="38">EXP(52.57-(6690.9/(P18+273.15))-4.681*LN(P18+273.15))</f>
        <v>25.425034415250082</v>
      </c>
      <c r="Z18" s="5">
        <f t="shared" ref="Z18" si="39">Y18*V18</f>
        <v>25.425034415250082</v>
      </c>
      <c r="AA18" s="5">
        <f t="shared" ref="AA18" si="40">LN((298.15-P18)/(273.15+P18))</f>
        <v>-6.1760682488592331E-2</v>
      </c>
      <c r="AB18" s="5">
        <f t="shared" ref="AB18" si="41">EXP(5.80818 + 3.20684*AA18 + 4.1189*AA18^2 + 4.93845*AA18^3 + 1.01567*AA18^4 + 1.41575*AA18^5)</f>
        <v>277.18483045673997</v>
      </c>
      <c r="AC18" s="5">
        <f t="shared" ref="AC18" si="42">(999.84847+0.06337563*P18-0.008523829*P18^2+0.00006943248*P18^3-0.0000003821216*P18^4)/1000</f>
        <v>0.99791951009417146</v>
      </c>
      <c r="AD18" s="5">
        <f t="shared" ref="AD18" si="43">AB18*AC18</f>
        <v>276.60815021492596</v>
      </c>
      <c r="AE18" s="5">
        <f t="shared" ref="AE18" si="44">O18*44.6596</f>
        <v>265.3822297333333</v>
      </c>
      <c r="AF18" s="19">
        <f t="shared" ref="AF18:AF23" si="45">(AD18*(U18-Z18))/((1013.25-Y18))/AE18</f>
        <v>1.046257752964405</v>
      </c>
      <c r="AG18">
        <v>2</v>
      </c>
      <c r="AH18" s="33">
        <v>1.046257752964405</v>
      </c>
      <c r="AJ18" s="33">
        <v>1.046257752964405</v>
      </c>
    </row>
    <row r="19" spans="1:39" ht="21.95" customHeight="1">
      <c r="A19" s="40">
        <v>22602901</v>
      </c>
      <c r="B19" s="5" t="s">
        <v>79</v>
      </c>
      <c r="C19" s="10">
        <v>44719</v>
      </c>
      <c r="D19" s="10"/>
      <c r="E19" s="5">
        <v>930</v>
      </c>
      <c r="F19" s="5" t="s">
        <v>59</v>
      </c>
      <c r="G19" s="5">
        <v>29</v>
      </c>
      <c r="H19" s="5"/>
      <c r="I19" s="5"/>
      <c r="J19" s="5"/>
      <c r="K19" s="5"/>
      <c r="L19" s="5"/>
      <c r="M19" s="20">
        <v>17.5227</v>
      </c>
      <c r="N19" s="20">
        <v>17.061780000000002</v>
      </c>
      <c r="O19" s="20">
        <v>6.3629999999999995</v>
      </c>
      <c r="P19" s="20">
        <v>17.061780000000002</v>
      </c>
      <c r="Q19" s="20">
        <v>2.5709920264362584E-3</v>
      </c>
      <c r="R19" s="20">
        <v>5.7986205256080016E-3</v>
      </c>
      <c r="S19" s="20">
        <v>1.897366596101006E-3</v>
      </c>
      <c r="T19" s="20">
        <v>5.5010544443772035E-3</v>
      </c>
      <c r="U19" s="20">
        <v>1019.5</v>
      </c>
      <c r="V19" s="5">
        <v>1</v>
      </c>
      <c r="W19" s="20">
        <v>18.649999999999999</v>
      </c>
      <c r="Y19" s="5">
        <f t="shared" ref="Y19:Y20" si="46">EXP(52.57-(6690.9/(P19+273.15))-4.681*LN(P19+273.15))</f>
        <v>19.50435823681525</v>
      </c>
      <c r="Z19" s="5">
        <f t="shared" ref="Z19:Z20" si="47">Y19*V19</f>
        <v>19.50435823681525</v>
      </c>
      <c r="AA19" s="5">
        <f t="shared" ref="AA19:AA20" si="48">LN((298.15-P19)/(273.15+P19))</f>
        <v>-3.1942362081282649E-2</v>
      </c>
      <c r="AB19" s="5">
        <f t="shared" ref="AB19:AB20" si="49">EXP(5.80818 + 3.20684*AA19 + 4.1189*AA19^2 + 4.93845*AA19^3 + 1.01567*AA19^4 + 1.41575*AA19^5)</f>
        <v>301.80725614911069</v>
      </c>
      <c r="AC19" s="5">
        <f t="shared" ref="AC19:AC20" si="50">(999.84847+0.06337563*P19-0.008523829*P19^2+0.00006943248*P19^3-0.0000003821216*P19^4)/1000</f>
        <v>0.99876092015731122</v>
      </c>
      <c r="AD19" s="5">
        <f t="shared" ref="AD19:AD20" si="51">AB19*AC19</f>
        <v>301.43329286163913</v>
      </c>
      <c r="AE19" s="5">
        <f t="shared" ref="AE19:AE20" si="52">O19*44.6596</f>
        <v>284.16903479999996</v>
      </c>
      <c r="AF19" s="19">
        <f t="shared" si="45"/>
        <v>1.0674249158176019</v>
      </c>
      <c r="AG19">
        <v>2</v>
      </c>
      <c r="AH19" s="33">
        <v>1.0674249158176019</v>
      </c>
      <c r="AJ19" s="33">
        <v>1.0674249158176019</v>
      </c>
    </row>
    <row r="20" spans="1:39" ht="21.95" customHeight="1">
      <c r="A20" s="40">
        <v>22902901</v>
      </c>
      <c r="B20" s="5" t="s">
        <v>79</v>
      </c>
      <c r="C20" s="10">
        <v>44805</v>
      </c>
      <c r="D20" s="10"/>
      <c r="E20" s="5">
        <v>1405</v>
      </c>
      <c r="F20" s="5" t="s">
        <v>59</v>
      </c>
      <c r="G20" s="5">
        <v>29</v>
      </c>
      <c r="H20" s="5"/>
      <c r="I20" s="5"/>
      <c r="J20" s="71">
        <v>-1.0296000000000001E-3</v>
      </c>
      <c r="K20" s="10">
        <v>44805</v>
      </c>
      <c r="L20" s="72">
        <v>-1.4053</v>
      </c>
      <c r="M20" s="5">
        <v>16.856583333333333</v>
      </c>
      <c r="N20" s="5"/>
      <c r="O20" s="5">
        <v>6.0006428571428572</v>
      </c>
      <c r="P20" s="5">
        <v>21.423989285714285</v>
      </c>
      <c r="Q20" s="5">
        <v>5.0230295203306154E-3</v>
      </c>
      <c r="R20" s="5"/>
      <c r="S20" s="5">
        <v>4.4175291624911697E-3</v>
      </c>
      <c r="T20" s="5">
        <v>5.0169061584323573E-4</v>
      </c>
      <c r="U20" s="20">
        <v>1014</v>
      </c>
      <c r="V20" s="5">
        <v>1</v>
      </c>
      <c r="W20" s="5">
        <v>22</v>
      </c>
      <c r="Y20" s="5">
        <f t="shared" si="46"/>
        <v>25.590342307429104</v>
      </c>
      <c r="Z20" s="5">
        <f t="shared" si="47"/>
        <v>25.590342307429104</v>
      </c>
      <c r="AA20" s="5">
        <f t="shared" si="48"/>
        <v>-6.2502322821201231E-2</v>
      </c>
      <c r="AB20" s="5">
        <f t="shared" si="49"/>
        <v>276.61981080563851</v>
      </c>
      <c r="AC20" s="5">
        <f t="shared" si="50"/>
        <v>0.99789615124218289</v>
      </c>
      <c r="AD20" s="5">
        <f t="shared" si="51"/>
        <v>276.03784456028745</v>
      </c>
      <c r="AE20" s="5">
        <f t="shared" si="52"/>
        <v>267.98630974285715</v>
      </c>
      <c r="AF20" s="19">
        <f t="shared" si="45"/>
        <v>1.0308267610048178</v>
      </c>
      <c r="AG20">
        <v>4</v>
      </c>
      <c r="AH20" s="33"/>
      <c r="AI20" t="s">
        <v>95</v>
      </c>
      <c r="AJ20" s="33">
        <v>1.06742</v>
      </c>
    </row>
    <row r="21" spans="1:39" ht="21.95" customHeight="1">
      <c r="A21" s="40">
        <v>23202901</v>
      </c>
      <c r="B21" s="5" t="s">
        <v>79</v>
      </c>
      <c r="C21" s="10">
        <v>44970</v>
      </c>
      <c r="D21" s="5"/>
      <c r="E21" s="5">
        <v>1240</v>
      </c>
      <c r="F21" s="5" t="s">
        <v>32</v>
      </c>
      <c r="G21" s="5">
        <v>29</v>
      </c>
      <c r="H21" s="5"/>
      <c r="I21" s="5"/>
      <c r="J21" s="5"/>
      <c r="K21" s="5"/>
      <c r="L21" s="5"/>
      <c r="M21" s="5">
        <v>17.4801</v>
      </c>
      <c r="N21" s="5">
        <v>231.83333333333334</v>
      </c>
      <c r="O21" s="5">
        <v>6.1717999999999993</v>
      </c>
      <c r="P21" s="5">
        <v>18.09552</v>
      </c>
      <c r="Q21" s="5">
        <v>3.5902646142025995E-3</v>
      </c>
      <c r="R21" s="5">
        <v>112.92868245602769</v>
      </c>
      <c r="S21" s="5">
        <v>2.5219040425836603E-3</v>
      </c>
      <c r="T21" s="5">
        <v>9.5973746410154825E-3</v>
      </c>
      <c r="U21" s="74">
        <v>1014</v>
      </c>
      <c r="V21" s="75">
        <v>1</v>
      </c>
      <c r="W21" s="74">
        <v>18.399999999999999</v>
      </c>
      <c r="Y21" s="5">
        <f t="shared" ref="Y21" si="53">EXP(52.57-(6690.9/(P21+273.15))-4.681*LN(P21+273.15))</f>
        <v>20.818155200484785</v>
      </c>
      <c r="Z21" s="5">
        <f t="shared" ref="Z21" si="54">Y21*V21</f>
        <v>20.818155200484785</v>
      </c>
      <c r="AA21" s="5">
        <f t="shared" ref="AA21" si="55">LN((298.15-P21)/(273.15+P21))</f>
        <v>-3.918246711610212E-2</v>
      </c>
      <c r="AB21" s="5">
        <f t="shared" ref="AB21" si="56">EXP(5.80818 + 3.20684*AA21 + 4.1189*AA21^2 + 4.93845*AA21^3 + 1.01567*AA21^4 + 1.41575*AA21^5)</f>
        <v>295.46692199183735</v>
      </c>
      <c r="AC21" s="5">
        <f t="shared" ref="AC21" si="57">(999.84847+0.06337563*P21-0.008523829*P21^2+0.00006943248*P21^3-0.0000003821216*P21^4)/1000</f>
        <v>0.99857461465649022</v>
      </c>
      <c r="AD21" s="5">
        <f t="shared" ref="AD21" si="58">AB21*AC21</f>
        <v>295.04576777173827</v>
      </c>
      <c r="AE21" s="5">
        <f t="shared" ref="AE21" si="59">O21*44.6596</f>
        <v>275.63011927999997</v>
      </c>
      <c r="AF21" s="19">
        <f t="shared" si="45"/>
        <v>1.0712499067741175</v>
      </c>
      <c r="AG21">
        <v>2</v>
      </c>
      <c r="AH21" s="33"/>
      <c r="AJ21" s="33">
        <v>1.0712499067741175</v>
      </c>
    </row>
    <row r="22" spans="1:39" ht="21.95" customHeight="1">
      <c r="A22" s="40">
        <v>23202901</v>
      </c>
      <c r="B22" s="5" t="s">
        <v>44</v>
      </c>
      <c r="C22" s="10">
        <v>44987</v>
      </c>
      <c r="D22" s="5"/>
      <c r="E22" s="5"/>
      <c r="F22" s="5" t="s">
        <v>34</v>
      </c>
      <c r="G22" s="5">
        <v>29</v>
      </c>
      <c r="H22" s="5"/>
      <c r="I22" s="5"/>
      <c r="J22" s="5"/>
      <c r="K22" s="5"/>
      <c r="L22" s="5"/>
      <c r="M22" s="5">
        <v>17.446750000000002</v>
      </c>
      <c r="N22" s="5">
        <v>233</v>
      </c>
      <c r="O22" s="5">
        <v>6.2095000000000002</v>
      </c>
      <c r="P22" s="5">
        <v>18.049274999999998</v>
      </c>
      <c r="Q22" s="5">
        <v>2.6809513236913211E-3</v>
      </c>
      <c r="R22" s="5">
        <v>103.95800541410944</v>
      </c>
      <c r="S22" s="5">
        <v>1.2247448713914996E-3</v>
      </c>
      <c r="T22" s="5">
        <v>1.1972233500897036E-2</v>
      </c>
      <c r="U22" s="5">
        <v>1020</v>
      </c>
      <c r="V22" s="5">
        <v>1</v>
      </c>
      <c r="W22" s="5">
        <v>18.7</v>
      </c>
      <c r="Y22" s="5">
        <f t="shared" ref="Y22" si="60">EXP(52.57-(6690.9/(P22+273.15))-4.681*LN(P22+273.15))</f>
        <v>20.757765122295993</v>
      </c>
      <c r="Z22" s="5">
        <f t="shared" ref="Z22" si="61">Y22*V22</f>
        <v>20.757765122295993</v>
      </c>
      <c r="AA22" s="5">
        <f t="shared" ref="AA22" si="62">LN((298.15-P22)/(273.15+P22))</f>
        <v>-3.8858555997616985E-2</v>
      </c>
      <c r="AB22" s="5">
        <f t="shared" ref="AB22" si="63">EXP(5.80818 + 3.20684*AA22 + 4.1189*AA22^2 + 4.93845*AA22^3 + 1.01567*AA22^4 + 1.41575*AA22^5)</f>
        <v>295.74533743024318</v>
      </c>
      <c r="AC22" s="5">
        <f t="shared" ref="AC22" si="64">(999.84847+0.06337563*P22-0.008523829*P22^2+0.00006943248*P22^3-0.0000003821216*P22^4)/1000</f>
        <v>0.99858320263857492</v>
      </c>
      <c r="AD22" s="5">
        <f t="shared" ref="AD22" si="65">AB22*AC22</f>
        <v>295.32632621651823</v>
      </c>
      <c r="AE22" s="5">
        <f t="shared" ref="AE22" si="66">O22*44.6596</f>
        <v>277.31378619999998</v>
      </c>
      <c r="AF22" s="19">
        <f t="shared" si="45"/>
        <v>1.0721964550753316</v>
      </c>
      <c r="AG22">
        <v>2</v>
      </c>
      <c r="AH22" s="33"/>
      <c r="AJ22" s="33">
        <v>1.0721964550753316</v>
      </c>
    </row>
    <row r="23" spans="1:39" ht="21.95" customHeight="1">
      <c r="A23" s="76">
        <v>23702901</v>
      </c>
      <c r="B23" s="24" t="s">
        <v>35</v>
      </c>
      <c r="C23" s="10">
        <v>45112</v>
      </c>
      <c r="D23" s="5"/>
      <c r="E23" s="5"/>
      <c r="F23" s="5" t="s">
        <v>34</v>
      </c>
      <c r="G23" s="5">
        <v>29</v>
      </c>
      <c r="H23" s="5"/>
      <c r="I23" s="5"/>
      <c r="J23" s="5"/>
      <c r="K23" s="5"/>
      <c r="L23" s="5"/>
      <c r="M23" s="5">
        <v>17.465777777777774</v>
      </c>
      <c r="N23" s="5">
        <v>234.66666666666666</v>
      </c>
      <c r="O23" s="5">
        <v>6.1154444444444449</v>
      </c>
      <c r="P23" s="5">
        <v>18.414344444444442</v>
      </c>
      <c r="Q23" s="5">
        <v>3.0102704853654282E-3</v>
      </c>
      <c r="R23" s="5">
        <v>111.42663604080485</v>
      </c>
      <c r="S23" s="5">
        <v>2.2166597048067097E-3</v>
      </c>
      <c r="T23" s="5">
        <v>2.5020485434096231E-3</v>
      </c>
      <c r="U23" s="20">
        <v>1023</v>
      </c>
      <c r="V23" s="73">
        <v>1</v>
      </c>
      <c r="W23" s="20">
        <v>20.9</v>
      </c>
      <c r="Y23" s="5">
        <f t="shared" ref="Y23" si="67">EXP(52.57-(6690.9/(P23+273.15))-4.681*LN(P23+273.15))</f>
        <v>21.238706991082449</v>
      </c>
      <c r="Z23" s="5">
        <f t="shared" ref="Z23" si="68">Y23*V23</f>
        <v>21.238706991082449</v>
      </c>
      <c r="AA23" s="5">
        <f t="shared" ref="AA23" si="69">LN((298.15-P23)/(273.15+P23))</f>
        <v>-4.1415647153929147E-2</v>
      </c>
      <c r="AB23" s="5">
        <f t="shared" ref="AB23" si="70">EXP(5.80818 + 3.20684*AA23 + 4.1189*AA23^2 + 4.93845*AA23^3 + 1.01567*AA23^4 + 1.41575*AA23^5)</f>
        <v>293.56045842385475</v>
      </c>
      <c r="AC23" s="5">
        <f t="shared" ref="AC23" si="71">(999.84847+0.06337563*P23-0.008523829*P23^2+0.00006943248*P23^3-0.0000003821216*P23^4)/1000</f>
        <v>0.99851476752766077</v>
      </c>
      <c r="AD23" s="5">
        <f t="shared" ref="AD23" si="72">AB23*AC23</f>
        <v>293.12445289840883</v>
      </c>
      <c r="AE23" s="5">
        <f t="shared" ref="AE23" si="73">O23*44.6596</f>
        <v>273.11330271111109</v>
      </c>
      <c r="AF23" s="19">
        <f t="shared" si="45"/>
        <v>1.0838191646857918</v>
      </c>
      <c r="AG23">
        <v>2</v>
      </c>
      <c r="AH23" s="33"/>
      <c r="AJ23" s="34">
        <v>1.08381916468579</v>
      </c>
    </row>
    <row r="24" spans="1:39" ht="21.95" customHeight="1">
      <c r="A24" s="40" t="s">
        <v>97</v>
      </c>
      <c r="B24" s="24" t="s">
        <v>35</v>
      </c>
      <c r="C24" s="10">
        <v>45265</v>
      </c>
      <c r="D24" s="5"/>
      <c r="E24" s="11">
        <v>0.4375</v>
      </c>
      <c r="F24" s="5" t="s">
        <v>59</v>
      </c>
      <c r="G24" s="5">
        <v>29</v>
      </c>
      <c r="H24" s="5"/>
      <c r="I24" s="5"/>
      <c r="J24" s="5"/>
      <c r="K24" s="5"/>
      <c r="L24" s="5"/>
      <c r="M24" s="93">
        <v>17.4328</v>
      </c>
      <c r="N24" s="94">
        <v>236.33330000000001</v>
      </c>
      <c r="O24" s="94">
        <v>6.1566000000000001</v>
      </c>
      <c r="P24" s="94">
        <v>18.349799999999998</v>
      </c>
      <c r="Q24" s="5">
        <v>2.5612496949732181E-3</v>
      </c>
      <c r="R24" s="5">
        <v>115.13600263409069</v>
      </c>
      <c r="S24" s="5">
        <v>1.7435595774162608E-3</v>
      </c>
      <c r="T24" s="5">
        <v>9.5890562622189257E-3</v>
      </c>
      <c r="U24" s="20">
        <v>1021</v>
      </c>
      <c r="V24" s="73">
        <v>1</v>
      </c>
      <c r="W24" s="20">
        <v>18.3</v>
      </c>
      <c r="Y24" s="5">
        <f t="shared" ref="Y24" si="74">EXP(52.57-(6690.9/(P24+273.15))-4.681*LN(P24+273.15))</f>
        <v>21.1529722529705</v>
      </c>
      <c r="Z24" s="5">
        <f t="shared" ref="Z24" si="75">Y24*V24</f>
        <v>21.1529722529705</v>
      </c>
      <c r="AA24" s="5">
        <f t="shared" ref="AA24" si="76">LN((298.15-P24)/(273.15+P24))</f>
        <v>-4.0963542656556974E-2</v>
      </c>
      <c r="AB24" s="5">
        <f t="shared" ref="AB24" si="77">EXP(5.80818 + 3.20684*AA24 + 4.1189*AA24^2 + 4.93845*AA24^3 + 1.01567*AA24^4 + 1.41575*AA24^5)</f>
        <v>293.94458893585232</v>
      </c>
      <c r="AC24" s="5">
        <f t="shared" ref="AC24" si="78">(999.84847+0.06337563*P24-0.008523829*P24^2+0.00006943248*P24^3-0.0000003821216*P24^4)/1000</f>
        <v>0.99852697324930673</v>
      </c>
      <c r="AD24" s="5">
        <f t="shared" ref="AD24" si="79">AB24*AC24</f>
        <v>293.51160069312829</v>
      </c>
      <c r="AE24" s="5">
        <f t="shared" ref="AE24" si="80">O24*44.6596</f>
        <v>274.95129335999997</v>
      </c>
      <c r="AF24" s="19">
        <f t="shared" ref="AF24" si="81">(AD24*(U24-Z24))/((1013.25-Y24))/AE24</f>
        <v>1.0758430418565526</v>
      </c>
      <c r="AG24">
        <v>2</v>
      </c>
      <c r="AH24" s="33"/>
      <c r="AJ24" s="33">
        <v>1.0758430418565526</v>
      </c>
    </row>
    <row r="25" spans="1:39" ht="21.95" customHeight="1">
      <c r="A25" s="76">
        <v>24802901</v>
      </c>
      <c r="B25" s="24" t="s">
        <v>35</v>
      </c>
      <c r="C25" s="63">
        <v>45511</v>
      </c>
      <c r="E25" s="95">
        <v>0.45833333333333331</v>
      </c>
      <c r="F25" s="73" t="s">
        <v>100</v>
      </c>
      <c r="G25" s="73">
        <v>29</v>
      </c>
      <c r="M25" s="20">
        <v>17.429400000000001</v>
      </c>
      <c r="N25" s="20">
        <v>19.077500000000001</v>
      </c>
      <c r="O25" s="20">
        <v>6.0061999999999998</v>
      </c>
      <c r="P25" s="20">
        <v>19.199290000000001</v>
      </c>
      <c r="Q25" s="20">
        <v>2.9888682361947101E-3</v>
      </c>
      <c r="R25" s="20">
        <v>1.1642832797722101E-3</v>
      </c>
      <c r="S25" s="20">
        <v>2.2509257354845899E-3</v>
      </c>
      <c r="T25" s="20">
        <v>5.4929146280561199E-3</v>
      </c>
      <c r="U25" s="20">
        <v>1016</v>
      </c>
      <c r="V25" s="20">
        <v>1</v>
      </c>
      <c r="W25" s="20">
        <v>19.899999999999999</v>
      </c>
      <c r="Y25" s="52">
        <v>22.305990897114999</v>
      </c>
      <c r="Z25" s="20">
        <v>22.305990897114999</v>
      </c>
      <c r="AA25" s="20">
        <v>-4.69141864755643E-2</v>
      </c>
      <c r="AB25" s="20">
        <v>288.96161019742698</v>
      </c>
      <c r="AC25" s="20">
        <v>0.99836270506057601</v>
      </c>
      <c r="AD25" s="20">
        <v>288.48849481536303</v>
      </c>
      <c r="AE25" s="20">
        <v>268.23448952000001</v>
      </c>
      <c r="AF25" s="20">
        <v>1.0784932573789701</v>
      </c>
      <c r="AH25" s="33">
        <v>1.0785</v>
      </c>
      <c r="AJ25" s="33">
        <v>1.0785</v>
      </c>
    </row>
    <row r="26" spans="1:39">
      <c r="A26" s="76">
        <v>25202901</v>
      </c>
      <c r="B26" s="24" t="s">
        <v>35</v>
      </c>
      <c r="C26" s="63">
        <v>45692</v>
      </c>
      <c r="E26" s="95">
        <v>0.39583333333333331</v>
      </c>
      <c r="F26" s="73" t="s">
        <v>100</v>
      </c>
      <c r="G26" s="73">
        <v>29</v>
      </c>
      <c r="M26" s="20">
        <v>17.908000000000001</v>
      </c>
      <c r="N26" s="20">
        <v>15.42756</v>
      </c>
      <c r="O26" s="20">
        <v>6.4073000000000002</v>
      </c>
      <c r="P26" s="20">
        <v>16.640170000000001</v>
      </c>
      <c r="Q26" s="20">
        <v>2.3094010767580799E-3</v>
      </c>
      <c r="R26" s="20">
        <v>3.9178225244810797E-3</v>
      </c>
      <c r="S26" s="20">
        <v>2.5841396591084701E-3</v>
      </c>
      <c r="T26" s="20">
        <v>9.1301758532410307E-3</v>
      </c>
      <c r="U26" s="20">
        <v>1007</v>
      </c>
      <c r="V26" s="20">
        <v>1</v>
      </c>
      <c r="W26" s="20">
        <v>17.8</v>
      </c>
      <c r="Y26" s="52">
        <v>18.989775118623001</v>
      </c>
      <c r="Z26" s="20">
        <v>18.989775118623001</v>
      </c>
      <c r="AA26" s="20">
        <v>-2.8989742325396702E-2</v>
      </c>
      <c r="AB26" s="20">
        <v>304.46509553705903</v>
      </c>
      <c r="AC26" s="20">
        <v>0.99883346178613097</v>
      </c>
      <c r="AD26" s="20">
        <v>304.10992536832498</v>
      </c>
      <c r="AE26" s="20">
        <v>286.14745507999999</v>
      </c>
      <c r="AF26" s="20">
        <v>1.0560927957737201</v>
      </c>
      <c r="AH26" s="33">
        <v>1.056</v>
      </c>
      <c r="AJ26" s="33">
        <v>1.056</v>
      </c>
    </row>
    <row r="27" spans="1:39">
      <c r="C27" s="63">
        <v>46223</v>
      </c>
      <c r="E27" s="95">
        <v>0.1875</v>
      </c>
      <c r="F27" s="73" t="s">
        <v>104</v>
      </c>
      <c r="G27" s="73">
        <v>29</v>
      </c>
      <c r="M27" s="20">
        <v>16.995699999999999</v>
      </c>
      <c r="N27" s="20">
        <v>22.479399999999998</v>
      </c>
      <c r="O27" s="20">
        <v>5.6835000000000004</v>
      </c>
      <c r="P27" s="20">
        <v>19.7803</v>
      </c>
      <c r="Q27" s="20">
        <v>3.56058671819369E-3</v>
      </c>
      <c r="R27" s="20">
        <v>1.5996874694764001E-2</v>
      </c>
      <c r="S27" s="20">
        <v>3.5039660069380802E-3</v>
      </c>
      <c r="T27" s="20">
        <v>7.11633488688006E-3</v>
      </c>
      <c r="U27" s="77">
        <v>1014</v>
      </c>
      <c r="V27" s="77">
        <v>1</v>
      </c>
      <c r="W27" s="77">
        <v>20.100000000000001</v>
      </c>
      <c r="Y27" s="20">
        <v>23.1259632207103</v>
      </c>
      <c r="Z27" s="20">
        <v>23.1259632207103</v>
      </c>
      <c r="AA27" s="20">
        <v>-5.0984610428867802E-2</v>
      </c>
      <c r="AB27" s="20">
        <v>285.64197298285598</v>
      </c>
      <c r="AC27" s="20">
        <v>0.99824588143017501</v>
      </c>
      <c r="AD27" s="20">
        <v>285.14092309372597</v>
      </c>
      <c r="AE27" s="20">
        <v>253.82283659999999</v>
      </c>
      <c r="AF27" s="20">
        <v>1.1242365569063599</v>
      </c>
      <c r="AH27" s="34">
        <v>1.1242000000000001</v>
      </c>
      <c r="AI27" s="32"/>
      <c r="AJ27" s="97">
        <v>1.1242000000000001</v>
      </c>
      <c r="AK27" s="46"/>
      <c r="AL27" s="33"/>
      <c r="AM27" s="20"/>
    </row>
    <row r="28" spans="1:39">
      <c r="AI28" s="56"/>
      <c r="AJ28" s="10"/>
      <c r="AK28" s="46"/>
      <c r="AL28" s="33"/>
      <c r="AM28" s="20"/>
    </row>
    <row r="29" spans="1:39">
      <c r="AI29" s="56"/>
      <c r="AJ29" s="10"/>
      <c r="AK29" s="46"/>
      <c r="AL29" s="33"/>
      <c r="AM29" s="20"/>
    </row>
    <row r="30" spans="1:39">
      <c r="AI30" s="56"/>
      <c r="AJ30" s="10"/>
      <c r="AK30" s="46"/>
      <c r="AL30" s="33"/>
      <c r="AM30" s="20"/>
    </row>
    <row r="31" spans="1:39">
      <c r="AI31" s="56"/>
      <c r="AJ31" s="10"/>
      <c r="AK31" s="46"/>
      <c r="AL31" s="33"/>
      <c r="AM31" s="20"/>
    </row>
    <row r="32" spans="1:39">
      <c r="AI32" s="56"/>
      <c r="AJ32" s="10"/>
      <c r="AK32" s="62"/>
      <c r="AL32" s="33"/>
      <c r="AM32" s="20"/>
    </row>
    <row r="33" spans="35:39">
      <c r="AI33" s="56"/>
      <c r="AJ33" s="50"/>
      <c r="AL33" s="54"/>
      <c r="AM33" s="20"/>
    </row>
    <row r="34" spans="35:39">
      <c r="AI34" s="32"/>
      <c r="AJ34" s="50"/>
      <c r="AK34" s="32"/>
      <c r="AL34" s="54"/>
      <c r="AM34" s="20"/>
    </row>
    <row r="35" spans="35:39">
      <c r="AI35" s="32"/>
      <c r="AJ35" s="10"/>
      <c r="AK35" s="32"/>
      <c r="AL35" s="33"/>
      <c r="AM35" s="20"/>
    </row>
    <row r="36" spans="35:39">
      <c r="AI36" s="32"/>
      <c r="AJ36" s="32"/>
      <c r="AK36" s="32"/>
      <c r="AL36" s="32"/>
    </row>
    <row r="37" spans="35:39">
      <c r="AI37" s="32"/>
      <c r="AJ37" s="32"/>
      <c r="AK37" s="32"/>
      <c r="AL37" s="32"/>
    </row>
  </sheetData>
  <mergeCells count="1">
    <mergeCell ref="D1:M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8"/>
  <sheetViews>
    <sheetView topLeftCell="E2" zoomScale="61" zoomScaleNormal="60" workbookViewId="0">
      <selection activeCell="AF26" sqref="AF26"/>
    </sheetView>
  </sheetViews>
  <sheetFormatPr defaultColWidth="8.85546875" defaultRowHeight="15"/>
  <cols>
    <col min="1" max="1" width="15.7109375" customWidth="1"/>
    <col min="2" max="2" width="16.42578125" customWidth="1"/>
    <col min="3" max="3" width="13.7109375" customWidth="1"/>
    <col min="4" max="4" width="9" customWidth="1"/>
    <col min="5" max="5" width="8.85546875" customWidth="1"/>
    <col min="6" max="6" width="9" customWidth="1"/>
    <col min="7" max="7" width="8.85546875" customWidth="1"/>
    <col min="8" max="8" width="9" customWidth="1"/>
    <col min="9" max="9" width="10.140625" customWidth="1"/>
    <col min="10" max="10" width="9.85546875" customWidth="1"/>
    <col min="11" max="12" width="9" customWidth="1"/>
    <col min="13" max="13" width="8.85546875" customWidth="1"/>
    <col min="14" max="16" width="9" customWidth="1"/>
    <col min="17" max="17" width="8.85546875" customWidth="1"/>
    <col min="18" max="19" width="9" customWidth="1"/>
    <col min="20" max="20" width="12.42578125" customWidth="1"/>
    <col min="21" max="22" width="9" customWidth="1"/>
    <col min="23" max="23" width="1.42578125" customWidth="1"/>
    <col min="24" max="30" width="9" customWidth="1"/>
    <col min="31" max="31" width="10.42578125" customWidth="1"/>
    <col min="32" max="35" width="10.42578125" style="43" customWidth="1"/>
    <col min="36" max="36" width="2.42578125" style="36" customWidth="1"/>
    <col min="37" max="38" width="8.85546875" style="32"/>
    <col min="39" max="39" width="9.28515625" style="32" customWidth="1"/>
    <col min="40" max="43" width="8.85546875" style="32"/>
    <col min="44" max="44" width="10.42578125" style="32" customWidth="1"/>
    <col min="45" max="16384" width="8.85546875" style="32"/>
  </cols>
  <sheetData>
    <row r="1" spans="1:66" customFormat="1" ht="30.95" customHeight="1">
      <c r="A1" t="s">
        <v>2</v>
      </c>
      <c r="C1" s="96" t="s">
        <v>98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W1" s="4"/>
      <c r="AF1" s="43"/>
      <c r="AG1" s="43"/>
      <c r="AH1" s="43"/>
      <c r="AI1" s="43"/>
      <c r="AJ1" s="4"/>
      <c r="AT1" s="20"/>
      <c r="AV1" s="20"/>
      <c r="AW1" s="20"/>
      <c r="AX1" s="20"/>
      <c r="AY1" s="20"/>
      <c r="AZ1" s="20"/>
      <c r="BG1" s="32"/>
      <c r="BH1" s="32"/>
      <c r="BI1" s="32"/>
      <c r="BJ1" s="32"/>
      <c r="BK1" s="32"/>
      <c r="BL1" s="32"/>
      <c r="BM1" s="32"/>
      <c r="BN1" s="32"/>
    </row>
    <row r="2" spans="1:66" customFormat="1" ht="30" customHeight="1"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W2" s="4"/>
      <c r="AF2" s="43"/>
      <c r="AG2" s="43"/>
      <c r="AH2" s="43"/>
      <c r="AI2" s="43"/>
      <c r="AJ2" s="4"/>
      <c r="AK2" t="s">
        <v>67</v>
      </c>
      <c r="AL2" s="20"/>
      <c r="AN2" s="20"/>
      <c r="AO2" s="20"/>
      <c r="AP2" s="20"/>
      <c r="AQ2" s="20"/>
      <c r="AR2" s="20"/>
      <c r="AY2" s="32"/>
      <c r="AZ2" s="32"/>
      <c r="BA2" s="32"/>
      <c r="BB2" s="32"/>
      <c r="BC2" s="32"/>
      <c r="BD2" s="32"/>
      <c r="BE2" s="32"/>
      <c r="BF2" s="32"/>
    </row>
    <row r="3" spans="1:66" customFormat="1" ht="20.100000000000001" customHeight="1">
      <c r="L3" s="1" t="s">
        <v>6</v>
      </c>
      <c r="M3" s="1"/>
      <c r="N3" s="1"/>
      <c r="O3" s="1"/>
      <c r="P3" s="2" t="s">
        <v>11</v>
      </c>
      <c r="Q3" s="2"/>
      <c r="R3" s="2"/>
      <c r="S3" s="2"/>
      <c r="T3" s="3" t="s">
        <v>12</v>
      </c>
      <c r="U3" s="3"/>
      <c r="V3" s="3"/>
      <c r="W3" s="4"/>
      <c r="X3" t="s">
        <v>15</v>
      </c>
      <c r="AF3" s="43"/>
      <c r="AG3" s="43"/>
      <c r="AH3" s="43"/>
      <c r="AI3" s="43"/>
      <c r="AJ3" s="4"/>
      <c r="AK3" s="32"/>
      <c r="AL3" s="32"/>
      <c r="AN3" s="20"/>
      <c r="AO3" s="20"/>
      <c r="AP3" s="20"/>
      <c r="AQ3" s="20"/>
      <c r="AR3" s="20"/>
      <c r="AY3" s="32"/>
      <c r="AZ3" s="32"/>
      <c r="BA3" s="32"/>
      <c r="BB3" s="32"/>
      <c r="BC3" s="32"/>
      <c r="BD3" s="32"/>
      <c r="BE3" s="32"/>
      <c r="BF3" s="32"/>
    </row>
    <row r="4" spans="1:66" s="92" customFormat="1" ht="61.5">
      <c r="A4" s="5" t="s">
        <v>3</v>
      </c>
      <c r="B4" s="5" t="s">
        <v>4</v>
      </c>
      <c r="C4" s="5" t="s">
        <v>0</v>
      </c>
      <c r="D4" s="5" t="s">
        <v>1</v>
      </c>
      <c r="E4" s="5" t="s">
        <v>5</v>
      </c>
      <c r="F4" s="5" t="s">
        <v>29</v>
      </c>
      <c r="G4" s="5" t="s">
        <v>30</v>
      </c>
      <c r="H4" s="5" t="s">
        <v>40</v>
      </c>
      <c r="I4" s="12" t="s">
        <v>41</v>
      </c>
      <c r="J4" s="12" t="s">
        <v>38</v>
      </c>
      <c r="K4" s="12" t="s">
        <v>37</v>
      </c>
      <c r="L4" s="6" t="s">
        <v>7</v>
      </c>
      <c r="M4" s="6" t="s">
        <v>8</v>
      </c>
      <c r="N4" s="6" t="s">
        <v>9</v>
      </c>
      <c r="O4" s="6" t="s">
        <v>10</v>
      </c>
      <c r="P4" s="7" t="s">
        <v>7</v>
      </c>
      <c r="Q4" s="7" t="s">
        <v>8</v>
      </c>
      <c r="R4" s="7" t="s">
        <v>9</v>
      </c>
      <c r="S4" s="7" t="s">
        <v>10</v>
      </c>
      <c r="T4" s="8" t="s">
        <v>17</v>
      </c>
      <c r="U4" s="8" t="s">
        <v>18</v>
      </c>
      <c r="V4" s="9" t="s">
        <v>13</v>
      </c>
      <c r="W4" s="90"/>
      <c r="X4" s="12" t="s">
        <v>19</v>
      </c>
      <c r="Y4" s="5" t="s">
        <v>20</v>
      </c>
      <c r="Z4" s="5" t="s">
        <v>26</v>
      </c>
      <c r="AA4" s="12" t="s">
        <v>22</v>
      </c>
      <c r="AB4" s="12" t="s">
        <v>23</v>
      </c>
      <c r="AC4" s="12" t="s">
        <v>24</v>
      </c>
      <c r="AD4" s="12" t="s">
        <v>27</v>
      </c>
      <c r="AE4" s="13" t="s">
        <v>21</v>
      </c>
      <c r="AF4" s="91" t="s">
        <v>81</v>
      </c>
      <c r="AG4" s="91" t="s">
        <v>88</v>
      </c>
      <c r="AH4" s="91" t="s">
        <v>84</v>
      </c>
      <c r="AI4" s="91" t="s">
        <v>86</v>
      </c>
      <c r="AJ4" s="90"/>
      <c r="AK4" s="38" t="s">
        <v>75</v>
      </c>
      <c r="AL4" s="38" t="s">
        <v>76</v>
      </c>
      <c r="AM4" s="38" t="s">
        <v>70</v>
      </c>
      <c r="AN4" s="38" t="s">
        <v>72</v>
      </c>
      <c r="AO4" s="6" t="s">
        <v>71</v>
      </c>
      <c r="AP4" s="5" t="s">
        <v>73</v>
      </c>
      <c r="AQ4" s="37" t="s">
        <v>69</v>
      </c>
      <c r="AR4" s="12" t="s">
        <v>74</v>
      </c>
      <c r="AS4" s="37" t="s">
        <v>66</v>
      </c>
      <c r="AT4" s="37" t="s">
        <v>61</v>
      </c>
      <c r="AU4" s="37" t="s">
        <v>62</v>
      </c>
      <c r="AV4" s="37" t="s">
        <v>63</v>
      </c>
      <c r="AW4" s="37" t="s">
        <v>64</v>
      </c>
      <c r="AX4" s="37" t="s">
        <v>65</v>
      </c>
    </row>
    <row r="5" spans="1:66" customFormat="1" ht="21.95" customHeight="1">
      <c r="A5" s="79">
        <v>20703401</v>
      </c>
      <c r="B5" s="32" t="s">
        <v>35</v>
      </c>
      <c r="C5" s="56">
        <v>44011</v>
      </c>
      <c r="D5" s="80">
        <v>0.63194444444444442</v>
      </c>
      <c r="E5" s="32" t="s">
        <v>34</v>
      </c>
      <c r="F5" s="32">
        <v>34</v>
      </c>
      <c r="G5" s="32"/>
      <c r="H5" s="32" t="s">
        <v>42</v>
      </c>
      <c r="I5" s="81">
        <v>-1.0296000000000001E-3</v>
      </c>
      <c r="J5" s="32"/>
      <c r="K5" s="32" t="s">
        <v>39</v>
      </c>
      <c r="L5" s="32">
        <v>16.787500000000001</v>
      </c>
      <c r="M5" s="32"/>
      <c r="N5" s="32">
        <v>6.1234999999999999</v>
      </c>
      <c r="O5" s="32">
        <v>21.104700000000001</v>
      </c>
      <c r="P5" s="32">
        <v>2.062E-3</v>
      </c>
      <c r="Q5" s="32"/>
      <c r="R5" s="32">
        <v>2.062E-3</v>
      </c>
      <c r="S5" s="32">
        <v>3.4009999999999999E-3</v>
      </c>
      <c r="T5" s="32">
        <v>1015</v>
      </c>
      <c r="U5" s="32">
        <v>1</v>
      </c>
      <c r="V5" s="32">
        <v>21.1</v>
      </c>
      <c r="W5" s="4"/>
      <c r="X5" s="88">
        <v>25.09441370437581</v>
      </c>
      <c r="Y5" s="88">
        <v>25.09441370437581</v>
      </c>
      <c r="Z5" s="88">
        <v>-6.0264688102446361E-2</v>
      </c>
      <c r="AA5" s="88">
        <v>278.33107705750848</v>
      </c>
      <c r="AB5" s="88">
        <v>0.99796628025519407</v>
      </c>
      <c r="AC5" s="88">
        <v>277.76502965050355</v>
      </c>
      <c r="AD5" s="88">
        <v>273.4730606</v>
      </c>
      <c r="AE5" s="89">
        <f t="shared" ref="AE5:AE12" si="0">(AC5*(T5-Y5))/((1013.25-X5))/AD5</f>
        <v>1.0174930733199825</v>
      </c>
      <c r="AF5" s="44">
        <v>4</v>
      </c>
      <c r="AG5" s="42">
        <v>1.04759588</v>
      </c>
      <c r="AH5" s="44" t="s">
        <v>89</v>
      </c>
      <c r="AI5" s="42">
        <v>1.04759588</v>
      </c>
      <c r="AJ5" s="4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32"/>
      <c r="AZ5" s="32"/>
      <c r="BA5" s="32"/>
      <c r="BB5" s="32"/>
      <c r="BC5" s="32"/>
      <c r="BD5" s="32"/>
      <c r="BE5" s="32"/>
      <c r="BF5" s="32"/>
    </row>
    <row r="6" spans="1:66" customFormat="1" ht="21.95" customHeight="1">
      <c r="A6" s="79">
        <v>20903401</v>
      </c>
      <c r="B6" s="32" t="s">
        <v>44</v>
      </c>
      <c r="C6" s="56">
        <v>44091</v>
      </c>
      <c r="D6" s="32">
        <v>2033</v>
      </c>
      <c r="E6" s="32" t="s">
        <v>34</v>
      </c>
      <c r="F6" s="32">
        <v>34</v>
      </c>
      <c r="G6" s="32"/>
      <c r="H6" s="32" t="s">
        <v>43</v>
      </c>
      <c r="I6" s="82">
        <v>-1.0571999999999999E-3</v>
      </c>
      <c r="J6" s="56">
        <v>44091</v>
      </c>
      <c r="K6" s="32"/>
      <c r="L6" s="32">
        <v>17.443750000000001</v>
      </c>
      <c r="M6" s="32"/>
      <c r="N6" s="32">
        <v>6.1574999999999998</v>
      </c>
      <c r="O6" s="32">
        <v>18.302774999999997</v>
      </c>
      <c r="P6" s="32">
        <v>3.2691742076555613E-3</v>
      </c>
      <c r="Q6" s="32"/>
      <c r="R6" s="32">
        <v>3.3541019662498119E-3</v>
      </c>
      <c r="S6" s="32">
        <v>3.4766183282026446E-3</v>
      </c>
      <c r="T6" s="32">
        <v>1016</v>
      </c>
      <c r="U6" s="32">
        <v>1</v>
      </c>
      <c r="V6" s="32">
        <v>20.5</v>
      </c>
      <c r="W6" s="4"/>
      <c r="X6" s="5">
        <v>21.090699854666941</v>
      </c>
      <c r="Y6" s="5">
        <v>21.090699854666941</v>
      </c>
      <c r="Z6" s="5">
        <v>-4.0634156543192759E-2</v>
      </c>
      <c r="AA6" s="5">
        <v>294.22503490679804</v>
      </c>
      <c r="AB6" s="5">
        <v>0.99853583723055228</v>
      </c>
      <c r="AC6" s="5">
        <v>293.79424156484805</v>
      </c>
      <c r="AD6" s="5">
        <v>274.99148699999995</v>
      </c>
      <c r="AE6" s="30">
        <f t="shared" si="0"/>
        <v>1.071337021280147</v>
      </c>
      <c r="AF6" s="44">
        <v>4</v>
      </c>
      <c r="AG6" s="44"/>
      <c r="AH6" s="44"/>
      <c r="AI6" s="42"/>
      <c r="AJ6" s="4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32"/>
      <c r="AZ6" s="32"/>
      <c r="BA6" s="32"/>
      <c r="BB6" s="32"/>
      <c r="BC6" s="32"/>
      <c r="BD6" s="32"/>
      <c r="BE6" s="32"/>
      <c r="BF6" s="32"/>
    </row>
    <row r="7" spans="1:66" customFormat="1" ht="21.95" customHeight="1">
      <c r="A7" s="79">
        <v>20903401</v>
      </c>
      <c r="B7" s="32" t="s">
        <v>45</v>
      </c>
      <c r="C7" s="56">
        <v>44098</v>
      </c>
      <c r="D7" s="81">
        <v>2146</v>
      </c>
      <c r="E7" s="32" t="s">
        <v>34</v>
      </c>
      <c r="F7" s="32">
        <v>34</v>
      </c>
      <c r="G7" s="32"/>
      <c r="H7" s="32" t="s">
        <v>43</v>
      </c>
      <c r="I7" s="82">
        <v>-1.0571999999999999E-3</v>
      </c>
      <c r="J7" s="56"/>
      <c r="K7" s="32"/>
      <c r="L7" s="32">
        <v>16.954285714285714</v>
      </c>
      <c r="M7" s="32"/>
      <c r="N7" s="32">
        <v>6.0218571428571419</v>
      </c>
      <c r="O7" s="32">
        <v>20.914685714285714</v>
      </c>
      <c r="P7" s="83">
        <v>3.1036515689141456E-3</v>
      </c>
      <c r="Q7" s="32"/>
      <c r="R7" s="32">
        <v>2.5314350209525932E-3</v>
      </c>
      <c r="S7" s="32">
        <v>5.3299308874775117E-4</v>
      </c>
      <c r="T7" s="32">
        <v>1017</v>
      </c>
      <c r="U7" s="32">
        <v>1</v>
      </c>
      <c r="V7" s="32">
        <v>21.1</v>
      </c>
      <c r="W7" s="4"/>
      <c r="X7" s="5">
        <f t="shared" ref="X7" si="1">EXP(52.57-(6690.9/(O7+273.15))-4.681*LN(O7+273.15))</f>
        <v>24.803286954839518</v>
      </c>
      <c r="Y7" s="5">
        <f t="shared" ref="Y7" si="2">X7*U7</f>
        <v>24.803286954839518</v>
      </c>
      <c r="Z7" s="5">
        <f t="shared" ref="Z7" si="3">LN((298.15-O7)/(273.15+O7))</f>
        <v>-5.8933106959676143E-2</v>
      </c>
      <c r="AA7" s="5">
        <f t="shared" ref="AA7" si="4">EXP(5.80818 + 3.20684*Z7 + 4.1189*Z7^2 + 4.93845*Z7^3 + 1.01567*Z7^4 + 1.41575*Z7^5)</f>
        <v>279.35874763222125</v>
      </c>
      <c r="AB7" s="5">
        <f t="shared" ref="AB7" si="5">(999.84847+0.06337563*O7-0.008523829*O7^2+0.00006943248*O7^3-0.0000003821216*O7^4)/1000</f>
        <v>0.99800751735034521</v>
      </c>
      <c r="AC7" s="5">
        <f t="shared" ref="AC7" si="6">AA7*AB7</f>
        <v>278.80213017453474</v>
      </c>
      <c r="AD7" s="5">
        <f t="shared" ref="AD7" si="7">N7*44.6596</f>
        <v>268.93373125714282</v>
      </c>
      <c r="AE7" s="30">
        <f t="shared" si="0"/>
        <v>1.0406275817175681</v>
      </c>
      <c r="AF7" s="44">
        <v>2</v>
      </c>
      <c r="AG7" s="42">
        <v>1.0406275817175681</v>
      </c>
      <c r="AH7" s="44"/>
      <c r="AI7" s="42">
        <f>AVERAGE(AG7:AG8)</f>
        <v>1.0409710202784179</v>
      </c>
      <c r="AJ7" s="4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32"/>
      <c r="AZ7" s="32"/>
      <c r="BA7" s="32"/>
      <c r="BB7" s="32"/>
      <c r="BC7" s="32"/>
      <c r="BD7" s="32"/>
      <c r="BE7" s="32"/>
      <c r="BF7" s="32"/>
    </row>
    <row r="8" spans="1:66" customFormat="1" ht="21.95" customHeight="1">
      <c r="A8" s="79">
        <v>20903401</v>
      </c>
      <c r="B8" s="32" t="s">
        <v>46</v>
      </c>
      <c r="C8" s="56">
        <v>44099</v>
      </c>
      <c r="D8" s="80">
        <v>1830</v>
      </c>
      <c r="E8" s="32" t="s">
        <v>34</v>
      </c>
      <c r="F8" s="32">
        <v>34</v>
      </c>
      <c r="G8" s="32"/>
      <c r="H8" s="32" t="s">
        <v>43</v>
      </c>
      <c r="I8" s="82">
        <v>-1.0571999999999999E-3</v>
      </c>
      <c r="J8" s="32"/>
      <c r="K8" s="32"/>
      <c r="L8" s="32">
        <v>16.949714285714286</v>
      </c>
      <c r="M8" s="32"/>
      <c r="N8" s="32">
        <v>6.0362857142857154</v>
      </c>
      <c r="O8" s="32">
        <v>20.861771428571426</v>
      </c>
      <c r="P8" s="32">
        <v>4.0607629724434694E-3</v>
      </c>
      <c r="Q8" s="32"/>
      <c r="R8" s="32">
        <v>3.5742845723419356E-3</v>
      </c>
      <c r="S8" s="32">
        <v>3.6922422809545222E-4</v>
      </c>
      <c r="T8" s="32">
        <v>1019</v>
      </c>
      <c r="U8" s="32">
        <v>1</v>
      </c>
      <c r="V8" s="32">
        <v>21.1</v>
      </c>
      <c r="W8" s="4"/>
      <c r="X8" s="5">
        <f t="shared" ref="X8" si="8">EXP(52.57-(6690.9/(O8+273.15))-4.681*LN(O8+273.15))</f>
        <v>24.722743273753597</v>
      </c>
      <c r="Y8" s="5">
        <f t="shared" ref="Y8" si="9">X8*U8</f>
        <v>24.722743273753597</v>
      </c>
      <c r="Z8" s="5">
        <f t="shared" ref="Z8" si="10">LN((298.15-O8)/(273.15+O8))</f>
        <v>-5.8562303846267851E-2</v>
      </c>
      <c r="AA8" s="5">
        <f t="shared" ref="AA8" si="11">EXP(5.80818 + 3.20684*Z8 + 4.1189*Z8^2 + 4.93845*Z8^3 + 1.01567*Z8^4 + 1.41575*Z8^5)</f>
        <v>279.64617151126401</v>
      </c>
      <c r="AB8" s="5">
        <f t="shared" ref="AB8" si="12">(999.84847+0.06337563*O8-0.008523829*O8^2+0.00006943248*O8^3-0.0000003821216*O8^4)/1000</f>
        <v>0.99801893446837786</v>
      </c>
      <c r="AC8" s="5">
        <f t="shared" ref="AC8" si="13">AA8*AB8</f>
        <v>279.09217411983298</v>
      </c>
      <c r="AD8" s="5">
        <f t="shared" ref="AD8" si="14">N8*44.6596</f>
        <v>269.57810548571433</v>
      </c>
      <c r="AE8" s="30">
        <f t="shared" si="0"/>
        <v>1.0413144588392675</v>
      </c>
      <c r="AF8" s="44">
        <v>2</v>
      </c>
      <c r="AG8" s="42">
        <v>1.0413144588392675</v>
      </c>
      <c r="AH8" s="44"/>
      <c r="AI8" s="42"/>
      <c r="AJ8" s="4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32"/>
      <c r="AZ8" s="32"/>
      <c r="BA8" s="32"/>
      <c r="BB8" s="32"/>
      <c r="BC8" s="32"/>
      <c r="BD8" s="32"/>
      <c r="BE8" s="32"/>
      <c r="BF8" s="32"/>
    </row>
    <row r="9" spans="1:66" ht="21.95" customHeight="1">
      <c r="A9" s="79" t="s">
        <v>48</v>
      </c>
      <c r="B9" s="32" t="s">
        <v>35</v>
      </c>
      <c r="C9" s="56">
        <v>44110</v>
      </c>
      <c r="D9" s="32">
        <v>1751</v>
      </c>
      <c r="E9" s="32" t="s">
        <v>34</v>
      </c>
      <c r="F9" s="32">
        <v>34</v>
      </c>
      <c r="G9" s="32"/>
      <c r="H9" s="32">
        <v>10330</v>
      </c>
      <c r="I9" s="32"/>
      <c r="J9" s="56">
        <v>44110</v>
      </c>
      <c r="K9" s="32"/>
      <c r="L9" s="32">
        <v>17.291999999999998</v>
      </c>
      <c r="M9" s="32"/>
      <c r="N9" s="32">
        <v>6.3018000000000001</v>
      </c>
      <c r="O9" s="32">
        <v>18.228839999999998</v>
      </c>
      <c r="P9" s="32">
        <v>3.6331804249161502E-3</v>
      </c>
      <c r="Q9" s="32"/>
      <c r="R9" s="32">
        <v>3.4871191548326639E-3</v>
      </c>
      <c r="S9" s="32">
        <v>4.5451512626088634E-3</v>
      </c>
      <c r="T9" s="32">
        <v>1017</v>
      </c>
      <c r="U9" s="32">
        <v>1</v>
      </c>
      <c r="V9" s="32">
        <v>20.5</v>
      </c>
      <c r="W9" s="4"/>
      <c r="X9" s="22">
        <f t="shared" ref="X9" si="15">EXP(52.57-(6690.9/(O9+273.15))-4.681*LN(O9+273.15))</f>
        <v>20.99311707269365</v>
      </c>
      <c r="Y9" s="22">
        <f t="shared" ref="Y9" si="16">X9*U9</f>
        <v>20.99311707269365</v>
      </c>
      <c r="Z9" s="22">
        <f t="shared" ref="Z9" si="17">LN((298.15-O9)/(273.15+O9))</f>
        <v>-4.0116284070258551E-2</v>
      </c>
      <c r="AA9" s="22">
        <f t="shared" ref="AA9" si="18">EXP(5.80818 + 3.20684*Z9 + 4.1189*Z9^2 + 4.93845*Z9^3 + 1.01567*Z9^4 + 1.41575*Z9^5)</f>
        <v>294.6669591002634</v>
      </c>
      <c r="AB9" s="22">
        <f t="shared" ref="AB9" si="19">(999.84847+0.06337563*O9-0.008523829*O9^2+0.00006943248*O9^3-0.0000003821216*O9^4)/1000</f>
        <v>0.99854972460075075</v>
      </c>
      <c r="AC9" s="22">
        <f t="shared" ref="AC9" si="20">AA9*AB9</f>
        <v>294.23961085850868</v>
      </c>
      <c r="AD9" s="22">
        <f t="shared" ref="AD9" si="21">N9*44.6596</f>
        <v>281.43586727999997</v>
      </c>
      <c r="AE9" s="30">
        <f t="shared" si="0"/>
        <v>1.0494455545743127</v>
      </c>
      <c r="AF9" s="44">
        <v>2</v>
      </c>
      <c r="AG9" s="42">
        <v>1.0494455545743127</v>
      </c>
      <c r="AH9" s="44"/>
      <c r="AI9" s="42">
        <f>AVERAGE(AG9:AG10)</f>
        <v>1.0537080453043779</v>
      </c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66">
      <c r="A10" s="79" t="s">
        <v>48</v>
      </c>
      <c r="B10" s="32" t="s">
        <v>44</v>
      </c>
      <c r="C10" s="56">
        <v>44126</v>
      </c>
      <c r="D10" s="77">
        <v>1445</v>
      </c>
      <c r="E10" s="77" t="s">
        <v>49</v>
      </c>
      <c r="F10" s="77">
        <v>34</v>
      </c>
      <c r="G10" s="32"/>
      <c r="H10" s="32"/>
      <c r="I10" s="32"/>
      <c r="J10" s="32" t="s">
        <v>39</v>
      </c>
      <c r="K10" s="32" t="s">
        <v>39</v>
      </c>
      <c r="L10" s="32">
        <v>17.113800000000001</v>
      </c>
      <c r="M10" s="32"/>
      <c r="N10" s="32">
        <v>5.883</v>
      </c>
      <c r="O10" s="32">
        <v>20.952100000000002</v>
      </c>
      <c r="P10" s="32">
        <v>4.4452221541788593E-3</v>
      </c>
      <c r="Q10" s="32"/>
      <c r="R10" s="32">
        <v>2.366431913239811E-3</v>
      </c>
      <c r="S10" s="32">
        <v>7.8778169564926726E-3</v>
      </c>
      <c r="T10" s="77">
        <v>1011</v>
      </c>
      <c r="U10" s="77">
        <v>1</v>
      </c>
      <c r="V10" s="77">
        <v>21.1</v>
      </c>
      <c r="W10" s="4"/>
      <c r="X10" s="5">
        <f t="shared" ref="X10" si="22">EXP(52.57-(6690.9/(O10+273.15))-4.681*LN(O10+273.15))</f>
        <v>24.860375730546455</v>
      </c>
      <c r="Y10" s="5">
        <f t="shared" ref="Y10" si="23">X10*U10</f>
        <v>24.860375730546455</v>
      </c>
      <c r="Z10" s="5">
        <f t="shared" ref="Z10" si="24">LN((298.15-O10)/(273.15+O10))</f>
        <v>-5.9195294433405973E-2</v>
      </c>
      <c r="AA10" s="5">
        <f t="shared" ref="AA10" si="25">EXP(5.80818 + 3.20684*Z10 + 4.1189*Z10^2 + 4.93845*Z10^3 + 1.01567*Z10^4 + 1.41575*Z10^5)</f>
        <v>279.15584550342822</v>
      </c>
      <c r="AB10" s="5">
        <f t="shared" ref="AB10" si="26">(999.84847+0.06337563*O10-0.008523829*O10^2+0.00006943248*O10^3-0.0000003821216*O10^4)/1000</f>
        <v>0.99799942713426093</v>
      </c>
      <c r="AC10" s="5">
        <f t="shared" ref="AC10" si="27">AA10*AB10</f>
        <v>278.59737389360163</v>
      </c>
      <c r="AD10" s="5">
        <f t="shared" ref="AD10" si="28">N10*44.6596</f>
        <v>262.73242679999998</v>
      </c>
      <c r="AE10" s="31">
        <f t="shared" si="0"/>
        <v>1.0579705360344429</v>
      </c>
      <c r="AF10" s="44">
        <v>2</v>
      </c>
      <c r="AG10" s="42">
        <v>1.0579705360344429</v>
      </c>
      <c r="AH10" s="44"/>
      <c r="AI10" s="42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66">
      <c r="A11" s="79">
        <v>21303401</v>
      </c>
      <c r="B11" s="77" t="s">
        <v>35</v>
      </c>
      <c r="C11" s="56">
        <v>44278</v>
      </c>
      <c r="D11" s="77">
        <v>930</v>
      </c>
      <c r="E11" s="77" t="s">
        <v>49</v>
      </c>
      <c r="F11" s="77">
        <v>34</v>
      </c>
      <c r="G11" s="32"/>
      <c r="H11" s="32">
        <v>10330</v>
      </c>
      <c r="I11" s="32"/>
      <c r="J11" s="32"/>
      <c r="K11" s="32"/>
      <c r="L11" s="32">
        <v>17.004666666666669</v>
      </c>
      <c r="M11" s="32"/>
      <c r="N11" s="32">
        <v>5.9781666666666666</v>
      </c>
      <c r="O11" s="32">
        <v>20.9239</v>
      </c>
      <c r="P11" s="32">
        <v>3.0912061651657561E-3</v>
      </c>
      <c r="Q11" s="32"/>
      <c r="R11" s="32">
        <v>2.5440562537456016E-3</v>
      </c>
      <c r="S11" s="32">
        <v>9.5070149538816415E-3</v>
      </c>
      <c r="T11" s="32">
        <v>1019</v>
      </c>
      <c r="U11" s="32">
        <v>1</v>
      </c>
      <c r="V11" s="32">
        <v>21</v>
      </c>
      <c r="W11" s="4"/>
      <c r="X11" s="22">
        <f t="shared" ref="X11" si="29">EXP(52.57-(6690.9/(O11+273.15))-4.681*LN(O11+273.15))</f>
        <v>24.817335961862806</v>
      </c>
      <c r="Y11" s="22">
        <f t="shared" ref="Y11" si="30">X11*U11</f>
        <v>24.817335961862806</v>
      </c>
      <c r="Z11" s="22">
        <f t="shared" ref="Z11" si="31">LN((298.15-O11)/(273.15+O11))</f>
        <v>-5.8997677569609878E-2</v>
      </c>
      <c r="AA11" s="22">
        <f t="shared" ref="AA11" si="32">EXP(5.80818 + 3.20684*Z11 + 4.1189*Z11^2 + 4.93845*Z11^3 + 1.01567*Z11^4 + 1.41575*Z11^5)</f>
        <v>279.30875229745249</v>
      </c>
      <c r="AB11" s="22">
        <f t="shared" ref="AB11" si="33">(999.84847+0.06337563*O11-0.008523829*O11^2+0.00006943248*O11^3-0.0000003821216*O11^4)/1000</f>
        <v>0.99800552625753824</v>
      </c>
      <c r="AC11" s="22">
        <f t="shared" ref="AC11" si="34">AA11*AB11</f>
        <v>278.75167832495544</v>
      </c>
      <c r="AD11" s="22">
        <f t="shared" ref="AD11" si="35">N11*44.6596</f>
        <v>266.98253206666664</v>
      </c>
      <c r="AE11" s="30">
        <f t="shared" si="0"/>
        <v>1.05015581229202</v>
      </c>
      <c r="AF11" s="44">
        <v>2</v>
      </c>
      <c r="AG11" s="42">
        <v>1.05015581229202</v>
      </c>
      <c r="AH11" s="44"/>
      <c r="AI11" s="42">
        <v>1.05015581229202</v>
      </c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66">
      <c r="A12" s="84">
        <v>21503401</v>
      </c>
      <c r="B12" s="77" t="s">
        <v>35</v>
      </c>
      <c r="C12" s="56">
        <v>44321</v>
      </c>
      <c r="D12" s="77">
        <v>10</v>
      </c>
      <c r="E12" s="77" t="s">
        <v>49</v>
      </c>
      <c r="F12" s="77">
        <v>34</v>
      </c>
      <c r="G12" s="32"/>
      <c r="H12" s="32" t="s">
        <v>50</v>
      </c>
      <c r="I12" s="85">
        <v>-1.0625999999999999E-3</v>
      </c>
      <c r="J12" s="56">
        <v>44321</v>
      </c>
      <c r="K12" s="86">
        <v>-1.42188397498904</v>
      </c>
      <c r="L12" s="32">
        <v>17.325400000000002</v>
      </c>
      <c r="M12" s="32"/>
      <c r="N12" s="32">
        <v>6.172200000000001</v>
      </c>
      <c r="O12" s="32">
        <v>20.33475</v>
      </c>
      <c r="P12" s="32">
        <v>3.1999999999998249E-3</v>
      </c>
      <c r="Q12" s="32"/>
      <c r="R12" s="32">
        <v>2.8565713714171982E-3</v>
      </c>
      <c r="S12" s="32">
        <v>1.1251999822253273E-2</v>
      </c>
      <c r="T12" s="77">
        <v>1014</v>
      </c>
      <c r="U12" s="77">
        <v>1</v>
      </c>
      <c r="V12" s="77">
        <v>21.1</v>
      </c>
      <c r="W12" s="78"/>
      <c r="X12" s="5">
        <f t="shared" ref="X12" si="36">EXP(52.57-(6690.9/(O12+273.15))-4.681*LN(O12+273.15))</f>
        <v>23.932942735733992</v>
      </c>
      <c r="Y12" s="5">
        <f t="shared" ref="Y12" si="37">X12*U12</f>
        <v>23.932942735733992</v>
      </c>
      <c r="Z12" s="5">
        <f t="shared" ref="Z12" si="38">LN((298.15-O12)/(273.15+O12))</f>
        <v>-5.4869354382203854E-2</v>
      </c>
      <c r="AA12" s="5">
        <f t="shared" ref="AA12" si="39">EXP(5.80818 + 3.20684*Z12 + 4.1189*Z12^2 + 4.93845*Z12^3 + 1.01567*Z12^4 + 1.41575*Z12^5)</f>
        <v>282.53883723756792</v>
      </c>
      <c r="AB12" s="5">
        <f t="shared" ref="AB12" si="40">(999.84847+0.06337563*O12-0.008523829*O12^2+0.00006943248*O12^3-0.0000003821216*O12^4)/1000</f>
        <v>0.99813106039895305</v>
      </c>
      <c r="AC12" s="5">
        <f t="shared" ref="AC12" si="41">AA12*AB12</f>
        <v>282.01078921582086</v>
      </c>
      <c r="AD12" s="5">
        <f t="shared" ref="AD12" si="42">N12*44.6596</f>
        <v>275.64798312000005</v>
      </c>
      <c r="AE12" s="31">
        <f t="shared" si="0"/>
        <v>1.0238586839678587</v>
      </c>
      <c r="AF12" s="44">
        <v>4</v>
      </c>
      <c r="AG12" s="42">
        <v>1.0519606800000001</v>
      </c>
      <c r="AH12" s="44" t="s">
        <v>90</v>
      </c>
      <c r="AI12" s="42">
        <v>1.0519606800000001</v>
      </c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66">
      <c r="A13" s="84">
        <v>21603401</v>
      </c>
      <c r="B13" s="77"/>
      <c r="C13" s="56">
        <v>44364</v>
      </c>
      <c r="D13" s="77"/>
      <c r="E13" s="77"/>
      <c r="F13" s="77"/>
      <c r="G13" s="32"/>
      <c r="H13" s="32"/>
      <c r="I13" s="85"/>
      <c r="J13" s="56"/>
      <c r="K13" s="86"/>
      <c r="L13" s="32"/>
      <c r="M13" s="32"/>
      <c r="N13" s="32"/>
      <c r="O13" s="32"/>
      <c r="P13" s="32"/>
      <c r="Q13" s="32"/>
      <c r="R13" s="32"/>
      <c r="S13" s="32"/>
      <c r="T13" s="77"/>
      <c r="U13" s="77"/>
      <c r="V13" s="77"/>
      <c r="W13" s="78"/>
      <c r="X13" s="5"/>
      <c r="Y13" s="5"/>
      <c r="Z13" s="5"/>
      <c r="AA13" s="5"/>
      <c r="AB13" s="5"/>
      <c r="AC13" s="5"/>
      <c r="AD13" s="5"/>
      <c r="AE13" s="31"/>
      <c r="AF13" s="44"/>
      <c r="AG13" s="42">
        <v>1.05256612</v>
      </c>
      <c r="AH13" s="44" t="s">
        <v>90</v>
      </c>
      <c r="AI13" s="42">
        <v>1.05256612</v>
      </c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66">
      <c r="A14" s="84">
        <v>21903401</v>
      </c>
      <c r="B14" s="77"/>
      <c r="C14" s="56">
        <v>44460</v>
      </c>
      <c r="D14" s="77"/>
      <c r="E14" s="77"/>
      <c r="F14" s="77"/>
      <c r="G14" s="32"/>
      <c r="H14" s="32"/>
      <c r="I14" s="85"/>
      <c r="J14" s="56"/>
      <c r="K14" s="86"/>
      <c r="L14" s="32"/>
      <c r="M14" s="32"/>
      <c r="N14" s="32"/>
      <c r="O14" s="32"/>
      <c r="P14" s="32"/>
      <c r="Q14" s="32"/>
      <c r="R14" s="32"/>
      <c r="S14" s="32"/>
      <c r="T14" s="77"/>
      <c r="U14" s="77"/>
      <c r="V14" s="77"/>
      <c r="W14" s="78"/>
      <c r="X14" s="5"/>
      <c r="Y14" s="5"/>
      <c r="Z14" s="5"/>
      <c r="AA14" s="5"/>
      <c r="AB14" s="5"/>
      <c r="AC14" s="5"/>
      <c r="AD14" s="5"/>
      <c r="AE14" s="31"/>
      <c r="AF14" s="44"/>
      <c r="AG14" s="42">
        <v>1.0539178</v>
      </c>
      <c r="AH14" s="44" t="s">
        <v>90</v>
      </c>
      <c r="AI14" s="42">
        <v>1.0539178</v>
      </c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66">
      <c r="A15" s="79">
        <v>22303401</v>
      </c>
      <c r="B15" s="77" t="s">
        <v>35</v>
      </c>
      <c r="C15" s="56">
        <v>44629</v>
      </c>
      <c r="D15" s="77">
        <v>1123</v>
      </c>
      <c r="E15" s="77" t="s">
        <v>59</v>
      </c>
      <c r="F15" s="77">
        <v>34</v>
      </c>
      <c r="G15" s="77">
        <v>212</v>
      </c>
      <c r="H15" s="32" t="s">
        <v>60</v>
      </c>
      <c r="I15" s="32" t="s">
        <v>60</v>
      </c>
      <c r="J15" s="32">
        <v>20220309</v>
      </c>
      <c r="K15" s="32" t="s">
        <v>60</v>
      </c>
      <c r="L15" s="32">
        <v>17.520666666666667</v>
      </c>
      <c r="M15" s="32"/>
      <c r="N15" s="32">
        <v>6.24</v>
      </c>
      <c r="O15" s="32">
        <v>18.683633333333333</v>
      </c>
      <c r="P15" s="32">
        <v>2.0548046676565315E-3</v>
      </c>
      <c r="Q15" s="32"/>
      <c r="R15" s="32">
        <v>1.8856180831641285E-3</v>
      </c>
      <c r="S15" s="32">
        <v>6.2182527020584728E-4</v>
      </c>
      <c r="T15" s="77">
        <v>1017.5</v>
      </c>
      <c r="U15" s="77">
        <v>1</v>
      </c>
      <c r="V15" s="77">
        <v>18.899999999999999</v>
      </c>
      <c r="W15" s="78"/>
      <c r="X15" s="5">
        <f t="shared" ref="X15:X20" si="43">EXP(52.57-(6690.9/(O15+273.15))-4.681*LN(O15+273.15))</f>
        <v>21.599699853778326</v>
      </c>
      <c r="Y15" s="5">
        <f t="shared" ref="Y15:Y20" si="44">X15*U15</f>
        <v>21.599699853778326</v>
      </c>
      <c r="Z15" s="5">
        <f t="shared" ref="Z15:Z20" si="45">LN((298.15-O15)/(273.15+O15))</f>
        <v>-4.3301939616468103E-2</v>
      </c>
      <c r="AA15" s="5">
        <f t="shared" ref="AA15:AA20" si="46">EXP(5.80818 + 3.20684*Z15 + 4.1189*Z15^2 + 4.93845*Z15^3 + 1.01567*Z15^4 + 1.41575*Z15^5)</f>
        <v>291.9676968383298</v>
      </c>
      <c r="AB15" s="5">
        <f t="shared" ref="AB15:AB20" si="47">(999.84847+0.06337563*O15-0.008523829*O15^2+0.00006943248*O15^3-0.0000003821216*O15^4)/1000</f>
        <v>0.99846335287978072</v>
      </c>
      <c r="AC15" s="5">
        <f t="shared" ref="AC15:AC20" si="48">AA15*AB15</f>
        <v>291.51904551778614</v>
      </c>
      <c r="AD15" s="5">
        <f t="shared" ref="AD15:AD20" si="49">N15*44.6596</f>
        <v>278.675904</v>
      </c>
      <c r="AE15" s="31">
        <f t="shared" ref="AE15:AE20" si="50">(AC15*(T15-Y15))/((1013.25-X15))/AD15</f>
        <v>1.050569601725186</v>
      </c>
      <c r="AF15" s="44">
        <v>2</v>
      </c>
      <c r="AG15" s="42">
        <v>1.050569601725186</v>
      </c>
      <c r="AH15" s="44"/>
      <c r="AI15" s="42">
        <f>AVERAGE(AG15:AG16)</f>
        <v>1.0561153891591599</v>
      </c>
      <c r="AK15" s="5">
        <v>17.323555555555558</v>
      </c>
      <c r="AL15" s="5">
        <v>33.466788888888885</v>
      </c>
      <c r="AM15" s="5">
        <v>6.4239999999999995</v>
      </c>
      <c r="AN15" s="5">
        <v>17.328700000000001</v>
      </c>
      <c r="AO15" s="5">
        <v>17.65411111111111</v>
      </c>
      <c r="AP15" s="5">
        <f>LN((298.15-AN15)/(273.15+AN15))</f>
        <v>-3.3811727769234724E-2</v>
      </c>
      <c r="AQ15" s="5">
        <f>EXP(AL15*(-0.00624523-0.00737614*AP15-0.010341*AP15^2-0.00817083*AP15^3)-0.000000488682*(AL15^2))</f>
        <v>0.81742706931502829</v>
      </c>
      <c r="AR15" s="5">
        <f>AM15*44.6596*AQ15</f>
        <v>234.51432522927593</v>
      </c>
      <c r="AS15" s="5">
        <v>215.9</v>
      </c>
      <c r="AT15" s="5">
        <v>220.1</v>
      </c>
      <c r="AU15" s="5"/>
      <c r="AV15" s="19">
        <f>AS15/AR15</f>
        <v>0.92062606320071327</v>
      </c>
      <c r="AW15" s="5"/>
      <c r="AX15" s="5"/>
    </row>
    <row r="16" spans="1:66">
      <c r="A16" s="79">
        <v>22303401</v>
      </c>
      <c r="B16" s="32" t="s">
        <v>44</v>
      </c>
      <c r="C16" s="56">
        <v>44657</v>
      </c>
      <c r="D16" s="77"/>
      <c r="E16" s="77" t="s">
        <v>34</v>
      </c>
      <c r="F16" s="77">
        <v>34</v>
      </c>
      <c r="G16" s="77">
        <v>212</v>
      </c>
      <c r="H16" s="32"/>
      <c r="I16" s="32"/>
      <c r="J16" s="32"/>
      <c r="K16" s="32"/>
      <c r="L16" s="32">
        <v>17.568555555555559</v>
      </c>
      <c r="M16" s="32"/>
      <c r="N16" s="32">
        <v>6.1701111111111109</v>
      </c>
      <c r="O16" s="32">
        <v>18.819822222222221</v>
      </c>
      <c r="P16" s="32">
        <v>2.0061633428071855E-3</v>
      </c>
      <c r="Q16" s="32"/>
      <c r="R16" s="32">
        <v>1.5947444549341226E-3</v>
      </c>
      <c r="S16" s="32">
        <v>7.0675750639085419E-4</v>
      </c>
      <c r="T16" s="32">
        <v>1019.5</v>
      </c>
      <c r="U16" s="77">
        <v>1</v>
      </c>
      <c r="V16" s="32">
        <v>18.649999999999999</v>
      </c>
      <c r="W16" s="78"/>
      <c r="X16" s="5">
        <f t="shared" si="43"/>
        <v>21.784305459990854</v>
      </c>
      <c r="Y16" s="5">
        <f t="shared" si="44"/>
        <v>21.784305459990854</v>
      </c>
      <c r="Z16" s="5">
        <f t="shared" si="45"/>
        <v>-4.4255933361519541E-2</v>
      </c>
      <c r="AA16" s="5">
        <f t="shared" si="46"/>
        <v>291.16820510244577</v>
      </c>
      <c r="AB16" s="5">
        <f t="shared" si="47"/>
        <v>0.99843705039075348</v>
      </c>
      <c r="AC16" s="5">
        <f t="shared" si="48"/>
        <v>290.71312387005588</v>
      </c>
      <c r="AD16" s="5">
        <f t="shared" si="49"/>
        <v>275.55469417777778</v>
      </c>
      <c r="AE16" s="31">
        <f t="shared" si="50"/>
        <v>1.0616611765931339</v>
      </c>
      <c r="AF16" s="44">
        <v>2</v>
      </c>
      <c r="AG16" s="42">
        <v>1.0616611765931339</v>
      </c>
      <c r="AH16" s="44"/>
      <c r="AI16" s="42">
        <v>1.0616611765931339</v>
      </c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35">
      <c r="A17" s="32" t="s">
        <v>94</v>
      </c>
      <c r="B17" s="77" t="s">
        <v>35</v>
      </c>
      <c r="C17" s="56">
        <v>44868</v>
      </c>
      <c r="D17" s="32"/>
      <c r="E17" s="77" t="s">
        <v>34</v>
      </c>
      <c r="F17" s="77">
        <v>34</v>
      </c>
      <c r="G17" s="32"/>
      <c r="H17" s="32"/>
      <c r="I17" s="32"/>
      <c r="J17" s="32">
        <v>20221103</v>
      </c>
      <c r="K17" s="32"/>
      <c r="L17" s="32">
        <v>17.460900000000002</v>
      </c>
      <c r="M17" s="32">
        <v>218.83333333333334</v>
      </c>
      <c r="N17" s="32">
        <v>6.1335999999999995</v>
      </c>
      <c r="O17" s="32">
        <v>19.42193</v>
      </c>
      <c r="P17" s="32">
        <v>3.6180105030247582E-3</v>
      </c>
      <c r="Q17" s="32">
        <v>105.80466206255383</v>
      </c>
      <c r="R17" s="32">
        <v>1.9078784028337928E-3</v>
      </c>
      <c r="S17" s="32">
        <v>1.1347515146498212E-2</v>
      </c>
      <c r="T17" s="77">
        <v>1023</v>
      </c>
      <c r="U17" s="77">
        <v>1</v>
      </c>
      <c r="V17" s="87">
        <v>20.9</v>
      </c>
      <c r="X17" s="5">
        <f t="shared" si="43"/>
        <v>22.617139332260329</v>
      </c>
      <c r="Y17" s="5">
        <f t="shared" si="44"/>
        <v>22.617139332260329</v>
      </c>
      <c r="Z17" s="5">
        <f t="shared" si="45"/>
        <v>-4.8473903936070109E-2</v>
      </c>
      <c r="AA17" s="5">
        <f t="shared" si="46"/>
        <v>287.68120615677822</v>
      </c>
      <c r="AB17" s="5">
        <f t="shared" si="47"/>
        <v>0.99831836474292546</v>
      </c>
      <c r="AC17" s="5">
        <f t="shared" si="48"/>
        <v>287.19743129770723</v>
      </c>
      <c r="AD17" s="5">
        <f t="shared" si="49"/>
        <v>273.92412255999994</v>
      </c>
      <c r="AE17" s="31">
        <f t="shared" si="50"/>
        <v>1.0587752593352502</v>
      </c>
      <c r="AF17" s="45">
        <v>2</v>
      </c>
      <c r="AG17" s="45"/>
      <c r="AH17" s="45"/>
      <c r="AI17" s="33">
        <v>1.0827125622454097</v>
      </c>
    </row>
    <row r="18" spans="1:35">
      <c r="A18" s="84">
        <v>23303401</v>
      </c>
      <c r="B18" s="77" t="s">
        <v>35</v>
      </c>
      <c r="C18" s="56">
        <v>44987</v>
      </c>
      <c r="D18" s="32"/>
      <c r="E18" s="77" t="s">
        <v>34</v>
      </c>
      <c r="F18" s="77">
        <v>34</v>
      </c>
      <c r="G18" s="32"/>
      <c r="H18" s="32"/>
      <c r="I18" s="32"/>
      <c r="J18" s="32">
        <v>20230302</v>
      </c>
      <c r="K18" s="32"/>
      <c r="L18" s="32">
        <v>17.741499999999998</v>
      </c>
      <c r="M18" s="32">
        <v>214.83333333333334</v>
      </c>
      <c r="N18" s="32">
        <v>6.3812999999999995</v>
      </c>
      <c r="O18" s="32">
        <v>17.179449999999999</v>
      </c>
      <c r="P18" s="32">
        <v>4.0558599581354462E-3</v>
      </c>
      <c r="Q18" s="32">
        <v>104.59024327447457</v>
      </c>
      <c r="R18" s="32">
        <v>4.8176757881781117E-3</v>
      </c>
      <c r="S18" s="32">
        <v>3.6123572636161644E-2</v>
      </c>
      <c r="T18" s="77">
        <v>1020</v>
      </c>
      <c r="U18" s="77">
        <v>1</v>
      </c>
      <c r="V18" s="77">
        <v>18.7</v>
      </c>
      <c r="X18" s="5">
        <f t="shared" si="43"/>
        <v>19.650142661226344</v>
      </c>
      <c r="Y18" s="5">
        <f t="shared" si="44"/>
        <v>19.650142661226344</v>
      </c>
      <c r="Z18" s="5">
        <f t="shared" si="45"/>
        <v>-3.2766453093469657E-2</v>
      </c>
      <c r="AA18" s="5">
        <f t="shared" si="46"/>
        <v>301.07302125009329</v>
      </c>
      <c r="AB18" s="5">
        <f t="shared" si="47"/>
        <v>0.99874031545322073</v>
      </c>
      <c r="AC18" s="5">
        <f t="shared" si="48"/>
        <v>300.69376421777241</v>
      </c>
      <c r="AD18" s="5">
        <f t="shared" si="49"/>
        <v>284.98630547999994</v>
      </c>
      <c r="AE18" s="31">
        <f t="shared" si="50"/>
        <v>1.0622844510074536</v>
      </c>
      <c r="AF18" s="45">
        <v>2</v>
      </c>
      <c r="AG18" s="45"/>
      <c r="AH18" s="45"/>
      <c r="AI18" s="33">
        <v>1.0622844510074536</v>
      </c>
    </row>
    <row r="19" spans="1:35">
      <c r="A19" s="84">
        <v>23803401</v>
      </c>
      <c r="B19" s="32" t="s">
        <v>44</v>
      </c>
      <c r="C19" s="56">
        <v>45139</v>
      </c>
      <c r="D19" s="32"/>
      <c r="E19" s="32" t="s">
        <v>34</v>
      </c>
      <c r="F19" s="32">
        <v>34</v>
      </c>
      <c r="G19" s="32"/>
      <c r="H19" s="32"/>
      <c r="I19" s="32"/>
      <c r="J19" s="32">
        <v>20230801</v>
      </c>
      <c r="K19" s="32"/>
      <c r="L19" s="32">
        <v>17.614625</v>
      </c>
      <c r="M19" s="32">
        <v>229</v>
      </c>
      <c r="N19" s="32">
        <v>6.1968750000000004</v>
      </c>
      <c r="O19" s="32">
        <v>18.5138</v>
      </c>
      <c r="P19" s="32">
        <v>2.3418742493993222E-3</v>
      </c>
      <c r="Q19" s="32">
        <v>102.04101420299357</v>
      </c>
      <c r="R19" s="32">
        <v>1.8998355191965583E-3</v>
      </c>
      <c r="S19" s="32">
        <v>2.5860201081973396E-3</v>
      </c>
      <c r="T19" s="77">
        <v>1018</v>
      </c>
      <c r="U19" s="77">
        <v>1</v>
      </c>
      <c r="V19" s="77">
        <v>18.600000000000001</v>
      </c>
      <c r="X19" s="5">
        <f t="shared" si="43"/>
        <v>21.371410601902515</v>
      </c>
      <c r="Y19" s="5">
        <f t="shared" si="44"/>
        <v>21.371410601902515</v>
      </c>
      <c r="Z19" s="5">
        <f t="shared" si="45"/>
        <v>-4.2112296418335297E-2</v>
      </c>
      <c r="AA19" s="5">
        <f t="shared" si="46"/>
        <v>292.97035675674101</v>
      </c>
      <c r="AB19" s="5">
        <f t="shared" si="47"/>
        <v>0.9984958707918401</v>
      </c>
      <c r="AC19" s="5">
        <f t="shared" si="48"/>
        <v>292.52969148601818</v>
      </c>
      <c r="AD19" s="5">
        <f t="shared" si="49"/>
        <v>276.74995875000002</v>
      </c>
      <c r="AE19" s="31">
        <f t="shared" si="50"/>
        <v>1.0620799586658758</v>
      </c>
      <c r="AF19" s="45">
        <v>2</v>
      </c>
      <c r="AG19" s="63"/>
      <c r="AH19" s="67"/>
      <c r="AI19" s="33">
        <v>1.0620799586658758</v>
      </c>
    </row>
    <row r="20" spans="1:35">
      <c r="A20" s="84">
        <v>24403401</v>
      </c>
      <c r="B20" s="77" t="s">
        <v>35</v>
      </c>
      <c r="C20" s="63">
        <v>45386</v>
      </c>
      <c r="E20" s="77" t="s">
        <v>99</v>
      </c>
      <c r="F20" s="77">
        <v>34</v>
      </c>
      <c r="J20" s="77">
        <v>20240404</v>
      </c>
      <c r="L20">
        <v>17.891499999999997</v>
      </c>
      <c r="M20">
        <v>222</v>
      </c>
      <c r="N20">
        <v>6.3643000000000001</v>
      </c>
      <c r="O20">
        <v>16.680290000000003</v>
      </c>
      <c r="P20">
        <v>2.2472205054242444E-3</v>
      </c>
      <c r="Q20">
        <v>108.44519732761287</v>
      </c>
      <c r="R20">
        <v>1.7916472867168457E-3</v>
      </c>
      <c r="S20">
        <v>6.7323769947924472E-3</v>
      </c>
      <c r="T20" s="77">
        <v>1011</v>
      </c>
      <c r="U20" s="77">
        <v>1</v>
      </c>
      <c r="V20" s="77">
        <v>18.3</v>
      </c>
      <c r="X20" s="5">
        <f t="shared" si="43"/>
        <v>19.038224032770476</v>
      </c>
      <c r="Y20" s="5">
        <f t="shared" si="44"/>
        <v>19.038224032770476</v>
      </c>
      <c r="Z20" s="5">
        <f t="shared" si="45"/>
        <v>-2.9270705124796473E-2</v>
      </c>
      <c r="AA20" s="5">
        <f t="shared" si="46"/>
        <v>304.21033875166341</v>
      </c>
      <c r="AB20" s="5">
        <f t="shared" si="47"/>
        <v>0.99882664561202084</v>
      </c>
      <c r="AC20" s="5">
        <f t="shared" si="48"/>
        <v>303.85339221582052</v>
      </c>
      <c r="AD20" s="5">
        <f t="shared" si="49"/>
        <v>284.22709227999997</v>
      </c>
      <c r="AE20" s="31">
        <f t="shared" si="50"/>
        <v>1.0666321052535888</v>
      </c>
      <c r="AF20" s="45"/>
      <c r="AG20" s="63"/>
      <c r="AH20" s="67"/>
      <c r="AI20" s="33">
        <v>1.0666321052535888</v>
      </c>
    </row>
    <row r="21" spans="1:35">
      <c r="A21" t="s">
        <v>101</v>
      </c>
      <c r="B21" s="77" t="s">
        <v>35</v>
      </c>
      <c r="C21" s="63">
        <v>45586</v>
      </c>
      <c r="D21" s="95">
        <v>0.41666666666666669</v>
      </c>
      <c r="E21" s="77" t="s">
        <v>102</v>
      </c>
      <c r="F21" s="77">
        <v>34</v>
      </c>
      <c r="L21" s="20">
        <v>17.771000000000001</v>
      </c>
      <c r="M21" s="20">
        <v>16.959759999999999</v>
      </c>
      <c r="N21" s="20">
        <v>6.4055</v>
      </c>
      <c r="O21" s="20">
        <v>17.288789999999999</v>
      </c>
      <c r="P21" s="20">
        <v>2.6246692913376199E-3</v>
      </c>
      <c r="Q21" s="20">
        <v>4.0936807670142903E-3</v>
      </c>
      <c r="R21" s="20">
        <v>2.5055493963954002E-3</v>
      </c>
      <c r="S21" s="20">
        <v>4.6474485234130501E-3</v>
      </c>
      <c r="T21" s="20">
        <v>1020</v>
      </c>
      <c r="U21" s="20">
        <v>1</v>
      </c>
      <c r="V21" s="20">
        <v>17.399999999999999</v>
      </c>
      <c r="X21" s="20">
        <v>19.786462697349901</v>
      </c>
      <c r="Y21" s="20">
        <v>19.786462697349901</v>
      </c>
      <c r="Z21" s="20">
        <v>-3.3532215683534899E-2</v>
      </c>
      <c r="AA21" s="20">
        <v>300.39368712078402</v>
      </c>
      <c r="AB21" s="20">
        <v>0.99872102982515998</v>
      </c>
      <c r="AC21" s="20">
        <v>300.00949255424598</v>
      </c>
      <c r="AD21" s="20">
        <v>286.06706780000002</v>
      </c>
      <c r="AE21" s="33">
        <v>1.0558638671640801</v>
      </c>
      <c r="AF21" s="45"/>
      <c r="AG21" s="45"/>
      <c r="AH21" s="45" t="s">
        <v>103</v>
      </c>
      <c r="AI21" s="33">
        <v>1.0558638671640801</v>
      </c>
    </row>
    <row r="22" spans="1:35">
      <c r="AF22" s="45"/>
      <c r="AG22" s="45"/>
      <c r="AH22" s="45"/>
      <c r="AI22" s="33"/>
    </row>
    <row r="23" spans="1:35">
      <c r="AF23" s="45"/>
      <c r="AG23" s="45"/>
      <c r="AH23" s="45"/>
      <c r="AI23" s="33"/>
    </row>
    <row r="24" spans="1:35">
      <c r="AI24" s="33"/>
    </row>
    <row r="25" spans="1:35">
      <c r="AI25" s="33"/>
    </row>
    <row r="26" spans="1:35">
      <c r="Y26" s="10">
        <v>44011</v>
      </c>
      <c r="Z26" s="46">
        <v>44011</v>
      </c>
      <c r="AA26" s="58">
        <v>1.0174930733199825</v>
      </c>
      <c r="AB26" s="58">
        <v>4</v>
      </c>
      <c r="AC26" s="58">
        <f>(0.00001408*Z26)+0.427921</f>
        <v>1.04759588</v>
      </c>
      <c r="AI26" s="33"/>
    </row>
    <row r="27" spans="1:35">
      <c r="Y27" s="10">
        <v>44091</v>
      </c>
      <c r="Z27" s="46">
        <v>44091</v>
      </c>
      <c r="AA27">
        <v>1.071337021280147</v>
      </c>
      <c r="AB27">
        <v>2</v>
      </c>
      <c r="AC27" s="20">
        <f t="shared" ref="AC27:AC35" si="51">(0.00001408*Z27)+0.427921</f>
        <v>1.04872228</v>
      </c>
      <c r="AI27" s="33"/>
    </row>
    <row r="28" spans="1:35">
      <c r="Y28" s="10">
        <v>44098</v>
      </c>
      <c r="Z28" s="46">
        <v>44098</v>
      </c>
      <c r="AA28">
        <v>1.0406275817175681</v>
      </c>
      <c r="AB28">
        <v>2</v>
      </c>
      <c r="AC28" s="20">
        <f t="shared" si="51"/>
        <v>1.0488208399999999</v>
      </c>
      <c r="AI28" s="33"/>
    </row>
    <row r="29" spans="1:35">
      <c r="Y29" s="10">
        <v>44099</v>
      </c>
      <c r="Z29" s="46">
        <v>44099</v>
      </c>
      <c r="AA29">
        <v>1.0413144588392675</v>
      </c>
      <c r="AB29">
        <v>2</v>
      </c>
      <c r="AC29" s="20">
        <f t="shared" si="51"/>
        <v>1.04883492</v>
      </c>
      <c r="AI29" s="33"/>
    </row>
    <row r="30" spans="1:35">
      <c r="Y30" s="23">
        <v>44110</v>
      </c>
      <c r="Z30" s="57">
        <v>44110</v>
      </c>
      <c r="AA30">
        <v>1.0494455545743127</v>
      </c>
      <c r="AB30">
        <v>2</v>
      </c>
      <c r="AC30" s="20">
        <f t="shared" si="51"/>
        <v>1.0489898</v>
      </c>
      <c r="AI30" s="33"/>
    </row>
    <row r="31" spans="1:35">
      <c r="Y31" s="10">
        <v>44126</v>
      </c>
      <c r="Z31" s="46">
        <v>44126</v>
      </c>
      <c r="AA31">
        <v>1.0579705360344429</v>
      </c>
      <c r="AB31">
        <v>2</v>
      </c>
      <c r="AC31" s="20">
        <f t="shared" si="51"/>
        <v>1.0492150800000002</v>
      </c>
      <c r="AI31" s="33"/>
    </row>
    <row r="32" spans="1:35">
      <c r="Y32" s="23">
        <v>44278</v>
      </c>
      <c r="Z32" s="57">
        <v>44278</v>
      </c>
      <c r="AA32">
        <v>1.05015581229202</v>
      </c>
      <c r="AB32">
        <v>2</v>
      </c>
      <c r="AC32" s="20">
        <f t="shared" si="51"/>
        <v>1.0513552399999999</v>
      </c>
      <c r="AI32" s="33"/>
    </row>
    <row r="33" spans="25:35">
      <c r="Y33" s="10">
        <v>44321</v>
      </c>
      <c r="Z33" s="46">
        <v>44321</v>
      </c>
      <c r="AA33" s="58">
        <v>1.0238586839678587</v>
      </c>
      <c r="AB33" s="58">
        <v>4</v>
      </c>
      <c r="AC33" s="58">
        <f t="shared" si="51"/>
        <v>1.0519606800000001</v>
      </c>
      <c r="AI33" s="33"/>
    </row>
    <row r="34" spans="25:35">
      <c r="Y34" s="10">
        <v>44629</v>
      </c>
      <c r="Z34" s="46">
        <v>44629</v>
      </c>
      <c r="AA34">
        <v>1.050569601725186</v>
      </c>
      <c r="AB34">
        <v>2</v>
      </c>
      <c r="AC34" s="20">
        <f t="shared" si="51"/>
        <v>1.0562973200000001</v>
      </c>
      <c r="AI34" s="33"/>
    </row>
    <row r="35" spans="25:35">
      <c r="Y35" s="10">
        <v>44657</v>
      </c>
      <c r="Z35" s="46">
        <v>44657</v>
      </c>
      <c r="AA35">
        <v>1.0616611765931339</v>
      </c>
      <c r="AB35">
        <v>2</v>
      </c>
      <c r="AC35" s="20">
        <f t="shared" si="51"/>
        <v>1.05669156</v>
      </c>
      <c r="AI35" s="33"/>
    </row>
    <row r="36" spans="25:35">
      <c r="AI36" s="33"/>
    </row>
    <row r="37" spans="25:35">
      <c r="AI37" s="33"/>
    </row>
    <row r="38" spans="25:35">
      <c r="AI38" s="33"/>
    </row>
  </sheetData>
  <mergeCells count="1">
    <mergeCell ref="C1:O2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2"/>
  <sheetViews>
    <sheetView workbookViewId="0">
      <selection activeCell="J4" sqref="J4:M4"/>
    </sheetView>
  </sheetViews>
  <sheetFormatPr defaultColWidth="8.85546875" defaultRowHeight="15"/>
  <cols>
    <col min="1" max="16" width="8.85546875" style="20"/>
    <col min="17" max="17" width="14.140625" style="20" customWidth="1"/>
    <col min="18" max="16384" width="8.85546875" style="20"/>
  </cols>
  <sheetData>
    <row r="1" spans="1:18">
      <c r="A1" s="20" t="s">
        <v>53</v>
      </c>
      <c r="B1" s="20" t="s">
        <v>54</v>
      </c>
      <c r="C1" s="20" t="s">
        <v>55</v>
      </c>
    </row>
    <row r="2" spans="1:18">
      <c r="A2" s="20" t="s">
        <v>52</v>
      </c>
      <c r="J2" s="6" t="s">
        <v>7</v>
      </c>
      <c r="K2" s="6" t="s">
        <v>8</v>
      </c>
      <c r="L2" s="6" t="s">
        <v>9</v>
      </c>
      <c r="M2" s="6" t="s">
        <v>10</v>
      </c>
      <c r="N2" s="70"/>
      <c r="Q2" s="25" t="s">
        <v>96</v>
      </c>
      <c r="R2" s="25" t="s">
        <v>58</v>
      </c>
    </row>
    <row r="3" spans="1:18">
      <c r="A3" s="20">
        <v>-1.1000000000000001</v>
      </c>
      <c r="B3" s="20">
        <v>16.7103</v>
      </c>
      <c r="C3" s="20">
        <v>1.01E-2</v>
      </c>
      <c r="I3" s="20" t="s">
        <v>56</v>
      </c>
      <c r="J3" s="5">
        <f>AVERAGE(C5,C10,C15,C20,C25,C30,C35,C40,C45,C50,C55,C60,C65)</f>
        <v>17.891499999999997</v>
      </c>
      <c r="K3" s="5">
        <f>AVERAGE(B4,B9,B14,B19,B24,B29,B32,B42,B47,B52)</f>
        <v>222</v>
      </c>
      <c r="L3" s="5">
        <f>AVERAGE(A5,A10,A15,A20,A25,A30,A35,A40,A45,A50,A55,A60,A65)</f>
        <v>6.3643000000000001</v>
      </c>
      <c r="M3" s="5">
        <f>AVERAGE(B5,B10,B35,B15,B20,B25,B30,B45,B40,B50,B55,B60,B65)</f>
        <v>16.680290000000003</v>
      </c>
      <c r="Q3" s="20">
        <v>18.3</v>
      </c>
      <c r="R3" s="20">
        <v>1011</v>
      </c>
    </row>
    <row r="4" spans="1:18">
      <c r="B4" s="20">
        <v>222</v>
      </c>
      <c r="C4" s="20">
        <v>21710</v>
      </c>
      <c r="D4" s="20">
        <v>1010</v>
      </c>
      <c r="I4" s="20" t="s">
        <v>57</v>
      </c>
      <c r="J4" s="20">
        <f>_xlfn.STDEV.P(C5,C10,C15,C20,C25,C30,C35,C40,C45,C50,C55,C60,C65)</f>
        <v>2.2472205054242444E-3</v>
      </c>
      <c r="K4" s="20">
        <f>STDEV(B4,B9,B14,B19,B24,B29,B33,B40,B45,B50)</f>
        <v>108.44519732761287</v>
      </c>
      <c r="L4" s="20">
        <f>_xlfn.STDEV.P(A5,A10,A15,A20,A25,A30,A35,A40,A45,A50, A55,A60,A65)</f>
        <v>1.7916472867168457E-3</v>
      </c>
      <c r="M4" s="20">
        <f>_xlfn.STDEV.P(B5,B10,B15,B20,B25,B30,B35,B40,B45,B50,B55,B60,B65)</f>
        <v>6.7323769947924472E-3</v>
      </c>
    </row>
    <row r="5" spans="1:18" ht="24">
      <c r="A5" s="20">
        <v>6.3659999999999997</v>
      </c>
      <c r="B5" s="20">
        <v>16.691600000000001</v>
      </c>
      <c r="C5" s="20">
        <v>17.885999999999999</v>
      </c>
      <c r="D5" s="20" t="s">
        <v>51</v>
      </c>
      <c r="E5" s="20">
        <v>0</v>
      </c>
      <c r="G5" s="69"/>
      <c r="L5" s="33">
        <f>(L4/L3)</f>
        <v>2.8151521561159057E-4</v>
      </c>
    </row>
    <row r="6" spans="1:18">
      <c r="B6" s="20">
        <v>6366</v>
      </c>
      <c r="C6" s="20">
        <v>21691</v>
      </c>
      <c r="D6" s="20">
        <v>22886</v>
      </c>
    </row>
    <row r="7" spans="1:18">
      <c r="A7" s="20" t="s">
        <v>52</v>
      </c>
    </row>
    <row r="8" spans="1:18">
      <c r="B8" s="20">
        <v>-1.1000000000000001</v>
      </c>
      <c r="C8" s="20">
        <v>16.713799999999999</v>
      </c>
      <c r="D8" s="20">
        <v>1.01E-2</v>
      </c>
    </row>
    <row r="9" spans="1:18">
      <c r="B9" s="20">
        <v>222</v>
      </c>
      <c r="C9" s="20">
        <v>21713</v>
      </c>
      <c r="D9" s="20">
        <v>1010</v>
      </c>
    </row>
    <row r="10" spans="1:18" ht="18">
      <c r="A10" s="20">
        <v>6.3630000000000004</v>
      </c>
      <c r="B10" s="20">
        <v>16.688300000000002</v>
      </c>
      <c r="C10" s="20">
        <v>17.890999999999998</v>
      </c>
      <c r="D10" s="20" t="s">
        <v>51</v>
      </c>
      <c r="E10" s="20">
        <v>0</v>
      </c>
      <c r="J10" s="68"/>
    </row>
    <row r="11" spans="1:18" ht="18">
      <c r="B11" s="20">
        <v>6363</v>
      </c>
      <c r="C11" s="20">
        <v>21688</v>
      </c>
      <c r="D11" s="20">
        <v>22891</v>
      </c>
      <c r="J11" s="68"/>
    </row>
    <row r="12" spans="1:18" ht="18">
      <c r="A12" s="20" t="s">
        <v>52</v>
      </c>
      <c r="J12" s="68"/>
    </row>
    <row r="13" spans="1:18" ht="18">
      <c r="B13" s="20">
        <v>-1.0900000000000001</v>
      </c>
      <c r="C13" s="20">
        <v>16.716699999999999</v>
      </c>
      <c r="D13" s="20">
        <v>1.01E-2</v>
      </c>
      <c r="J13" s="68"/>
    </row>
    <row r="14" spans="1:18">
      <c r="B14" s="20">
        <v>222</v>
      </c>
      <c r="C14" s="20">
        <v>21716</v>
      </c>
      <c r="D14" s="20">
        <v>1010</v>
      </c>
    </row>
    <row r="15" spans="1:18">
      <c r="A15" s="20">
        <v>6.3609999999999998</v>
      </c>
      <c r="B15" s="20">
        <v>16.6858</v>
      </c>
      <c r="C15" s="20">
        <v>17.893999999999998</v>
      </c>
      <c r="D15" s="20" t="s">
        <v>51</v>
      </c>
      <c r="E15" s="20">
        <v>0</v>
      </c>
    </row>
    <row r="16" spans="1:18">
      <c r="B16" s="20">
        <v>6361</v>
      </c>
      <c r="C16" s="20">
        <v>21685</v>
      </c>
      <c r="D16" s="20">
        <v>22894</v>
      </c>
    </row>
    <row r="17" spans="1:5">
      <c r="A17" s="20" t="s">
        <v>52</v>
      </c>
    </row>
    <row r="18" spans="1:5">
      <c r="B18" s="20">
        <v>-1.1000000000000001</v>
      </c>
      <c r="C18" s="20">
        <v>16.718800000000002</v>
      </c>
      <c r="D18" s="20">
        <v>1.01E-2</v>
      </c>
    </row>
    <row r="19" spans="1:5">
      <c r="B19" s="20">
        <v>222</v>
      </c>
      <c r="C19" s="20">
        <v>21718</v>
      </c>
      <c r="D19" s="20">
        <v>1010</v>
      </c>
    </row>
    <row r="20" spans="1:5">
      <c r="A20" s="20">
        <v>6.3639999999999999</v>
      </c>
      <c r="B20" s="20">
        <v>16.683399999999999</v>
      </c>
      <c r="C20" s="20">
        <v>17.890999999999998</v>
      </c>
      <c r="D20" s="20" t="s">
        <v>51</v>
      </c>
      <c r="E20" s="20">
        <v>0</v>
      </c>
    </row>
    <row r="21" spans="1:5">
      <c r="B21" s="20">
        <v>6364</v>
      </c>
      <c r="C21" s="20">
        <v>21683</v>
      </c>
      <c r="D21" s="20">
        <v>22891</v>
      </c>
    </row>
    <row r="22" spans="1:5">
      <c r="A22" s="20" t="s">
        <v>52</v>
      </c>
    </row>
    <row r="23" spans="1:5">
      <c r="B23" s="20">
        <v>-1.0900000000000001</v>
      </c>
      <c r="C23" s="20">
        <v>16.716799999999999</v>
      </c>
      <c r="D23" s="20">
        <v>1.01E-2</v>
      </c>
    </row>
    <row r="24" spans="1:5">
      <c r="B24" s="20">
        <v>222</v>
      </c>
      <c r="C24" s="20">
        <v>21716</v>
      </c>
      <c r="D24" s="20">
        <v>1010</v>
      </c>
    </row>
    <row r="25" spans="1:5">
      <c r="A25" s="20">
        <v>6.3620000000000001</v>
      </c>
      <c r="B25" s="20">
        <v>16.6812</v>
      </c>
      <c r="C25" s="20">
        <v>17.893999999999998</v>
      </c>
      <c r="D25" s="20" t="s">
        <v>51</v>
      </c>
      <c r="E25" s="20">
        <v>0</v>
      </c>
    </row>
    <row r="26" spans="1:5">
      <c r="B26" s="20">
        <v>6362</v>
      </c>
      <c r="C26" s="20">
        <v>21681</v>
      </c>
      <c r="D26" s="20">
        <v>22894</v>
      </c>
    </row>
    <row r="27" spans="1:5">
      <c r="A27" s="20" t="s">
        <v>52</v>
      </c>
    </row>
    <row r="28" spans="1:5">
      <c r="B28" s="20">
        <v>-1.0900000000000001</v>
      </c>
      <c r="C28" s="20">
        <v>16.723400000000002</v>
      </c>
      <c r="D28" s="20">
        <v>1.0200000000000001E-2</v>
      </c>
    </row>
    <row r="29" spans="1:5">
      <c r="B29" s="20">
        <v>222</v>
      </c>
      <c r="C29" s="20">
        <v>21723</v>
      </c>
      <c r="D29" s="20">
        <v>1010</v>
      </c>
    </row>
    <row r="30" spans="1:5">
      <c r="A30" s="20">
        <v>6.3650000000000002</v>
      </c>
      <c r="B30" s="20">
        <v>16.679099999999998</v>
      </c>
      <c r="C30" s="20">
        <v>17.890999999999998</v>
      </c>
      <c r="D30" s="20" t="s">
        <v>51</v>
      </c>
      <c r="E30" s="20">
        <v>0</v>
      </c>
    </row>
    <row r="31" spans="1:5">
      <c r="B31" s="20">
        <v>6365</v>
      </c>
      <c r="C31" s="20">
        <v>21679</v>
      </c>
      <c r="D31" s="20">
        <v>22891</v>
      </c>
    </row>
    <row r="32" spans="1:5">
      <c r="A32" s="20" t="s">
        <v>52</v>
      </c>
    </row>
    <row r="33" spans="1:5">
      <c r="B33" s="20">
        <v>-1.0900000000000001</v>
      </c>
      <c r="C33" s="20">
        <v>16.726400000000002</v>
      </c>
      <c r="D33" s="20">
        <v>1.0200000000000001E-2</v>
      </c>
    </row>
    <row r="34" spans="1:5">
      <c r="B34" s="20">
        <v>222</v>
      </c>
      <c r="C34" s="20">
        <v>21726</v>
      </c>
      <c r="D34" s="20">
        <v>1010</v>
      </c>
    </row>
    <row r="35" spans="1:5">
      <c r="A35" s="20">
        <v>6.3650000000000002</v>
      </c>
      <c r="B35" s="20">
        <v>16.6769</v>
      </c>
      <c r="C35" s="20">
        <v>17.891999999999999</v>
      </c>
      <c r="D35" s="20" t="s">
        <v>51</v>
      </c>
      <c r="E35" s="20">
        <v>0</v>
      </c>
    </row>
    <row r="36" spans="1:5">
      <c r="B36" s="20">
        <v>6365</v>
      </c>
      <c r="C36" s="20">
        <v>21676</v>
      </c>
      <c r="D36" s="20">
        <v>22892</v>
      </c>
    </row>
    <row r="37" spans="1:5">
      <c r="A37" s="20" t="s">
        <v>52</v>
      </c>
    </row>
    <row r="38" spans="1:5">
      <c r="B38" s="20">
        <v>-1.0900000000000001</v>
      </c>
      <c r="C38" s="20">
        <v>16.734400000000001</v>
      </c>
      <c r="D38" s="20">
        <v>1.0200000000000001E-2</v>
      </c>
    </row>
    <row r="39" spans="1:5">
      <c r="B39" s="20">
        <v>222</v>
      </c>
      <c r="C39" s="20">
        <v>21734</v>
      </c>
      <c r="D39" s="20">
        <v>1010</v>
      </c>
    </row>
    <row r="40" spans="1:5">
      <c r="A40" s="20">
        <v>6.3659999999999997</v>
      </c>
      <c r="B40" s="20">
        <v>16.674499999999998</v>
      </c>
      <c r="C40" s="20">
        <v>17.890999999999998</v>
      </c>
      <c r="D40" s="20" t="s">
        <v>51</v>
      </c>
      <c r="E40" s="20">
        <v>0</v>
      </c>
    </row>
    <row r="41" spans="1:5">
      <c r="B41" s="20">
        <v>6366</v>
      </c>
      <c r="C41" s="20">
        <v>21674</v>
      </c>
      <c r="D41" s="20">
        <v>22891</v>
      </c>
    </row>
    <row r="42" spans="1:5">
      <c r="A42" s="20" t="s">
        <v>52</v>
      </c>
    </row>
    <row r="43" spans="1:5">
      <c r="B43" s="20">
        <v>-1.08</v>
      </c>
      <c r="C43" s="20">
        <v>16.736799999999999</v>
      </c>
      <c r="D43" s="20">
        <v>1.0200000000000001E-2</v>
      </c>
    </row>
    <row r="44" spans="1:5">
      <c r="B44" s="20">
        <v>223</v>
      </c>
      <c r="C44" s="20">
        <v>21736</v>
      </c>
      <c r="D44" s="20">
        <v>1010</v>
      </c>
    </row>
    <row r="45" spans="1:5">
      <c r="A45" s="20">
        <v>6.367</v>
      </c>
      <c r="B45" s="20">
        <v>16.6723</v>
      </c>
      <c r="C45" s="20">
        <v>17.890999999999998</v>
      </c>
      <c r="D45" s="20" t="s">
        <v>51</v>
      </c>
      <c r="E45" s="20">
        <v>0</v>
      </c>
    </row>
    <row r="46" spans="1:5">
      <c r="B46" s="20">
        <v>6367</v>
      </c>
      <c r="C46" s="20">
        <v>21672</v>
      </c>
      <c r="D46" s="20">
        <v>22891</v>
      </c>
    </row>
    <row r="47" spans="1:5">
      <c r="A47" s="20" t="s">
        <v>52</v>
      </c>
    </row>
    <row r="48" spans="1:5">
      <c r="B48" s="20">
        <v>-1.1100000000000001</v>
      </c>
      <c r="C48" s="20">
        <v>16.740400000000001</v>
      </c>
      <c r="D48" s="20">
        <v>1.0200000000000001E-2</v>
      </c>
    </row>
    <row r="49" spans="1:5">
      <c r="B49" s="20">
        <v>222</v>
      </c>
      <c r="C49" s="20">
        <v>21740</v>
      </c>
      <c r="D49" s="20">
        <v>1010</v>
      </c>
    </row>
    <row r="50" spans="1:5">
      <c r="A50" s="20">
        <v>6.3639999999999999</v>
      </c>
      <c r="B50" s="20">
        <v>16.669799999999999</v>
      </c>
      <c r="C50" s="20">
        <v>17.893999999999998</v>
      </c>
      <c r="D50" s="20" t="s">
        <v>51</v>
      </c>
      <c r="E50" s="20">
        <v>0</v>
      </c>
    </row>
    <row r="51" spans="1:5">
      <c r="B51" s="20">
        <v>6364</v>
      </c>
      <c r="C51" s="20">
        <v>21669</v>
      </c>
      <c r="D51" s="20">
        <v>22894</v>
      </c>
    </row>
    <row r="52" spans="1:5">
      <c r="A52" s="20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E296-D491-8745-BF47-D5AD24A4AF74}">
  <dimension ref="A1:AE22"/>
  <sheetViews>
    <sheetView zoomScale="75" workbookViewId="0">
      <selection activeCell="Y18" sqref="Y18"/>
    </sheetView>
  </sheetViews>
  <sheetFormatPr defaultColWidth="11.42578125" defaultRowHeight="15"/>
  <sheetData>
    <row r="1" spans="1:31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4"/>
      <c r="X1" s="20"/>
      <c r="Y1" s="20"/>
      <c r="Z1" s="20"/>
      <c r="AA1" s="20"/>
      <c r="AB1" s="20"/>
      <c r="AC1" s="20"/>
      <c r="AD1" s="20"/>
      <c r="AE1" s="20"/>
    </row>
    <row r="2" spans="1:3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 t="s">
        <v>68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4"/>
      <c r="X2" s="20"/>
      <c r="Y2" s="20"/>
      <c r="Z2" s="20"/>
      <c r="AA2" s="20"/>
      <c r="AB2" s="20"/>
      <c r="AC2" s="20"/>
      <c r="AD2" s="20"/>
      <c r="AE2" s="20"/>
    </row>
    <row r="3" spans="1:3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1" t="s">
        <v>6</v>
      </c>
      <c r="M3" s="1"/>
      <c r="N3" s="1"/>
      <c r="O3" s="1"/>
      <c r="P3" s="2" t="s">
        <v>11</v>
      </c>
      <c r="Q3" s="2"/>
      <c r="R3" s="2"/>
      <c r="S3" s="2"/>
      <c r="T3" s="3" t="s">
        <v>12</v>
      </c>
      <c r="U3" s="3"/>
      <c r="V3" s="3"/>
      <c r="W3" s="4"/>
      <c r="X3" s="20" t="s">
        <v>15</v>
      </c>
      <c r="Y3" s="20"/>
      <c r="Z3" s="20"/>
      <c r="AA3" s="20"/>
      <c r="AB3" s="20"/>
      <c r="AC3" s="20"/>
      <c r="AD3" s="20"/>
      <c r="AE3" s="20"/>
    </row>
    <row r="4" spans="1:31" ht="46.5">
      <c r="A4" s="5" t="s">
        <v>3</v>
      </c>
      <c r="B4" s="5" t="s">
        <v>4</v>
      </c>
      <c r="C4" s="5" t="s">
        <v>0</v>
      </c>
      <c r="D4" s="5" t="s">
        <v>1</v>
      </c>
      <c r="E4" s="5" t="s">
        <v>5</v>
      </c>
      <c r="F4" s="5" t="s">
        <v>29</v>
      </c>
      <c r="G4" s="5" t="s">
        <v>30</v>
      </c>
      <c r="H4" s="5" t="s">
        <v>40</v>
      </c>
      <c r="I4" s="12" t="s">
        <v>41</v>
      </c>
      <c r="J4" s="12" t="s">
        <v>38</v>
      </c>
      <c r="K4" s="12" t="s">
        <v>37</v>
      </c>
      <c r="L4" s="6" t="s">
        <v>7</v>
      </c>
      <c r="M4" s="6" t="s">
        <v>8</v>
      </c>
      <c r="N4" s="6" t="s">
        <v>9</v>
      </c>
      <c r="O4" s="6" t="s">
        <v>10</v>
      </c>
      <c r="P4" s="7" t="s">
        <v>7</v>
      </c>
      <c r="Q4" s="7" t="s">
        <v>8</v>
      </c>
      <c r="R4" s="7" t="s">
        <v>9</v>
      </c>
      <c r="S4" s="7" t="s">
        <v>10</v>
      </c>
      <c r="T4" s="8" t="s">
        <v>17</v>
      </c>
      <c r="U4" s="8" t="s">
        <v>18</v>
      </c>
      <c r="V4" s="9" t="s">
        <v>13</v>
      </c>
      <c r="W4" s="4"/>
      <c r="X4" s="12" t="s">
        <v>19</v>
      </c>
      <c r="Y4" s="5" t="s">
        <v>20</v>
      </c>
      <c r="Z4" s="5" t="s">
        <v>26</v>
      </c>
      <c r="AA4" s="12" t="s">
        <v>22</v>
      </c>
      <c r="AB4" s="12" t="s">
        <v>23</v>
      </c>
      <c r="AC4" s="12" t="s">
        <v>24</v>
      </c>
      <c r="AD4" s="12" t="s">
        <v>27</v>
      </c>
      <c r="AE4" s="13" t="s">
        <v>21</v>
      </c>
    </row>
    <row r="5" spans="1:31">
      <c r="A5" s="5">
        <v>20703401</v>
      </c>
      <c r="B5" s="5" t="s">
        <v>35</v>
      </c>
      <c r="C5" s="10">
        <v>44011</v>
      </c>
      <c r="D5" s="11">
        <v>0.63194444444444442</v>
      </c>
      <c r="E5" s="5" t="s">
        <v>34</v>
      </c>
      <c r="F5" s="5">
        <v>34</v>
      </c>
      <c r="G5" s="5"/>
      <c r="H5" s="5" t="s">
        <v>42</v>
      </c>
      <c r="I5" s="16">
        <v>-1.0296000000000001E-3</v>
      </c>
      <c r="J5" s="5"/>
      <c r="K5" s="5" t="s">
        <v>39</v>
      </c>
      <c r="L5" s="5">
        <v>16.787500000000001</v>
      </c>
      <c r="M5" s="5"/>
      <c r="N5" s="5">
        <v>6.1234999999999999</v>
      </c>
      <c r="O5" s="5">
        <v>21.104700000000001</v>
      </c>
      <c r="P5" s="5">
        <v>2.062E-3</v>
      </c>
      <c r="Q5" s="5"/>
      <c r="R5" s="5">
        <v>2.062E-3</v>
      </c>
      <c r="S5" s="5">
        <v>3.4009999999999999E-3</v>
      </c>
      <c r="T5" s="5">
        <v>1015</v>
      </c>
      <c r="U5" s="5">
        <v>1</v>
      </c>
      <c r="V5" s="5">
        <v>21.1</v>
      </c>
      <c r="W5" s="4"/>
      <c r="X5" s="5">
        <v>25.09441370437581</v>
      </c>
      <c r="Y5" s="5">
        <v>25.09441370437581</v>
      </c>
      <c r="Z5" s="5">
        <v>-6.0264688102446361E-2</v>
      </c>
      <c r="AA5" s="5">
        <v>278.33107705750848</v>
      </c>
      <c r="AB5" s="5">
        <v>0.99796628025519407</v>
      </c>
      <c r="AC5" s="5">
        <v>277.76502965050355</v>
      </c>
      <c r="AD5" s="5">
        <v>273.4730606</v>
      </c>
      <c r="AE5" s="30">
        <f t="shared" ref="AE5:AE10" si="0">(AC5*(T5-Y5))/((1013.25-X5))/AD5</f>
        <v>1.0174930733199825</v>
      </c>
    </row>
    <row r="6" spans="1:31">
      <c r="A6" s="5">
        <v>20903401</v>
      </c>
      <c r="B6" s="5" t="s">
        <v>44</v>
      </c>
      <c r="C6" s="10">
        <v>44091</v>
      </c>
      <c r="D6" s="5">
        <v>2033</v>
      </c>
      <c r="E6" s="5" t="s">
        <v>34</v>
      </c>
      <c r="F6" s="5">
        <v>34</v>
      </c>
      <c r="G6" s="5"/>
      <c r="H6" s="5" t="s">
        <v>43</v>
      </c>
      <c r="I6" s="18">
        <v>-1.0571999999999999E-3</v>
      </c>
      <c r="J6" s="10">
        <v>44091</v>
      </c>
      <c r="K6" s="5"/>
      <c r="L6" s="5">
        <v>17.443750000000001</v>
      </c>
      <c r="M6" s="5"/>
      <c r="N6" s="5">
        <v>6.1574999999999998</v>
      </c>
      <c r="O6" s="5">
        <v>18.302774999999997</v>
      </c>
      <c r="P6" s="5">
        <v>3.2691742076555613E-3</v>
      </c>
      <c r="Q6" s="5"/>
      <c r="R6" s="5">
        <v>3.3541019662498119E-3</v>
      </c>
      <c r="S6" s="5">
        <v>3.4766183282026446E-3</v>
      </c>
      <c r="T6" s="5">
        <v>1016</v>
      </c>
      <c r="U6" s="5">
        <v>1</v>
      </c>
      <c r="V6" s="5">
        <v>20.5</v>
      </c>
      <c r="W6" s="4"/>
      <c r="X6" s="5">
        <v>21.090699854666941</v>
      </c>
      <c r="Y6" s="5">
        <v>21.090699854666941</v>
      </c>
      <c r="Z6" s="5">
        <v>-4.0634156543192759E-2</v>
      </c>
      <c r="AA6" s="5">
        <v>294.22503490679804</v>
      </c>
      <c r="AB6" s="5">
        <v>0.99853583723055228</v>
      </c>
      <c r="AC6" s="5">
        <v>293.79424156484805</v>
      </c>
      <c r="AD6" s="5">
        <v>274.99148699999995</v>
      </c>
      <c r="AE6" s="30">
        <f t="shared" si="0"/>
        <v>1.071337021280147</v>
      </c>
    </row>
    <row r="7" spans="1:31">
      <c r="A7" s="5">
        <v>20903401</v>
      </c>
      <c r="B7" s="5" t="s">
        <v>45</v>
      </c>
      <c r="C7" s="10">
        <v>44098</v>
      </c>
      <c r="D7" s="16">
        <v>2146</v>
      </c>
      <c r="E7" s="5" t="s">
        <v>34</v>
      </c>
      <c r="F7" s="5">
        <v>34</v>
      </c>
      <c r="G7" s="5"/>
      <c r="H7" s="5" t="s">
        <v>43</v>
      </c>
      <c r="I7" s="18">
        <v>-1.0571999999999999E-3</v>
      </c>
      <c r="J7" s="10"/>
      <c r="K7" s="5"/>
      <c r="L7" s="5">
        <v>16.954285714285714</v>
      </c>
      <c r="M7" s="5"/>
      <c r="N7" s="5">
        <v>6.0218571428571419</v>
      </c>
      <c r="O7" s="5">
        <v>20.914685714285714</v>
      </c>
      <c r="P7" s="14">
        <v>3.1036515689141456E-3</v>
      </c>
      <c r="Q7" s="5"/>
      <c r="R7" s="5">
        <v>2.5314350209525932E-3</v>
      </c>
      <c r="S7" s="5">
        <v>5.3299308874775117E-4</v>
      </c>
      <c r="T7" s="5">
        <v>1017</v>
      </c>
      <c r="U7" s="5">
        <v>1</v>
      </c>
      <c r="V7" s="5">
        <v>21.1</v>
      </c>
      <c r="W7" s="4"/>
      <c r="X7" s="5">
        <f t="shared" ref="X7:X12" si="1">EXP(52.57-(6690.9/(O7+273.15))-4.681*LN(O7+273.15))</f>
        <v>24.803286954839518</v>
      </c>
      <c r="Y7" s="5">
        <f t="shared" ref="Y7:Y12" si="2">X7*U7</f>
        <v>24.803286954839518</v>
      </c>
      <c r="Z7" s="5">
        <f t="shared" ref="Z7:Z12" si="3">LN((298.15-O7)/(273.15+O7))</f>
        <v>-5.8933106959676143E-2</v>
      </c>
      <c r="AA7" s="5">
        <f t="shared" ref="AA7:AA12" si="4">EXP(5.80818 + 3.20684*Z7 + 4.1189*Z7^2 + 4.93845*Z7^3 + 1.01567*Z7^4 + 1.41575*Z7^5)</f>
        <v>279.35874763222125</v>
      </c>
      <c r="AB7" s="5">
        <f t="shared" ref="AB7:AB12" si="5">(999.84847+0.06337563*O7-0.008523829*O7^2+0.00006943248*O7^3-0.0000003821216*O7^4)/1000</f>
        <v>0.99800751735034521</v>
      </c>
      <c r="AC7" s="5">
        <f t="shared" ref="AC7:AC12" si="6">AA7*AB7</f>
        <v>278.80213017453474</v>
      </c>
      <c r="AD7" s="5">
        <f t="shared" ref="AD7:AD12" si="7">N7*44.6596</f>
        <v>268.93373125714282</v>
      </c>
      <c r="AE7" s="30">
        <f t="shared" si="0"/>
        <v>1.0406275817175681</v>
      </c>
    </row>
    <row r="8" spans="1:31">
      <c r="A8" s="5">
        <v>20903401</v>
      </c>
      <c r="B8" s="5" t="s">
        <v>46</v>
      </c>
      <c r="C8" s="10">
        <v>44099</v>
      </c>
      <c r="D8" s="11">
        <v>1830</v>
      </c>
      <c r="E8" s="5" t="s">
        <v>34</v>
      </c>
      <c r="F8" s="5">
        <v>34</v>
      </c>
      <c r="G8" s="5"/>
      <c r="H8" s="5" t="s">
        <v>43</v>
      </c>
      <c r="I8" s="18">
        <v>-1.0571999999999999E-3</v>
      </c>
      <c r="J8" s="5"/>
      <c r="K8" s="5"/>
      <c r="L8" s="5">
        <v>16.949714285714286</v>
      </c>
      <c r="M8" s="5"/>
      <c r="N8" s="5">
        <v>6.0362857142857154</v>
      </c>
      <c r="O8" s="5">
        <v>20.861771428571426</v>
      </c>
      <c r="P8" s="5">
        <v>4.0607629724434694E-3</v>
      </c>
      <c r="Q8" s="5"/>
      <c r="R8" s="5">
        <v>3.5742845723419356E-3</v>
      </c>
      <c r="S8" s="5">
        <v>3.6922422809545222E-4</v>
      </c>
      <c r="T8" s="5">
        <v>1019</v>
      </c>
      <c r="U8" s="5">
        <v>1</v>
      </c>
      <c r="V8" s="5">
        <v>21.1</v>
      </c>
      <c r="W8" s="4"/>
      <c r="X8" s="5">
        <f t="shared" si="1"/>
        <v>24.722743273753597</v>
      </c>
      <c r="Y8" s="5">
        <f t="shared" si="2"/>
        <v>24.722743273753597</v>
      </c>
      <c r="Z8" s="5">
        <f t="shared" si="3"/>
        <v>-5.8562303846267851E-2</v>
      </c>
      <c r="AA8" s="5">
        <f t="shared" si="4"/>
        <v>279.64617151126401</v>
      </c>
      <c r="AB8" s="5">
        <f t="shared" si="5"/>
        <v>0.99801893446837786</v>
      </c>
      <c r="AC8" s="5">
        <f t="shared" si="6"/>
        <v>279.09217411983298</v>
      </c>
      <c r="AD8" s="5">
        <f t="shared" si="7"/>
        <v>269.57810548571433</v>
      </c>
      <c r="AE8" s="30">
        <f t="shared" si="0"/>
        <v>1.0413144588392675</v>
      </c>
    </row>
    <row r="9" spans="1:31">
      <c r="A9" s="22" t="s">
        <v>48</v>
      </c>
      <c r="B9" s="22" t="s">
        <v>35</v>
      </c>
      <c r="C9" s="23">
        <v>44110</v>
      </c>
      <c r="D9" s="22">
        <v>1751</v>
      </c>
      <c r="E9" s="22" t="s">
        <v>34</v>
      </c>
      <c r="F9" s="22">
        <v>34</v>
      </c>
      <c r="G9" s="22"/>
      <c r="H9" s="22">
        <v>10330</v>
      </c>
      <c r="I9" s="22"/>
      <c r="J9" s="23">
        <v>44110</v>
      </c>
      <c r="K9" s="22"/>
      <c r="L9" s="20">
        <v>17.291999999999998</v>
      </c>
      <c r="M9" s="22"/>
      <c r="N9" s="20">
        <v>6.3018000000000001</v>
      </c>
      <c r="O9" s="20">
        <v>18.228839999999998</v>
      </c>
      <c r="P9" s="20">
        <v>3.6331804249161502E-3</v>
      </c>
      <c r="Q9" s="22"/>
      <c r="R9" s="20">
        <v>3.4871191548326639E-3</v>
      </c>
      <c r="S9" s="20">
        <v>4.5451512626088634E-3</v>
      </c>
      <c r="T9" s="22">
        <v>1017</v>
      </c>
      <c r="U9" s="22">
        <v>1</v>
      </c>
      <c r="V9" s="22">
        <v>20.5</v>
      </c>
      <c r="W9" s="4"/>
      <c r="X9" s="22">
        <f t="shared" si="1"/>
        <v>20.99311707269365</v>
      </c>
      <c r="Y9" s="22">
        <f t="shared" si="2"/>
        <v>20.99311707269365</v>
      </c>
      <c r="Z9" s="22">
        <f t="shared" si="3"/>
        <v>-4.0116284070258551E-2</v>
      </c>
      <c r="AA9" s="22">
        <f t="shared" si="4"/>
        <v>294.6669591002634</v>
      </c>
      <c r="AB9" s="22">
        <f t="shared" si="5"/>
        <v>0.99854972460075075</v>
      </c>
      <c r="AC9" s="22">
        <f t="shared" si="6"/>
        <v>294.23961085850868</v>
      </c>
      <c r="AD9" s="22">
        <f t="shared" si="7"/>
        <v>281.43586727999997</v>
      </c>
      <c r="AE9" s="30">
        <f t="shared" si="0"/>
        <v>1.0494455545743127</v>
      </c>
    </row>
    <row r="10" spans="1:31">
      <c r="A10" s="5" t="s">
        <v>48</v>
      </c>
      <c r="B10" s="5" t="s">
        <v>44</v>
      </c>
      <c r="C10" s="10">
        <v>44126</v>
      </c>
      <c r="D10" s="24">
        <v>1445</v>
      </c>
      <c r="E10" s="24" t="s">
        <v>49</v>
      </c>
      <c r="F10" s="24">
        <v>34</v>
      </c>
      <c r="G10" s="5"/>
      <c r="H10" s="5"/>
      <c r="I10" s="5"/>
      <c r="J10" s="5" t="s">
        <v>39</v>
      </c>
      <c r="K10" s="5" t="s">
        <v>39</v>
      </c>
      <c r="L10" s="5">
        <v>17.113800000000001</v>
      </c>
      <c r="M10" s="5"/>
      <c r="N10" s="5">
        <v>5.883</v>
      </c>
      <c r="O10" s="5">
        <v>20.952100000000002</v>
      </c>
      <c r="P10" s="5">
        <v>4.4452221541788593E-3</v>
      </c>
      <c r="Q10" s="5"/>
      <c r="R10" s="5">
        <v>2.366431913239811E-3</v>
      </c>
      <c r="S10" s="5">
        <v>7.8778169564926726E-3</v>
      </c>
      <c r="T10" s="24">
        <v>1011</v>
      </c>
      <c r="U10" s="24">
        <v>1</v>
      </c>
      <c r="V10" s="24">
        <v>21.1</v>
      </c>
      <c r="W10" s="4"/>
      <c r="X10" s="5">
        <f t="shared" si="1"/>
        <v>24.860375730546455</v>
      </c>
      <c r="Y10" s="5">
        <f t="shared" si="2"/>
        <v>24.860375730546455</v>
      </c>
      <c r="Z10" s="5">
        <f t="shared" si="3"/>
        <v>-5.9195294433405973E-2</v>
      </c>
      <c r="AA10" s="5">
        <f t="shared" si="4"/>
        <v>279.15584550342822</v>
      </c>
      <c r="AB10" s="5">
        <f t="shared" si="5"/>
        <v>0.99799942713426093</v>
      </c>
      <c r="AC10" s="5">
        <f t="shared" si="6"/>
        <v>278.59737389360163</v>
      </c>
      <c r="AD10" s="5">
        <f t="shared" si="7"/>
        <v>262.73242679999998</v>
      </c>
      <c r="AE10" s="31">
        <f t="shared" si="0"/>
        <v>1.0579705360344429</v>
      </c>
    </row>
    <row r="11" spans="1:31">
      <c r="A11" s="22">
        <v>21303401</v>
      </c>
      <c r="B11" s="26" t="s">
        <v>35</v>
      </c>
      <c r="C11" s="23">
        <v>44278</v>
      </c>
      <c r="D11" s="26">
        <v>930</v>
      </c>
      <c r="E11" s="26" t="s">
        <v>49</v>
      </c>
      <c r="F11" s="26">
        <v>34</v>
      </c>
      <c r="G11" s="22"/>
      <c r="H11" s="22">
        <v>10330</v>
      </c>
      <c r="I11" s="22"/>
      <c r="J11" s="22"/>
      <c r="K11" s="22"/>
      <c r="L11" s="22">
        <v>17.004666666666669</v>
      </c>
      <c r="M11" s="22"/>
      <c r="N11" s="22">
        <v>5.9781666666666666</v>
      </c>
      <c r="O11" s="22">
        <v>20.9239</v>
      </c>
      <c r="P11" s="22">
        <v>3.0912061651657561E-3</v>
      </c>
      <c r="Q11" s="22"/>
      <c r="R11" s="22">
        <v>2.5440562537456016E-3</v>
      </c>
      <c r="S11" s="22">
        <v>9.5070149538816415E-3</v>
      </c>
      <c r="T11" s="22">
        <v>1019</v>
      </c>
      <c r="U11" s="22">
        <v>1</v>
      </c>
      <c r="V11" s="22">
        <v>21</v>
      </c>
      <c r="W11" s="4"/>
      <c r="X11" s="22">
        <f t="shared" si="1"/>
        <v>24.817335961862806</v>
      </c>
      <c r="Y11" s="22">
        <f t="shared" si="2"/>
        <v>24.817335961862806</v>
      </c>
      <c r="Z11" s="22">
        <f t="shared" si="3"/>
        <v>-5.8997677569609878E-2</v>
      </c>
      <c r="AA11" s="22">
        <f t="shared" si="4"/>
        <v>279.30875229745249</v>
      </c>
      <c r="AB11" s="22">
        <f t="shared" si="5"/>
        <v>0.99800552625753824</v>
      </c>
      <c r="AC11" s="22">
        <f t="shared" si="6"/>
        <v>278.75167832495544</v>
      </c>
      <c r="AD11" s="22">
        <f t="shared" si="7"/>
        <v>266.98253206666664</v>
      </c>
      <c r="AE11" s="30">
        <f>(AC11*(T11-Y11))/((1013.25-X11))/AD11</f>
        <v>1.05015581229202</v>
      </c>
    </row>
    <row r="12" spans="1:31">
      <c r="A12" s="24">
        <v>21503401</v>
      </c>
      <c r="B12" s="24" t="s">
        <v>35</v>
      </c>
      <c r="C12" s="10">
        <v>44321</v>
      </c>
      <c r="D12" s="24">
        <v>10</v>
      </c>
      <c r="E12" s="24" t="s">
        <v>49</v>
      </c>
      <c r="F12" s="24">
        <v>34</v>
      </c>
      <c r="G12" s="5"/>
      <c r="H12" s="5" t="s">
        <v>50</v>
      </c>
      <c r="I12" s="27">
        <v>-1.0625999999999999E-3</v>
      </c>
      <c r="J12" s="10">
        <v>44321</v>
      </c>
      <c r="K12" s="28">
        <v>-1.42188397498904</v>
      </c>
      <c r="L12" s="5">
        <v>17.325400000000002</v>
      </c>
      <c r="M12" s="5"/>
      <c r="N12" s="5">
        <v>6.172200000000001</v>
      </c>
      <c r="O12" s="5">
        <v>20.33475</v>
      </c>
      <c r="P12" s="5">
        <v>3.1999999999998249E-3</v>
      </c>
      <c r="Q12" s="5"/>
      <c r="R12" s="5">
        <v>2.8565713714171982E-3</v>
      </c>
      <c r="S12" s="5">
        <v>1.1251999822253273E-2</v>
      </c>
      <c r="T12" s="24">
        <v>1014</v>
      </c>
      <c r="U12" s="24">
        <v>1</v>
      </c>
      <c r="V12" s="24">
        <v>21.1</v>
      </c>
      <c r="W12" s="29"/>
      <c r="X12" s="5">
        <f t="shared" si="1"/>
        <v>23.932942735733992</v>
      </c>
      <c r="Y12" s="5">
        <f t="shared" si="2"/>
        <v>23.932942735733992</v>
      </c>
      <c r="Z12" s="5">
        <f t="shared" si="3"/>
        <v>-5.4869354382203854E-2</v>
      </c>
      <c r="AA12" s="5">
        <f t="shared" si="4"/>
        <v>282.53883723756792</v>
      </c>
      <c r="AB12" s="5">
        <f t="shared" si="5"/>
        <v>0.99813106039895305</v>
      </c>
      <c r="AC12" s="5">
        <f t="shared" si="6"/>
        <v>282.01078921582086</v>
      </c>
      <c r="AD12" s="5">
        <f t="shared" si="7"/>
        <v>275.64798312000005</v>
      </c>
      <c r="AE12" s="30">
        <f t="shared" ref="AE12:AE16" si="8">(AC12*(T12-Y12))/((1013.25-X12))/AD12</f>
        <v>1.0238586839678587</v>
      </c>
    </row>
    <row r="13" spans="1:31">
      <c r="A13" s="5">
        <v>22303401</v>
      </c>
      <c r="B13" s="24" t="s">
        <v>35</v>
      </c>
      <c r="C13" s="10">
        <v>44629</v>
      </c>
      <c r="D13" s="24">
        <v>1123</v>
      </c>
      <c r="E13" s="24" t="s">
        <v>59</v>
      </c>
      <c r="F13" s="24">
        <v>34</v>
      </c>
      <c r="G13" s="24">
        <v>212</v>
      </c>
      <c r="H13" s="5" t="s">
        <v>60</v>
      </c>
      <c r="I13" s="5" t="s">
        <v>60</v>
      </c>
      <c r="J13" s="5">
        <v>20220309</v>
      </c>
      <c r="K13" s="5" t="s">
        <v>60</v>
      </c>
      <c r="L13" s="5">
        <v>17.520666666666667</v>
      </c>
      <c r="M13" s="5"/>
      <c r="N13" s="5">
        <v>6.24</v>
      </c>
      <c r="O13" s="5">
        <v>18.683633333333333</v>
      </c>
      <c r="P13" s="5">
        <v>2.0548046676565315E-3</v>
      </c>
      <c r="Q13" s="5"/>
      <c r="R13" s="5">
        <v>1.8856180831641285E-3</v>
      </c>
      <c r="S13" s="5">
        <v>6.2182527020584728E-4</v>
      </c>
      <c r="T13" s="24">
        <v>1017.5</v>
      </c>
      <c r="U13" s="24">
        <v>1</v>
      </c>
      <c r="V13" s="24">
        <v>18.899999999999999</v>
      </c>
      <c r="W13" s="29"/>
      <c r="X13" s="5">
        <f>EXP(52.57-(6690.9/(O13+273.15))-4.681*LN(O13+273.15))</f>
        <v>21.599699853778326</v>
      </c>
      <c r="Y13" s="5">
        <f>X13*U13</f>
        <v>21.599699853778326</v>
      </c>
      <c r="Z13" s="5">
        <f>LN((298.15-O13)/(273.15+O13))</f>
        <v>-4.3301939616468103E-2</v>
      </c>
      <c r="AA13" s="5">
        <f>EXP(5.80818 + 3.20684*Z13 + 4.1189*Z13^2 + 4.93845*Z13^3 + 1.01567*Z13^4 + 1.41575*Z13^5)</f>
        <v>291.9676968383298</v>
      </c>
      <c r="AB13" s="5">
        <f>(999.84847+0.06337563*O13-0.008523829*O13^2+0.00006943248*O13^3-0.0000003821216*O13^4)/1000</f>
        <v>0.99846335287978072</v>
      </c>
      <c r="AC13" s="5">
        <f>AA13*AB13</f>
        <v>291.51904551778614</v>
      </c>
      <c r="AD13" s="5">
        <f>N13*44.6596</f>
        <v>278.675904</v>
      </c>
      <c r="AE13" s="30">
        <f t="shared" si="8"/>
        <v>1.050569601725186</v>
      </c>
    </row>
    <row r="14" spans="1:31">
      <c r="A14" s="5">
        <v>22303401</v>
      </c>
      <c r="B14" s="5" t="s">
        <v>44</v>
      </c>
      <c r="C14" s="10">
        <v>44657</v>
      </c>
      <c r="D14" s="24"/>
      <c r="E14" s="24" t="s">
        <v>34</v>
      </c>
      <c r="F14" s="24">
        <v>34</v>
      </c>
      <c r="G14" s="24">
        <v>212</v>
      </c>
      <c r="H14" s="5"/>
      <c r="I14" s="5"/>
      <c r="J14" s="5"/>
      <c r="K14" s="5"/>
      <c r="L14" s="5">
        <v>17.568555555555559</v>
      </c>
      <c r="M14" s="5"/>
      <c r="N14" s="5">
        <v>6.1701111111111109</v>
      </c>
      <c r="O14" s="5">
        <v>18.819822222222221</v>
      </c>
      <c r="P14" s="5">
        <v>2.0061633428071855E-3</v>
      </c>
      <c r="Q14" s="32"/>
      <c r="R14" s="5">
        <v>1.5947444549341226E-3</v>
      </c>
      <c r="S14" s="5">
        <v>7.0675750639085419E-4</v>
      </c>
      <c r="T14" s="20">
        <v>1019.5</v>
      </c>
      <c r="U14" s="24">
        <v>1</v>
      </c>
      <c r="V14" s="20">
        <v>18.649999999999999</v>
      </c>
      <c r="W14" s="29"/>
      <c r="X14" s="5">
        <f>EXP(52.57-(6690.9/(O14+273.15))-4.681*LN(O14+273.15))</f>
        <v>21.784305459990854</v>
      </c>
      <c r="Y14" s="5">
        <f>X14*U14</f>
        <v>21.784305459990854</v>
      </c>
      <c r="Z14" s="5">
        <f>LN((298.15-O14)/(273.15+O14))</f>
        <v>-4.4255933361519541E-2</v>
      </c>
      <c r="AA14" s="5">
        <f>EXP(5.80818 + 3.20684*Z14 + 4.1189*Z14^2 + 4.93845*Z14^3 + 1.01567*Z14^4 + 1.41575*Z14^5)</f>
        <v>291.16820510244577</v>
      </c>
      <c r="AB14" s="5">
        <f>(999.84847+0.06337563*O14-0.008523829*O14^2+0.00006943248*O14^3-0.0000003821216*O14^4)/1000</f>
        <v>0.99843705039075348</v>
      </c>
      <c r="AC14" s="5">
        <f>AA14*AB14</f>
        <v>290.71312387005588</v>
      </c>
      <c r="AD14" s="5">
        <f>N14*44.6596</f>
        <v>275.55469417777778</v>
      </c>
      <c r="AE14" s="30">
        <f t="shared" si="8"/>
        <v>1.0616611765931339</v>
      </c>
    </row>
    <row r="15" spans="1:31" ht="60">
      <c r="X15" s="5"/>
      <c r="Y15" s="5"/>
      <c r="Z15" t="s">
        <v>73</v>
      </c>
      <c r="AA15" t="s">
        <v>77</v>
      </c>
      <c r="AB15" s="5"/>
      <c r="AC15" s="5"/>
      <c r="AD15" s="12" t="s">
        <v>74</v>
      </c>
      <c r="AE15" s="30" t="e">
        <f t="shared" si="8"/>
        <v>#VALUE!</v>
      </c>
    </row>
    <row r="16" spans="1:31">
      <c r="L16" s="5">
        <v>17.65411111111111</v>
      </c>
      <c r="N16" s="5">
        <v>6.4239999999999995</v>
      </c>
      <c r="O16" s="5">
        <v>17.323555555555558</v>
      </c>
      <c r="X16" s="5">
        <f t="shared" ref="X16" si="9">EXP(52.57-(6690.9/(O16+273.15))-4.681*LN(O16+273.15))</f>
        <v>19.829980235615086</v>
      </c>
      <c r="Y16" s="39">
        <v>21.784305459990854</v>
      </c>
      <c r="Z16">
        <v>-3.3811727769234724E-2</v>
      </c>
      <c r="AA16">
        <v>0.81742706931502829</v>
      </c>
      <c r="AB16" s="5">
        <f t="shared" ref="AB16" si="10">(999.84847+0.06337563*O16-0.008523829*O16^2+0.00006943248*O16^3-0.0000003821216*O16^4)/1000</f>
        <v>0.99871486968926315</v>
      </c>
      <c r="AC16" s="5">
        <f t="shared" ref="AC16" si="11">AA16*AB16</f>
        <v>0.81637656901143474</v>
      </c>
      <c r="AD16">
        <v>234.5143252292759</v>
      </c>
      <c r="AE16" s="30">
        <f t="shared" si="8"/>
        <v>-7.6336451008464173E-5</v>
      </c>
    </row>
    <row r="18" spans="7:25">
      <c r="Y18" t="s">
        <v>78</v>
      </c>
    </row>
    <row r="21" spans="7:25" ht="60">
      <c r="G21" s="38" t="s">
        <v>75</v>
      </c>
      <c r="H21" s="38" t="s">
        <v>76</v>
      </c>
      <c r="I21" s="38" t="s">
        <v>70</v>
      </c>
      <c r="J21" s="38" t="s">
        <v>72</v>
      </c>
      <c r="K21" s="6" t="s">
        <v>71</v>
      </c>
      <c r="L21" s="5" t="s">
        <v>73</v>
      </c>
      <c r="M21" s="37" t="s">
        <v>69</v>
      </c>
      <c r="N21" s="12" t="s">
        <v>74</v>
      </c>
      <c r="O21" s="37" t="s">
        <v>66</v>
      </c>
      <c r="P21" s="37" t="s">
        <v>61</v>
      </c>
    </row>
    <row r="22" spans="7:25">
      <c r="G22" s="5">
        <v>17.323555555555558</v>
      </c>
      <c r="H22" s="5">
        <v>33.466788888888885</v>
      </c>
      <c r="I22" s="5">
        <v>6.4239999999999995</v>
      </c>
      <c r="J22" s="5">
        <v>17.328700000000001</v>
      </c>
      <c r="K22" s="5">
        <v>17.65411111111111</v>
      </c>
      <c r="L22" s="5">
        <f>LN((298.15-J22)/(273.15+J22))</f>
        <v>-3.3811727769234724E-2</v>
      </c>
      <c r="M22" s="5">
        <f>EXP(H22*(-0.00624523-0.00737614*L22-0.010341*L22^2-0.00817083*L22^3)-0.000000488682*(H22^2))</f>
        <v>0.81742706931502829</v>
      </c>
      <c r="N22" s="5">
        <f>I22*44.6596*M22</f>
        <v>234.51432522927593</v>
      </c>
      <c r="O22" s="5">
        <v>215.9</v>
      </c>
      <c r="P22" s="5">
        <v>220.1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SN029</vt:lpstr>
      <vt:lpstr>SN034</vt:lpstr>
      <vt:lpstr>Data Translator</vt:lpstr>
      <vt:lpstr>old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Benjamin Werb</cp:lastModifiedBy>
  <dcterms:created xsi:type="dcterms:W3CDTF">2019-09-24T20:16:56Z</dcterms:created>
  <dcterms:modified xsi:type="dcterms:W3CDTF">2026-07-20T23:36:01Z</dcterms:modified>
</cp:coreProperties>
</file>