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Volumes/ProjectLibrary/901807_DoradoBioAcoustics/DesignDocs/"/>
    </mc:Choice>
  </mc:AlternateContent>
  <xr:revisionPtr revIDLastSave="0" documentId="12_ncr:500000_{29E648F0-B60A-E04E-9148-BE0A471B4960}" xr6:coauthVersionLast="31" xr6:coauthVersionMax="31" xr10:uidLastSave="{00000000-0000-0000-0000-000000000000}"/>
  <bookViews>
    <workbookView xWindow="0" yWindow="440" windowWidth="40860" windowHeight="28360" tabRatio="500" xr2:uid="{00000000-000D-0000-FFFF-FFFF00000000}"/>
  </bookViews>
  <sheets>
    <sheet name="2018 Conceptual Budget" sheetId="5" r:id="rId1"/>
    <sheet name="2018 Final Budget" sheetId="4" r:id="rId2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1" i="5" l="1"/>
  <c r="O20" i="5"/>
  <c r="M20" i="5"/>
  <c r="I15" i="4"/>
  <c r="I45" i="5"/>
  <c r="L19" i="5"/>
  <c r="L18" i="5"/>
  <c r="L17" i="5"/>
  <c r="L16" i="5"/>
  <c r="F48" i="5"/>
  <c r="M19" i="5"/>
  <c r="F47" i="5"/>
  <c r="F46" i="5"/>
  <c r="F45" i="5"/>
  <c r="I44" i="5" s="1"/>
  <c r="I46" i="5" s="1"/>
  <c r="O19" i="5" s="1"/>
  <c r="N19" i="5" l="1"/>
  <c r="F14" i="5"/>
  <c r="I36" i="5"/>
  <c r="M18" i="5" s="1"/>
  <c r="I21" i="5"/>
  <c r="M17" i="5" s="1"/>
  <c r="I6" i="5"/>
  <c r="M16" i="5" s="1"/>
  <c r="F39" i="5"/>
  <c r="F38" i="5"/>
  <c r="F37" i="5"/>
  <c r="F36" i="5"/>
  <c r="F35" i="5"/>
  <c r="I33" i="4"/>
  <c r="I12" i="4"/>
  <c r="I24" i="4"/>
  <c r="F15" i="5"/>
  <c r="F20" i="5"/>
  <c r="F21" i="5"/>
  <c r="F22" i="5"/>
  <c r="F23" i="5"/>
  <c r="F24" i="5"/>
  <c r="F25" i="5"/>
  <c r="F26" i="5"/>
  <c r="F27" i="5"/>
  <c r="F28" i="5"/>
  <c r="F29" i="5"/>
  <c r="F30" i="5"/>
  <c r="F5" i="5"/>
  <c r="F6" i="5"/>
  <c r="F7" i="5"/>
  <c r="F8" i="5"/>
  <c r="F9" i="5"/>
  <c r="F10" i="5"/>
  <c r="F11" i="5"/>
  <c r="F12" i="5"/>
  <c r="F13" i="5"/>
  <c r="I35" i="5" l="1"/>
  <c r="I5" i="5"/>
  <c r="I20" i="5"/>
  <c r="B41" i="4"/>
  <c r="E2" i="4"/>
  <c r="E3" i="4"/>
  <c r="E4" i="4"/>
  <c r="E5" i="4"/>
  <c r="E6" i="4"/>
  <c r="E34" i="4" s="1"/>
  <c r="E7" i="4"/>
  <c r="E8" i="4"/>
  <c r="E9" i="4"/>
  <c r="E10" i="4"/>
  <c r="E11" i="4"/>
  <c r="E12" i="4"/>
  <c r="E14" i="4"/>
  <c r="E15" i="4"/>
  <c r="E17" i="4"/>
  <c r="E18" i="4"/>
  <c r="E19" i="4"/>
  <c r="E22" i="4"/>
  <c r="E20" i="4"/>
  <c r="E21" i="4"/>
  <c r="E23" i="4"/>
  <c r="E24" i="4"/>
  <c r="E27" i="4"/>
  <c r="E28" i="4"/>
  <c r="E30" i="4"/>
  <c r="E31" i="4"/>
  <c r="E32" i="4"/>
  <c r="E33" i="4"/>
  <c r="I22" i="5" l="1"/>
  <c r="O17" i="5" s="1"/>
  <c r="N17" i="5"/>
  <c r="I7" i="5"/>
  <c r="O16" i="5" s="1"/>
  <c r="N16" i="5"/>
  <c r="I37" i="5"/>
  <c r="O18" i="5" s="1"/>
  <c r="N18" i="5"/>
  <c r="E35" i="4"/>
  <c r="E36" i="4"/>
</calcChain>
</file>

<file path=xl/sharedStrings.xml><?xml version="1.0" encoding="utf-8"?>
<sst xmlns="http://schemas.openxmlformats.org/spreadsheetml/2006/main" count="117" uniqueCount="80">
  <si>
    <t>Item</t>
  </si>
  <si>
    <t>Group</t>
  </si>
  <si>
    <t>Wet Cabling</t>
  </si>
  <si>
    <t>Cost</t>
  </si>
  <si>
    <t>AUV Host Cable</t>
  </si>
  <si>
    <t>Quantity</t>
  </si>
  <si>
    <t>Transducer {A:D} Bulkhead</t>
  </si>
  <si>
    <t>Transducer {A:D} Cable</t>
  </si>
  <si>
    <t>Transducer {A:D} Dummy</t>
  </si>
  <si>
    <t>AUV Host Dummy</t>
  </si>
  <si>
    <t>Download GigE Cable</t>
  </si>
  <si>
    <t>Download GigE Dummy</t>
  </si>
  <si>
    <t>Subtotal:</t>
  </si>
  <si>
    <t>Total:</t>
  </si>
  <si>
    <t>Subsea Housing</t>
  </si>
  <si>
    <t>1,500-m Tolerant 1 ATM Housing</t>
  </si>
  <si>
    <t>Compact 4-port Network Switch</t>
  </si>
  <si>
    <t>Power Electronics</t>
  </si>
  <si>
    <t>Compact Small Board Computer</t>
  </si>
  <si>
    <t>Fairing Section</t>
  </si>
  <si>
    <t>Dorado Mechanical</t>
  </si>
  <si>
    <t>Mounting Brackets</t>
  </si>
  <si>
    <t>Syntactic Foam</t>
  </si>
  <si>
    <t>Windows Software License</t>
  </si>
  <si>
    <t>Housing Chassis</t>
  </si>
  <si>
    <t>Miscellaneous Components</t>
  </si>
  <si>
    <t>Fairing Hardware</t>
  </si>
  <si>
    <t>Anodizing For Housing</t>
  </si>
  <si>
    <t>AUV Host Bulkhead ()</t>
  </si>
  <si>
    <t>Download GigE Bulkhead (NETG)</t>
  </si>
  <si>
    <t>Download Bench Cable</t>
  </si>
  <si>
    <t>AUV Host Bench Cable</t>
  </si>
  <si>
    <t>Sonar</t>
  </si>
  <si>
    <t>70 kHz license</t>
  </si>
  <si>
    <t>70 CDK transducers</t>
  </si>
  <si>
    <t>Tax:</t>
  </si>
  <si>
    <t xml:space="preserve">Total </t>
  </si>
  <si>
    <t xml:space="preserve"> </t>
  </si>
  <si>
    <t>Support Gear</t>
  </si>
  <si>
    <t>Dedicated laptop control computer</t>
  </si>
  <si>
    <t>External storage</t>
  </si>
  <si>
    <t>Account</t>
  </si>
  <si>
    <t>1500-567</t>
  </si>
  <si>
    <t>17" Nautilus Sphere</t>
  </si>
  <si>
    <t>Lincoln60e</t>
  </si>
  <si>
    <t>Unit</t>
  </si>
  <si>
    <t>Extended</t>
  </si>
  <si>
    <t>Housing Manager Board</t>
  </si>
  <si>
    <t>8 Cell Plastic Sphere Adaptor</t>
  </si>
  <si>
    <t>8 Cell Bent Aluminum Chassis</t>
  </si>
  <si>
    <t>Sphere Exterior Mounting Fixture</t>
  </si>
  <si>
    <t>Wet Connectors</t>
  </si>
  <si>
    <t>Batteries PH2054HD34 14.4V</t>
  </si>
  <si>
    <t>Category Total:</t>
  </si>
  <si>
    <t>Budgeted Amount:</t>
  </si>
  <si>
    <t>Shortfall/Surplus:</t>
  </si>
  <si>
    <t>Wet Cabling Total:</t>
  </si>
  <si>
    <t>Subsea Housing Total</t>
  </si>
  <si>
    <t>Dorado Mechanical Budget:</t>
  </si>
  <si>
    <t>Note: Need to get quotes for many of these.</t>
  </si>
  <si>
    <t>Transducer Forward Mounts</t>
  </si>
  <si>
    <t>Transducer Downward Mounts</t>
  </si>
  <si>
    <t>Foam Modifications</t>
  </si>
  <si>
    <t>Weight</t>
  </si>
  <si>
    <t>SBC</t>
  </si>
  <si>
    <t>SBC Accessories</t>
  </si>
  <si>
    <t>SBC Heat Pipe Plate</t>
  </si>
  <si>
    <t>8 Cell Battery PCB</t>
  </si>
  <si>
    <t>Flotation</t>
  </si>
  <si>
    <t>Transducer Equipment</t>
  </si>
  <si>
    <t>ES333-7CDK-SINGLE</t>
  </si>
  <si>
    <t>WBT Transceiver</t>
  </si>
  <si>
    <t>Software License</t>
  </si>
  <si>
    <t>Sales Tax</t>
  </si>
  <si>
    <t xml:space="preserve">Budgeted </t>
  </si>
  <si>
    <t>Projected</t>
  </si>
  <si>
    <t>Category</t>
  </si>
  <si>
    <t>Balance</t>
  </si>
  <si>
    <t>Excess</t>
  </si>
  <si>
    <t xml:space="preserve">Remaining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</si>
</sst>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4472C4"/>
      </top>
      <bottom/>
      <diagonal/>
    </border>
    <border>
      <left/>
      <right/>
      <top style="double">
        <color rgb="FF4472C4"/>
      </top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9" fillId="0" borderId="4" applyNumberFormat="0" applyFill="0" applyAlignment="0" applyProtection="0"/>
  </cellStyleXfs>
  <cellXfs count="48">
    <xf numFmtId="0" fontId="0" fillId="0" borderId="0" xfId="0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8" fontId="7" fillId="0" borderId="1" xfId="0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6" fontId="7" fillId="0" borderId="1" xfId="0" applyNumberFormat="1" applyFont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/>
    <xf numFmtId="0" fontId="6" fillId="4" borderId="1" xfId="0" applyFont="1" applyFill="1" applyBorder="1" applyAlignment="1">
      <alignment vertical="center"/>
    </xf>
    <xf numFmtId="8" fontId="8" fillId="3" borderId="2" xfId="0" applyNumberFormat="1" applyFont="1" applyFill="1" applyBorder="1" applyAlignment="1">
      <alignment horizontal="right" vertical="center"/>
    </xf>
    <xf numFmtId="8" fontId="8" fillId="3" borderId="3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8" fontId="8" fillId="3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" fontId="7" fillId="0" borderId="1" xfId="0" applyNumberFormat="1" applyFont="1" applyBorder="1" applyAlignment="1">
      <alignment horizontal="right" vertical="center"/>
    </xf>
    <xf numFmtId="1" fontId="7" fillId="3" borderId="1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horizontal="right" vertical="center"/>
    </xf>
    <xf numFmtId="1" fontId="8" fillId="3" borderId="3" xfId="0" applyNumberFormat="1" applyFont="1" applyFill="1" applyBorder="1" applyAlignment="1">
      <alignment horizontal="right" vertical="center"/>
    </xf>
    <xf numFmtId="1" fontId="8" fillId="3" borderId="0" xfId="0" applyNumberFormat="1" applyFont="1" applyFill="1" applyBorder="1" applyAlignment="1">
      <alignment horizontal="right" vertical="center"/>
    </xf>
    <xf numFmtId="44" fontId="0" fillId="0" borderId="0" xfId="7" applyFont="1"/>
    <xf numFmtId="0" fontId="10" fillId="0" borderId="5" xfId="0" applyFont="1" applyBorder="1"/>
    <xf numFmtId="0" fontId="0" fillId="0" borderId="6" xfId="0" applyBorder="1"/>
    <xf numFmtId="44" fontId="0" fillId="0" borderId="7" xfId="7" applyFont="1" applyBorder="1"/>
    <xf numFmtId="0" fontId="0" fillId="0" borderId="8" xfId="0" applyBorder="1"/>
    <xf numFmtId="0" fontId="0" fillId="0" borderId="10" xfId="0" applyBorder="1"/>
    <xf numFmtId="44" fontId="0" fillId="0" borderId="11" xfId="7" applyFont="1" applyBorder="1"/>
    <xf numFmtId="8" fontId="0" fillId="0" borderId="0" xfId="0" applyNumberFormat="1"/>
    <xf numFmtId="8" fontId="0" fillId="0" borderId="9" xfId="7" applyNumberFormat="1" applyFont="1" applyBorder="1"/>
    <xf numFmtId="0" fontId="9" fillId="0" borderId="4" xfId="8"/>
    <xf numFmtId="44" fontId="9" fillId="0" borderId="4" xfId="8" applyNumberFormat="1"/>
    <xf numFmtId="0" fontId="12" fillId="0" borderId="0" xfId="0" applyFont="1"/>
    <xf numFmtId="6" fontId="11" fillId="0" borderId="0" xfId="0" applyNumberFormat="1" applyFont="1"/>
    <xf numFmtId="6" fontId="12" fillId="0" borderId="0" xfId="0" applyNumberFormat="1" applyFont="1"/>
    <xf numFmtId="164" fontId="12" fillId="0" borderId="0" xfId="7" applyNumberFormat="1" applyFont="1"/>
  </cellXfs>
  <cellStyles count="9">
    <cellStyle name="Currency" xfId="7" builtinId="4"/>
    <cellStyle name="Followed Hyperlink" xfId="2" builtinId="9" hidden="1"/>
    <cellStyle name="Followed Hyperlink" xfId="4" builtinId="9" hidden="1"/>
    <cellStyle name="Followed Hyperlink" xfId="6" builtinId="9" hidden="1"/>
    <cellStyle name="Heading 1" xfId="8" builtinId="16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3">
    <dxf>
      <numFmt numFmtId="1" formatCode="0"/>
    </dxf>
    <dxf>
      <border outline="0">
        <left style="medium">
          <color rgb="FF4472C4"/>
        </left>
        <right style="medium">
          <color rgb="FF4472C4"/>
        </right>
        <top style="medium">
          <color rgb="FF4472C4"/>
        </top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none"/>
      </font>
      <fill>
        <patternFill patternType="solid">
          <fgColor indexed="64"/>
          <bgColor rgb="FF4472C4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"/>
        <family val="2"/>
        <scheme val="minor"/>
      </font>
      <numFmt numFmtId="10" formatCode="&quot;$&quot;#,##0_);[Red]\(&quot;$&quot;#,##0\)"/>
    </dxf>
    <dxf>
      <font>
        <strike val="0"/>
        <outline val="0"/>
        <shadow val="0"/>
        <u val="none"/>
        <vertAlign val="baseline"/>
        <sz val="12"/>
        <color theme="3"/>
        <name val="Calibri"/>
        <family val="2"/>
        <scheme val="minor"/>
      </font>
      <numFmt numFmtId="10" formatCode="&quot;$&quot;#,##0_);[Red]\(&quot;$&quot;#,##0\)"/>
    </dxf>
    <dxf>
      <font>
        <strike val="0"/>
        <outline val="0"/>
        <shadow val="0"/>
        <u val="none"/>
        <vertAlign val="baseline"/>
        <sz val="12"/>
        <color theme="3"/>
        <name val="Calibri"/>
        <family val="2"/>
        <scheme val="minor"/>
      </font>
      <numFmt numFmtId="10" formatCode="&quot;$&quot;#,##0_);[Red]\(&quot;$&quot;#,##0\)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C4:F15" totalsRowShown="0">
  <autoFilter ref="C4:F15" xr:uid="{00000000-0009-0000-0100-000002000000}"/>
  <tableColumns count="4">
    <tableColumn id="1" xr3:uid="{00000000-0010-0000-0000-000001000000}" name="Item"/>
    <tableColumn id="2" xr3:uid="{00000000-0010-0000-0000-000002000000}" name="Quantity"/>
    <tableColumn id="3" xr3:uid="{00000000-0010-0000-0000-000003000000}" name="Unit" dataCellStyle="Currency"/>
    <tableColumn id="4" xr3:uid="{00000000-0010-0000-0000-000004000000}" name="Extended" dataCellStyle="Currency">
      <calculatedColumnFormula>Table2[[#This Row],[Unit]]*Table2[[#This Row],[Quantity]]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C19:F30" totalsRowShown="0" headerRowDxfId="8" headerRowBorderDxfId="7" tableBorderDxfId="6">
  <autoFilter ref="C19:F30" xr:uid="{00000000-0009-0000-0100-000004000000}"/>
  <tableColumns count="4">
    <tableColumn id="1" xr3:uid="{00000000-0010-0000-0100-000001000000}" name="Item"/>
    <tableColumn id="2" xr3:uid="{00000000-0010-0000-0100-000002000000}" name="Quantity"/>
    <tableColumn id="3" xr3:uid="{00000000-0010-0000-0100-000003000000}" name="Unit" dataCellStyle="Currency"/>
    <tableColumn id="4" xr3:uid="{00000000-0010-0000-0100-000004000000}" name="Extended" dataCellStyle="Currency">
      <calculatedColumnFormula>Table4[[#This Row],[Unit]]*Table4[[#This Row],[Quantity]]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27" displayName="Table27" ref="C34:F39" totalsRowShown="0">
  <autoFilter ref="C34:F39" xr:uid="{00000000-0009-0000-0100-000006000000}"/>
  <tableColumns count="4">
    <tableColumn id="1" xr3:uid="{00000000-0010-0000-0200-000001000000}" name="Item"/>
    <tableColumn id="2" xr3:uid="{00000000-0010-0000-0200-000002000000}" name="Quantity"/>
    <tableColumn id="3" xr3:uid="{00000000-0010-0000-0200-000003000000}" name="Unit" dataCellStyle="Currency"/>
    <tableColumn id="4" xr3:uid="{00000000-0010-0000-0200-000004000000}" name="Extended" dataCellStyle="Currency">
      <calculatedColumnFormula>Table27[[#This Row],[Unit]]*Table27[[#This Row],[Quantity]]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ACC98F-3515-8148-88C1-674E8B3F6797}" name="Table272" displayName="Table272" ref="C44:F48" totalsRowShown="0">
  <autoFilter ref="C44:F48" xr:uid="{411B5D80-818C-8B40-B9F4-5C73801F3A4F}"/>
  <tableColumns count="4">
    <tableColumn id="1" xr3:uid="{53B58C3B-E478-F544-9D8B-CAAE292728BE}" name="Item"/>
    <tableColumn id="2" xr3:uid="{9CCECAD6-59AB-B74C-BFA7-E9FC092DCF34}" name="Quantity"/>
    <tableColumn id="3" xr3:uid="{481F9CD6-DFF7-5345-8F3D-A8FC9106A817}" name="Unit" dataCellStyle="Currency"/>
    <tableColumn id="4" xr3:uid="{95F8C8D9-28D3-5C46-B385-566E023D07AF}" name="Extended" dataCellStyle="Currency">
      <calculatedColumnFormula>Table272[[#This Row],[Unit]]*Table272[[#This Row],[Quantity]]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F550BC-FC92-8743-B928-B6D9E825D79C}" name="Table5" displayName="Table5" ref="L15:O20" totalsRowShown="0">
  <autoFilter ref="L15:O20" xr:uid="{30809CF5-D368-A247-A4A0-00BB5D3571C6}"/>
  <tableColumns count="4">
    <tableColumn id="1" xr3:uid="{DE100FDD-F494-A643-83F6-29391B7668D9}" name="Category"/>
    <tableColumn id="2" xr3:uid="{E01BE5A7-68B8-394C-AEFD-60907A5B4E46}" name="Budgeted " dataDxfId="5"/>
    <tableColumn id="3" xr3:uid="{E1EC9221-DFB2-494A-9BE5-FC59D2F21624}" name="Projected" dataDxfId="4"/>
    <tableColumn id="4" xr3:uid="{EF813C63-0513-FB4E-8E8A-FB91E035136E}" name="Balance" dataDxfId="3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F36" totalsRowShown="0" headerRowDxfId="2" tableBorderDxfId="1">
  <autoFilter ref="A1:F36" xr:uid="{00000000-0009-0000-0100-000003000000}"/>
  <tableColumns count="6">
    <tableColumn id="1" xr3:uid="{00000000-0010-0000-0300-000001000000}" name="Group"/>
    <tableColumn id="2" xr3:uid="{00000000-0010-0000-0300-000002000000}" name="Item"/>
    <tableColumn id="3" xr3:uid="{00000000-0010-0000-0300-000003000000}" name="Quantity"/>
    <tableColumn id="4" xr3:uid="{00000000-0010-0000-0300-000004000000}" name="Cost"/>
    <tableColumn id="5" xr3:uid="{00000000-0010-0000-0300-000005000000}" name="Total "/>
    <tableColumn id="6" xr3:uid="{00000000-0010-0000-0300-000006000000}" name="Accoun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8"/>
  <sheetViews>
    <sheetView showGridLines="0" tabSelected="1" zoomScale="108" zoomScaleNormal="230" workbookViewId="0">
      <selection activeCell="G41" sqref="G41"/>
    </sheetView>
  </sheetViews>
  <sheetFormatPr baseColWidth="10" defaultRowHeight="16" x14ac:dyDescent="0.2"/>
  <cols>
    <col min="1" max="1" width="4" customWidth="1"/>
    <col min="2" max="2" width="5.1640625" customWidth="1"/>
    <col min="3" max="3" width="28.5" customWidth="1"/>
    <col min="5" max="5" width="13" customWidth="1"/>
    <col min="6" max="6" width="15" customWidth="1"/>
    <col min="8" max="8" width="17.5" customWidth="1"/>
    <col min="9" max="9" width="20.6640625" customWidth="1"/>
    <col min="11" max="11" width="17.6640625" customWidth="1"/>
    <col min="12" max="12" width="20.33203125" customWidth="1"/>
    <col min="13" max="15" width="15" customWidth="1"/>
  </cols>
  <sheetData>
    <row r="2" spans="2:15" ht="21" thickBot="1" x14ac:dyDescent="0.3">
      <c r="B2" s="42" t="s">
        <v>14</v>
      </c>
      <c r="C2" s="42"/>
      <c r="D2" s="42"/>
      <c r="E2" s="42"/>
      <c r="F2" s="42"/>
      <c r="G2" s="42"/>
      <c r="H2" s="42"/>
      <c r="I2" s="42"/>
    </row>
    <row r="3" spans="2:15" ht="17" thickTop="1" x14ac:dyDescent="0.2"/>
    <row r="4" spans="2:15" ht="17" thickBot="1" x14ac:dyDescent="0.25">
      <c r="C4" t="s">
        <v>0</v>
      </c>
      <c r="D4" t="s">
        <v>5</v>
      </c>
      <c r="E4" t="s">
        <v>45</v>
      </c>
      <c r="F4" t="s">
        <v>46</v>
      </c>
    </row>
    <row r="5" spans="2:15" x14ac:dyDescent="0.2">
      <c r="C5" t="s">
        <v>43</v>
      </c>
      <c r="D5">
        <v>1</v>
      </c>
      <c r="E5" s="33">
        <v>1300</v>
      </c>
      <c r="F5" s="33">
        <f>Table2[[#This Row],[Unit]]*Table2[[#This Row],[Quantity]]</f>
        <v>1300</v>
      </c>
      <c r="H5" s="35" t="s">
        <v>53</v>
      </c>
      <c r="I5" s="36">
        <f>SUM(Table2[Extended])</f>
        <v>10504.72</v>
      </c>
    </row>
    <row r="6" spans="2:15" x14ac:dyDescent="0.2">
      <c r="C6" t="s">
        <v>44</v>
      </c>
      <c r="D6">
        <v>1</v>
      </c>
      <c r="E6" s="33">
        <v>100</v>
      </c>
      <c r="F6" s="33">
        <f>Table2[[#This Row],[Unit]]*Table2[[#This Row],[Quantity]]</f>
        <v>100</v>
      </c>
      <c r="H6" s="37" t="s">
        <v>54</v>
      </c>
      <c r="I6" s="41">
        <f>'2018 Final Budget'!I24</f>
        <v>11968</v>
      </c>
    </row>
    <row r="7" spans="2:15" ht="17" thickBot="1" x14ac:dyDescent="0.25">
      <c r="C7" t="s">
        <v>47</v>
      </c>
      <c r="D7">
        <v>1</v>
      </c>
      <c r="E7" s="33">
        <v>2000</v>
      </c>
      <c r="F7" s="33">
        <f>Table2[[#This Row],[Unit]]*Table2[[#This Row],[Quantity]]</f>
        <v>2000</v>
      </c>
      <c r="H7" s="38" t="s">
        <v>55</v>
      </c>
      <c r="I7" s="39">
        <f>I6-I5</f>
        <v>1463.2800000000007</v>
      </c>
    </row>
    <row r="8" spans="2:15" x14ac:dyDescent="0.2">
      <c r="C8" t="s">
        <v>48</v>
      </c>
      <c r="D8">
        <v>1</v>
      </c>
      <c r="E8" s="33"/>
      <c r="F8" s="33">
        <f>Table2[[#This Row],[Unit]]*Table2[[#This Row],[Quantity]]</f>
        <v>0</v>
      </c>
    </row>
    <row r="9" spans="2:15" x14ac:dyDescent="0.2">
      <c r="C9" t="s">
        <v>49</v>
      </c>
      <c r="D9">
        <v>1</v>
      </c>
      <c r="E9" s="33"/>
      <c r="F9" s="33">
        <f>Table2[[#This Row],[Unit]]*Table2[[#This Row],[Quantity]]</f>
        <v>0</v>
      </c>
    </row>
    <row r="10" spans="2:15" x14ac:dyDescent="0.2">
      <c r="C10" t="s">
        <v>50</v>
      </c>
      <c r="D10">
        <v>1</v>
      </c>
      <c r="E10" s="33"/>
      <c r="F10" s="33">
        <f>Table2[[#This Row],[Unit]]*Table2[[#This Row],[Quantity]]</f>
        <v>0</v>
      </c>
    </row>
    <row r="11" spans="2:15" x14ac:dyDescent="0.2">
      <c r="C11" t="s">
        <v>64</v>
      </c>
      <c r="D11">
        <v>2</v>
      </c>
      <c r="E11" s="33">
        <v>2700</v>
      </c>
      <c r="F11" s="33">
        <f>Table2[[#This Row],[Unit]]*Table2[[#This Row],[Quantity]]</f>
        <v>5400</v>
      </c>
    </row>
    <row r="12" spans="2:15" x14ac:dyDescent="0.2">
      <c r="C12" t="s">
        <v>65</v>
      </c>
      <c r="D12">
        <v>2</v>
      </c>
      <c r="E12" s="33">
        <v>151.19999999999999</v>
      </c>
      <c r="F12" s="33">
        <f>Table2[[#This Row],[Unit]]*Table2[[#This Row],[Quantity]]</f>
        <v>302.39999999999998</v>
      </c>
    </row>
    <row r="13" spans="2:15" x14ac:dyDescent="0.2">
      <c r="C13" t="s">
        <v>66</v>
      </c>
      <c r="D13">
        <v>1</v>
      </c>
      <c r="E13" s="33">
        <v>58</v>
      </c>
      <c r="F13" s="33">
        <f>Table2[[#This Row],[Unit]]*Table2[[#This Row],[Quantity]]</f>
        <v>58</v>
      </c>
    </row>
    <row r="14" spans="2:15" x14ac:dyDescent="0.2">
      <c r="C14" t="s">
        <v>67</v>
      </c>
      <c r="D14">
        <v>1</v>
      </c>
      <c r="E14" s="33">
        <v>0</v>
      </c>
      <c r="F14" s="33">
        <f>Table2[[#This Row],[Unit]]*Table2[[#This Row],[Quantity]]</f>
        <v>0</v>
      </c>
    </row>
    <row r="15" spans="2:15" x14ac:dyDescent="0.2">
      <c r="C15" t="s">
        <v>52</v>
      </c>
      <c r="D15">
        <v>8</v>
      </c>
      <c r="E15" s="33">
        <v>168.04</v>
      </c>
      <c r="F15" s="33">
        <f>Table2[[#This Row],[Unit]]*Table2[[#This Row],[Quantity]]</f>
        <v>1344.32</v>
      </c>
      <c r="L15" t="s">
        <v>76</v>
      </c>
      <c r="M15" t="s">
        <v>74</v>
      </c>
      <c r="N15" t="s">
        <v>75</v>
      </c>
      <c r="O15" t="s">
        <v>77</v>
      </c>
    </row>
    <row r="16" spans="2:15" x14ac:dyDescent="0.2">
      <c r="E16" s="33"/>
      <c r="F16" s="33"/>
      <c r="L16" t="str">
        <f>B2</f>
        <v>Subsea Housing</v>
      </c>
      <c r="M16" s="45">
        <f>I6</f>
        <v>11968</v>
      </c>
      <c r="N16" s="45">
        <f>I5</f>
        <v>10504.72</v>
      </c>
      <c r="O16" s="45">
        <f>I7</f>
        <v>1463.2800000000007</v>
      </c>
    </row>
    <row r="17" spans="2:15" ht="21" thickBot="1" x14ac:dyDescent="0.3">
      <c r="B17" s="42" t="s">
        <v>51</v>
      </c>
      <c r="C17" s="42"/>
      <c r="D17" s="42"/>
      <c r="E17" s="43"/>
      <c r="F17" s="43"/>
      <c r="G17" s="42"/>
      <c r="H17" s="42"/>
      <c r="I17" s="42"/>
      <c r="L17" t="str">
        <f>B17</f>
        <v>Wet Connectors</v>
      </c>
      <c r="M17" s="45">
        <f>I21</f>
        <v>10820.76</v>
      </c>
      <c r="N17" s="45">
        <f>I20</f>
        <v>11755.76</v>
      </c>
      <c r="O17" s="45">
        <f>I22</f>
        <v>-935</v>
      </c>
    </row>
    <row r="18" spans="2:15" ht="17" thickTop="1" x14ac:dyDescent="0.2">
      <c r="L18" t="str">
        <f>B32</f>
        <v>Dorado Mechanical</v>
      </c>
      <c r="M18" s="45">
        <f>I36</f>
        <v>8690</v>
      </c>
      <c r="N18" s="45">
        <f>I35</f>
        <v>0</v>
      </c>
      <c r="O18" s="45">
        <f>I37</f>
        <v>8690</v>
      </c>
    </row>
    <row r="19" spans="2:15" ht="17" thickBot="1" x14ac:dyDescent="0.25">
      <c r="C19" s="34" t="s">
        <v>0</v>
      </c>
      <c r="D19" s="34" t="s">
        <v>5</v>
      </c>
      <c r="E19" s="34" t="s">
        <v>45</v>
      </c>
      <c r="F19" s="34" t="s">
        <v>46</v>
      </c>
      <c r="L19" t="str">
        <f>B42</f>
        <v>Transducer Equipment</v>
      </c>
      <c r="M19" s="45">
        <f>I45</f>
        <v>63648</v>
      </c>
      <c r="N19" s="45">
        <f>I44</f>
        <v>60921.5</v>
      </c>
      <c r="O19" s="45">
        <f>I46</f>
        <v>2726.5</v>
      </c>
    </row>
    <row r="20" spans="2:15" x14ac:dyDescent="0.2">
      <c r="C20" t="s">
        <v>29</v>
      </c>
      <c r="D20">
        <v>1</v>
      </c>
      <c r="E20" s="33">
        <v>1200</v>
      </c>
      <c r="F20" s="33">
        <f>Table4[[#This Row],[Unit]]*Table4[[#This Row],[Quantity]]</f>
        <v>1200</v>
      </c>
      <c r="H20" s="35" t="s">
        <v>53</v>
      </c>
      <c r="I20" s="36">
        <f>SUM(Table4[Extended])</f>
        <v>11755.76</v>
      </c>
      <c r="L20" t="s">
        <v>78</v>
      </c>
      <c r="M20" s="45">
        <f>35534-SUM(M16:M18)</f>
        <v>4055.239999999998</v>
      </c>
      <c r="N20" s="46"/>
      <c r="O20" s="45">
        <f>Table5[[#This Row],[Budgeted ]]</f>
        <v>4055.239999999998</v>
      </c>
    </row>
    <row r="21" spans="2:15" x14ac:dyDescent="0.2">
      <c r="C21" t="s">
        <v>10</v>
      </c>
      <c r="D21">
        <v>1</v>
      </c>
      <c r="E21" s="33">
        <v>600</v>
      </c>
      <c r="F21" s="33">
        <f>Table4[[#This Row],[Unit]]*Table4[[#This Row],[Quantity]]</f>
        <v>600</v>
      </c>
      <c r="H21" s="37" t="s">
        <v>54</v>
      </c>
      <c r="I21" s="41">
        <f>'2018 Final Budget'!I12</f>
        <v>10820.76</v>
      </c>
      <c r="N21" s="44" t="s">
        <v>79</v>
      </c>
      <c r="O21" s="47">
        <f>SUM(Table5[Balance])</f>
        <v>16000.019999999999</v>
      </c>
    </row>
    <row r="22" spans="2:15" ht="17" thickBot="1" x14ac:dyDescent="0.25">
      <c r="C22" t="s">
        <v>30</v>
      </c>
      <c r="D22">
        <v>1</v>
      </c>
      <c r="E22" s="33">
        <v>900</v>
      </c>
      <c r="F22" s="33">
        <f>Table4[[#This Row],[Unit]]*Table4[[#This Row],[Quantity]]</f>
        <v>900</v>
      </c>
      <c r="H22" s="38" t="s">
        <v>55</v>
      </c>
      <c r="I22" s="39">
        <f>I21-I20</f>
        <v>-935</v>
      </c>
    </row>
    <row r="23" spans="2:15" x14ac:dyDescent="0.2">
      <c r="C23" t="s">
        <v>11</v>
      </c>
      <c r="D23">
        <v>2</v>
      </c>
      <c r="E23" s="33">
        <v>200</v>
      </c>
      <c r="F23" s="33">
        <f>Table4[[#This Row],[Unit]]*Table4[[#This Row],[Quantity]]</f>
        <v>400</v>
      </c>
    </row>
    <row r="24" spans="2:15" x14ac:dyDescent="0.2">
      <c r="C24" t="s">
        <v>28</v>
      </c>
      <c r="D24">
        <v>1</v>
      </c>
      <c r="E24" s="33">
        <v>1100</v>
      </c>
      <c r="F24" s="33">
        <f>Table4[[#This Row],[Unit]]*Table4[[#This Row],[Quantity]]</f>
        <v>1100</v>
      </c>
      <c r="H24" t="s">
        <v>59</v>
      </c>
    </row>
    <row r="25" spans="2:15" x14ac:dyDescent="0.2">
      <c r="C25" t="s">
        <v>4</v>
      </c>
      <c r="D25">
        <v>1</v>
      </c>
      <c r="E25" s="33">
        <v>2200</v>
      </c>
      <c r="F25" s="33">
        <f>Table4[[#This Row],[Unit]]*Table4[[#This Row],[Quantity]]</f>
        <v>2200</v>
      </c>
    </row>
    <row r="26" spans="2:15" x14ac:dyDescent="0.2">
      <c r="C26" t="s">
        <v>31</v>
      </c>
      <c r="D26">
        <v>1</v>
      </c>
      <c r="E26" s="33">
        <v>1100</v>
      </c>
      <c r="F26" s="33">
        <f>Table4[[#This Row],[Unit]]*Table4[[#This Row],[Quantity]]</f>
        <v>1100</v>
      </c>
    </row>
    <row r="27" spans="2:15" x14ac:dyDescent="0.2">
      <c r="C27" t="s">
        <v>9</v>
      </c>
      <c r="D27">
        <v>2</v>
      </c>
      <c r="E27" s="33">
        <v>400</v>
      </c>
      <c r="F27" s="33">
        <f>Table4[[#This Row],[Unit]]*Table4[[#This Row],[Quantity]]</f>
        <v>800</v>
      </c>
    </row>
    <row r="28" spans="2:15" x14ac:dyDescent="0.2">
      <c r="C28" t="s">
        <v>6</v>
      </c>
      <c r="D28">
        <v>4</v>
      </c>
      <c r="E28" s="33">
        <v>330.44</v>
      </c>
      <c r="F28" s="33">
        <f>Table4[[#This Row],[Unit]]*Table4[[#This Row],[Quantity]]</f>
        <v>1321.76</v>
      </c>
    </row>
    <row r="29" spans="2:15" x14ac:dyDescent="0.2">
      <c r="C29" t="s">
        <v>7</v>
      </c>
      <c r="D29">
        <v>4</v>
      </c>
      <c r="E29" s="33">
        <v>445.5</v>
      </c>
      <c r="F29" s="33">
        <f>Table4[[#This Row],[Unit]]*Table4[[#This Row],[Quantity]]</f>
        <v>1782</v>
      </c>
    </row>
    <row r="30" spans="2:15" x14ac:dyDescent="0.2">
      <c r="C30" t="s">
        <v>8</v>
      </c>
      <c r="D30">
        <v>8</v>
      </c>
      <c r="E30" s="33">
        <v>44</v>
      </c>
      <c r="F30" s="33">
        <f>Table4[[#This Row],[Unit]]*Table4[[#This Row],[Quantity]]</f>
        <v>352</v>
      </c>
    </row>
    <row r="32" spans="2:15" ht="21" thickBot="1" x14ac:dyDescent="0.3">
      <c r="B32" s="42" t="s">
        <v>20</v>
      </c>
      <c r="C32" s="42"/>
      <c r="D32" s="42"/>
      <c r="E32" s="42"/>
      <c r="F32" s="42"/>
      <c r="G32" s="42"/>
      <c r="H32" s="42"/>
      <c r="I32" s="42"/>
    </row>
    <row r="33" spans="2:9" ht="17" thickTop="1" x14ac:dyDescent="0.2"/>
    <row r="34" spans="2:9" ht="17" thickBot="1" x14ac:dyDescent="0.25">
      <c r="C34" t="s">
        <v>0</v>
      </c>
      <c r="D34" t="s">
        <v>5</v>
      </c>
      <c r="E34" t="s">
        <v>45</v>
      </c>
      <c r="F34" t="s">
        <v>46</v>
      </c>
    </row>
    <row r="35" spans="2:9" x14ac:dyDescent="0.2">
      <c r="C35" t="s">
        <v>60</v>
      </c>
      <c r="D35">
        <v>1</v>
      </c>
      <c r="E35" s="33">
        <v>0</v>
      </c>
      <c r="F35" s="33">
        <f>Table27[[#This Row],[Unit]]*Table27[[#This Row],[Quantity]]</f>
        <v>0</v>
      </c>
      <c r="H35" s="35" t="s">
        <v>53</v>
      </c>
      <c r="I35" s="36">
        <f>SUM(Table27[Extended])</f>
        <v>0</v>
      </c>
    </row>
    <row r="36" spans="2:9" x14ac:dyDescent="0.2">
      <c r="C36" t="s">
        <v>61</v>
      </c>
      <c r="D36">
        <v>1</v>
      </c>
      <c r="E36" s="33">
        <v>0</v>
      </c>
      <c r="F36" s="33">
        <f>Table27[[#This Row],[Unit]]*Table27[[#This Row],[Quantity]]</f>
        <v>0</v>
      </c>
      <c r="H36" s="37" t="s">
        <v>54</v>
      </c>
      <c r="I36" s="41">
        <f>'2018 Final Budget'!I33</f>
        <v>8690</v>
      </c>
    </row>
    <row r="37" spans="2:9" ht="17" thickBot="1" x14ac:dyDescent="0.25">
      <c r="C37" t="s">
        <v>62</v>
      </c>
      <c r="D37">
        <v>1</v>
      </c>
      <c r="E37" s="33">
        <v>0</v>
      </c>
      <c r="F37" s="33">
        <f>Table27[[#This Row],[Unit]]*Table27[[#This Row],[Quantity]]</f>
        <v>0</v>
      </c>
      <c r="H37" s="38" t="s">
        <v>55</v>
      </c>
      <c r="I37" s="39">
        <f>I36-I35</f>
        <v>8690</v>
      </c>
    </row>
    <row r="38" spans="2:9" x14ac:dyDescent="0.2">
      <c r="C38" t="s">
        <v>63</v>
      </c>
      <c r="D38">
        <v>1</v>
      </c>
      <c r="E38" s="33">
        <v>0</v>
      </c>
      <c r="F38" s="33">
        <f>Table27[[#This Row],[Unit]]*Table27[[#This Row],[Quantity]]</f>
        <v>0</v>
      </c>
    </row>
    <row r="39" spans="2:9" x14ac:dyDescent="0.2">
      <c r="C39" t="s">
        <v>68</v>
      </c>
      <c r="D39">
        <v>1</v>
      </c>
      <c r="E39" s="33">
        <v>0</v>
      </c>
      <c r="F39" s="33">
        <f>Table27[[#This Row],[Unit]]*Table27[[#This Row],[Quantity]]</f>
        <v>0</v>
      </c>
    </row>
    <row r="40" spans="2:9" x14ac:dyDescent="0.2">
      <c r="E40" s="33"/>
      <c r="F40" s="33"/>
    </row>
    <row r="41" spans="2:9" x14ac:dyDescent="0.2">
      <c r="E41" s="33"/>
      <c r="F41" s="33"/>
    </row>
    <row r="42" spans="2:9" ht="21" thickBot="1" x14ac:dyDescent="0.3">
      <c r="B42" s="42" t="s">
        <v>69</v>
      </c>
      <c r="C42" s="42"/>
      <c r="D42" s="42"/>
      <c r="E42" s="42"/>
      <c r="F42" s="42"/>
      <c r="G42" s="42"/>
      <c r="H42" s="42"/>
      <c r="I42" s="42"/>
    </row>
    <row r="43" spans="2:9" ht="18" thickTop="1" thickBot="1" x14ac:dyDescent="0.25">
      <c r="E43" s="33"/>
      <c r="F43" s="33"/>
    </row>
    <row r="44" spans="2:9" x14ac:dyDescent="0.2">
      <c r="C44" t="s">
        <v>0</v>
      </c>
      <c r="D44" t="s">
        <v>5</v>
      </c>
      <c r="E44" t="s">
        <v>45</v>
      </c>
      <c r="F44" t="s">
        <v>46</v>
      </c>
      <c r="H44" s="35" t="s">
        <v>53</v>
      </c>
      <c r="I44" s="36">
        <f>SUM(Table272[Extended])</f>
        <v>60921.5</v>
      </c>
    </row>
    <row r="45" spans="2:9" x14ac:dyDescent="0.2">
      <c r="C45" t="s">
        <v>70</v>
      </c>
      <c r="D45">
        <v>3</v>
      </c>
      <c r="E45" s="33">
        <v>8000</v>
      </c>
      <c r="F45" s="33">
        <f>Table272[[#This Row],[Unit]]*Table272[[#This Row],[Quantity]]</f>
        <v>24000</v>
      </c>
      <c r="H45" s="37" t="s">
        <v>54</v>
      </c>
      <c r="I45" s="41">
        <f>'2018 Final Budget'!I15</f>
        <v>63648</v>
      </c>
    </row>
    <row r="46" spans="2:9" ht="17" thickBot="1" x14ac:dyDescent="0.25">
      <c r="C46" t="s">
        <v>71</v>
      </c>
      <c r="D46">
        <v>1</v>
      </c>
      <c r="E46" s="33">
        <v>17400</v>
      </c>
      <c r="F46" s="33">
        <f>Table272[[#This Row],[Unit]]*Table272[[#This Row],[Quantity]]</f>
        <v>17400</v>
      </c>
      <c r="H46" s="38" t="s">
        <v>55</v>
      </c>
      <c r="I46" s="39">
        <f>I45-I44</f>
        <v>2726.5</v>
      </c>
    </row>
    <row r="47" spans="2:9" x14ac:dyDescent="0.2">
      <c r="C47" t="s">
        <v>72</v>
      </c>
      <c r="D47">
        <v>1</v>
      </c>
      <c r="E47" s="33">
        <v>16313</v>
      </c>
      <c r="F47" s="33">
        <f>Table272[[#This Row],[Unit]]*Table272[[#This Row],[Quantity]]</f>
        <v>16313</v>
      </c>
    </row>
    <row r="48" spans="2:9" x14ac:dyDescent="0.2">
      <c r="C48" t="s">
        <v>73</v>
      </c>
      <c r="D48">
        <v>1</v>
      </c>
      <c r="E48" s="33">
        <v>3208.5</v>
      </c>
      <c r="F48" s="33">
        <f>Table272[[#This Row],[Unit]]*Table272[[#This Row],[Quantity]]</f>
        <v>3208.5</v>
      </c>
    </row>
  </sheetData>
  <conditionalFormatting sqref="I7">
    <cfRule type="cellIs" dxfId="12" priority="4" operator="lessThan">
      <formula>0</formula>
    </cfRule>
  </conditionalFormatting>
  <conditionalFormatting sqref="I22">
    <cfRule type="cellIs" dxfId="11" priority="3" operator="lessThan">
      <formula>0</formula>
    </cfRule>
  </conditionalFormatting>
  <conditionalFormatting sqref="I37">
    <cfRule type="cellIs" dxfId="10" priority="2" operator="lessThan">
      <formula>0</formula>
    </cfRule>
  </conditionalFormatting>
  <conditionalFormatting sqref="I46">
    <cfRule type="cellIs" dxfId="9" priority="1" operator="lessThan">
      <formula>0</formula>
    </cfRule>
  </conditionalFormatting>
  <pageMargins left="0.7" right="0.7" top="0.75" bottom="0.75" header="0.3" footer="0.3"/>
  <pageSetup scale="52" fitToHeight="0" orientation="landscape" horizontalDpi="0" verticalDpi="0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zoomScale="160" zoomScaleNormal="160" workbookViewId="0">
      <selection activeCell="I12" sqref="I12"/>
    </sheetView>
  </sheetViews>
  <sheetFormatPr baseColWidth="10" defaultRowHeight="16" x14ac:dyDescent="0.2"/>
  <cols>
    <col min="1" max="1" width="15.6640625" customWidth="1"/>
    <col min="2" max="2" width="33.6640625" customWidth="1"/>
  </cols>
  <sheetData>
    <row r="1" spans="1:9" ht="17" thickBot="1" x14ac:dyDescent="0.25">
      <c r="A1" s="21" t="s">
        <v>1</v>
      </c>
      <c r="B1" s="21" t="s">
        <v>0</v>
      </c>
      <c r="C1" s="21" t="s">
        <v>5</v>
      </c>
      <c r="D1" s="26" t="s">
        <v>3</v>
      </c>
      <c r="E1" s="22" t="s">
        <v>36</v>
      </c>
      <c r="F1" s="27" t="s">
        <v>41</v>
      </c>
    </row>
    <row r="2" spans="1:9" ht="17" thickBot="1" x14ac:dyDescent="0.25">
      <c r="A2" s="16" t="s">
        <v>2</v>
      </c>
      <c r="B2" s="1" t="s">
        <v>29</v>
      </c>
      <c r="C2" s="2">
        <v>1</v>
      </c>
      <c r="D2" s="3">
        <v>265</v>
      </c>
      <c r="E2" s="3">
        <f>Table3[[#This Row],[Cost]]*Table3[[#This Row],[Quantity]]</f>
        <v>265</v>
      </c>
      <c r="F2" s="28">
        <v>5360</v>
      </c>
    </row>
    <row r="3" spans="1:9" ht="17" thickBot="1" x14ac:dyDescent="0.25">
      <c r="A3" s="9" t="s">
        <v>37</v>
      </c>
      <c r="B3" s="1" t="s">
        <v>10</v>
      </c>
      <c r="C3" s="2">
        <v>1</v>
      </c>
      <c r="D3" s="3">
        <v>600</v>
      </c>
      <c r="E3" s="3">
        <f>Table3[[#This Row],[Cost]]*Table3[[#This Row],[Quantity]]</f>
        <v>600</v>
      </c>
      <c r="F3" s="28">
        <v>5360</v>
      </c>
    </row>
    <row r="4" spans="1:9" ht="17" thickBot="1" x14ac:dyDescent="0.25">
      <c r="A4" s="17"/>
      <c r="B4" s="1" t="s">
        <v>30</v>
      </c>
      <c r="C4" s="2">
        <v>1</v>
      </c>
      <c r="D4" s="3">
        <v>900</v>
      </c>
      <c r="E4" s="3">
        <f>Table3[[#This Row],[Cost]]*Table3[[#This Row],[Quantity]]</f>
        <v>900</v>
      </c>
      <c r="F4" s="28">
        <v>5360</v>
      </c>
    </row>
    <row r="5" spans="1:9" ht="17" thickBot="1" x14ac:dyDescent="0.25">
      <c r="A5" s="17"/>
      <c r="B5" s="1" t="s">
        <v>11</v>
      </c>
      <c r="C5" s="2">
        <v>2</v>
      </c>
      <c r="D5" s="3">
        <v>200</v>
      </c>
      <c r="E5" s="3">
        <f>Table3[[#This Row],[Cost]]*Table3[[#This Row],[Quantity]]</f>
        <v>400</v>
      </c>
      <c r="F5" s="28">
        <v>5360</v>
      </c>
    </row>
    <row r="6" spans="1:9" ht="17" thickBot="1" x14ac:dyDescent="0.25">
      <c r="A6" s="17"/>
      <c r="B6" s="1" t="s">
        <v>28</v>
      </c>
      <c r="C6" s="2">
        <v>1</v>
      </c>
      <c r="D6" s="3">
        <v>1100</v>
      </c>
      <c r="E6" s="3">
        <f>Table3[[#This Row],[Cost]]*Table3[[#This Row],[Quantity]]</f>
        <v>1100</v>
      </c>
      <c r="F6" s="28">
        <v>5360</v>
      </c>
    </row>
    <row r="7" spans="1:9" ht="17" thickBot="1" x14ac:dyDescent="0.25">
      <c r="A7" s="17"/>
      <c r="B7" s="1" t="s">
        <v>4</v>
      </c>
      <c r="C7" s="2">
        <v>1</v>
      </c>
      <c r="D7" s="3">
        <v>2200</v>
      </c>
      <c r="E7" s="3">
        <f>Table3[[#This Row],[Cost]]*Table3[[#This Row],[Quantity]]</f>
        <v>2200</v>
      </c>
      <c r="F7" s="28">
        <v>5360</v>
      </c>
    </row>
    <row r="8" spans="1:9" ht="17" thickBot="1" x14ac:dyDescent="0.25">
      <c r="A8" s="17"/>
      <c r="B8" s="1" t="s">
        <v>31</v>
      </c>
      <c r="C8" s="2">
        <v>1</v>
      </c>
      <c r="D8" s="3">
        <v>1100</v>
      </c>
      <c r="E8" s="3">
        <f>Table3[[#This Row],[Cost]]*Table3[[#This Row],[Quantity]]</f>
        <v>1100</v>
      </c>
      <c r="F8" s="28">
        <v>5360</v>
      </c>
    </row>
    <row r="9" spans="1:9" ht="17" thickBot="1" x14ac:dyDescent="0.25">
      <c r="A9" s="17"/>
      <c r="B9" s="1" t="s">
        <v>9</v>
      </c>
      <c r="C9" s="2">
        <v>2</v>
      </c>
      <c r="D9" s="3">
        <v>400</v>
      </c>
      <c r="E9" s="3">
        <f>Table3[[#This Row],[Cost]]*Table3[[#This Row],[Quantity]]</f>
        <v>800</v>
      </c>
      <c r="F9" s="28">
        <v>5360</v>
      </c>
    </row>
    <row r="10" spans="1:9" ht="17" thickBot="1" x14ac:dyDescent="0.25">
      <c r="A10" s="17"/>
      <c r="B10" s="1" t="s">
        <v>6</v>
      </c>
      <c r="C10" s="2">
        <v>4</v>
      </c>
      <c r="D10" s="3">
        <v>330.44</v>
      </c>
      <c r="E10" s="3">
        <f>Table3[[#This Row],[Cost]]*Table3[[#This Row],[Quantity]]</f>
        <v>1321.76</v>
      </c>
      <c r="F10" s="28">
        <v>5360</v>
      </c>
    </row>
    <row r="11" spans="1:9" ht="17" thickBot="1" x14ac:dyDescent="0.25">
      <c r="A11" s="17"/>
      <c r="B11" s="1" t="s">
        <v>7</v>
      </c>
      <c r="C11" s="2">
        <v>4</v>
      </c>
      <c r="D11" s="3">
        <v>445.5</v>
      </c>
      <c r="E11" s="3">
        <f>Table3[[#This Row],[Cost]]*Table3[[#This Row],[Quantity]]</f>
        <v>1782</v>
      </c>
      <c r="F11" s="28">
        <v>5360</v>
      </c>
    </row>
    <row r="12" spans="1:9" ht="17" thickBot="1" x14ac:dyDescent="0.25">
      <c r="A12" s="17"/>
      <c r="B12" s="1" t="s">
        <v>8</v>
      </c>
      <c r="C12" s="2">
        <v>8</v>
      </c>
      <c r="D12" s="3">
        <v>44</v>
      </c>
      <c r="E12" s="3">
        <f>Table3[[#This Row],[Cost]]*Table3[[#This Row],[Quantity]]</f>
        <v>352</v>
      </c>
      <c r="F12" s="28">
        <v>5360</v>
      </c>
      <c r="H12" t="s">
        <v>56</v>
      </c>
      <c r="I12" s="40">
        <f>SUM(E2:E12)</f>
        <v>10820.76</v>
      </c>
    </row>
    <row r="13" spans="1:9" ht="17" thickBot="1" x14ac:dyDescent="0.25">
      <c r="A13" s="4"/>
      <c r="B13" s="4"/>
      <c r="C13" s="5"/>
      <c r="D13" s="4"/>
      <c r="E13" s="4"/>
      <c r="F13" s="29"/>
    </row>
    <row r="14" spans="1:9" ht="17" thickBot="1" x14ac:dyDescent="0.25">
      <c r="A14" s="18" t="s">
        <v>32</v>
      </c>
      <c r="B14" s="6" t="s">
        <v>33</v>
      </c>
      <c r="C14" s="7">
        <v>1</v>
      </c>
      <c r="D14" s="8">
        <v>19470</v>
      </c>
      <c r="E14" s="3">
        <f>Table3[[#This Row],[Cost]]*Table3[[#This Row],[Quantity]]</f>
        <v>19470</v>
      </c>
      <c r="F14" s="28" t="s">
        <v>42</v>
      </c>
    </row>
    <row r="15" spans="1:9" ht="17" thickBot="1" x14ac:dyDescent="0.25">
      <c r="A15" s="6"/>
      <c r="B15" s="6" t="s">
        <v>34</v>
      </c>
      <c r="C15" s="7">
        <v>2</v>
      </c>
      <c r="D15" s="8">
        <v>19800</v>
      </c>
      <c r="E15" s="3">
        <f>Table3[[#This Row],[Cost]]*Table3[[#This Row],[Quantity]]</f>
        <v>39600</v>
      </c>
      <c r="F15" s="28">
        <v>5360</v>
      </c>
      <c r="H15" t="s">
        <v>32</v>
      </c>
      <c r="I15" s="40">
        <f>42669+20979</f>
        <v>63648</v>
      </c>
    </row>
    <row r="16" spans="1:9" ht="17" thickBot="1" x14ac:dyDescent="0.25">
      <c r="A16" s="4"/>
      <c r="B16" s="4"/>
      <c r="C16" s="5"/>
      <c r="D16" s="4"/>
      <c r="E16" s="4"/>
      <c r="F16" s="29"/>
    </row>
    <row r="17" spans="1:9" ht="17" thickBot="1" x14ac:dyDescent="0.25">
      <c r="A17" s="16" t="s">
        <v>14</v>
      </c>
      <c r="B17" s="1" t="s">
        <v>15</v>
      </c>
      <c r="C17" s="2">
        <v>1</v>
      </c>
      <c r="D17" s="3">
        <v>242</v>
      </c>
      <c r="E17" s="3">
        <f>Table3[[#This Row],[Cost]]*Table3[[#This Row],[Quantity]]</f>
        <v>242</v>
      </c>
      <c r="F17" s="28">
        <v>5360</v>
      </c>
    </row>
    <row r="18" spans="1:9" ht="17" thickBot="1" x14ac:dyDescent="0.25">
      <c r="A18" s="17"/>
      <c r="B18" s="1" t="s">
        <v>27</v>
      </c>
      <c r="C18" s="2">
        <v>1</v>
      </c>
      <c r="D18" s="3">
        <v>440</v>
      </c>
      <c r="E18" s="3">
        <f>Table3[[#This Row],[Cost]]*Table3[[#This Row],[Quantity]]</f>
        <v>440</v>
      </c>
      <c r="F18" s="28">
        <v>5360</v>
      </c>
    </row>
    <row r="19" spans="1:9" ht="17" thickBot="1" x14ac:dyDescent="0.25">
      <c r="A19" s="17"/>
      <c r="B19" s="1" t="s">
        <v>24</v>
      </c>
      <c r="C19" s="2">
        <v>1</v>
      </c>
      <c r="D19" s="3">
        <v>220</v>
      </c>
      <c r="E19" s="3">
        <f>Table3[[#This Row],[Cost]]*Table3[[#This Row],[Quantity]]</f>
        <v>220</v>
      </c>
      <c r="F19" s="28">
        <v>5360</v>
      </c>
    </row>
    <row r="20" spans="1:9" ht="17" thickBot="1" x14ac:dyDescent="0.25">
      <c r="A20" s="17"/>
      <c r="B20" s="1" t="s">
        <v>17</v>
      </c>
      <c r="C20" s="2">
        <v>1</v>
      </c>
      <c r="D20" s="3">
        <v>3300</v>
      </c>
      <c r="E20" s="3">
        <f>Table3[[#This Row],[Cost]]*Table3[[#This Row],[Quantity]]</f>
        <v>3300</v>
      </c>
      <c r="F20" s="28">
        <v>5360</v>
      </c>
    </row>
    <row r="21" spans="1:9" ht="17" thickBot="1" x14ac:dyDescent="0.25">
      <c r="A21" s="17"/>
      <c r="B21" s="1" t="s">
        <v>18</v>
      </c>
      <c r="C21" s="2">
        <v>2</v>
      </c>
      <c r="D21" s="3">
        <v>1760</v>
      </c>
      <c r="E21" s="3">
        <f>Table3[[#This Row],[Cost]]*Table3[[#This Row],[Quantity]]</f>
        <v>3520</v>
      </c>
      <c r="F21" s="28">
        <v>5300</v>
      </c>
    </row>
    <row r="22" spans="1:9" ht="17" thickBot="1" x14ac:dyDescent="0.25">
      <c r="A22" s="17"/>
      <c r="B22" s="1" t="s">
        <v>16</v>
      </c>
      <c r="C22" s="2">
        <v>2</v>
      </c>
      <c r="D22" s="3">
        <v>330</v>
      </c>
      <c r="E22" s="3">
        <f>Table3[[#This Row],[Cost]]*Table3[[#This Row],[Quantity]]</f>
        <v>660</v>
      </c>
      <c r="F22" s="28">
        <v>5300</v>
      </c>
    </row>
    <row r="23" spans="1:9" ht="17" thickBot="1" x14ac:dyDescent="0.25">
      <c r="A23" s="17"/>
      <c r="B23" s="1" t="s">
        <v>23</v>
      </c>
      <c r="C23" s="2">
        <v>2</v>
      </c>
      <c r="D23" s="3">
        <v>143</v>
      </c>
      <c r="E23" s="3">
        <f>Table3[[#This Row],[Cost]]*Table3[[#This Row],[Quantity]]</f>
        <v>286</v>
      </c>
      <c r="F23" s="28">
        <v>5310</v>
      </c>
    </row>
    <row r="24" spans="1:9" ht="17" thickBot="1" x14ac:dyDescent="0.25">
      <c r="A24" s="17"/>
      <c r="B24" s="1" t="s">
        <v>25</v>
      </c>
      <c r="C24" s="2">
        <v>1</v>
      </c>
      <c r="D24" s="3">
        <v>3300</v>
      </c>
      <c r="E24" s="3">
        <f>Table3[[#This Row],[Cost]]*Table3[[#This Row],[Quantity]]</f>
        <v>3300</v>
      </c>
      <c r="F24" s="28">
        <v>5360</v>
      </c>
      <c r="H24" t="s">
        <v>57</v>
      </c>
      <c r="I24" s="40">
        <f>SUM(E17:E24)</f>
        <v>11968</v>
      </c>
    </row>
    <row r="25" spans="1:9" ht="17" thickBot="1" x14ac:dyDescent="0.25">
      <c r="A25" s="4"/>
      <c r="B25" s="4"/>
      <c r="C25" s="5"/>
      <c r="D25" s="4"/>
      <c r="E25" s="4"/>
      <c r="F25" s="29"/>
    </row>
    <row r="26" spans="1:9" ht="17" thickBot="1" x14ac:dyDescent="0.25">
      <c r="A26" s="16" t="s">
        <v>38</v>
      </c>
      <c r="B26" s="1"/>
      <c r="C26" s="2"/>
      <c r="D26" s="9"/>
      <c r="E26" s="9"/>
      <c r="F26" s="28"/>
    </row>
    <row r="27" spans="1:9" ht="17" thickBot="1" x14ac:dyDescent="0.25">
      <c r="A27" s="16"/>
      <c r="B27" s="1" t="s">
        <v>39</v>
      </c>
      <c r="C27" s="2">
        <v>1</v>
      </c>
      <c r="D27" s="10">
        <v>1400</v>
      </c>
      <c r="E27" s="3">
        <f>Table3[[#This Row],[Cost]]*Table3[[#This Row],[Quantity]]</f>
        <v>1400</v>
      </c>
      <c r="F27" s="28">
        <v>5300</v>
      </c>
    </row>
    <row r="28" spans="1:9" ht="17" thickBot="1" x14ac:dyDescent="0.25">
      <c r="A28" s="16"/>
      <c r="B28" s="1" t="s">
        <v>40</v>
      </c>
      <c r="C28" s="2">
        <v>1</v>
      </c>
      <c r="D28" s="10">
        <v>500</v>
      </c>
      <c r="E28" s="3">
        <f>Table3[[#This Row],[Cost]]*Table3[[#This Row],[Quantity]]</f>
        <v>500</v>
      </c>
      <c r="F28" s="28">
        <v>5300</v>
      </c>
    </row>
    <row r="29" spans="1:9" ht="17" thickBot="1" x14ac:dyDescent="0.25">
      <c r="A29" s="4"/>
      <c r="B29" s="4"/>
      <c r="C29" s="5"/>
      <c r="D29" s="4"/>
      <c r="E29" s="4"/>
      <c r="F29" s="29"/>
    </row>
    <row r="30" spans="1:9" ht="17" thickBot="1" x14ac:dyDescent="0.25">
      <c r="A30" s="16" t="s">
        <v>20</v>
      </c>
      <c r="B30" s="1" t="s">
        <v>19</v>
      </c>
      <c r="C30" s="2">
        <v>1</v>
      </c>
      <c r="D30" s="3">
        <v>2200</v>
      </c>
      <c r="E30" s="3">
        <f>Table3[[#This Row],[Cost]]*Table3[[#This Row],[Quantity]]</f>
        <v>2200</v>
      </c>
      <c r="F30" s="28"/>
    </row>
    <row r="31" spans="1:9" ht="17" thickBot="1" x14ac:dyDescent="0.25">
      <c r="A31" s="17"/>
      <c r="B31" s="1" t="s">
        <v>26</v>
      </c>
      <c r="C31" s="2">
        <v>1</v>
      </c>
      <c r="D31" s="3">
        <v>550</v>
      </c>
      <c r="E31" s="3">
        <f>Table3[[#This Row],[Cost]]*Table3[[#This Row],[Quantity]]</f>
        <v>550</v>
      </c>
      <c r="F31" s="28"/>
    </row>
    <row r="32" spans="1:9" ht="17" thickBot="1" x14ac:dyDescent="0.25">
      <c r="A32" s="17"/>
      <c r="B32" s="1" t="s">
        <v>22</v>
      </c>
      <c r="C32" s="2">
        <v>1</v>
      </c>
      <c r="D32" s="3">
        <v>5500</v>
      </c>
      <c r="E32" s="3">
        <f>Table3[[#This Row],[Cost]]*Table3[[#This Row],[Quantity]]</f>
        <v>5500</v>
      </c>
      <c r="F32" s="28"/>
    </row>
    <row r="33" spans="1:9" ht="17" thickBot="1" x14ac:dyDescent="0.25">
      <c r="A33" s="17"/>
      <c r="B33" s="1" t="s">
        <v>21</v>
      </c>
      <c r="C33" s="2">
        <v>1</v>
      </c>
      <c r="D33" s="3">
        <v>440</v>
      </c>
      <c r="E33" s="3">
        <f>Table3[[#This Row],[Cost]]*Table3[[#This Row],[Quantity]]</f>
        <v>440</v>
      </c>
      <c r="F33" s="28"/>
      <c r="H33" t="s">
        <v>58</v>
      </c>
      <c r="I33" s="40">
        <f>SUM(E30:E33)</f>
        <v>8690</v>
      </c>
    </row>
    <row r="34" spans="1:9" ht="18" thickTop="1" thickBot="1" x14ac:dyDescent="0.25">
      <c r="A34" s="11"/>
      <c r="B34" s="11"/>
      <c r="C34" s="12"/>
      <c r="D34" s="13" t="s">
        <v>12</v>
      </c>
      <c r="E34" s="19">
        <f>SUM(E2:E33)</f>
        <v>92448.760000000009</v>
      </c>
      <c r="F34" s="30"/>
    </row>
    <row r="35" spans="1:9" ht="17" thickBot="1" x14ac:dyDescent="0.25">
      <c r="A35" s="14"/>
      <c r="B35" s="14"/>
      <c r="C35" s="14"/>
      <c r="D35" s="15" t="s">
        <v>35</v>
      </c>
      <c r="E35" s="20">
        <f>E34*0.0775</f>
        <v>7164.7789000000002</v>
      </c>
      <c r="F35" s="31"/>
    </row>
    <row r="36" spans="1:9" x14ac:dyDescent="0.2">
      <c r="A36" s="23"/>
      <c r="B36" s="23"/>
      <c r="C36" s="23"/>
      <c r="D36" s="24" t="s">
        <v>13</v>
      </c>
      <c r="E36" s="25">
        <f>SUM(E34:E35)</f>
        <v>99613.538900000014</v>
      </c>
      <c r="F36" s="32"/>
    </row>
    <row r="38" spans="1:9" x14ac:dyDescent="0.2">
      <c r="D38">
        <v>5300</v>
      </c>
    </row>
    <row r="39" spans="1:9" x14ac:dyDescent="0.2">
      <c r="D39">
        <v>5310</v>
      </c>
    </row>
    <row r="40" spans="1:9" x14ac:dyDescent="0.2">
      <c r="D40">
        <v>5360</v>
      </c>
    </row>
    <row r="41" spans="1:9" x14ac:dyDescent="0.2">
      <c r="B41">
        <f>10820.76/3</f>
        <v>3606.92</v>
      </c>
      <c r="D41">
        <v>5390</v>
      </c>
    </row>
    <row r="42" spans="1:9" x14ac:dyDescent="0.2">
      <c r="D42">
        <v>1500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Conceptual Budget</vt:lpstr>
      <vt:lpstr>2018 Final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Martin</cp:lastModifiedBy>
  <cp:lastPrinted>2018-04-03T20:20:06Z</cp:lastPrinted>
  <dcterms:created xsi:type="dcterms:W3CDTF">2017-05-22T15:40:49Z</dcterms:created>
  <dcterms:modified xsi:type="dcterms:W3CDTF">2018-04-03T20:21:49Z</dcterms:modified>
</cp:coreProperties>
</file>