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ElectricalDesign\ElectricalDesignData\"/>
    </mc:Choice>
  </mc:AlternateContent>
  <xr:revisionPtr revIDLastSave="0" documentId="13_ncr:1_{2D545634-9E48-4E45-BA88-43450FDC4FA6}" xr6:coauthVersionLast="36" xr6:coauthVersionMax="36" xr10:uidLastSave="{00000000-0000-0000-0000-000000000000}"/>
  <bookViews>
    <workbookView xWindow="0" yWindow="0" windowWidth="5055" windowHeight="5715" xr2:uid="{00000000-000D-0000-FFFF-FFFF00000000}"/>
  </bookViews>
  <sheets>
    <sheet name="AnalogOutCircuit" sheetId="1" r:id="rId1"/>
    <sheet name="ADS8350Filter" sheetId="2" r:id="rId2"/>
    <sheet name="LapBxPWR" sheetId="3" r:id="rId3"/>
    <sheet name="RackBxPWR" sheetId="6" r:id="rId4"/>
    <sheet name="CamPWR" sheetId="4" r:id="rId5"/>
    <sheet name="Micro_PCBPinList" sheetId="5" r:id="rId6"/>
    <sheet name="SonyVideoWiring" sheetId="8" r:id="rId7"/>
    <sheet name="ShimSizes" sheetId="9" r:id="rId8"/>
    <sheet name="LensSpacingWorkSheet" sheetId="10" r:id="rId9"/>
    <sheet name="ToDoList" sheetId="7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9" l="1"/>
  <c r="E13" i="10" l="1"/>
  <c r="E23" i="10"/>
  <c r="L17" i="9"/>
  <c r="K16" i="9"/>
  <c r="E17" i="10"/>
  <c r="K15" i="9"/>
  <c r="L14" i="9"/>
  <c r="K17" i="9" s="1"/>
  <c r="I8" i="9"/>
  <c r="J8" i="9" s="1"/>
  <c r="I7" i="9"/>
  <c r="J7" i="9" s="1"/>
  <c r="I6" i="9"/>
  <c r="J6" i="9" s="1"/>
  <c r="I5" i="9"/>
  <c r="J5" i="9" s="1"/>
  <c r="I4" i="9"/>
  <c r="D6" i="9"/>
  <c r="E6" i="9" s="1"/>
  <c r="D5" i="9"/>
  <c r="E5" i="9" s="1"/>
  <c r="D4" i="9"/>
  <c r="D10" i="9" s="1"/>
  <c r="D26" i="9"/>
  <c r="D25" i="9"/>
  <c r="D24" i="9"/>
  <c r="D23" i="9"/>
  <c r="I10" i="9" l="1"/>
  <c r="E4" i="9"/>
  <c r="E10" i="9" s="1"/>
  <c r="J4" i="9"/>
  <c r="J10" i="9" s="1"/>
  <c r="L10" i="9" s="1"/>
  <c r="D7" i="6" l="1"/>
  <c r="D6" i="6"/>
  <c r="D9" i="6" s="1"/>
  <c r="D10" i="6" l="1"/>
  <c r="E10" i="6" s="1"/>
  <c r="E23" i="3"/>
  <c r="E11" i="6" l="1"/>
  <c r="F36" i="3"/>
  <c r="F37" i="3" s="1"/>
  <c r="F16" i="3" s="1"/>
  <c r="E32" i="3" l="1"/>
  <c r="F31" i="3"/>
  <c r="F30" i="3"/>
  <c r="F32" i="3" s="1"/>
  <c r="F33" i="3" s="1"/>
  <c r="F15" i="3" s="1"/>
  <c r="E26" i="3"/>
  <c r="F25" i="3"/>
  <c r="F24" i="3"/>
  <c r="F23" i="3"/>
  <c r="F22" i="3"/>
  <c r="F26" i="3" l="1"/>
  <c r="F27" i="3" s="1"/>
  <c r="F14" i="3" s="1"/>
  <c r="C44" i="4"/>
  <c r="C47" i="4" s="1"/>
  <c r="D11" i="4" l="1"/>
  <c r="D9" i="4"/>
  <c r="D27" i="4"/>
  <c r="D26" i="4"/>
  <c r="D33" i="4"/>
  <c r="H29" i="4"/>
  <c r="H34" i="4" s="1"/>
  <c r="H25" i="4" l="1"/>
  <c r="C28" i="4"/>
  <c r="H24" i="4" s="1"/>
  <c r="C22" i="4"/>
  <c r="H14" i="4" s="1"/>
  <c r="H15" i="4" s="1"/>
  <c r="D21" i="4"/>
  <c r="D20" i="4"/>
  <c r="D19" i="4"/>
  <c r="D28" i="4"/>
  <c r="D29" i="4" s="1"/>
  <c r="D34" i="4" l="1"/>
  <c r="D13" i="4" s="1"/>
  <c r="D18" i="4"/>
  <c r="D22" i="4" l="1"/>
  <c r="D23" i="4" s="1"/>
  <c r="D12" i="4" s="1"/>
  <c r="D8" i="4"/>
  <c r="D7" i="4"/>
  <c r="D14" i="4" l="1"/>
  <c r="C40" i="4" s="1"/>
  <c r="C13" i="3"/>
  <c r="F13" i="3"/>
  <c r="F17" i="3" s="1"/>
  <c r="D6" i="3"/>
  <c r="F6" i="3" s="1"/>
  <c r="D5" i="3"/>
  <c r="F5" i="3" s="1"/>
  <c r="F18" i="3" l="1"/>
  <c r="F8" i="3" s="1"/>
  <c r="F9" i="3" s="1"/>
  <c r="F10" i="3" s="1"/>
  <c r="D15" i="4"/>
  <c r="E15" i="4" s="1"/>
  <c r="B3" i="2"/>
  <c r="D14" i="6" l="1"/>
  <c r="D15" i="6" s="1"/>
  <c r="E15" i="6" s="1"/>
  <c r="L10" i="3"/>
  <c r="L11" i="3" s="1"/>
  <c r="E16" i="6"/>
  <c r="E18" i="6"/>
  <c r="K29" i="1"/>
  <c r="K12" i="1"/>
  <c r="K14" i="1" s="1"/>
  <c r="G29" i="1" l="1"/>
  <c r="G12" i="1"/>
  <c r="G14" i="1" l="1"/>
  <c r="B29" i="1"/>
  <c r="B12" i="1"/>
  <c r="B14" i="1" s="1"/>
  <c r="B19" i="1" s="1"/>
  <c r="B23" i="1" s="1"/>
</calcChain>
</file>

<file path=xl/sharedStrings.xml><?xml version="1.0" encoding="utf-8"?>
<sst xmlns="http://schemas.openxmlformats.org/spreadsheetml/2006/main" count="1035" uniqueCount="413">
  <si>
    <t>4K ROV Camera Electrical Design Data</t>
  </si>
  <si>
    <t>Constants</t>
  </si>
  <si>
    <t>Reference voltage</t>
  </si>
  <si>
    <t>Volts</t>
  </si>
  <si>
    <t>Full scale output</t>
  </si>
  <si>
    <t>Zero scale output</t>
  </si>
  <si>
    <t>Full scale input</t>
  </si>
  <si>
    <t>Zero scale input</t>
  </si>
  <si>
    <t>Gain calculation</t>
  </si>
  <si>
    <t>m</t>
  </si>
  <si>
    <t>Offset calculation</t>
  </si>
  <si>
    <t>b</t>
  </si>
  <si>
    <t>Resistor R1</t>
  </si>
  <si>
    <t>Ohms</t>
  </si>
  <si>
    <t>Resistor R2</t>
  </si>
  <si>
    <t>Resistor Rf</t>
  </si>
  <si>
    <t>Resistor Rg</t>
  </si>
  <si>
    <t>Gain and Offset</t>
  </si>
  <si>
    <t>Filter Calculation</t>
  </si>
  <si>
    <t>Roll-off frequency</t>
  </si>
  <si>
    <t>Hertz</t>
  </si>
  <si>
    <t>Capacitor value</t>
  </si>
  <si>
    <t>Farads</t>
  </si>
  <si>
    <t>24.9K</t>
  </si>
  <si>
    <t>4.99K</t>
  </si>
  <si>
    <t>3.57K</t>
  </si>
  <si>
    <t>Positive m and b</t>
  </si>
  <si>
    <t>Analog output drive conditioning</t>
  </si>
  <si>
    <t>from Ti app note SLOA097</t>
  </si>
  <si>
    <t>Positive m and negative b</t>
  </si>
  <si>
    <t>http://earmark.net/gesr/opamp/case8.htm</t>
  </si>
  <si>
    <t xml:space="preserve">some design data from </t>
  </si>
  <si>
    <t>Lens position analog input conditioning</t>
  </si>
  <si>
    <t>Lapbox focus slide &amp; zoom rocker analog input conditioning</t>
  </si>
  <si>
    <t>ADS8350 Input filter</t>
  </si>
  <si>
    <t>Cutoff frequency</t>
  </si>
  <si>
    <t>(From datasheet app note)</t>
  </si>
  <si>
    <t>Rflt</t>
  </si>
  <si>
    <t>Cflt</t>
  </si>
  <si>
    <t>F</t>
  </si>
  <si>
    <t>KHz</t>
  </si>
  <si>
    <t>Lapbox Power Budget</t>
  </si>
  <si>
    <t>Item</t>
  </si>
  <si>
    <t>Watts</t>
  </si>
  <si>
    <t>Switch lamps</t>
  </si>
  <si>
    <t># units</t>
  </si>
  <si>
    <t>Current (Amps)</t>
  </si>
  <si>
    <t>Total W</t>
  </si>
  <si>
    <t>Switch current</t>
  </si>
  <si>
    <t>SONY RMB170 RCP</t>
  </si>
  <si>
    <t>Amps</t>
  </si>
  <si>
    <t>Camera &amp; lens</t>
  </si>
  <si>
    <t>subtotal</t>
  </si>
  <si>
    <t>Power supply efficency</t>
  </si>
  <si>
    <t>Total</t>
  </si>
  <si>
    <t>Fan</t>
  </si>
  <si>
    <t>12V Loads</t>
  </si>
  <si>
    <t>Supply Voltage =</t>
  </si>
  <si>
    <t>Main Bus voltage  =</t>
  </si>
  <si>
    <t>3.3 Volt Loads</t>
  </si>
  <si>
    <t>10 Volt Loads</t>
  </si>
  <si>
    <t>Analog lens interface</t>
  </si>
  <si>
    <t>3.3 V Loads from below</t>
  </si>
  <si>
    <t>10 V Loads from below</t>
  </si>
  <si>
    <t>Watts total power</t>
  </si>
  <si>
    <t>5 Volt Loads</t>
  </si>
  <si>
    <t>2x extender actuator</t>
  </si>
  <si>
    <t>ADS 8350 A/D converter</t>
  </si>
  <si>
    <t>DAC8550 D/A Converter x2</t>
  </si>
  <si>
    <t>CPU operation</t>
  </si>
  <si>
    <t>TJ = TA + (((VIN − VOUT) × ILOAD) × θJA)</t>
  </si>
  <si>
    <t xml:space="preserve"> θJA  thermal resistance between the junction and ambient air </t>
  </si>
  <si>
    <t>Temperature of junction =</t>
  </si>
  <si>
    <t>VIN</t>
  </si>
  <si>
    <t>VOUT</t>
  </si>
  <si>
    <t>ILOAD</t>
  </si>
  <si>
    <t>TJ, not to exceed 125 Deg. C</t>
  </si>
  <si>
    <t>Deg. C, TA is the ambient temperature</t>
  </si>
  <si>
    <t>Combined I/O worst case current @ 8mA</t>
  </si>
  <si>
    <t xml:space="preserve"> θJA  thermal resistance between the junction and ambient air w/100sq. mm copper</t>
  </si>
  <si>
    <t>ADM7171ACPZ-3.3-R7 Linear Regulator Power Dissipation</t>
  </si>
  <si>
    <t>ADM7171ACPZ-5.0-R7 Linear Regulator Power Dissipation</t>
  </si>
  <si>
    <t>LT3082 Linear Regulator Power Dissipation</t>
  </si>
  <si>
    <t>PT Power Total = (Vin-Vout)*Iout</t>
  </si>
  <si>
    <t>W PTOTAL</t>
  </si>
  <si>
    <t xml:space="preserve"> θJA  thermal resistance between the junction and ambient air 100 sq. mm copper</t>
  </si>
  <si>
    <t>T J = TA + (PTOTAL • θJA)</t>
  </si>
  <si>
    <t>Bottom Telm</t>
  </si>
  <si>
    <t>2nd DSP&amp;L media converter</t>
  </si>
  <si>
    <t>PIN Number</t>
  </si>
  <si>
    <t>Circuit Name</t>
  </si>
  <si>
    <t>Description</t>
  </si>
  <si>
    <t>Output power</t>
  </si>
  <si>
    <t>efficiency</t>
  </si>
  <si>
    <t>degrees C</t>
  </si>
  <si>
    <t>Max ambient temperature</t>
  </si>
  <si>
    <t>Max dissipation</t>
  </si>
  <si>
    <t>Input power</t>
  </si>
  <si>
    <t>degrees C per W</t>
  </si>
  <si>
    <t>Max thermal impedance allowed</t>
  </si>
  <si>
    <t>Baseplate to ambient (no heatsink)</t>
  </si>
  <si>
    <t>needs heatsink</t>
  </si>
  <si>
    <t>Vicor 100W power supply thermal calculations from Vicor calculator</t>
  </si>
  <si>
    <t>plenty of margin w/heatsink and airflow</t>
  </si>
  <si>
    <t>does need flow w/heatsink</t>
  </si>
  <si>
    <t>Max baseplate temperature</t>
  </si>
  <si>
    <t>Allowable temperature rise</t>
  </si>
  <si>
    <t>Thermal impedance with 32174, 0.4" fin heatsink and &gt; 200 LFM airflow (1 meter per second)</t>
  </si>
  <si>
    <t>Thermal impedance with 30190, 0.9" fin heatsink and &gt; 200 LFM airflow (1 meter per second)</t>
  </si>
  <si>
    <t>getting marginal w/heatsink and airflow</t>
  </si>
  <si>
    <t>Conclusion: need 0.9" heatsink fins or larger heatsink.</t>
  </si>
  <si>
    <t>Heatsink 0.9" fins free air impedance</t>
  </si>
  <si>
    <t>24 V Loads</t>
  </si>
  <si>
    <t>12 Volt Loads</t>
  </si>
  <si>
    <t>input</t>
  </si>
  <si>
    <t>VDD</t>
  </si>
  <si>
    <t>RG15</t>
  </si>
  <si>
    <t>Pin Function Name</t>
  </si>
  <si>
    <t>PWM3H/RE5</t>
  </si>
  <si>
    <t>PWM4L/RE6</t>
  </si>
  <si>
    <t>PWM4H/RE7</t>
  </si>
  <si>
    <t>AN16/T2CK/T7CK/RC1</t>
  </si>
  <si>
    <t>Circuit I/O direction</t>
  </si>
  <si>
    <t>AN17/T3CK/T6CK/RC2</t>
  </si>
  <si>
    <t>AN18/T4CK/T9CK/RC3</t>
  </si>
  <si>
    <t>AN19/T5CK/T8CK/RC4</t>
  </si>
  <si>
    <t>SCK2/CN8/RG6</t>
  </si>
  <si>
    <t>SDI2/CN9/RG7</t>
  </si>
  <si>
    <t>SDO2/CN10/RG8</t>
  </si>
  <si>
    <t>/MCLR</t>
  </si>
  <si>
    <t>SS2/CN11/RG9</t>
  </si>
  <si>
    <t>VSS</t>
  </si>
  <si>
    <t>TMS/RA0</t>
  </si>
  <si>
    <t>AN20/FLTA/INT1/RE8</t>
  </si>
  <si>
    <t>AN21/FLTB/INT2/RE9</t>
  </si>
  <si>
    <t>AN5/QEB/CN7/RB5</t>
  </si>
  <si>
    <t>AN4/QEA/CN6/RB4</t>
  </si>
  <si>
    <t>AN3/INDX/CN5/RB3</t>
  </si>
  <si>
    <t>AN2/SS1/CN4/RB2</t>
  </si>
  <si>
    <t>PGEC3/AN1/CN3/RB1</t>
  </si>
  <si>
    <t>PGED3/AN0/CN2/RB0</t>
  </si>
  <si>
    <t>PGEC1/AN6/OCFA/RB6</t>
  </si>
  <si>
    <t>PGED1/AN7/RB7</t>
  </si>
  <si>
    <t>VREF-/RA9</t>
  </si>
  <si>
    <t>VREF+/RA10</t>
  </si>
  <si>
    <t>AVDD</t>
  </si>
  <si>
    <t>AVSS</t>
  </si>
  <si>
    <t>AN8/RB8</t>
  </si>
  <si>
    <t>AN9/RB9</t>
  </si>
  <si>
    <t>AN10/RB10</t>
  </si>
  <si>
    <t>AN11/RB11</t>
  </si>
  <si>
    <t>TCK/RA1</t>
  </si>
  <si>
    <t>U2RTS/RF13</t>
  </si>
  <si>
    <t>U2CTS/RF12</t>
  </si>
  <si>
    <t>AN12/RB12</t>
  </si>
  <si>
    <t>AN13/RB13</t>
  </si>
  <si>
    <t>AN14/RB14</t>
  </si>
  <si>
    <t>AN15/OCFB/CN12/RB15</t>
  </si>
  <si>
    <t>IC7/U1CTS/CN20/RD14</t>
  </si>
  <si>
    <t>IC8/U1RTS/CN21/RD15</t>
  </si>
  <si>
    <t>U2RX/CN17/RF4</t>
  </si>
  <si>
    <t>U2TX/CN18/RF5</t>
  </si>
  <si>
    <t>U1TX/RF3</t>
  </si>
  <si>
    <t>U1RX/RF2</t>
  </si>
  <si>
    <t>SDO1/RF8</t>
  </si>
  <si>
    <t>SDI1/RF7</t>
  </si>
  <si>
    <t>SCK1/INT0/RF6</t>
  </si>
  <si>
    <t>SDA1/RG3</t>
  </si>
  <si>
    <t>SCL1/RG2</t>
  </si>
  <si>
    <t>SCL2/RA2</t>
  </si>
  <si>
    <t>SDA2/RA3</t>
  </si>
  <si>
    <t>TDI/RA4</t>
  </si>
  <si>
    <t>TDO/RA5</t>
  </si>
  <si>
    <t>OSC1/CLKIN/RC12</t>
  </si>
  <si>
    <t>OSC2/CLKO/RC15</t>
  </si>
  <si>
    <t>INT3/RA14</t>
  </si>
  <si>
    <t>INT4/RA15</t>
  </si>
  <si>
    <t>IC1/RD8</t>
  </si>
  <si>
    <t>IC2/RD9</t>
  </si>
  <si>
    <t>IC3/RD10</t>
  </si>
  <si>
    <t>IC4/RD11</t>
  </si>
  <si>
    <t>OC1/RD0</t>
  </si>
  <si>
    <t>PGED2/SOSCI/CN1/RC13</t>
  </si>
  <si>
    <t>PGEC2/SOSCO/T1CK/CN0/RC14</t>
  </si>
  <si>
    <t>Lap Box PCB</t>
  </si>
  <si>
    <t>Camera PCB</t>
  </si>
  <si>
    <t>OC2/RD1</t>
  </si>
  <si>
    <t>OC3/RD2</t>
  </si>
  <si>
    <t>OC4/RD3</t>
  </si>
  <si>
    <t>IC5/RD12</t>
  </si>
  <si>
    <t>IC6/CN19/RD13</t>
  </si>
  <si>
    <t>OC5/CN13/RD4</t>
  </si>
  <si>
    <t>OC6/CN14/RD5</t>
  </si>
  <si>
    <t>OC7/CN15/RD6</t>
  </si>
  <si>
    <t>OC8/UPDN//CN16/RD7</t>
  </si>
  <si>
    <t>VCAP</t>
  </si>
  <si>
    <t>C1RX/RF0</t>
  </si>
  <si>
    <t>C1TX/RF1</t>
  </si>
  <si>
    <t>C2TX/RG1</t>
  </si>
  <si>
    <t>C2RX/RG0</t>
  </si>
  <si>
    <t>AN22/CN22/RA6</t>
  </si>
  <si>
    <t>AN23/CN23/RA7</t>
  </si>
  <si>
    <t>PWM1L/RE0</t>
  </si>
  <si>
    <t>PWM1H/RE1</t>
  </si>
  <si>
    <t>RG14</t>
  </si>
  <si>
    <t>RG12</t>
  </si>
  <si>
    <t>RG13</t>
  </si>
  <si>
    <t>PWM2L/RE2</t>
  </si>
  <si>
    <t>PWM2H/RE3</t>
  </si>
  <si>
    <t>PWM3L/RE4</t>
  </si>
  <si>
    <t>PORT</t>
  </si>
  <si>
    <t>G</t>
  </si>
  <si>
    <t>E</t>
  </si>
  <si>
    <t>A</t>
  </si>
  <si>
    <t>B</t>
  </si>
  <si>
    <t>D</t>
  </si>
  <si>
    <t>C</t>
  </si>
  <si>
    <t>Pin Type</t>
  </si>
  <si>
    <t>I</t>
  </si>
  <si>
    <t>Analog input</t>
  </si>
  <si>
    <t>I/O</t>
  </si>
  <si>
    <t>no connect</t>
  </si>
  <si>
    <t>LASER_PWR_SW</t>
  </si>
  <si>
    <t>CAMERA_PWR_SW</t>
  </si>
  <si>
    <t>SPARE_SW</t>
  </si>
  <si>
    <t>spare switch input</t>
  </si>
  <si>
    <t>output</t>
  </si>
  <si>
    <t>JOYSTK_SEN_LED</t>
  </si>
  <si>
    <t>PORT_LIGHT_LED</t>
  </si>
  <si>
    <t>PORT_CAM_LED</t>
  </si>
  <si>
    <t>SPI1-2_SCLK</t>
  </si>
  <si>
    <t>SPI2_MISO</t>
  </si>
  <si>
    <t>SPI2_MOSI</t>
  </si>
  <si>
    <t>Master reset input, active low</t>
  </si>
  <si>
    <t>O</t>
  </si>
  <si>
    <t>SPI2 clock input/output</t>
  </si>
  <si>
    <t>SPI2 data out</t>
  </si>
  <si>
    <t>SPI2 data in</t>
  </si>
  <si>
    <t>SPI2_SS</t>
  </si>
  <si>
    <t>SPI2 slave synchronization or frame pulse I/O</t>
  </si>
  <si>
    <t>configure as output and drive to a logic low state</t>
  </si>
  <si>
    <t>/SW_CHANGE</t>
  </si>
  <si>
    <t>low level active switch transition flag, can be used as interrupt input</t>
  </si>
  <si>
    <t>TEMP_ALARM_LED</t>
  </si>
  <si>
    <t>WATER_ALARM_LED</t>
  </si>
  <si>
    <t>SPI1_SS</t>
  </si>
  <si>
    <t>SPI1 slave synchronization or frame pulse I/O</t>
  </si>
  <si>
    <t>2X_EXTENDER_LED</t>
  </si>
  <si>
    <t>/SW_ENABLE</t>
  </si>
  <si>
    <t>Low level active to enable switch debouncer outputs and clear /SW_CHANGE. See Maxim MAX6818 data sheet.</t>
  </si>
  <si>
    <t>debugger I/O</t>
  </si>
  <si>
    <t>Internal A/D minus reference. Connected to GND.</t>
  </si>
  <si>
    <t>Internal A/D plus reference. Connected to 3.3V reference.</t>
  </si>
  <si>
    <t>STBD_CAM_LED</t>
  </si>
  <si>
    <t>high level active turns on "STBD CAM" switch LED</t>
  </si>
  <si>
    <t>STBD_LIGHT_LED</t>
  </si>
  <si>
    <t>high level active turns on "STBD LIGHT" switch LED</t>
  </si>
  <si>
    <t>AN10_JOYSTK_Y</t>
  </si>
  <si>
    <t>Y axis 0-3.3V analog signal from X-Y joystick</t>
  </si>
  <si>
    <t>AN11_JOYSTK_X</t>
  </si>
  <si>
    <t>EIA 232 port UART2 ready to send</t>
  </si>
  <si>
    <t>EIA 232 port UART2 clear to send</t>
  </si>
  <si>
    <t>CAM_PWR_LED</t>
  </si>
  <si>
    <t>high level active turns on "CAM_PWR" switch LED</t>
  </si>
  <si>
    <t>LASER_PWR_LED</t>
  </si>
  <si>
    <t>high level active turns on "LASER_PWR" switch LED</t>
  </si>
  <si>
    <t>EIA 232 port UART1 ready to send</t>
  </si>
  <si>
    <t>EIA 232 port UART1 clear to send</t>
  </si>
  <si>
    <t>UART 2 receive data</t>
  </si>
  <si>
    <t>UART 2 transmit data</t>
  </si>
  <si>
    <t>UART 1 transmit data</t>
  </si>
  <si>
    <t>UART 1 receive data</t>
  </si>
  <si>
    <t>SPI1_MOSI</t>
  </si>
  <si>
    <t>SPI1 data out - not used in lapbox, configure as output and drive to a logic low state</t>
  </si>
  <si>
    <t>SPI1_MISO</t>
  </si>
  <si>
    <t>SPI1 data in from A/D converter.</t>
  </si>
  <si>
    <t>Synchronous serial clock input/output for SPI1</t>
  </si>
  <si>
    <t>I2C1_SDA</t>
  </si>
  <si>
    <t>I2C1_SCL</t>
  </si>
  <si>
    <t>Synchronous serial clock input/output for I2C1.</t>
  </si>
  <si>
    <t>Synchronous serial data input/output for I2C1. Provides comms to external memory and environmental sensors.</t>
  </si>
  <si>
    <t>Primary oscillator crystal input.</t>
  </si>
  <si>
    <t>Primary oscillator crystal output</t>
  </si>
  <si>
    <t>Spare jumper</t>
  </si>
  <si>
    <t>I2C1_EEPROM_WP</t>
  </si>
  <si>
    <t>EEPROM write protect line</t>
  </si>
  <si>
    <t>32.768 kHz low-power oscillator crystal input</t>
  </si>
  <si>
    <t>32.768 kHz low-power oscillator crystal output</t>
  </si>
  <si>
    <t>JOYSTK_SEN_SW</t>
  </si>
  <si>
    <t>high level active switch input turns on JOYSTK_SEN function</t>
  </si>
  <si>
    <t>PORT_LIGHT_SW</t>
  </si>
  <si>
    <t>PORT_CAM_SW</t>
  </si>
  <si>
    <t>STBD_CAM_SW</t>
  </si>
  <si>
    <t>STBD_LIGHT_SW</t>
  </si>
  <si>
    <t>2X_EXTENDER_SW</t>
  </si>
  <si>
    <t>high level active switch input turns on PORT_LIGHT function</t>
  </si>
  <si>
    <t>high level active switch input turns on PORT_CAM function</t>
  </si>
  <si>
    <t>high level active switch input turns on STBD_CAM function</t>
  </si>
  <si>
    <t>high level active switch input turns on STBD_LIGHT function</t>
  </si>
  <si>
    <t>high level active switch input turns on 2X_EXTENDER function</t>
  </si>
  <si>
    <t>high level active switch input turns on LASER_PWR function</t>
  </si>
  <si>
    <t>high level active switch input turns on CAMERA_PWR function</t>
  </si>
  <si>
    <t>high level active turns on "JOYSTK_SEN" switch LED</t>
  </si>
  <si>
    <t>high level active turns on "PORT_LIGHT" switch LED</t>
  </si>
  <si>
    <t>high level active turns on "PORT_CAM" switch LED</t>
  </si>
  <si>
    <t>high level active turns on "TEMP_ALARM" LED</t>
  </si>
  <si>
    <t>high level active turns on "WATER_ALARM" LED</t>
  </si>
  <si>
    <t>high level active turns on "2X_EXTENDER" switch LED</t>
  </si>
  <si>
    <t>same</t>
  </si>
  <si>
    <t>CAMERA_TEMP</t>
  </si>
  <si>
    <t>Analog camera temerature signal, 10mV per degree C + 500mV.</t>
  </si>
  <si>
    <t>SPI1 data out - D/A converter</t>
  </si>
  <si>
    <t>3.3 Volt Loads from below</t>
  </si>
  <si>
    <t>5 Volt Loads from below</t>
  </si>
  <si>
    <t>12 Volt loads from below</t>
  </si>
  <si>
    <t>zoom and focus control inputs</t>
  </si>
  <si>
    <t>10 Volt Loads from below</t>
  </si>
  <si>
    <t>Joystick</t>
  </si>
  <si>
    <t>From lapbox</t>
  </si>
  <si>
    <t>Watts total input power</t>
  </si>
  <si>
    <t>JOYSTK_REV_LED</t>
  </si>
  <si>
    <t>high level active turns on "JOYSTK_REV" switch LED</t>
  </si>
  <si>
    <t>HUMIDITY_ALARM_LED</t>
  </si>
  <si>
    <t>high level active turns on "HUMIDITY_ALARM" LED</t>
  </si>
  <si>
    <t>PIEZO_ALARM</t>
  </si>
  <si>
    <t>high level active turns on "PIEZO_ALARM" audio alert</t>
  </si>
  <si>
    <t>JOYSTK_REV_SW</t>
  </si>
  <si>
    <t>high level active switch input turns on JOYSTK_REV function</t>
  </si>
  <si>
    <t>1. Blue-wire in feedback to micro-processor on camera over-temp shutdown!!</t>
  </si>
  <si>
    <t>Supply cable current</t>
  </si>
  <si>
    <t>30'  #20 foot cable Voltage drop</t>
  </si>
  <si>
    <t>/AFT_H2O_ALRM</t>
  </si>
  <si>
    <t>Configure as input and read state of AFT water alarm. Low level = water alarm state</t>
  </si>
  <si>
    <t>/FWD_H2O_ALRM</t>
  </si>
  <si>
    <t>Configure as input and read state of FWD water alarm. Low level = water alarm state</t>
  </si>
  <si>
    <t>2X_EXTENDER</t>
  </si>
  <si>
    <t xml:space="preserve">Configure as output and drive extender motor function. High level = normal zoom, Low level = 2x extender in place </t>
  </si>
  <si>
    <t>CAMERA_PWR</t>
  </si>
  <si>
    <t>Configure as output and drive camera power switch. High level = camera on, Low level = camera off</t>
  </si>
  <si>
    <t>/LASER_PWR</t>
  </si>
  <si>
    <t>Configure as output and drive laser power switch. High level = laser on, Low level = laser off</t>
  </si>
  <si>
    <t>/OVERTEMP</t>
  </si>
  <si>
    <t>Configure as input and read state of overtemp hardware shutdown. Low level = overtemp shutdown state</t>
  </si>
  <si>
    <t>MRC rev. 4/16/2021</t>
  </si>
  <si>
    <t>100221507-10-B-DOC_ProcessorPortAssignments.pdf                                     DSPIC33FJ256MC710A-H/PF PROCESSOR PIN LIST</t>
  </si>
  <si>
    <t>MBARI 4K Camera Chassis Video Wiring</t>
  </si>
  <si>
    <t>Signal Name</t>
  </si>
  <si>
    <t>Sony Cable PN</t>
  </si>
  <si>
    <t>Notes</t>
  </si>
  <si>
    <t>SDI 1</t>
  </si>
  <si>
    <t>MONITOR</t>
  </si>
  <si>
    <t>SDI 2</t>
  </si>
  <si>
    <t>SDI 3</t>
  </si>
  <si>
    <t>SDI 4</t>
  </si>
  <si>
    <t>GL/SYNC</t>
  </si>
  <si>
    <t>Cable length</t>
  </si>
  <si>
    <t>BLUE</t>
  </si>
  <si>
    <t>YELLOW</t>
  </si>
  <si>
    <t>BLACK</t>
  </si>
  <si>
    <t>GREEN</t>
  </si>
  <si>
    <t>RED (ORANGE in doc.)</t>
  </si>
  <si>
    <t>NA</t>
  </si>
  <si>
    <t>5.5"</t>
  </si>
  <si>
    <t>2.4"</t>
  </si>
  <si>
    <t>3.3"</t>
  </si>
  <si>
    <t>5"</t>
  </si>
  <si>
    <t>BIG</t>
  </si>
  <si>
    <t>SMALL</t>
  </si>
  <si>
    <t>NOT USED IN MBARI CAMERA</t>
  </si>
  <si>
    <t>SUBSTITUTE IN THE GREEN (SDI 3 CABLE) FOR MONITOR IN MBARI CHASSIS</t>
  </si>
  <si>
    <t>USE SAME CABLE</t>
  </si>
  <si>
    <t>Sony Orginal Color Code</t>
  </si>
  <si>
    <t>Coax Connector Type</t>
  </si>
  <si>
    <t>inches</t>
  </si>
  <si>
    <t>mm</t>
  </si>
  <si>
    <t>no  of elements</t>
  </si>
  <si>
    <t>Nominal stack height</t>
  </si>
  <si>
    <t>kapton insulator</t>
  </si>
  <si>
    <t>shim 1</t>
  </si>
  <si>
    <t>shim2</t>
  </si>
  <si>
    <t>Totals</t>
  </si>
  <si>
    <t>Target stack height CAMERA 001*</t>
  </si>
  <si>
    <t>Notes:</t>
  </si>
  <si>
    <t>lens interference from model</t>
  </si>
  <si>
    <t>Lens recommended spacing</t>
  </si>
  <si>
    <t>Total + spacing above nominal</t>
  </si>
  <si>
    <t>actual</t>
  </si>
  <si>
    <t>target</t>
  </si>
  <si>
    <t>Available Shim Thickness</t>
  </si>
  <si>
    <t>Chassis Initial Shim Setup</t>
  </si>
  <si>
    <t xml:space="preserve">Nominal distance from solid model - </t>
  </si>
  <si>
    <t xml:space="preserve">Actual measured distance - </t>
  </si>
  <si>
    <r>
      <t>(</t>
    </r>
    <r>
      <rPr>
        <b/>
        <sz val="12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dimension)</t>
    </r>
  </si>
  <si>
    <r>
      <t>(</t>
    </r>
    <r>
      <rPr>
        <b/>
        <sz val="12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dimension)</t>
    </r>
  </si>
  <si>
    <r>
      <t>(</t>
    </r>
    <r>
      <rPr>
        <b/>
        <sz val="12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dimension)</t>
    </r>
  </si>
  <si>
    <r>
      <t xml:space="preserve">Step 4 - Zero the calibration gauge on a granite block with a piece of lens paper under the micrometer tip. Then measure the Canon lens setback (using lens paper again) and it should </t>
    </r>
    <r>
      <rPr>
        <b/>
        <sz val="12"/>
        <color theme="1"/>
        <rFont val="Calibri"/>
        <family val="2"/>
        <scheme val="minor"/>
      </rPr>
      <t>match the D dimension ±0.05mm</t>
    </r>
    <r>
      <rPr>
        <sz val="11"/>
        <color theme="1"/>
        <rFont val="Calibri"/>
        <family val="2"/>
        <scheme val="minor"/>
      </rPr>
      <t>. A negative D dimension should read negative on the dial gauge (more setback than calibration gauge), and a positive Dimension should read postive on the dial gauge (less setback than calibration gauge).</t>
    </r>
  </si>
  <si>
    <t>Actual measured error in stack</t>
  </si>
  <si>
    <t xml:space="preserve">Final dial gauge reading - </t>
  </si>
  <si>
    <t xml:space="preserve">Final Canon to adapter spacing - </t>
  </si>
  <si>
    <r>
      <t xml:space="preserve">Subtract the </t>
    </r>
    <r>
      <rPr>
        <b/>
        <sz val="12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dimension from </t>
    </r>
    <r>
      <rPr>
        <b/>
        <sz val="12"/>
        <color theme="1"/>
        <rFont val="Calibri"/>
        <family val="2"/>
        <scheme val="minor"/>
      </rPr>
      <t>12.174mm</t>
    </r>
    <r>
      <rPr>
        <sz val="11"/>
        <color theme="1"/>
        <rFont val="Calibri"/>
        <family val="2"/>
        <scheme val="minor"/>
      </rPr>
      <t xml:space="preserve"> = </t>
    </r>
  </si>
  <si>
    <t>(0.05 mm more than 0.3 +.3/-.1 mm nominal)</t>
  </si>
  <si>
    <t>difference</t>
  </si>
  <si>
    <t>unit 001</t>
  </si>
  <si>
    <t>Use this calculator for determining the gauge values for verifying proper Optical Adapter to Canon Lens spacing. Enter data in white cells. Calculated values in blue cells.</t>
  </si>
  <si>
    <t>mrc</t>
  </si>
  <si>
    <t>Canon Lens to Adapter Cell Worksheet</t>
  </si>
  <si>
    <t xml:space="preserve">Enter the desired Canon lens to Adapter spacing : </t>
  </si>
  <si>
    <r>
      <t xml:space="preserve">Step 2 - The specified optical design spacing between the Canon lens and the Optical Adapter is: </t>
    </r>
    <r>
      <rPr>
        <b/>
        <sz val="12"/>
        <color theme="1"/>
        <rFont val="Calibri"/>
        <family val="2"/>
        <scheme val="minor"/>
      </rPr>
      <t>0.3 +.3 - .1mm</t>
    </r>
    <r>
      <rPr>
        <sz val="11"/>
        <color theme="1"/>
        <rFont val="Calibri"/>
        <family val="2"/>
        <scheme val="minor"/>
      </rPr>
      <t>.</t>
    </r>
  </si>
  <si>
    <r>
      <t xml:space="preserve"> ±0.05mm (</t>
    </r>
    <r>
      <rPr>
        <b/>
        <sz val="12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dimension)</t>
    </r>
  </si>
  <si>
    <r>
      <t>±0.05mm (</t>
    </r>
    <r>
      <rPr>
        <b/>
        <sz val="12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dimension)</t>
    </r>
  </si>
  <si>
    <r>
      <t xml:space="preserve">Therefore the reference flange to Canon Lens distance is </t>
    </r>
    <r>
      <rPr>
        <b/>
        <sz val="12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+ </t>
    </r>
    <r>
      <rPr>
        <b/>
        <sz val="12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dimension =</t>
    </r>
  </si>
  <si>
    <r>
      <t xml:space="preserve">Step 3 - The 4K Camera Canon Lens to Adapter spacing gauge has a set dimension of </t>
    </r>
    <r>
      <rPr>
        <b/>
        <sz val="12"/>
        <color theme="1"/>
        <rFont val="Calibri"/>
        <family val="2"/>
        <scheme val="minor"/>
      </rPr>
      <t>12.174mm</t>
    </r>
    <r>
      <rPr>
        <sz val="11"/>
        <color theme="1"/>
        <rFont val="Calibri"/>
        <family val="2"/>
        <scheme val="minor"/>
      </rPr>
      <t>. (</t>
    </r>
    <r>
      <rPr>
        <b/>
        <sz val="12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dimension).</t>
    </r>
  </si>
  <si>
    <t>Step 1 - Measure the Optical Adapter Cell reference flange to first lens element vertex spacing using a plunge micrometer. For a reference surface use the camera alignment cone (before installation). See illustration.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</si>
</sst>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/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1" fontId="0" fillId="2" borderId="2" xfId="0" applyNumberFormat="1" applyFill="1" applyBorder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0" fillId="3" borderId="1" xfId="0" applyNumberFormat="1" applyFill="1" applyBorder="1"/>
    <xf numFmtId="1" fontId="0" fillId="0" borderId="0" xfId="0" applyNumberFormat="1"/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ont="1" applyBorder="1" applyAlignment="1">
      <alignment horizontal="right"/>
    </xf>
    <xf numFmtId="0" fontId="0" fillId="0" borderId="1" xfId="0" applyBorder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4" borderId="1" xfId="0" applyFill="1" applyBorder="1"/>
    <xf numFmtId="9" fontId="0" fillId="0" borderId="4" xfId="0" applyNumberFormat="1" applyBorder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left"/>
    </xf>
    <xf numFmtId="164" fontId="1" fillId="4" borderId="5" xfId="0" applyNumberFormat="1" applyFont="1" applyFill="1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0" fillId="0" borderId="8" xfId="0" applyBorder="1"/>
    <xf numFmtId="0" fontId="1" fillId="0" borderId="8" xfId="0" applyFont="1" applyBorder="1"/>
    <xf numFmtId="164" fontId="0" fillId="5" borderId="2" xfId="0" applyNumberFormat="1" applyFill="1" applyBorder="1"/>
    <xf numFmtId="0" fontId="0" fillId="0" borderId="3" xfId="0" applyBorder="1"/>
    <xf numFmtId="164" fontId="0" fillId="4" borderId="7" xfId="0" applyNumberFormat="1" applyFill="1" applyBorder="1"/>
    <xf numFmtId="164" fontId="0" fillId="4" borderId="1" xfId="0" applyNumberFormat="1" applyFill="1" applyBorder="1"/>
    <xf numFmtId="164" fontId="0" fillId="0" borderId="1" xfId="0" applyNumberFormat="1" applyFill="1" applyBorder="1"/>
    <xf numFmtId="164" fontId="0" fillId="5" borderId="3" xfId="0" applyNumberFormat="1" applyFill="1" applyBorder="1"/>
    <xf numFmtId="164" fontId="0" fillId="4" borderId="6" xfId="0" applyNumberFormat="1" applyFill="1" applyBorder="1"/>
    <xf numFmtId="0" fontId="0" fillId="0" borderId="0" xfId="0" applyFill="1" applyBorder="1"/>
    <xf numFmtId="0" fontId="1" fillId="0" borderId="0" xfId="0" applyFont="1" applyBorder="1" applyAlignment="1">
      <alignment horizontal="right"/>
    </xf>
    <xf numFmtId="0" fontId="0" fillId="4" borderId="3" xfId="0" applyFill="1" applyBorder="1"/>
    <xf numFmtId="0" fontId="0" fillId="5" borderId="1" xfId="0" applyFill="1" applyBorder="1"/>
    <xf numFmtId="9" fontId="0" fillId="0" borderId="0" xfId="0" applyNumberFormat="1" applyBorder="1"/>
    <xf numFmtId="2" fontId="1" fillId="5" borderId="2" xfId="0" applyNumberFormat="1" applyFont="1" applyFill="1" applyBorder="1"/>
    <xf numFmtId="0" fontId="0" fillId="5" borderId="3" xfId="0" applyFill="1" applyBorder="1"/>
    <xf numFmtId="2" fontId="1" fillId="5" borderId="9" xfId="0" applyNumberFormat="1" applyFont="1" applyFill="1" applyBorder="1"/>
    <xf numFmtId="164" fontId="0" fillId="5" borderId="5" xfId="0" applyNumberFormat="1" applyFill="1" applyBorder="1"/>
    <xf numFmtId="9" fontId="0" fillId="0" borderId="1" xfId="0" applyNumberFormat="1" applyBorder="1"/>
    <xf numFmtId="164" fontId="0" fillId="0" borderId="1" xfId="0" applyNumberFormat="1" applyBorder="1"/>
    <xf numFmtId="0" fontId="0" fillId="0" borderId="0" xfId="0" applyAlignment="1">
      <alignment horizontal="right" vertical="center"/>
    </xf>
    <xf numFmtId="0" fontId="0" fillId="6" borderId="1" xfId="0" applyFill="1" applyBorder="1"/>
    <xf numFmtId="0" fontId="0" fillId="0" borderId="11" xfId="0" applyFill="1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" fillId="0" borderId="0" xfId="0" applyFont="1" applyAlignment="1">
      <alignment wrapText="1"/>
    </xf>
    <xf numFmtId="2" fontId="0" fillId="0" borderId="0" xfId="0" applyNumberFormat="1" applyAlignment="1">
      <alignment wrapText="1"/>
    </xf>
    <xf numFmtId="2" fontId="0" fillId="0" borderId="2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0" fontId="4" fillId="0" borderId="0" xfId="1"/>
    <xf numFmtId="165" fontId="0" fillId="0" borderId="1" xfId="0" applyNumberFormat="1" applyBorder="1" applyAlignment="1">
      <alignment horizontal="center"/>
    </xf>
    <xf numFmtId="2" fontId="0" fillId="4" borderId="1" xfId="0" applyNumberFormat="1" applyFill="1" applyBorder="1"/>
    <xf numFmtId="2" fontId="0" fillId="5" borderId="2" xfId="0" applyNumberFormat="1" applyFill="1" applyBorder="1"/>
    <xf numFmtId="0" fontId="0" fillId="0" borderId="0" xfId="0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2" fontId="0" fillId="5" borderId="7" xfId="0" applyNumberFormat="1" applyFill="1" applyBorder="1"/>
    <xf numFmtId="164" fontId="1" fillId="4" borderId="2" xfId="0" applyNumberFormat="1" applyFont="1" applyFill="1" applyBorder="1"/>
    <xf numFmtId="2" fontId="0" fillId="0" borderId="0" xfId="0" applyNumberFormat="1"/>
    <xf numFmtId="0" fontId="0" fillId="0" borderId="2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2" fontId="0" fillId="9" borderId="2" xfId="0" applyNumberForma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6" fontId="0" fillId="0" borderId="0" xfId="0" applyNumberFormat="1" applyAlignment="1">
      <alignment wrapText="1"/>
    </xf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center" wrapText="1"/>
    </xf>
    <xf numFmtId="166" fontId="1" fillId="0" borderId="2" xfId="0" applyNumberFormat="1" applyFont="1" applyBorder="1" applyAlignment="1">
      <alignment wrapText="1"/>
    </xf>
    <xf numFmtId="166" fontId="0" fillId="0" borderId="0" xfId="0" applyNumberFormat="1" applyAlignment="1"/>
    <xf numFmtId="1" fontId="0" fillId="0" borderId="0" xfId="0" applyNumberFormat="1" applyAlignment="1">
      <alignment horizontal="center"/>
    </xf>
    <xf numFmtId="1" fontId="0" fillId="0" borderId="0" xfId="0" applyNumberFormat="1" applyAlignment="1"/>
    <xf numFmtId="166" fontId="1" fillId="0" borderId="2" xfId="0" applyNumberFormat="1" applyFont="1" applyBorder="1" applyAlignment="1"/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6" fontId="0" fillId="0" borderId="0" xfId="0" applyNumberFormat="1" applyAlignment="1">
      <alignment horizontal="right"/>
    </xf>
    <xf numFmtId="0" fontId="1" fillId="1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4" fontId="0" fillId="0" borderId="0" xfId="0" applyNumberFormat="1"/>
    <xf numFmtId="2" fontId="1" fillId="1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31" xfId="0" applyBorder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wrapText="1"/>
    </xf>
    <xf numFmtId="166" fontId="0" fillId="0" borderId="0" xfId="0" applyNumberFormat="1" applyAlignment="1">
      <alignment horizontal="left"/>
    </xf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armark.net/gesr/opamp/case8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zoomScale="75" zoomScaleNormal="75" workbookViewId="0">
      <selection activeCell="K24" sqref="K24"/>
    </sheetView>
  </sheetViews>
  <sheetFormatPr defaultRowHeight="15" x14ac:dyDescent="0.25"/>
  <cols>
    <col min="1" max="1" width="16.28515625" customWidth="1"/>
    <col min="2" max="2" width="9.42578125" style="2" customWidth="1"/>
    <col min="6" max="6" width="16.28515625" customWidth="1"/>
    <col min="9" max="9" width="8.28515625" customWidth="1"/>
    <col min="10" max="10" width="16.28515625" customWidth="1"/>
    <col min="11" max="11" width="11.140625" customWidth="1"/>
  </cols>
  <sheetData>
    <row r="1" spans="1:12" x14ac:dyDescent="0.25">
      <c r="A1" t="s">
        <v>0</v>
      </c>
    </row>
    <row r="3" spans="1:12" x14ac:dyDescent="0.25">
      <c r="A3" s="1" t="s">
        <v>27</v>
      </c>
      <c r="F3" s="1" t="s">
        <v>32</v>
      </c>
      <c r="G3" s="2"/>
      <c r="J3" s="1" t="s">
        <v>33</v>
      </c>
      <c r="K3" s="2"/>
    </row>
    <row r="4" spans="1:12" x14ac:dyDescent="0.25">
      <c r="A4" s="1" t="s">
        <v>1</v>
      </c>
      <c r="F4" s="1" t="s">
        <v>1</v>
      </c>
      <c r="G4" s="2"/>
      <c r="J4" s="1" t="s">
        <v>1</v>
      </c>
      <c r="K4" s="2"/>
    </row>
    <row r="5" spans="1:12" x14ac:dyDescent="0.25">
      <c r="A5" t="s">
        <v>2</v>
      </c>
      <c r="B5" s="3">
        <v>5</v>
      </c>
      <c r="C5" t="s">
        <v>3</v>
      </c>
      <c r="F5" t="s">
        <v>2</v>
      </c>
      <c r="G5" s="3">
        <v>5</v>
      </c>
      <c r="H5" t="s">
        <v>3</v>
      </c>
      <c r="J5" t="s">
        <v>2</v>
      </c>
      <c r="K5" s="3">
        <v>5</v>
      </c>
      <c r="L5" t="s">
        <v>3</v>
      </c>
    </row>
    <row r="6" spans="1:12" x14ac:dyDescent="0.25">
      <c r="A6" t="s">
        <v>4</v>
      </c>
      <c r="B6" s="3">
        <v>8</v>
      </c>
      <c r="C6" t="s">
        <v>3</v>
      </c>
      <c r="F6" t="s">
        <v>4</v>
      </c>
      <c r="G6" s="3">
        <v>5</v>
      </c>
      <c r="H6" t="s">
        <v>3</v>
      </c>
      <c r="J6" t="s">
        <v>4</v>
      </c>
      <c r="K6" s="3">
        <v>5</v>
      </c>
      <c r="L6" t="s">
        <v>3</v>
      </c>
    </row>
    <row r="7" spans="1:12" x14ac:dyDescent="0.25">
      <c r="A7" t="s">
        <v>5</v>
      </c>
      <c r="B7" s="3">
        <v>2</v>
      </c>
      <c r="C7" t="s">
        <v>3</v>
      </c>
      <c r="F7" t="s">
        <v>5</v>
      </c>
      <c r="G7" s="3">
        <v>1</v>
      </c>
      <c r="H7" t="s">
        <v>3</v>
      </c>
      <c r="J7" t="s">
        <v>5</v>
      </c>
      <c r="K7" s="3">
        <v>0</v>
      </c>
      <c r="L7" t="s">
        <v>3</v>
      </c>
    </row>
    <row r="8" spans="1:12" x14ac:dyDescent="0.25">
      <c r="A8" t="s">
        <v>6</v>
      </c>
      <c r="B8" s="3">
        <v>3</v>
      </c>
      <c r="C8" t="s">
        <v>3</v>
      </c>
      <c r="F8" t="s">
        <v>6</v>
      </c>
      <c r="G8" s="3">
        <v>7</v>
      </c>
      <c r="H8" t="s">
        <v>3</v>
      </c>
      <c r="J8" t="s">
        <v>6</v>
      </c>
      <c r="K8" s="77">
        <v>9.5</v>
      </c>
      <c r="L8" t="s">
        <v>3</v>
      </c>
    </row>
    <row r="9" spans="1:12" x14ac:dyDescent="0.25">
      <c r="A9" t="s">
        <v>7</v>
      </c>
      <c r="B9" s="3">
        <v>0</v>
      </c>
      <c r="C9" t="s">
        <v>3</v>
      </c>
      <c r="F9" t="s">
        <v>7</v>
      </c>
      <c r="G9" s="3">
        <v>2</v>
      </c>
      <c r="H9" t="s">
        <v>3</v>
      </c>
      <c r="J9" t="s">
        <v>7</v>
      </c>
      <c r="K9" s="77">
        <v>0.5</v>
      </c>
      <c r="L9" t="s">
        <v>3</v>
      </c>
    </row>
    <row r="10" spans="1:12" x14ac:dyDescent="0.25">
      <c r="B10" s="4"/>
      <c r="G10" s="4"/>
      <c r="K10" s="4"/>
    </row>
    <row r="11" spans="1:12" x14ac:dyDescent="0.25">
      <c r="A11" s="1" t="s">
        <v>17</v>
      </c>
      <c r="F11" s="1" t="s">
        <v>17</v>
      </c>
      <c r="G11" s="2"/>
      <c r="J11" s="1" t="s">
        <v>17</v>
      </c>
      <c r="K11" s="2"/>
    </row>
    <row r="12" spans="1:12" x14ac:dyDescent="0.25">
      <c r="A12" t="s">
        <v>8</v>
      </c>
      <c r="B12" s="8">
        <f>(B6-B7)/(B8-B9)</f>
        <v>2</v>
      </c>
      <c r="C12" s="1" t="s">
        <v>9</v>
      </c>
      <c r="F12" t="s">
        <v>8</v>
      </c>
      <c r="G12" s="8">
        <f>(G6-G7)/(G8-G9)</f>
        <v>0.8</v>
      </c>
      <c r="H12" s="1" t="s">
        <v>9</v>
      </c>
      <c r="J12" t="s">
        <v>8</v>
      </c>
      <c r="K12" s="8">
        <f>(K6-K7)/(K8-K9)</f>
        <v>0.55555555555555558</v>
      </c>
      <c r="L12" s="1" t="s">
        <v>9</v>
      </c>
    </row>
    <row r="13" spans="1:12" x14ac:dyDescent="0.25">
      <c r="G13" s="2"/>
      <c r="K13" s="2"/>
    </row>
    <row r="14" spans="1:12" x14ac:dyDescent="0.25">
      <c r="A14" t="s">
        <v>10</v>
      </c>
      <c r="B14" s="8">
        <f>B7-(B12*B9)</f>
        <v>2</v>
      </c>
      <c r="C14" s="1" t="s">
        <v>11</v>
      </c>
      <c r="F14" t="s">
        <v>10</v>
      </c>
      <c r="G14" s="8">
        <f>G7-(G12*G9)</f>
        <v>-0.60000000000000009</v>
      </c>
      <c r="H14" s="1" t="s">
        <v>11</v>
      </c>
      <c r="J14" t="s">
        <v>10</v>
      </c>
      <c r="K14" s="8">
        <f>K7-(K12*K9)</f>
        <v>-0.27777777777777779</v>
      </c>
      <c r="L14" s="1" t="s">
        <v>11</v>
      </c>
    </row>
    <row r="15" spans="1:12" x14ac:dyDescent="0.25">
      <c r="G15" s="2"/>
      <c r="K15" s="2"/>
    </row>
    <row r="16" spans="1:12" x14ac:dyDescent="0.25">
      <c r="A16" s="1" t="s">
        <v>26</v>
      </c>
      <c r="F16" s="1" t="s">
        <v>29</v>
      </c>
      <c r="G16" s="2"/>
      <c r="J16" s="1" t="s">
        <v>29</v>
      </c>
      <c r="K16" s="2"/>
    </row>
    <row r="17" spans="1:12" x14ac:dyDescent="0.25">
      <c r="A17" t="s">
        <v>12</v>
      </c>
      <c r="B17" s="3">
        <v>4990</v>
      </c>
      <c r="C17" t="s">
        <v>13</v>
      </c>
      <c r="D17" t="s">
        <v>24</v>
      </c>
      <c r="F17" t="s">
        <v>15</v>
      </c>
      <c r="G17" s="3">
        <v>1650</v>
      </c>
      <c r="H17" t="s">
        <v>13</v>
      </c>
      <c r="J17" t="s">
        <v>15</v>
      </c>
      <c r="K17" s="3">
        <v>100</v>
      </c>
      <c r="L17" t="s">
        <v>13</v>
      </c>
    </row>
    <row r="18" spans="1:12" x14ac:dyDescent="0.25">
      <c r="G18" s="2"/>
      <c r="K18" s="2"/>
    </row>
    <row r="19" spans="1:12" x14ac:dyDescent="0.25">
      <c r="A19" t="s">
        <v>14</v>
      </c>
      <c r="B19" s="7">
        <f>(B5*B17*B12)/B14</f>
        <v>24950</v>
      </c>
      <c r="C19" t="s">
        <v>13</v>
      </c>
      <c r="D19" t="s">
        <v>23</v>
      </c>
      <c r="F19" t="s">
        <v>16</v>
      </c>
      <c r="G19" s="9">
        <v>13700</v>
      </c>
      <c r="H19" t="s">
        <v>13</v>
      </c>
      <c r="J19" t="s">
        <v>16</v>
      </c>
      <c r="K19" s="9">
        <v>35700</v>
      </c>
      <c r="L19" t="s">
        <v>13</v>
      </c>
    </row>
    <row r="20" spans="1:12" x14ac:dyDescent="0.25">
      <c r="G20" s="2"/>
      <c r="K20" s="2"/>
    </row>
    <row r="21" spans="1:12" x14ac:dyDescent="0.25">
      <c r="A21" t="s">
        <v>15</v>
      </c>
      <c r="B21" s="3">
        <v>4990</v>
      </c>
      <c r="C21" t="s">
        <v>13</v>
      </c>
      <c r="D21" t="s">
        <v>24</v>
      </c>
      <c r="F21" t="s">
        <v>12</v>
      </c>
      <c r="G21" s="5">
        <v>14300</v>
      </c>
      <c r="H21" t="s">
        <v>13</v>
      </c>
      <c r="J21" t="s">
        <v>12</v>
      </c>
      <c r="K21" s="5">
        <v>27100</v>
      </c>
      <c r="L21" t="s">
        <v>13</v>
      </c>
    </row>
    <row r="22" spans="1:12" x14ac:dyDescent="0.25">
      <c r="G22" s="2"/>
      <c r="K22" s="2"/>
    </row>
    <row r="23" spans="1:12" x14ac:dyDescent="0.25">
      <c r="A23" t="s">
        <v>16</v>
      </c>
      <c r="B23" s="5">
        <f>(B19*B21)/((B12*(B17+B19))-B19)</f>
        <v>3564.2857142857142</v>
      </c>
      <c r="C23" t="s">
        <v>13</v>
      </c>
      <c r="D23" t="s">
        <v>25</v>
      </c>
      <c r="F23" t="s">
        <v>14</v>
      </c>
      <c r="G23" s="5">
        <v>35700</v>
      </c>
      <c r="H23" t="s">
        <v>13</v>
      </c>
      <c r="J23" t="s">
        <v>14</v>
      </c>
      <c r="K23" s="5">
        <v>30100</v>
      </c>
      <c r="L23" t="s">
        <v>13</v>
      </c>
    </row>
    <row r="24" spans="1:12" x14ac:dyDescent="0.25">
      <c r="G24" s="2"/>
      <c r="K24" s="2"/>
    </row>
    <row r="25" spans="1:12" x14ac:dyDescent="0.25">
      <c r="A25" t="s">
        <v>18</v>
      </c>
      <c r="F25" t="s">
        <v>18</v>
      </c>
      <c r="G25" s="2"/>
      <c r="J25" t="s">
        <v>18</v>
      </c>
      <c r="K25" s="2"/>
    </row>
    <row r="26" spans="1:12" x14ac:dyDescent="0.25">
      <c r="G26" s="2"/>
      <c r="K26" s="2"/>
    </row>
    <row r="27" spans="1:12" x14ac:dyDescent="0.25">
      <c r="A27" t="s">
        <v>19</v>
      </c>
      <c r="B27" s="3">
        <v>10000</v>
      </c>
      <c r="C27" t="s">
        <v>20</v>
      </c>
      <c r="F27" t="s">
        <v>19</v>
      </c>
      <c r="G27" s="3">
        <v>10000</v>
      </c>
      <c r="H27" t="s">
        <v>20</v>
      </c>
      <c r="J27" t="s">
        <v>19</v>
      </c>
      <c r="K27" s="3">
        <v>1000</v>
      </c>
      <c r="L27" t="s">
        <v>20</v>
      </c>
    </row>
    <row r="28" spans="1:12" ht="15.75" thickBot="1" x14ac:dyDescent="0.3">
      <c r="G28" s="2"/>
      <c r="K28" s="2"/>
    </row>
    <row r="29" spans="1:12" ht="15.75" thickBot="1" x14ac:dyDescent="0.3">
      <c r="A29" t="s">
        <v>21</v>
      </c>
      <c r="B29" s="6">
        <f>1/(2*PI()*B17*B27)</f>
        <v>3.1894778174728522E-9</v>
      </c>
      <c r="C29" t="s">
        <v>22</v>
      </c>
      <c r="F29" t="s">
        <v>21</v>
      </c>
      <c r="G29" s="6">
        <f>1/(2*PI()*G21*G27)</f>
        <v>1.1129716300132541E-9</v>
      </c>
      <c r="H29" t="s">
        <v>22</v>
      </c>
      <c r="J29" t="s">
        <v>21</v>
      </c>
      <c r="K29" s="6">
        <f>1/(2*PI()*K21*K27)</f>
        <v>5.8728761288522269E-9</v>
      </c>
      <c r="L29" t="s">
        <v>22</v>
      </c>
    </row>
    <row r="30" spans="1:12" x14ac:dyDescent="0.25">
      <c r="G30" s="2"/>
    </row>
    <row r="31" spans="1:12" x14ac:dyDescent="0.25">
      <c r="G31" s="2"/>
    </row>
    <row r="32" spans="1:12" x14ac:dyDescent="0.25">
      <c r="A32" t="s">
        <v>28</v>
      </c>
      <c r="F32" t="s">
        <v>28</v>
      </c>
      <c r="G32" s="2"/>
      <c r="H32" t="s">
        <v>31</v>
      </c>
      <c r="J32" s="76" t="s">
        <v>30</v>
      </c>
    </row>
    <row r="38" spans="7:7" x14ac:dyDescent="0.25">
      <c r="G38" s="2"/>
    </row>
    <row r="39" spans="7:7" x14ac:dyDescent="0.25">
      <c r="G39" s="2"/>
    </row>
  </sheetData>
  <hyperlinks>
    <hyperlink ref="J32" r:id="rId1" xr:uid="{00000000-0004-0000-0000-000000000000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"/>
  <sheetViews>
    <sheetView workbookViewId="0">
      <selection activeCell="A6" sqref="A6"/>
    </sheetView>
  </sheetViews>
  <sheetFormatPr defaultRowHeight="15" x14ac:dyDescent="0.25"/>
  <cols>
    <col min="1" max="1" width="60.28515625" customWidth="1"/>
  </cols>
  <sheetData>
    <row r="3" spans="1:1" x14ac:dyDescent="0.25">
      <c r="A3" t="s">
        <v>328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H13" sqref="H13"/>
    </sheetView>
  </sheetViews>
  <sheetFormatPr defaultRowHeight="15" x14ac:dyDescent="0.25"/>
  <cols>
    <col min="1" max="1" width="15" customWidth="1"/>
    <col min="2" max="2" width="44.85546875" bestFit="1" customWidth="1"/>
    <col min="7" max="8" width="9.7109375" bestFit="1" customWidth="1"/>
  </cols>
  <sheetData>
    <row r="1" spans="1:3" x14ac:dyDescent="0.25">
      <c r="A1" t="s">
        <v>34</v>
      </c>
      <c r="C1" t="s">
        <v>36</v>
      </c>
    </row>
    <row r="3" spans="1:3" x14ac:dyDescent="0.25">
      <c r="A3" t="s">
        <v>35</v>
      </c>
      <c r="B3" s="10">
        <f>(1/(2*PI()*(B4+B4)*(B5)))/1000</f>
        <v>9042.8944938576915</v>
      </c>
      <c r="C3" t="s">
        <v>40</v>
      </c>
    </row>
    <row r="4" spans="1:3" x14ac:dyDescent="0.25">
      <c r="A4" t="s">
        <v>37</v>
      </c>
      <c r="B4">
        <v>22</v>
      </c>
      <c r="C4" t="s">
        <v>13</v>
      </c>
    </row>
    <row r="5" spans="1:3" x14ac:dyDescent="0.25">
      <c r="A5" t="s">
        <v>38</v>
      </c>
      <c r="B5" s="12">
        <v>4.0000000000000001E-10</v>
      </c>
      <c r="C5" t="s">
        <v>39</v>
      </c>
    </row>
    <row r="7" spans="1:3" x14ac:dyDescent="0.25">
      <c r="B7" s="1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workbookViewId="0">
      <selection activeCell="H11" sqref="H11:K11"/>
    </sheetView>
  </sheetViews>
  <sheetFormatPr defaultColWidth="9" defaultRowHeight="15" x14ac:dyDescent="0.25"/>
  <cols>
    <col min="1" max="1" width="16.85546875" style="13" customWidth="1"/>
    <col min="2" max="2" width="9" style="13"/>
    <col min="3" max="3" width="8.42578125" style="13" customWidth="1"/>
    <col min="4" max="5" width="9" style="13"/>
    <col min="6" max="6" width="11.140625" style="13" bestFit="1" customWidth="1"/>
    <col min="7" max="11" width="9" style="13"/>
    <col min="12" max="12" width="8" style="13" customWidth="1"/>
    <col min="13" max="16384" width="9" style="13"/>
  </cols>
  <sheetData>
    <row r="1" spans="1:13" x14ac:dyDescent="0.25">
      <c r="A1" s="114" t="s">
        <v>41</v>
      </c>
      <c r="B1" s="114"/>
      <c r="C1" s="114"/>
    </row>
    <row r="3" spans="1:13" x14ac:dyDescent="0.25">
      <c r="A3" s="72" t="s">
        <v>112</v>
      </c>
    </row>
    <row r="4" spans="1:13" ht="26.25" customHeight="1" x14ac:dyDescent="0.25">
      <c r="A4" s="13" t="s">
        <v>42</v>
      </c>
      <c r="B4" s="13" t="s">
        <v>3</v>
      </c>
      <c r="C4" s="13" t="s">
        <v>46</v>
      </c>
      <c r="D4" s="13" t="s">
        <v>43</v>
      </c>
      <c r="E4" s="13" t="s">
        <v>45</v>
      </c>
      <c r="F4" s="13" t="s">
        <v>47</v>
      </c>
    </row>
    <row r="5" spans="1:13" x14ac:dyDescent="0.25">
      <c r="A5" s="13" t="s">
        <v>44</v>
      </c>
      <c r="B5" s="13">
        <v>24</v>
      </c>
      <c r="C5" s="13">
        <v>0.01</v>
      </c>
      <c r="D5" s="13">
        <f>B5*C5</f>
        <v>0.24</v>
      </c>
      <c r="E5" s="13">
        <v>13</v>
      </c>
      <c r="F5" s="13">
        <f>D5*E5</f>
        <v>3.12</v>
      </c>
    </row>
    <row r="6" spans="1:13" x14ac:dyDescent="0.25">
      <c r="A6" s="13" t="s">
        <v>48</v>
      </c>
      <c r="B6" s="13">
        <v>24</v>
      </c>
      <c r="C6" s="13">
        <v>2.3999999999999998E-3</v>
      </c>
      <c r="D6" s="13">
        <f>B6*C6</f>
        <v>5.7599999999999998E-2</v>
      </c>
      <c r="E6" s="13">
        <v>9</v>
      </c>
      <c r="F6" s="13">
        <f>D6*E6</f>
        <v>0.51839999999999997</v>
      </c>
    </row>
    <row r="7" spans="1:13" s="52" customFormat="1" x14ac:dyDescent="0.25"/>
    <row r="8" spans="1:13" s="51" customFormat="1" ht="15.75" thickBot="1" x14ac:dyDescent="0.3">
      <c r="D8" s="22" t="s">
        <v>314</v>
      </c>
      <c r="F8" s="75">
        <f>F18</f>
        <v>5.374167257264352</v>
      </c>
    </row>
    <row r="9" spans="1:13" s="52" customFormat="1" ht="15.75" thickBot="1" x14ac:dyDescent="0.3">
      <c r="E9" s="21" t="s">
        <v>54</v>
      </c>
      <c r="F9" s="74">
        <f>SUM(F5:F8)</f>
        <v>9.0125672572643509</v>
      </c>
    </row>
    <row r="10" spans="1:13" s="52" customFormat="1" ht="15.75" thickBot="1" x14ac:dyDescent="0.3">
      <c r="D10" s="18" t="s">
        <v>53</v>
      </c>
      <c r="E10" s="20">
        <v>0.83</v>
      </c>
      <c r="F10" s="30">
        <f>1/E10*F9</f>
        <v>10.858514767788376</v>
      </c>
      <c r="G10" s="14" t="s">
        <v>43</v>
      </c>
      <c r="I10" s="115" t="s">
        <v>329</v>
      </c>
      <c r="J10" s="115"/>
      <c r="K10" s="115"/>
      <c r="L10" s="90">
        <f>F10/24</f>
        <v>0.45243811532451567</v>
      </c>
      <c r="M10" s="52" t="s">
        <v>50</v>
      </c>
    </row>
    <row r="11" spans="1:13" s="51" customFormat="1" ht="15.75" customHeight="1" thickBot="1" x14ac:dyDescent="0.3">
      <c r="H11" s="115" t="s">
        <v>330</v>
      </c>
      <c r="I11" s="115"/>
      <c r="J11" s="115"/>
      <c r="K11" s="116"/>
      <c r="L11" s="90">
        <f>((30*9.5)/1000)*L10</f>
        <v>0.12894486286748696</v>
      </c>
      <c r="M11" s="51" t="s">
        <v>3</v>
      </c>
    </row>
    <row r="12" spans="1:13" s="51" customFormat="1" x14ac:dyDescent="0.25">
      <c r="A12" s="72" t="s">
        <v>113</v>
      </c>
      <c r="I12" s="115"/>
      <c r="J12" s="115"/>
      <c r="K12" s="115"/>
    </row>
    <row r="13" spans="1:13" ht="30" x14ac:dyDescent="0.25">
      <c r="A13" s="13" t="s">
        <v>49</v>
      </c>
      <c r="B13" s="13">
        <v>12</v>
      </c>
      <c r="C13" s="13">
        <f>D13/B13</f>
        <v>0.25</v>
      </c>
      <c r="D13" s="13">
        <v>3</v>
      </c>
      <c r="E13" s="13">
        <v>1</v>
      </c>
      <c r="F13" s="13">
        <f>D13*E13</f>
        <v>3</v>
      </c>
    </row>
    <row r="14" spans="1:13" s="52" customFormat="1" x14ac:dyDescent="0.25">
      <c r="D14" s="22" t="s">
        <v>312</v>
      </c>
      <c r="F14" s="73">
        <f>F27</f>
        <v>1.2840882352941176</v>
      </c>
    </row>
    <row r="15" spans="1:13" s="52" customFormat="1" x14ac:dyDescent="0.25">
      <c r="D15" s="22" t="s">
        <v>313</v>
      </c>
      <c r="F15" s="73">
        <f>F33</f>
        <v>0.17647058823529416</v>
      </c>
    </row>
    <row r="16" spans="1:13" s="59" customFormat="1" ht="15.75" thickBot="1" x14ac:dyDescent="0.3">
      <c r="D16" s="22" t="s">
        <v>316</v>
      </c>
      <c r="F16" s="73">
        <f>F37</f>
        <v>0.24096385542168677</v>
      </c>
    </row>
    <row r="17" spans="3:7" s="52" customFormat="1" ht="15.75" thickBot="1" x14ac:dyDescent="0.3">
      <c r="D17" s="22"/>
      <c r="E17" s="21" t="s">
        <v>54</v>
      </c>
      <c r="F17" s="74">
        <f>SUM(F13:F15)</f>
        <v>4.4605588235294116</v>
      </c>
    </row>
    <row r="18" spans="3:7" s="52" customFormat="1" ht="15.75" thickBot="1" x14ac:dyDescent="0.3">
      <c r="D18" s="18" t="s">
        <v>53</v>
      </c>
      <c r="E18" s="20">
        <v>0.83</v>
      </c>
      <c r="F18" s="30">
        <f>1/E18*F17</f>
        <v>5.374167257264352</v>
      </c>
      <c r="G18" s="14" t="s">
        <v>43</v>
      </c>
    </row>
    <row r="21" spans="3:7" ht="15.75" thickBot="1" x14ac:dyDescent="0.3">
      <c r="C21"/>
      <c r="D21" s="29" t="s">
        <v>59</v>
      </c>
      <c r="E21" s="28"/>
      <c r="F21" s="28"/>
      <c r="G21"/>
    </row>
    <row r="22" spans="3:7" x14ac:dyDescent="0.25">
      <c r="C22"/>
      <c r="D22" s="17" t="s">
        <v>69</v>
      </c>
      <c r="E22" s="14">
        <v>0.09</v>
      </c>
      <c r="F22" s="19">
        <f>E22*3.3</f>
        <v>0.29699999999999999</v>
      </c>
      <c r="G22"/>
    </row>
    <row r="23" spans="3:7" x14ac:dyDescent="0.25">
      <c r="C23"/>
      <c r="D23" s="17" t="s">
        <v>78</v>
      </c>
      <c r="E23" s="14">
        <f>30*0.008</f>
        <v>0.24</v>
      </c>
      <c r="F23" s="19">
        <f t="shared" ref="F23:F25" si="0">E23*3.3</f>
        <v>0.79199999999999993</v>
      </c>
      <c r="G23"/>
    </row>
    <row r="24" spans="3:7" x14ac:dyDescent="0.25">
      <c r="C24"/>
      <c r="D24" s="15" t="s">
        <v>67</v>
      </c>
      <c r="E24" s="14">
        <v>2.5000000000000001E-4</v>
      </c>
      <c r="F24" s="19">
        <f t="shared" si="0"/>
        <v>8.25E-4</v>
      </c>
      <c r="G24"/>
    </row>
    <row r="25" spans="3:7" x14ac:dyDescent="0.25">
      <c r="C25"/>
      <c r="D25" s="15" t="s">
        <v>68</v>
      </c>
      <c r="E25" s="37">
        <v>5.0000000000000001E-4</v>
      </c>
      <c r="F25" s="39">
        <f t="shared" si="0"/>
        <v>1.65E-3</v>
      </c>
      <c r="G25"/>
    </row>
    <row r="26" spans="3:7" x14ac:dyDescent="0.25">
      <c r="C26"/>
      <c r="D26" s="38" t="s">
        <v>54</v>
      </c>
      <c r="E26" s="40">
        <f>SUM(E22:E25)</f>
        <v>0.33074999999999993</v>
      </c>
      <c r="F26" s="40">
        <f>SUM(F22:F25)</f>
        <v>1.091475</v>
      </c>
      <c r="G26"/>
    </row>
    <row r="27" spans="3:7" ht="15.75" thickBot="1" x14ac:dyDescent="0.3">
      <c r="C27"/>
      <c r="D27" s="18" t="s">
        <v>53</v>
      </c>
      <c r="E27" s="20">
        <v>0.85</v>
      </c>
      <c r="F27" s="44">
        <f>1/E27*F26</f>
        <v>1.2840882352941176</v>
      </c>
      <c r="G27" s="14" t="s">
        <v>43</v>
      </c>
    </row>
    <row r="28" spans="3:7" x14ac:dyDescent="0.25">
      <c r="C28"/>
      <c r="D28"/>
      <c r="E28"/>
      <c r="F28"/>
      <c r="G28"/>
    </row>
    <row r="29" spans="3:7" ht="15.75" thickBot="1" x14ac:dyDescent="0.3">
      <c r="C29"/>
      <c r="D29" s="29" t="s">
        <v>65</v>
      </c>
      <c r="E29" s="28"/>
      <c r="F29" s="28"/>
      <c r="G29"/>
    </row>
    <row r="30" spans="3:7" x14ac:dyDescent="0.25">
      <c r="C30"/>
      <c r="D30" s="15" t="s">
        <v>67</v>
      </c>
      <c r="E30" s="14">
        <v>0.01</v>
      </c>
      <c r="F30" s="19">
        <f>E30*5</f>
        <v>0.05</v>
      </c>
      <c r="G30"/>
    </row>
    <row r="31" spans="3:7" x14ac:dyDescent="0.25">
      <c r="C31"/>
      <c r="D31" s="15" t="s">
        <v>317</v>
      </c>
      <c r="E31" s="14">
        <v>0.02</v>
      </c>
      <c r="F31" s="19">
        <f>E31*5</f>
        <v>0.1</v>
      </c>
      <c r="G31"/>
    </row>
    <row r="32" spans="3:7" x14ac:dyDescent="0.25">
      <c r="C32"/>
      <c r="D32" s="38" t="s">
        <v>54</v>
      </c>
      <c r="E32" s="40">
        <f>SUM(E30:E31)</f>
        <v>0.03</v>
      </c>
      <c r="F32" s="40">
        <f>SUM(F30:F31)</f>
        <v>0.15000000000000002</v>
      </c>
      <c r="G32"/>
    </row>
    <row r="33" spans="3:7" ht="15.75" thickBot="1" x14ac:dyDescent="0.3">
      <c r="C33"/>
      <c r="D33" s="18" t="s">
        <v>53</v>
      </c>
      <c r="E33" s="20">
        <v>0.85</v>
      </c>
      <c r="F33" s="44">
        <f>1/E33*F32</f>
        <v>0.17647058823529416</v>
      </c>
      <c r="G33" s="14" t="s">
        <v>43</v>
      </c>
    </row>
    <row r="34" spans="3:7" x14ac:dyDescent="0.25">
      <c r="C34"/>
      <c r="D34" s="18"/>
      <c r="E34" s="41"/>
      <c r="F34"/>
      <c r="G34" s="14"/>
    </row>
    <row r="35" spans="3:7" ht="15.75" thickBot="1" x14ac:dyDescent="0.3">
      <c r="D35" s="29" t="s">
        <v>60</v>
      </c>
      <c r="E35" s="28"/>
      <c r="F35" s="28"/>
      <c r="G35"/>
    </row>
    <row r="36" spans="3:7" ht="15.75" thickBot="1" x14ac:dyDescent="0.3">
      <c r="D36" s="15" t="s">
        <v>315</v>
      </c>
      <c r="E36" s="14">
        <v>0.02</v>
      </c>
      <c r="F36" s="78">
        <f>E36*10</f>
        <v>0.2</v>
      </c>
      <c r="G36"/>
    </row>
    <row r="37" spans="3:7" ht="15.75" thickBot="1" x14ac:dyDescent="0.3">
      <c r="D37" s="18" t="s">
        <v>53</v>
      </c>
      <c r="E37" s="20">
        <v>0.83</v>
      </c>
      <c r="F37" s="79">
        <f>1/E37*F36</f>
        <v>0.24096385542168677</v>
      </c>
      <c r="G37" s="14" t="s">
        <v>43</v>
      </c>
    </row>
  </sheetData>
  <mergeCells count="4">
    <mergeCell ref="A1:C1"/>
    <mergeCell ref="I10:K10"/>
    <mergeCell ref="I12:K12"/>
    <mergeCell ref="H11:K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F18"/>
  <sheetViews>
    <sheetView workbookViewId="0">
      <selection activeCell="F16" sqref="E16:F16"/>
    </sheetView>
  </sheetViews>
  <sheetFormatPr defaultRowHeight="15" x14ac:dyDescent="0.25"/>
  <cols>
    <col min="1" max="1" width="12.42578125" customWidth="1"/>
    <col min="2" max="2" width="15.140625" customWidth="1"/>
  </cols>
  <sheetData>
    <row r="5" spans="1:6" ht="15.75" thickBot="1" x14ac:dyDescent="0.3">
      <c r="A5" s="14"/>
      <c r="B5" s="27" t="s">
        <v>56</v>
      </c>
      <c r="C5" s="26" t="s">
        <v>50</v>
      </c>
      <c r="D5" s="26" t="s">
        <v>43</v>
      </c>
      <c r="E5" s="14"/>
    </row>
    <row r="6" spans="1:6" x14ac:dyDescent="0.25">
      <c r="A6" s="14"/>
      <c r="B6" s="18" t="s">
        <v>87</v>
      </c>
      <c r="C6" s="16">
        <v>0.63</v>
      </c>
      <c r="D6" s="33">
        <f t="shared" ref="D6:D7" si="0">C6*12</f>
        <v>7.5600000000000005</v>
      </c>
      <c r="E6" s="14"/>
    </row>
    <row r="7" spans="1:6" x14ac:dyDescent="0.25">
      <c r="A7" s="14"/>
      <c r="B7" s="18" t="s">
        <v>88</v>
      </c>
      <c r="C7" s="16">
        <v>0.26</v>
      </c>
      <c r="D7" s="33">
        <f t="shared" si="0"/>
        <v>3.12</v>
      </c>
      <c r="E7" s="14"/>
    </row>
    <row r="8" spans="1:6" x14ac:dyDescent="0.25">
      <c r="A8" s="14"/>
      <c r="B8" s="18" t="s">
        <v>55</v>
      </c>
      <c r="C8" s="16"/>
      <c r="D8" s="34">
        <v>1.7</v>
      </c>
      <c r="E8" s="14"/>
    </row>
    <row r="9" spans="1:6" ht="15.75" thickBot="1" x14ac:dyDescent="0.3">
      <c r="A9" s="14"/>
      <c r="B9" s="18"/>
      <c r="C9" s="31" t="s">
        <v>52</v>
      </c>
      <c r="D9" s="36">
        <f>SUM(D6:D8)</f>
        <v>12.379999999999999</v>
      </c>
    </row>
    <row r="10" spans="1:6" ht="15.75" thickBot="1" x14ac:dyDescent="0.3">
      <c r="A10" s="14"/>
      <c r="B10" s="18" t="s">
        <v>53</v>
      </c>
      <c r="C10" s="46">
        <v>0.72</v>
      </c>
      <c r="D10" s="45">
        <f>(D9*100%/C10)-D9</f>
        <v>4.8144444444444439</v>
      </c>
      <c r="E10" s="24">
        <f>D9+D10</f>
        <v>17.194444444444443</v>
      </c>
      <c r="F10" s="14" t="s">
        <v>64</v>
      </c>
    </row>
    <row r="11" spans="1:6" x14ac:dyDescent="0.25">
      <c r="E11" s="86">
        <f>E10/12</f>
        <v>1.4328703703703702</v>
      </c>
      <c r="F11" t="s">
        <v>50</v>
      </c>
    </row>
    <row r="13" spans="1:6" ht="15.75" thickBot="1" x14ac:dyDescent="0.3">
      <c r="B13" s="83" t="s">
        <v>112</v>
      </c>
      <c r="C13" s="28"/>
      <c r="D13" s="28"/>
    </row>
    <row r="14" spans="1:6" ht="15.75" thickBot="1" x14ac:dyDescent="0.3">
      <c r="B14" s="22" t="s">
        <v>318</v>
      </c>
      <c r="D14" s="84">
        <f>LapBxPWR!F10</f>
        <v>10.858514767788376</v>
      </c>
    </row>
    <row r="15" spans="1:6" ht="15.75" thickBot="1" x14ac:dyDescent="0.3">
      <c r="B15" s="18" t="s">
        <v>53</v>
      </c>
      <c r="C15" s="46">
        <v>0.72</v>
      </c>
      <c r="D15" s="45">
        <f>(D14*100%/C15)-D14</f>
        <v>4.222755743028813</v>
      </c>
      <c r="E15" s="24">
        <f>D14+D15</f>
        <v>15.081270510817189</v>
      </c>
      <c r="F15" s="14" t="s">
        <v>64</v>
      </c>
    </row>
    <row r="16" spans="1:6" x14ac:dyDescent="0.25">
      <c r="E16" s="86">
        <f>E15/24</f>
        <v>0.62838627128404956</v>
      </c>
      <c r="F16" t="s">
        <v>50</v>
      </c>
    </row>
    <row r="17" spans="5:6" ht="15.75" thickBot="1" x14ac:dyDescent="0.3"/>
    <row r="18" spans="5:6" ht="15.75" thickBot="1" x14ac:dyDescent="0.3">
      <c r="E18" s="85">
        <f>E10+E15</f>
        <v>32.275714955261634</v>
      </c>
      <c r="F18" s="14" t="s">
        <v>319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I54"/>
  <sheetViews>
    <sheetView workbookViewId="0">
      <selection activeCell="A6" sqref="A6:F15"/>
    </sheetView>
  </sheetViews>
  <sheetFormatPr defaultRowHeight="15" x14ac:dyDescent="0.25"/>
  <cols>
    <col min="1" max="1" width="27" customWidth="1"/>
    <col min="2" max="2" width="13" customWidth="1"/>
  </cols>
  <sheetData>
    <row r="3" spans="1:9" x14ac:dyDescent="0.25">
      <c r="B3" s="22" t="s">
        <v>57</v>
      </c>
      <c r="C3" s="16">
        <v>24</v>
      </c>
      <c r="D3" t="s">
        <v>3</v>
      </c>
    </row>
    <row r="4" spans="1:9" x14ac:dyDescent="0.25">
      <c r="A4" s="14"/>
      <c r="B4" s="15" t="s">
        <v>58</v>
      </c>
      <c r="C4" s="16">
        <v>12</v>
      </c>
      <c r="D4" s="23" t="s">
        <v>3</v>
      </c>
      <c r="E4" s="14"/>
    </row>
    <row r="5" spans="1:9" x14ac:dyDescent="0.25">
      <c r="A5" s="14"/>
      <c r="B5" s="15"/>
      <c r="E5" s="14"/>
    </row>
    <row r="6" spans="1:9" ht="15.75" thickBot="1" x14ac:dyDescent="0.3">
      <c r="A6" s="14"/>
      <c r="B6" s="27" t="s">
        <v>56</v>
      </c>
      <c r="C6" s="26" t="s">
        <v>50</v>
      </c>
      <c r="D6" s="26" t="s">
        <v>43</v>
      </c>
      <c r="E6" s="14"/>
      <c r="H6" s="1" t="s">
        <v>80</v>
      </c>
    </row>
    <row r="7" spans="1:9" x14ac:dyDescent="0.25">
      <c r="A7" s="14"/>
      <c r="B7" s="18" t="s">
        <v>51</v>
      </c>
      <c r="C7" s="25">
        <v>3.57</v>
      </c>
      <c r="D7" s="32">
        <f>C7*C4</f>
        <v>42.839999999999996</v>
      </c>
      <c r="E7" s="14"/>
      <c r="H7" t="s">
        <v>72</v>
      </c>
    </row>
    <row r="8" spans="1:9" x14ac:dyDescent="0.25">
      <c r="A8" s="14"/>
      <c r="B8" s="18" t="s">
        <v>87</v>
      </c>
      <c r="C8" s="16">
        <v>0.63</v>
      </c>
      <c r="D8" s="33">
        <f t="shared" ref="D8:D11" si="0">C8*12</f>
        <v>7.5600000000000005</v>
      </c>
      <c r="E8" s="14"/>
      <c r="H8" t="s">
        <v>70</v>
      </c>
    </row>
    <row r="9" spans="1:9" x14ac:dyDescent="0.25">
      <c r="A9" s="14"/>
      <c r="B9" s="18" t="s">
        <v>88</v>
      </c>
      <c r="C9" s="16">
        <v>0.26</v>
      </c>
      <c r="D9" s="33">
        <f t="shared" si="0"/>
        <v>3.12</v>
      </c>
      <c r="E9" s="14"/>
    </row>
    <row r="10" spans="1:9" x14ac:dyDescent="0.25">
      <c r="A10" s="14"/>
      <c r="B10" s="18" t="s">
        <v>55</v>
      </c>
      <c r="C10" s="16"/>
      <c r="D10" s="34">
        <v>1.7</v>
      </c>
      <c r="E10" s="14"/>
      <c r="H10" s="16">
        <v>40</v>
      </c>
      <c r="I10" t="s">
        <v>77</v>
      </c>
    </row>
    <row r="11" spans="1:9" x14ac:dyDescent="0.25">
      <c r="A11" s="14"/>
      <c r="B11" s="18" t="s">
        <v>66</v>
      </c>
      <c r="C11" s="31">
        <v>0.21</v>
      </c>
      <c r="D11" s="33">
        <f t="shared" si="0"/>
        <v>2.52</v>
      </c>
      <c r="E11" s="14"/>
      <c r="H11" s="16">
        <v>125.8</v>
      </c>
      <c r="I11" t="s">
        <v>79</v>
      </c>
    </row>
    <row r="12" spans="1:9" x14ac:dyDescent="0.25">
      <c r="A12" s="14"/>
      <c r="B12" s="18" t="s">
        <v>62</v>
      </c>
      <c r="C12" s="31"/>
      <c r="D12" s="35">
        <f>D23</f>
        <v>0.4920882352941176</v>
      </c>
      <c r="E12" s="14"/>
      <c r="H12" s="16">
        <v>5.24</v>
      </c>
      <c r="I12" t="s">
        <v>73</v>
      </c>
    </row>
    <row r="13" spans="1:9" x14ac:dyDescent="0.25">
      <c r="A13" s="14"/>
      <c r="B13" s="18" t="s">
        <v>63</v>
      </c>
      <c r="C13" s="31"/>
      <c r="D13" s="35">
        <f>D34</f>
        <v>2.4096385542168677</v>
      </c>
      <c r="E13" s="14"/>
      <c r="H13" s="16">
        <v>3.3</v>
      </c>
      <c r="I13" t="s">
        <v>74</v>
      </c>
    </row>
    <row r="14" spans="1:9" ht="15.75" thickBot="1" x14ac:dyDescent="0.3">
      <c r="A14" s="14"/>
      <c r="B14" s="18"/>
      <c r="C14" s="31" t="s">
        <v>52</v>
      </c>
      <c r="D14" s="36">
        <f>SUM(D7:D10)</f>
        <v>55.22</v>
      </c>
      <c r="H14" s="43">
        <f>C22</f>
        <v>0.12675</v>
      </c>
      <c r="I14" t="s">
        <v>75</v>
      </c>
    </row>
    <row r="15" spans="1:9" ht="15.75" thickBot="1" x14ac:dyDescent="0.3">
      <c r="A15" s="14"/>
      <c r="B15" s="18" t="s">
        <v>53</v>
      </c>
      <c r="C15" s="46">
        <v>0.87</v>
      </c>
      <c r="D15" s="45">
        <f>(D14*100%/C15)-D14</f>
        <v>8.2512643678160913</v>
      </c>
      <c r="E15" s="24">
        <f>D14+D15</f>
        <v>63.47126436781609</v>
      </c>
      <c r="F15" s="14" t="s">
        <v>64</v>
      </c>
      <c r="H15" s="42">
        <f>H10+(((H12-H13)*H14)*H11)</f>
        <v>70.933591000000007</v>
      </c>
      <c r="I15" t="s">
        <v>76</v>
      </c>
    </row>
    <row r="17" spans="2:9" ht="15.75" thickBot="1" x14ac:dyDescent="0.3">
      <c r="B17" s="29" t="s">
        <v>59</v>
      </c>
      <c r="C17" s="28"/>
      <c r="D17" s="28"/>
      <c r="H17" s="1" t="s">
        <v>81</v>
      </c>
    </row>
    <row r="18" spans="2:9" x14ac:dyDescent="0.25">
      <c r="B18" s="17" t="s">
        <v>69</v>
      </c>
      <c r="C18" s="14">
        <v>0.09</v>
      </c>
      <c r="D18" s="19">
        <f>C18*3.3</f>
        <v>0.29699999999999999</v>
      </c>
      <c r="H18" t="s">
        <v>72</v>
      </c>
    </row>
    <row r="19" spans="2:9" x14ac:dyDescent="0.25">
      <c r="B19" s="17" t="s">
        <v>78</v>
      </c>
      <c r="C19" s="14">
        <v>3.5999999999999997E-2</v>
      </c>
      <c r="D19" s="19">
        <f t="shared" ref="D19:D21" si="1">C19*3.3</f>
        <v>0.11879999999999999</v>
      </c>
      <c r="H19" t="s">
        <v>70</v>
      </c>
    </row>
    <row r="20" spans="2:9" x14ac:dyDescent="0.25">
      <c r="B20" s="15" t="s">
        <v>67</v>
      </c>
      <c r="C20" s="14">
        <v>2.5000000000000001E-4</v>
      </c>
      <c r="D20" s="19">
        <f t="shared" si="1"/>
        <v>8.25E-4</v>
      </c>
      <c r="H20" s="16">
        <v>40</v>
      </c>
      <c r="I20" t="s">
        <v>77</v>
      </c>
    </row>
    <row r="21" spans="2:9" x14ac:dyDescent="0.25">
      <c r="B21" s="15" t="s">
        <v>68</v>
      </c>
      <c r="C21" s="37">
        <v>5.0000000000000001E-4</v>
      </c>
      <c r="D21" s="39">
        <f t="shared" si="1"/>
        <v>1.65E-3</v>
      </c>
      <c r="H21" s="16">
        <v>165.1</v>
      </c>
      <c r="I21" t="s">
        <v>71</v>
      </c>
    </row>
    <row r="22" spans="2:9" x14ac:dyDescent="0.25">
      <c r="B22" s="38" t="s">
        <v>54</v>
      </c>
      <c r="C22" s="40">
        <f>SUM(C18:C21)</f>
        <v>0.12675</v>
      </c>
      <c r="D22" s="40">
        <f>SUM(D18:D21)</f>
        <v>0.41827499999999995</v>
      </c>
      <c r="H22" s="16">
        <v>5.24</v>
      </c>
      <c r="I22" t="s">
        <v>73</v>
      </c>
    </row>
    <row r="23" spans="2:9" ht="15.75" thickBot="1" x14ac:dyDescent="0.3">
      <c r="B23" s="18" t="s">
        <v>53</v>
      </c>
      <c r="C23" s="20">
        <v>0.85</v>
      </c>
      <c r="D23" s="44">
        <f>1/C23*D22</f>
        <v>0.4920882352941176</v>
      </c>
      <c r="E23" s="14" t="s">
        <v>43</v>
      </c>
      <c r="H23" s="16">
        <v>5</v>
      </c>
      <c r="I23" t="s">
        <v>74</v>
      </c>
    </row>
    <row r="24" spans="2:9" ht="15.75" thickBot="1" x14ac:dyDescent="0.3">
      <c r="H24" s="31">
        <f>C28</f>
        <v>0.01</v>
      </c>
      <c r="I24" t="s">
        <v>75</v>
      </c>
    </row>
    <row r="25" spans="2:9" ht="15.75" thickBot="1" x14ac:dyDescent="0.3">
      <c r="B25" s="29" t="s">
        <v>65</v>
      </c>
      <c r="C25" s="28"/>
      <c r="D25" s="28"/>
      <c r="H25" s="42">
        <f>H20+(((H22-H23)*C32)*H21)</f>
        <v>40</v>
      </c>
      <c r="I25" t="s">
        <v>76</v>
      </c>
    </row>
    <row r="26" spans="2:9" x14ac:dyDescent="0.25">
      <c r="B26" s="15" t="s">
        <v>67</v>
      </c>
      <c r="C26" s="14">
        <v>0.01</v>
      </c>
      <c r="D26" s="19">
        <f>C26*5</f>
        <v>0.05</v>
      </c>
    </row>
    <row r="27" spans="2:9" x14ac:dyDescent="0.25">
      <c r="B27" s="15"/>
      <c r="C27" s="14"/>
      <c r="D27" s="19">
        <f>C27*5</f>
        <v>0</v>
      </c>
      <c r="H27" s="1" t="s">
        <v>82</v>
      </c>
    </row>
    <row r="28" spans="2:9" x14ac:dyDescent="0.25">
      <c r="B28" s="38" t="s">
        <v>54</v>
      </c>
      <c r="C28" s="40">
        <f>SUM(C26:C27)</f>
        <v>0.01</v>
      </c>
      <c r="D28" s="40">
        <f>SUM(D26:D27)</f>
        <v>0.05</v>
      </c>
      <c r="H28" t="s">
        <v>83</v>
      </c>
    </row>
    <row r="29" spans="2:9" ht="15.75" thickBot="1" x14ac:dyDescent="0.3">
      <c r="B29" s="18" t="s">
        <v>53</v>
      </c>
      <c r="C29" s="20">
        <v>0.85</v>
      </c>
      <c r="D29" s="44">
        <f>1/C29*D28</f>
        <v>5.8823529411764712E-2</v>
      </c>
      <c r="E29" s="14" t="s">
        <v>43</v>
      </c>
      <c r="H29" s="16">
        <f>(C4-10)*C33</f>
        <v>0.4</v>
      </c>
      <c r="I29" t="s">
        <v>84</v>
      </c>
    </row>
    <row r="30" spans="2:9" x14ac:dyDescent="0.25">
      <c r="B30" s="18"/>
      <c r="C30" s="41"/>
      <c r="E30" s="14"/>
      <c r="H30" t="s">
        <v>72</v>
      </c>
    </row>
    <row r="31" spans="2:9" x14ac:dyDescent="0.25">
      <c r="H31" t="s">
        <v>86</v>
      </c>
    </row>
    <row r="32" spans="2:9" ht="15.75" thickBot="1" x14ac:dyDescent="0.3">
      <c r="B32" s="29" t="s">
        <v>60</v>
      </c>
      <c r="C32" s="28"/>
      <c r="D32" s="28"/>
      <c r="H32" s="16">
        <v>40</v>
      </c>
      <c r="I32" t="s">
        <v>77</v>
      </c>
    </row>
    <row r="33" spans="1:9" ht="15.75" thickBot="1" x14ac:dyDescent="0.3">
      <c r="B33" s="15" t="s">
        <v>61</v>
      </c>
      <c r="C33" s="14">
        <v>0.2</v>
      </c>
      <c r="D33" s="19">
        <f>C33*10</f>
        <v>2</v>
      </c>
      <c r="H33" s="16">
        <v>29</v>
      </c>
      <c r="I33" t="s">
        <v>85</v>
      </c>
    </row>
    <row r="34" spans="1:9" ht="15.75" thickBot="1" x14ac:dyDescent="0.3">
      <c r="B34" s="18" t="s">
        <v>53</v>
      </c>
      <c r="C34" s="20">
        <v>0.83</v>
      </c>
      <c r="D34" s="30">
        <f>1/C34*D33</f>
        <v>2.4096385542168677</v>
      </c>
      <c r="E34" s="14" t="s">
        <v>43</v>
      </c>
      <c r="H34" s="42">
        <f>H32+(H29*H33)</f>
        <v>51.6</v>
      </c>
      <c r="I34" t="s">
        <v>76</v>
      </c>
    </row>
    <row r="38" spans="1:9" x14ac:dyDescent="0.25">
      <c r="A38" t="s">
        <v>102</v>
      </c>
    </row>
    <row r="40" spans="1:9" x14ac:dyDescent="0.25">
      <c r="B40" s="48" t="s">
        <v>92</v>
      </c>
      <c r="C40" s="47">
        <f>D14</f>
        <v>55.22</v>
      </c>
      <c r="D40" t="s">
        <v>43</v>
      </c>
    </row>
    <row r="41" spans="1:9" x14ac:dyDescent="0.25">
      <c r="B41" s="48" t="s">
        <v>93</v>
      </c>
      <c r="C41" s="46">
        <v>0.87</v>
      </c>
    </row>
    <row r="42" spans="1:9" x14ac:dyDescent="0.25">
      <c r="B42" s="48" t="s">
        <v>95</v>
      </c>
      <c r="C42" s="16">
        <v>44</v>
      </c>
      <c r="D42" t="s">
        <v>94</v>
      </c>
    </row>
    <row r="43" spans="1:9" x14ac:dyDescent="0.25">
      <c r="B43" s="48" t="s">
        <v>105</v>
      </c>
      <c r="C43" s="16">
        <v>75</v>
      </c>
      <c r="D43" t="s">
        <v>94</v>
      </c>
    </row>
    <row r="44" spans="1:9" x14ac:dyDescent="0.25">
      <c r="B44" s="48" t="s">
        <v>106</v>
      </c>
      <c r="C44" s="49">
        <f>C43-C42</f>
        <v>31</v>
      </c>
      <c r="D44" t="s">
        <v>94</v>
      </c>
    </row>
    <row r="45" spans="1:9" x14ac:dyDescent="0.25">
      <c r="B45" s="48" t="s">
        <v>96</v>
      </c>
      <c r="C45" s="16">
        <v>8</v>
      </c>
      <c r="D45" t="s">
        <v>43</v>
      </c>
    </row>
    <row r="46" spans="1:9" x14ac:dyDescent="0.25">
      <c r="B46" s="48" t="s">
        <v>97</v>
      </c>
      <c r="C46" s="16">
        <v>63</v>
      </c>
      <c r="D46" t="s">
        <v>43</v>
      </c>
    </row>
    <row r="47" spans="1:9" x14ac:dyDescent="0.25">
      <c r="B47" s="48" t="s">
        <v>99</v>
      </c>
      <c r="C47" s="49">
        <f>C44/C45</f>
        <v>3.875</v>
      </c>
      <c r="D47" t="s">
        <v>98</v>
      </c>
    </row>
    <row r="48" spans="1:9" x14ac:dyDescent="0.25">
      <c r="B48" s="48" t="s">
        <v>111</v>
      </c>
      <c r="C48" s="16">
        <v>5.37</v>
      </c>
      <c r="D48" t="s">
        <v>98</v>
      </c>
      <c r="F48" t="s">
        <v>104</v>
      </c>
    </row>
    <row r="49" spans="1:6" ht="30" customHeight="1" x14ac:dyDescent="0.25">
      <c r="A49" s="117" t="s">
        <v>108</v>
      </c>
      <c r="B49" s="118"/>
      <c r="C49" s="16">
        <v>2.5099999999999998</v>
      </c>
      <c r="D49" t="s">
        <v>98</v>
      </c>
      <c r="F49" t="s">
        <v>103</v>
      </c>
    </row>
    <row r="50" spans="1:6" ht="31.15" customHeight="1" x14ac:dyDescent="0.25">
      <c r="A50" s="117" t="s">
        <v>107</v>
      </c>
      <c r="B50" s="118"/>
      <c r="C50" s="50">
        <v>3.87</v>
      </c>
      <c r="D50" t="s">
        <v>98</v>
      </c>
      <c r="F50" t="s">
        <v>109</v>
      </c>
    </row>
    <row r="52" spans="1:6" x14ac:dyDescent="0.25">
      <c r="B52" s="48" t="s">
        <v>100</v>
      </c>
      <c r="C52" s="16">
        <v>10.9</v>
      </c>
      <c r="D52" t="s">
        <v>98</v>
      </c>
      <c r="F52" t="s">
        <v>101</v>
      </c>
    </row>
    <row r="54" spans="1:6" x14ac:dyDescent="0.25">
      <c r="A54" t="s">
        <v>110</v>
      </c>
    </row>
  </sheetData>
  <mergeCells count="2">
    <mergeCell ref="A49:B49"/>
    <mergeCell ref="A50:B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03"/>
  <sheetViews>
    <sheetView topLeftCell="A49" zoomScale="75" zoomScaleNormal="75" workbookViewId="0">
      <selection activeCell="M88" sqref="M88"/>
    </sheetView>
  </sheetViews>
  <sheetFormatPr defaultColWidth="9" defaultRowHeight="15" x14ac:dyDescent="0.25"/>
  <cols>
    <col min="1" max="1" width="7.7109375" style="80" bestFit="1" customWidth="1"/>
    <col min="2" max="2" width="26.7109375" style="63" bestFit="1" customWidth="1"/>
    <col min="3" max="3" width="6.140625" style="63" customWidth="1"/>
    <col min="4" max="4" width="4.85546875" style="80" bestFit="1" customWidth="1"/>
    <col min="5" max="5" width="9.28515625" style="80" bestFit="1" customWidth="1"/>
    <col min="6" max="6" width="21" style="80" customWidth="1"/>
    <col min="7" max="7" width="53.140625" style="63" customWidth="1"/>
    <col min="8" max="8" width="9.28515625" style="80" bestFit="1" customWidth="1"/>
    <col min="9" max="9" width="17.140625" style="80" customWidth="1"/>
    <col min="10" max="10" width="66.28515625" style="63" customWidth="1"/>
    <col min="11" max="16384" width="9" style="63"/>
  </cols>
  <sheetData>
    <row r="1" spans="1:10" ht="19.5" thickBot="1" x14ac:dyDescent="0.3">
      <c r="A1" s="129" t="s">
        <v>344</v>
      </c>
      <c r="B1" s="130"/>
      <c r="C1" s="130"/>
      <c r="D1" s="130"/>
      <c r="E1" s="130"/>
      <c r="F1" s="130"/>
      <c r="G1" s="130"/>
      <c r="H1" s="131"/>
      <c r="I1" s="131"/>
      <c r="J1" s="132"/>
    </row>
    <row r="2" spans="1:10" ht="19.5" thickBot="1" x14ac:dyDescent="0.3">
      <c r="A2" s="133" t="s">
        <v>343</v>
      </c>
      <c r="B2" s="134"/>
      <c r="C2" s="134"/>
      <c r="D2" s="135"/>
      <c r="E2" s="119" t="s">
        <v>184</v>
      </c>
      <c r="F2" s="120"/>
      <c r="G2" s="121"/>
      <c r="H2" s="122" t="s">
        <v>185</v>
      </c>
      <c r="I2" s="120"/>
      <c r="J2" s="121"/>
    </row>
    <row r="3" spans="1:10" ht="45" x14ac:dyDescent="0.25">
      <c r="A3" s="57" t="s">
        <v>89</v>
      </c>
      <c r="B3" s="64" t="s">
        <v>117</v>
      </c>
      <c r="C3" s="64" t="s">
        <v>210</v>
      </c>
      <c r="D3" s="65" t="s">
        <v>217</v>
      </c>
      <c r="E3" s="57" t="s">
        <v>122</v>
      </c>
      <c r="F3" s="60" t="s">
        <v>90</v>
      </c>
      <c r="G3" s="87" t="s">
        <v>91</v>
      </c>
      <c r="H3" s="57" t="s">
        <v>122</v>
      </c>
      <c r="I3" s="60" t="s">
        <v>90</v>
      </c>
      <c r="J3" s="66" t="s">
        <v>91</v>
      </c>
    </row>
    <row r="4" spans="1:10" x14ac:dyDescent="0.25">
      <c r="A4" s="54">
        <v>1</v>
      </c>
      <c r="B4" s="67" t="s">
        <v>116</v>
      </c>
      <c r="C4" s="53" t="s">
        <v>211</v>
      </c>
      <c r="D4" s="56" t="s">
        <v>220</v>
      </c>
      <c r="E4" s="54" t="s">
        <v>226</v>
      </c>
      <c r="F4" s="61" t="s">
        <v>221</v>
      </c>
      <c r="G4" s="88" t="s">
        <v>240</v>
      </c>
      <c r="H4" s="54" t="s">
        <v>226</v>
      </c>
      <c r="I4" s="61" t="s">
        <v>221</v>
      </c>
      <c r="J4" s="68" t="s">
        <v>240</v>
      </c>
    </row>
    <row r="5" spans="1:10" x14ac:dyDescent="0.25">
      <c r="A5" s="54">
        <v>2</v>
      </c>
      <c r="B5" s="67" t="s">
        <v>115</v>
      </c>
      <c r="C5" s="69"/>
      <c r="D5" s="56"/>
      <c r="E5" s="54"/>
      <c r="F5" s="61"/>
      <c r="G5" s="88"/>
      <c r="H5" s="54"/>
      <c r="I5" s="61"/>
      <c r="J5" s="68"/>
    </row>
    <row r="6" spans="1:10" ht="30" x14ac:dyDescent="0.25">
      <c r="A6" s="54">
        <v>3</v>
      </c>
      <c r="B6" s="67" t="s">
        <v>118</v>
      </c>
      <c r="C6" s="123" t="s">
        <v>212</v>
      </c>
      <c r="D6" s="56" t="s">
        <v>220</v>
      </c>
      <c r="E6" s="54" t="s">
        <v>114</v>
      </c>
      <c r="F6" s="61" t="s">
        <v>222</v>
      </c>
      <c r="G6" s="88" t="s">
        <v>300</v>
      </c>
      <c r="H6" s="54" t="s">
        <v>226</v>
      </c>
      <c r="I6" s="61" t="s">
        <v>221</v>
      </c>
      <c r="J6" s="68" t="s">
        <v>240</v>
      </c>
    </row>
    <row r="7" spans="1:10" ht="30" x14ac:dyDescent="0.25">
      <c r="A7" s="54">
        <v>4</v>
      </c>
      <c r="B7" s="67" t="s">
        <v>119</v>
      </c>
      <c r="C7" s="123"/>
      <c r="D7" s="56" t="s">
        <v>220</v>
      </c>
      <c r="E7" s="54" t="s">
        <v>114</v>
      </c>
      <c r="F7" s="61" t="s">
        <v>223</v>
      </c>
      <c r="G7" s="88" t="s">
        <v>301</v>
      </c>
      <c r="H7" s="54" t="s">
        <v>226</v>
      </c>
      <c r="I7" s="61" t="s">
        <v>221</v>
      </c>
      <c r="J7" s="68" t="s">
        <v>240</v>
      </c>
    </row>
    <row r="8" spans="1:10" x14ac:dyDescent="0.25">
      <c r="A8" s="54">
        <v>5</v>
      </c>
      <c r="B8" s="67" t="s">
        <v>120</v>
      </c>
      <c r="C8" s="123"/>
      <c r="D8" s="56" t="s">
        <v>220</v>
      </c>
      <c r="E8" s="54" t="s">
        <v>114</v>
      </c>
      <c r="F8" s="61" t="s">
        <v>224</v>
      </c>
      <c r="G8" s="88" t="s">
        <v>225</v>
      </c>
      <c r="H8" s="54" t="s">
        <v>226</v>
      </c>
      <c r="I8" s="61" t="s">
        <v>221</v>
      </c>
      <c r="J8" s="68" t="s">
        <v>240</v>
      </c>
    </row>
    <row r="9" spans="1:10" x14ac:dyDescent="0.25">
      <c r="A9" s="54">
        <v>6</v>
      </c>
      <c r="B9" s="67" t="s">
        <v>121</v>
      </c>
      <c r="C9" s="126" t="s">
        <v>216</v>
      </c>
      <c r="D9" s="56" t="s">
        <v>220</v>
      </c>
      <c r="E9" s="54" t="s">
        <v>226</v>
      </c>
      <c r="F9" s="61" t="s">
        <v>320</v>
      </c>
      <c r="G9" s="88" t="s">
        <v>321</v>
      </c>
      <c r="H9" s="54" t="s">
        <v>226</v>
      </c>
      <c r="I9" s="61" t="s">
        <v>221</v>
      </c>
      <c r="J9" s="68" t="s">
        <v>240</v>
      </c>
    </row>
    <row r="10" spans="1:10" x14ac:dyDescent="0.25">
      <c r="A10" s="54">
        <v>7</v>
      </c>
      <c r="B10" s="67" t="s">
        <v>123</v>
      </c>
      <c r="C10" s="126"/>
      <c r="D10" s="56" t="s">
        <v>220</v>
      </c>
      <c r="E10" s="54" t="s">
        <v>226</v>
      </c>
      <c r="F10" s="61" t="s">
        <v>227</v>
      </c>
      <c r="G10" s="88" t="s">
        <v>302</v>
      </c>
      <c r="H10" s="54" t="s">
        <v>226</v>
      </c>
      <c r="I10" s="61" t="s">
        <v>221</v>
      </c>
      <c r="J10" s="68" t="s">
        <v>240</v>
      </c>
    </row>
    <row r="11" spans="1:10" x14ac:dyDescent="0.25">
      <c r="A11" s="54">
        <v>8</v>
      </c>
      <c r="B11" s="67" t="s">
        <v>124</v>
      </c>
      <c r="C11" s="126"/>
      <c r="D11" s="56" t="s">
        <v>220</v>
      </c>
      <c r="E11" s="54" t="s">
        <v>226</v>
      </c>
      <c r="F11" s="61" t="s">
        <v>228</v>
      </c>
      <c r="G11" s="88" t="s">
        <v>303</v>
      </c>
      <c r="H11" s="54" t="s">
        <v>226</v>
      </c>
      <c r="I11" s="61" t="s">
        <v>221</v>
      </c>
      <c r="J11" s="68" t="s">
        <v>240</v>
      </c>
    </row>
    <row r="12" spans="1:10" x14ac:dyDescent="0.25">
      <c r="A12" s="54">
        <v>9</v>
      </c>
      <c r="B12" s="67" t="s">
        <v>125</v>
      </c>
      <c r="C12" s="126"/>
      <c r="D12" s="56" t="s">
        <v>220</v>
      </c>
      <c r="E12" s="54" t="s">
        <v>226</v>
      </c>
      <c r="F12" s="61" t="s">
        <v>229</v>
      </c>
      <c r="G12" s="88" t="s">
        <v>304</v>
      </c>
      <c r="H12" s="54" t="s">
        <v>226</v>
      </c>
      <c r="I12" s="61" t="s">
        <v>221</v>
      </c>
      <c r="J12" s="68" t="s">
        <v>240</v>
      </c>
    </row>
    <row r="13" spans="1:10" x14ac:dyDescent="0.25">
      <c r="A13" s="54">
        <v>10</v>
      </c>
      <c r="B13" s="67" t="s">
        <v>126</v>
      </c>
      <c r="C13" s="124" t="s">
        <v>211</v>
      </c>
      <c r="D13" s="56" t="s">
        <v>220</v>
      </c>
      <c r="E13" s="54" t="s">
        <v>226</v>
      </c>
      <c r="F13" s="61" t="s">
        <v>230</v>
      </c>
      <c r="G13" s="88" t="s">
        <v>235</v>
      </c>
      <c r="H13" s="54" t="s">
        <v>308</v>
      </c>
      <c r="I13" s="61" t="s">
        <v>308</v>
      </c>
      <c r="J13" s="68"/>
    </row>
    <row r="14" spans="1:10" x14ac:dyDescent="0.25">
      <c r="A14" s="54">
        <v>11</v>
      </c>
      <c r="B14" s="67" t="s">
        <v>127</v>
      </c>
      <c r="C14" s="124"/>
      <c r="D14" s="56" t="s">
        <v>218</v>
      </c>
      <c r="E14" s="54" t="s">
        <v>114</v>
      </c>
      <c r="F14" s="61" t="s">
        <v>231</v>
      </c>
      <c r="G14" s="88" t="s">
        <v>237</v>
      </c>
      <c r="H14" s="54" t="s">
        <v>308</v>
      </c>
      <c r="I14" s="61" t="s">
        <v>308</v>
      </c>
      <c r="J14" s="68"/>
    </row>
    <row r="15" spans="1:10" x14ac:dyDescent="0.25">
      <c r="A15" s="54">
        <v>12</v>
      </c>
      <c r="B15" s="67" t="s">
        <v>128</v>
      </c>
      <c r="C15" s="124"/>
      <c r="D15" s="56" t="s">
        <v>234</v>
      </c>
      <c r="E15" s="54" t="s">
        <v>226</v>
      </c>
      <c r="F15" s="61" t="s">
        <v>232</v>
      </c>
      <c r="G15" s="88" t="s">
        <v>236</v>
      </c>
      <c r="H15" s="54" t="s">
        <v>308</v>
      </c>
      <c r="I15" s="61" t="s">
        <v>308</v>
      </c>
      <c r="J15" s="68"/>
    </row>
    <row r="16" spans="1:10" x14ac:dyDescent="0.25">
      <c r="A16" s="54">
        <v>13</v>
      </c>
      <c r="B16" s="67" t="s">
        <v>129</v>
      </c>
      <c r="C16" s="69"/>
      <c r="D16" s="56" t="s">
        <v>218</v>
      </c>
      <c r="E16" s="54" t="s">
        <v>114</v>
      </c>
      <c r="F16" s="61" t="s">
        <v>129</v>
      </c>
      <c r="G16" s="88" t="s">
        <v>233</v>
      </c>
      <c r="H16" s="54" t="s">
        <v>308</v>
      </c>
      <c r="I16" s="61" t="s">
        <v>308</v>
      </c>
      <c r="J16" s="68"/>
    </row>
    <row r="17" spans="1:10" x14ac:dyDescent="0.25">
      <c r="A17" s="54">
        <v>14</v>
      </c>
      <c r="B17" s="67" t="s">
        <v>130</v>
      </c>
      <c r="C17" s="81" t="s">
        <v>211</v>
      </c>
      <c r="D17" s="56" t="s">
        <v>220</v>
      </c>
      <c r="E17" s="54" t="s">
        <v>220</v>
      </c>
      <c r="F17" s="61" t="s">
        <v>238</v>
      </c>
      <c r="G17" s="88" t="s">
        <v>239</v>
      </c>
      <c r="H17" s="54" t="s">
        <v>308</v>
      </c>
      <c r="I17" s="61" t="s">
        <v>308</v>
      </c>
      <c r="J17" s="68"/>
    </row>
    <row r="18" spans="1:10" x14ac:dyDescent="0.25">
      <c r="A18" s="54">
        <v>15</v>
      </c>
      <c r="B18" s="67" t="s">
        <v>131</v>
      </c>
      <c r="C18" s="69"/>
      <c r="D18" s="56"/>
      <c r="E18" s="54"/>
      <c r="F18" s="61"/>
      <c r="G18" s="88"/>
      <c r="H18" s="54"/>
      <c r="I18" s="61"/>
      <c r="J18" s="68"/>
    </row>
    <row r="19" spans="1:10" x14ac:dyDescent="0.25">
      <c r="A19" s="54">
        <v>16</v>
      </c>
      <c r="B19" s="67" t="s">
        <v>115</v>
      </c>
      <c r="C19" s="69"/>
      <c r="D19" s="56"/>
      <c r="E19" s="54"/>
      <c r="F19" s="61"/>
      <c r="G19" s="88"/>
      <c r="H19" s="54"/>
      <c r="I19" s="61"/>
      <c r="J19" s="68"/>
    </row>
    <row r="20" spans="1:10" x14ac:dyDescent="0.25">
      <c r="A20" s="54">
        <v>17</v>
      </c>
      <c r="B20" s="67" t="s">
        <v>132</v>
      </c>
      <c r="C20" s="82" t="s">
        <v>213</v>
      </c>
      <c r="D20" s="56" t="s">
        <v>220</v>
      </c>
      <c r="E20" s="54" t="s">
        <v>226</v>
      </c>
      <c r="F20" s="61" t="s">
        <v>221</v>
      </c>
      <c r="G20" s="88" t="s">
        <v>240</v>
      </c>
      <c r="H20" s="54" t="s">
        <v>226</v>
      </c>
      <c r="I20" s="61" t="s">
        <v>221</v>
      </c>
      <c r="J20" s="68" t="s">
        <v>240</v>
      </c>
    </row>
    <row r="21" spans="1:10" ht="30" x14ac:dyDescent="0.25">
      <c r="A21" s="54">
        <v>18</v>
      </c>
      <c r="B21" s="67" t="s">
        <v>133</v>
      </c>
      <c r="C21" s="123" t="s">
        <v>212</v>
      </c>
      <c r="D21" s="56" t="s">
        <v>220</v>
      </c>
      <c r="E21" s="54" t="s">
        <v>114</v>
      </c>
      <c r="F21" s="61" t="s">
        <v>241</v>
      </c>
      <c r="G21" s="88" t="s">
        <v>242</v>
      </c>
      <c r="H21" s="54" t="s">
        <v>226</v>
      </c>
      <c r="I21" s="61" t="s">
        <v>221</v>
      </c>
      <c r="J21" s="68" t="s">
        <v>240</v>
      </c>
    </row>
    <row r="22" spans="1:10" x14ac:dyDescent="0.25">
      <c r="A22" s="54">
        <v>19</v>
      </c>
      <c r="B22" s="67" t="s">
        <v>134</v>
      </c>
      <c r="C22" s="123"/>
      <c r="D22" s="56" t="s">
        <v>220</v>
      </c>
      <c r="E22" s="54" t="s">
        <v>226</v>
      </c>
      <c r="F22" s="61" t="s">
        <v>221</v>
      </c>
      <c r="G22" s="88" t="s">
        <v>240</v>
      </c>
      <c r="H22" s="54" t="s">
        <v>226</v>
      </c>
      <c r="I22" s="61" t="s">
        <v>221</v>
      </c>
      <c r="J22" s="68" t="s">
        <v>240</v>
      </c>
    </row>
    <row r="23" spans="1:10" x14ac:dyDescent="0.25">
      <c r="A23" s="54">
        <v>20</v>
      </c>
      <c r="B23" s="67" t="s">
        <v>135</v>
      </c>
      <c r="C23" s="127" t="s">
        <v>214</v>
      </c>
      <c r="D23" s="56" t="s">
        <v>220</v>
      </c>
      <c r="E23" s="54" t="s">
        <v>226</v>
      </c>
      <c r="F23" s="61" t="s">
        <v>243</v>
      </c>
      <c r="G23" s="88" t="s">
        <v>305</v>
      </c>
      <c r="H23" s="54" t="s">
        <v>226</v>
      </c>
      <c r="I23" s="61" t="s">
        <v>221</v>
      </c>
      <c r="J23" s="68" t="s">
        <v>240</v>
      </c>
    </row>
    <row r="24" spans="1:10" x14ac:dyDescent="0.25">
      <c r="A24" s="54">
        <v>21</v>
      </c>
      <c r="B24" s="67" t="s">
        <v>136</v>
      </c>
      <c r="C24" s="127"/>
      <c r="D24" s="56" t="s">
        <v>220</v>
      </c>
      <c r="E24" s="54" t="s">
        <v>226</v>
      </c>
      <c r="F24" s="61" t="s">
        <v>244</v>
      </c>
      <c r="G24" s="88" t="s">
        <v>306</v>
      </c>
      <c r="H24" s="54" t="s">
        <v>226</v>
      </c>
      <c r="I24" s="61" t="s">
        <v>221</v>
      </c>
      <c r="J24" s="68" t="s">
        <v>240</v>
      </c>
    </row>
    <row r="25" spans="1:10" ht="30" x14ac:dyDescent="0.25">
      <c r="A25" s="54">
        <v>22</v>
      </c>
      <c r="B25" s="67" t="s">
        <v>137</v>
      </c>
      <c r="C25" s="127"/>
      <c r="D25" s="56" t="s">
        <v>220</v>
      </c>
      <c r="E25" s="54" t="s">
        <v>226</v>
      </c>
      <c r="F25" s="61" t="s">
        <v>322</v>
      </c>
      <c r="G25" s="88" t="s">
        <v>323</v>
      </c>
      <c r="H25" s="54" t="s">
        <v>226</v>
      </c>
      <c r="I25" s="61" t="s">
        <v>221</v>
      </c>
      <c r="J25" s="68" t="s">
        <v>240</v>
      </c>
    </row>
    <row r="26" spans="1:10" x14ac:dyDescent="0.25">
      <c r="A26" s="54">
        <v>23</v>
      </c>
      <c r="B26" s="67" t="s">
        <v>138</v>
      </c>
      <c r="C26" s="127"/>
      <c r="D26" s="56" t="s">
        <v>220</v>
      </c>
      <c r="E26" s="54" t="s">
        <v>226</v>
      </c>
      <c r="F26" s="61" t="s">
        <v>245</v>
      </c>
      <c r="G26" s="88" t="s">
        <v>246</v>
      </c>
      <c r="H26" s="54" t="s">
        <v>308</v>
      </c>
      <c r="I26" s="61"/>
      <c r="J26" s="68"/>
    </row>
    <row r="27" spans="1:10" x14ac:dyDescent="0.25">
      <c r="A27" s="54">
        <v>24</v>
      </c>
      <c r="B27" s="67" t="s">
        <v>139</v>
      </c>
      <c r="C27" s="127"/>
      <c r="D27" s="56" t="s">
        <v>220</v>
      </c>
      <c r="E27" s="54" t="s">
        <v>226</v>
      </c>
      <c r="F27" s="61" t="s">
        <v>247</v>
      </c>
      <c r="G27" s="88" t="s">
        <v>307</v>
      </c>
      <c r="H27" s="54" t="s">
        <v>226</v>
      </c>
      <c r="I27" s="61" t="s">
        <v>221</v>
      </c>
      <c r="J27" s="68" t="s">
        <v>240</v>
      </c>
    </row>
    <row r="28" spans="1:10" ht="30" x14ac:dyDescent="0.25">
      <c r="A28" s="54">
        <v>25</v>
      </c>
      <c r="B28" s="67" t="s">
        <v>140</v>
      </c>
      <c r="C28" s="127"/>
      <c r="D28" s="56" t="s">
        <v>220</v>
      </c>
      <c r="E28" s="54" t="s">
        <v>226</v>
      </c>
      <c r="F28" s="61" t="s">
        <v>248</v>
      </c>
      <c r="G28" s="88" t="s">
        <v>249</v>
      </c>
      <c r="H28" s="54" t="s">
        <v>226</v>
      </c>
      <c r="I28" s="61" t="s">
        <v>221</v>
      </c>
      <c r="J28" s="68" t="s">
        <v>240</v>
      </c>
    </row>
    <row r="29" spans="1:10" x14ac:dyDescent="0.25">
      <c r="A29" s="54">
        <v>26</v>
      </c>
      <c r="B29" s="67" t="s">
        <v>141</v>
      </c>
      <c r="C29" s="127"/>
      <c r="D29" s="56"/>
      <c r="E29" s="54"/>
      <c r="F29" s="61"/>
      <c r="G29" s="88" t="s">
        <v>250</v>
      </c>
      <c r="H29" s="54" t="s">
        <v>308</v>
      </c>
      <c r="I29" s="61" t="s">
        <v>308</v>
      </c>
      <c r="J29" s="68"/>
    </row>
    <row r="30" spans="1:10" x14ac:dyDescent="0.25">
      <c r="A30" s="54">
        <v>27</v>
      </c>
      <c r="B30" s="67" t="s">
        <v>142</v>
      </c>
      <c r="C30" s="127"/>
      <c r="D30" s="56"/>
      <c r="E30" s="54"/>
      <c r="F30" s="61"/>
      <c r="G30" s="88" t="s">
        <v>250</v>
      </c>
      <c r="H30" s="54" t="s">
        <v>308</v>
      </c>
      <c r="I30" s="61" t="s">
        <v>308</v>
      </c>
      <c r="J30" s="68"/>
    </row>
    <row r="31" spans="1:10" x14ac:dyDescent="0.25">
      <c r="A31" s="54">
        <v>28</v>
      </c>
      <c r="B31" s="67" t="s">
        <v>143</v>
      </c>
      <c r="C31" s="125" t="s">
        <v>213</v>
      </c>
      <c r="D31" s="56"/>
      <c r="E31" s="54"/>
      <c r="F31" s="61"/>
      <c r="G31" s="88" t="s">
        <v>251</v>
      </c>
      <c r="H31" s="54" t="s">
        <v>308</v>
      </c>
      <c r="I31" s="61" t="s">
        <v>308</v>
      </c>
      <c r="J31" s="68"/>
    </row>
    <row r="32" spans="1:10" ht="30" x14ac:dyDescent="0.25">
      <c r="A32" s="54">
        <v>29</v>
      </c>
      <c r="B32" s="67" t="s">
        <v>144</v>
      </c>
      <c r="C32" s="125"/>
      <c r="D32" s="56"/>
      <c r="E32" s="54"/>
      <c r="F32" s="61"/>
      <c r="G32" s="88" t="s">
        <v>252</v>
      </c>
      <c r="H32" s="54" t="s">
        <v>308</v>
      </c>
      <c r="I32" s="61" t="s">
        <v>308</v>
      </c>
      <c r="J32" s="68"/>
    </row>
    <row r="33" spans="1:10" x14ac:dyDescent="0.25">
      <c r="A33" s="54">
        <v>30</v>
      </c>
      <c r="B33" s="67" t="s">
        <v>145</v>
      </c>
      <c r="C33" s="69"/>
      <c r="D33" s="56"/>
      <c r="E33" s="54"/>
      <c r="F33" s="61"/>
      <c r="G33" s="88"/>
      <c r="H33" s="54"/>
      <c r="I33" s="61"/>
      <c r="J33" s="68"/>
    </row>
    <row r="34" spans="1:10" x14ac:dyDescent="0.25">
      <c r="A34" s="54">
        <v>31</v>
      </c>
      <c r="B34" s="67" t="s">
        <v>146</v>
      </c>
      <c r="C34" s="69"/>
      <c r="D34" s="56"/>
      <c r="E34" s="54"/>
      <c r="F34" s="61"/>
      <c r="G34" s="88"/>
      <c r="H34" s="54"/>
      <c r="I34" s="61"/>
      <c r="J34" s="68"/>
    </row>
    <row r="35" spans="1:10" x14ac:dyDescent="0.25">
      <c r="A35" s="54">
        <v>32</v>
      </c>
      <c r="B35" s="67" t="s">
        <v>147</v>
      </c>
      <c r="C35" s="127" t="s">
        <v>214</v>
      </c>
      <c r="D35" s="56" t="s">
        <v>220</v>
      </c>
      <c r="E35" s="54" t="s">
        <v>226</v>
      </c>
      <c r="F35" s="61" t="s">
        <v>253</v>
      </c>
      <c r="G35" s="88" t="s">
        <v>254</v>
      </c>
      <c r="H35" s="54" t="s">
        <v>226</v>
      </c>
      <c r="I35" s="61" t="s">
        <v>221</v>
      </c>
      <c r="J35" s="68" t="s">
        <v>240</v>
      </c>
    </row>
    <row r="36" spans="1:10" x14ac:dyDescent="0.25">
      <c r="A36" s="54">
        <v>33</v>
      </c>
      <c r="B36" s="67" t="s">
        <v>148</v>
      </c>
      <c r="C36" s="127"/>
      <c r="D36" s="56" t="s">
        <v>220</v>
      </c>
      <c r="E36" s="54" t="s">
        <v>226</v>
      </c>
      <c r="F36" s="61" t="s">
        <v>255</v>
      </c>
      <c r="G36" s="88" t="s">
        <v>256</v>
      </c>
      <c r="H36" s="54" t="s">
        <v>226</v>
      </c>
      <c r="I36" s="61" t="s">
        <v>221</v>
      </c>
      <c r="J36" s="68" t="s">
        <v>240</v>
      </c>
    </row>
    <row r="37" spans="1:10" ht="30" x14ac:dyDescent="0.25">
      <c r="A37" s="54">
        <v>34</v>
      </c>
      <c r="B37" s="67" t="s">
        <v>149</v>
      </c>
      <c r="C37" s="127"/>
      <c r="D37" s="56" t="s">
        <v>218</v>
      </c>
      <c r="E37" s="54" t="s">
        <v>219</v>
      </c>
      <c r="F37" s="61" t="s">
        <v>257</v>
      </c>
      <c r="G37" s="88" t="s">
        <v>258</v>
      </c>
      <c r="H37" s="54" t="s">
        <v>114</v>
      </c>
      <c r="I37" s="61" t="s">
        <v>309</v>
      </c>
      <c r="J37" s="68" t="s">
        <v>310</v>
      </c>
    </row>
    <row r="38" spans="1:10" ht="30" x14ac:dyDescent="0.25">
      <c r="A38" s="54">
        <v>35</v>
      </c>
      <c r="B38" s="67" t="s">
        <v>150</v>
      </c>
      <c r="C38" s="127"/>
      <c r="D38" s="56" t="s">
        <v>218</v>
      </c>
      <c r="E38" s="54" t="s">
        <v>219</v>
      </c>
      <c r="F38" s="61" t="s">
        <v>259</v>
      </c>
      <c r="G38" s="88" t="s">
        <v>258</v>
      </c>
      <c r="H38" s="54" t="s">
        <v>226</v>
      </c>
      <c r="I38" s="61" t="s">
        <v>221</v>
      </c>
      <c r="J38" s="68" t="s">
        <v>240</v>
      </c>
    </row>
    <row r="39" spans="1:10" x14ac:dyDescent="0.25">
      <c r="A39" s="54">
        <v>36</v>
      </c>
      <c r="B39" s="67" t="s">
        <v>131</v>
      </c>
      <c r="C39" s="69"/>
      <c r="D39" s="56"/>
      <c r="E39" s="54"/>
      <c r="F39" s="61"/>
      <c r="G39" s="88"/>
      <c r="H39" s="54"/>
      <c r="I39" s="61"/>
      <c r="J39" s="68"/>
    </row>
    <row r="40" spans="1:10" x14ac:dyDescent="0.25">
      <c r="A40" s="54">
        <v>37</v>
      </c>
      <c r="B40" s="67" t="s">
        <v>115</v>
      </c>
      <c r="C40" s="69"/>
      <c r="D40" s="56"/>
      <c r="E40" s="54"/>
      <c r="F40" s="61"/>
      <c r="G40" s="88"/>
      <c r="H40" s="54"/>
      <c r="I40" s="61"/>
      <c r="J40" s="68"/>
    </row>
    <row r="41" spans="1:10" x14ac:dyDescent="0.25">
      <c r="A41" s="54">
        <v>38</v>
      </c>
      <c r="B41" s="67" t="s">
        <v>151</v>
      </c>
      <c r="C41" s="82" t="s">
        <v>213</v>
      </c>
      <c r="D41" s="56" t="s">
        <v>220</v>
      </c>
      <c r="E41" s="54" t="s">
        <v>226</v>
      </c>
      <c r="F41" s="61" t="s">
        <v>221</v>
      </c>
      <c r="G41" s="88" t="s">
        <v>240</v>
      </c>
      <c r="H41" s="54" t="s">
        <v>226</v>
      </c>
      <c r="I41" s="61" t="s">
        <v>221</v>
      </c>
      <c r="J41" s="68" t="s">
        <v>240</v>
      </c>
    </row>
    <row r="42" spans="1:10" x14ac:dyDescent="0.25">
      <c r="A42" s="54">
        <v>39</v>
      </c>
      <c r="B42" s="67" t="s">
        <v>152</v>
      </c>
      <c r="C42" s="137" t="s">
        <v>39</v>
      </c>
      <c r="D42" s="56" t="s">
        <v>234</v>
      </c>
      <c r="E42" s="54" t="s">
        <v>226</v>
      </c>
      <c r="F42" s="61"/>
      <c r="G42" s="88" t="s">
        <v>260</v>
      </c>
      <c r="H42" s="54" t="s">
        <v>308</v>
      </c>
      <c r="I42" s="61"/>
      <c r="J42" s="68"/>
    </row>
    <row r="43" spans="1:10" x14ac:dyDescent="0.25">
      <c r="A43" s="54">
        <v>40</v>
      </c>
      <c r="B43" s="67" t="s">
        <v>153</v>
      </c>
      <c r="C43" s="137"/>
      <c r="D43" s="56" t="s">
        <v>218</v>
      </c>
      <c r="E43" s="54" t="s">
        <v>114</v>
      </c>
      <c r="F43" s="61"/>
      <c r="G43" s="88" t="s">
        <v>261</v>
      </c>
      <c r="H43" s="54" t="s">
        <v>308</v>
      </c>
      <c r="I43" s="61"/>
      <c r="J43" s="68"/>
    </row>
    <row r="44" spans="1:10" x14ac:dyDescent="0.25">
      <c r="A44" s="54">
        <v>41</v>
      </c>
      <c r="B44" s="67" t="s">
        <v>154</v>
      </c>
      <c r="C44" s="127" t="s">
        <v>214</v>
      </c>
      <c r="D44" s="56" t="s">
        <v>220</v>
      </c>
      <c r="E44" s="54" t="s">
        <v>226</v>
      </c>
      <c r="F44" s="61" t="s">
        <v>324</v>
      </c>
      <c r="G44" s="88" t="s">
        <v>325</v>
      </c>
      <c r="H44" s="54" t="s">
        <v>226</v>
      </c>
      <c r="I44" s="61" t="s">
        <v>221</v>
      </c>
      <c r="J44" s="68" t="s">
        <v>240</v>
      </c>
    </row>
    <row r="45" spans="1:10" x14ac:dyDescent="0.25">
      <c r="A45" s="54">
        <v>42</v>
      </c>
      <c r="B45" s="67" t="s">
        <v>155</v>
      </c>
      <c r="C45" s="127"/>
      <c r="D45" s="56" t="s">
        <v>220</v>
      </c>
      <c r="E45" s="54" t="s">
        <v>226</v>
      </c>
      <c r="F45" s="61" t="s">
        <v>262</v>
      </c>
      <c r="G45" s="88" t="s">
        <v>263</v>
      </c>
      <c r="H45" s="54" t="s">
        <v>226</v>
      </c>
      <c r="I45" s="61" t="s">
        <v>221</v>
      </c>
      <c r="J45" s="68" t="s">
        <v>240</v>
      </c>
    </row>
    <row r="46" spans="1:10" x14ac:dyDescent="0.25">
      <c r="A46" s="54">
        <v>43</v>
      </c>
      <c r="B46" s="67" t="s">
        <v>156</v>
      </c>
      <c r="C46" s="127"/>
      <c r="D46" s="56" t="s">
        <v>220</v>
      </c>
      <c r="E46" s="54" t="s">
        <v>226</v>
      </c>
      <c r="F46" s="61" t="s">
        <v>264</v>
      </c>
      <c r="G46" s="88" t="s">
        <v>265</v>
      </c>
      <c r="H46" s="54" t="s">
        <v>226</v>
      </c>
      <c r="I46" s="61" t="s">
        <v>221</v>
      </c>
      <c r="J46" s="68" t="s">
        <v>240</v>
      </c>
    </row>
    <row r="47" spans="1:10" x14ac:dyDescent="0.25">
      <c r="A47" s="54">
        <v>44</v>
      </c>
      <c r="B47" s="67" t="s">
        <v>157</v>
      </c>
      <c r="C47" s="127"/>
      <c r="D47" s="56" t="s">
        <v>220</v>
      </c>
      <c r="E47" s="54" t="s">
        <v>226</v>
      </c>
      <c r="F47" s="61" t="s">
        <v>221</v>
      </c>
      <c r="G47" s="88" t="s">
        <v>240</v>
      </c>
      <c r="H47" s="54" t="s">
        <v>226</v>
      </c>
      <c r="I47" s="61" t="s">
        <v>221</v>
      </c>
      <c r="J47" s="68" t="s">
        <v>240</v>
      </c>
    </row>
    <row r="48" spans="1:10" x14ac:dyDescent="0.25">
      <c r="A48" s="54">
        <v>45</v>
      </c>
      <c r="B48" s="67" t="s">
        <v>131</v>
      </c>
      <c r="C48" s="69"/>
      <c r="D48" s="56"/>
      <c r="E48" s="54"/>
      <c r="F48" s="61"/>
      <c r="G48" s="88"/>
      <c r="H48" s="54"/>
      <c r="I48" s="61"/>
      <c r="J48" s="68"/>
    </row>
    <row r="49" spans="1:10" x14ac:dyDescent="0.25">
      <c r="A49" s="54">
        <v>46</v>
      </c>
      <c r="B49" s="67" t="s">
        <v>115</v>
      </c>
      <c r="C49" s="69"/>
      <c r="D49" s="56"/>
      <c r="E49" s="54"/>
      <c r="F49" s="61"/>
      <c r="G49" s="88"/>
      <c r="H49" s="54"/>
      <c r="I49" s="61"/>
      <c r="J49" s="68"/>
    </row>
    <row r="50" spans="1:10" x14ac:dyDescent="0.25">
      <c r="A50" s="54">
        <v>47</v>
      </c>
      <c r="B50" s="67" t="s">
        <v>158</v>
      </c>
      <c r="C50" s="136" t="s">
        <v>215</v>
      </c>
      <c r="D50" s="56" t="s">
        <v>218</v>
      </c>
      <c r="E50" s="54" t="s">
        <v>114</v>
      </c>
      <c r="F50" s="61"/>
      <c r="G50" s="88" t="s">
        <v>267</v>
      </c>
      <c r="H50" s="54" t="s">
        <v>308</v>
      </c>
      <c r="I50" s="61" t="s">
        <v>308</v>
      </c>
      <c r="J50" s="68"/>
    </row>
    <row r="51" spans="1:10" x14ac:dyDescent="0.25">
      <c r="A51" s="54">
        <v>48</v>
      </c>
      <c r="B51" s="67" t="s">
        <v>159</v>
      </c>
      <c r="C51" s="136"/>
      <c r="D51" s="56" t="s">
        <v>234</v>
      </c>
      <c r="E51" s="54" t="s">
        <v>226</v>
      </c>
      <c r="F51" s="61"/>
      <c r="G51" s="88" t="s">
        <v>266</v>
      </c>
      <c r="H51" s="54" t="s">
        <v>308</v>
      </c>
      <c r="I51" s="61" t="s">
        <v>308</v>
      </c>
      <c r="J51" s="68"/>
    </row>
    <row r="52" spans="1:10" x14ac:dyDescent="0.25">
      <c r="A52" s="54">
        <v>49</v>
      </c>
      <c r="B52" s="67" t="s">
        <v>160</v>
      </c>
      <c r="C52" s="137" t="s">
        <v>39</v>
      </c>
      <c r="D52" s="56" t="s">
        <v>218</v>
      </c>
      <c r="E52" s="54" t="s">
        <v>114</v>
      </c>
      <c r="F52" s="61"/>
      <c r="G52" s="88" t="s">
        <v>268</v>
      </c>
      <c r="H52" s="54" t="s">
        <v>308</v>
      </c>
      <c r="I52" s="61" t="s">
        <v>308</v>
      </c>
      <c r="J52" s="68"/>
    </row>
    <row r="53" spans="1:10" x14ac:dyDescent="0.25">
      <c r="A53" s="54">
        <v>50</v>
      </c>
      <c r="B53" s="67" t="s">
        <v>161</v>
      </c>
      <c r="C53" s="137"/>
      <c r="D53" s="56" t="s">
        <v>234</v>
      </c>
      <c r="E53" s="54" t="s">
        <v>226</v>
      </c>
      <c r="F53" s="61"/>
      <c r="G53" s="88" t="s">
        <v>269</v>
      </c>
      <c r="H53" s="54" t="s">
        <v>308</v>
      </c>
      <c r="I53" s="61" t="s">
        <v>308</v>
      </c>
      <c r="J53" s="68"/>
    </row>
    <row r="54" spans="1:10" x14ac:dyDescent="0.25">
      <c r="A54" s="54">
        <v>51</v>
      </c>
      <c r="B54" s="67" t="s">
        <v>162</v>
      </c>
      <c r="C54" s="137"/>
      <c r="D54" s="56" t="s">
        <v>234</v>
      </c>
      <c r="E54" s="54" t="s">
        <v>226</v>
      </c>
      <c r="F54" s="61"/>
      <c r="G54" s="88" t="s">
        <v>270</v>
      </c>
      <c r="H54" s="54" t="s">
        <v>308</v>
      </c>
      <c r="I54" s="61" t="s">
        <v>308</v>
      </c>
      <c r="J54" s="68"/>
    </row>
    <row r="55" spans="1:10" x14ac:dyDescent="0.25">
      <c r="A55" s="54">
        <v>52</v>
      </c>
      <c r="B55" s="67" t="s">
        <v>163</v>
      </c>
      <c r="C55" s="137"/>
      <c r="D55" s="56" t="s">
        <v>218</v>
      </c>
      <c r="E55" s="54" t="s">
        <v>114</v>
      </c>
      <c r="F55" s="61"/>
      <c r="G55" s="88" t="s">
        <v>271</v>
      </c>
      <c r="H55" s="54" t="s">
        <v>308</v>
      </c>
      <c r="I55" s="61" t="s">
        <v>308</v>
      </c>
      <c r="J55" s="68"/>
    </row>
    <row r="56" spans="1:10" ht="30" x14ac:dyDescent="0.25">
      <c r="A56" s="54">
        <v>53</v>
      </c>
      <c r="B56" s="67" t="s">
        <v>164</v>
      </c>
      <c r="C56" s="137"/>
      <c r="D56" s="56" t="s">
        <v>234</v>
      </c>
      <c r="E56" s="54" t="s">
        <v>226</v>
      </c>
      <c r="F56" s="61" t="s">
        <v>272</v>
      </c>
      <c r="G56" s="88" t="s">
        <v>273</v>
      </c>
      <c r="H56" s="54" t="s">
        <v>226</v>
      </c>
      <c r="I56" s="61" t="s">
        <v>272</v>
      </c>
      <c r="J56" s="68" t="s">
        <v>311</v>
      </c>
    </row>
    <row r="57" spans="1:10" x14ac:dyDescent="0.25">
      <c r="A57" s="54">
        <v>54</v>
      </c>
      <c r="B57" s="67" t="s">
        <v>165</v>
      </c>
      <c r="C57" s="137"/>
      <c r="D57" s="56" t="s">
        <v>218</v>
      </c>
      <c r="E57" s="54" t="s">
        <v>114</v>
      </c>
      <c r="F57" s="61" t="s">
        <v>274</v>
      </c>
      <c r="G57" s="88" t="s">
        <v>275</v>
      </c>
      <c r="H57" s="54" t="s">
        <v>114</v>
      </c>
      <c r="I57" s="61" t="s">
        <v>274</v>
      </c>
      <c r="J57" s="68" t="s">
        <v>275</v>
      </c>
    </row>
    <row r="58" spans="1:10" x14ac:dyDescent="0.25">
      <c r="A58" s="54">
        <v>55</v>
      </c>
      <c r="B58" s="67" t="s">
        <v>166</v>
      </c>
      <c r="C58" s="137"/>
      <c r="D58" s="56" t="s">
        <v>220</v>
      </c>
      <c r="E58" s="54"/>
      <c r="F58" s="61" t="s">
        <v>230</v>
      </c>
      <c r="G58" s="88" t="s">
        <v>276</v>
      </c>
      <c r="H58" s="54"/>
      <c r="I58" s="61" t="s">
        <v>230</v>
      </c>
      <c r="J58" s="68" t="s">
        <v>276</v>
      </c>
    </row>
    <row r="59" spans="1:10" ht="30" x14ac:dyDescent="0.25">
      <c r="A59" s="54">
        <v>56</v>
      </c>
      <c r="B59" s="67" t="s">
        <v>167</v>
      </c>
      <c r="C59" s="124" t="s">
        <v>211</v>
      </c>
      <c r="D59" s="56" t="s">
        <v>220</v>
      </c>
      <c r="E59" s="54"/>
      <c r="F59" s="61" t="s">
        <v>277</v>
      </c>
      <c r="G59" s="88" t="s">
        <v>280</v>
      </c>
      <c r="H59" s="54"/>
      <c r="I59" s="61" t="s">
        <v>277</v>
      </c>
      <c r="J59" s="68" t="s">
        <v>280</v>
      </c>
    </row>
    <row r="60" spans="1:10" x14ac:dyDescent="0.25">
      <c r="A60" s="54">
        <v>57</v>
      </c>
      <c r="B60" s="67" t="s">
        <v>168</v>
      </c>
      <c r="C60" s="124"/>
      <c r="D60" s="56" t="s">
        <v>220</v>
      </c>
      <c r="E60" s="54"/>
      <c r="F60" s="61" t="s">
        <v>278</v>
      </c>
      <c r="G60" s="88" t="s">
        <v>279</v>
      </c>
      <c r="H60" s="54"/>
      <c r="I60" s="61" t="s">
        <v>278</v>
      </c>
      <c r="J60" s="68" t="s">
        <v>279</v>
      </c>
    </row>
    <row r="61" spans="1:10" x14ac:dyDescent="0.25">
      <c r="A61" s="54">
        <v>58</v>
      </c>
      <c r="B61" s="67" t="s">
        <v>169</v>
      </c>
      <c r="C61" s="125" t="s">
        <v>213</v>
      </c>
      <c r="D61" s="56" t="s">
        <v>220</v>
      </c>
      <c r="E61" s="54" t="s">
        <v>226</v>
      </c>
      <c r="F61" s="61" t="s">
        <v>221</v>
      </c>
      <c r="G61" s="88" t="s">
        <v>240</v>
      </c>
      <c r="H61" s="54" t="s">
        <v>226</v>
      </c>
      <c r="I61" s="61" t="s">
        <v>221</v>
      </c>
      <c r="J61" s="68" t="s">
        <v>240</v>
      </c>
    </row>
    <row r="62" spans="1:10" x14ac:dyDescent="0.25">
      <c r="A62" s="54">
        <v>59</v>
      </c>
      <c r="B62" s="67" t="s">
        <v>170</v>
      </c>
      <c r="C62" s="125"/>
      <c r="D62" s="56" t="s">
        <v>220</v>
      </c>
      <c r="E62" s="54" t="s">
        <v>226</v>
      </c>
      <c r="F62" s="61" t="s">
        <v>221</v>
      </c>
      <c r="G62" s="88" t="s">
        <v>240</v>
      </c>
      <c r="H62" s="54" t="s">
        <v>226</v>
      </c>
      <c r="I62" s="61" t="s">
        <v>221</v>
      </c>
      <c r="J62" s="68" t="s">
        <v>240</v>
      </c>
    </row>
    <row r="63" spans="1:10" x14ac:dyDescent="0.25">
      <c r="A63" s="54">
        <v>60</v>
      </c>
      <c r="B63" s="67" t="s">
        <v>171</v>
      </c>
      <c r="C63" s="125"/>
      <c r="D63" s="56" t="s">
        <v>220</v>
      </c>
      <c r="E63" s="54" t="s">
        <v>226</v>
      </c>
      <c r="F63" s="61" t="s">
        <v>221</v>
      </c>
      <c r="G63" s="88" t="s">
        <v>240</v>
      </c>
      <c r="H63" s="54" t="s">
        <v>226</v>
      </c>
      <c r="I63" s="61" t="s">
        <v>221</v>
      </c>
      <c r="J63" s="68" t="s">
        <v>240</v>
      </c>
    </row>
    <row r="64" spans="1:10" x14ac:dyDescent="0.25">
      <c r="A64" s="54">
        <v>61</v>
      </c>
      <c r="B64" s="67" t="s">
        <v>172</v>
      </c>
      <c r="C64" s="125"/>
      <c r="D64" s="56" t="s">
        <v>220</v>
      </c>
      <c r="E64" s="54" t="s">
        <v>226</v>
      </c>
      <c r="F64" s="61" t="s">
        <v>221</v>
      </c>
      <c r="G64" s="88" t="s">
        <v>240</v>
      </c>
      <c r="H64" s="54" t="s">
        <v>226</v>
      </c>
      <c r="I64" s="61" t="s">
        <v>221</v>
      </c>
      <c r="J64" s="68" t="s">
        <v>240</v>
      </c>
    </row>
    <row r="65" spans="1:10" x14ac:dyDescent="0.25">
      <c r="A65" s="54">
        <v>62</v>
      </c>
      <c r="B65" s="67" t="s">
        <v>115</v>
      </c>
      <c r="C65" s="69"/>
      <c r="D65" s="56"/>
      <c r="E65" s="54"/>
      <c r="F65" s="61"/>
      <c r="G65" s="88"/>
      <c r="H65" s="54"/>
      <c r="I65" s="61"/>
      <c r="J65" s="68"/>
    </row>
    <row r="66" spans="1:10" x14ac:dyDescent="0.25">
      <c r="A66" s="54">
        <v>63</v>
      </c>
      <c r="B66" s="67" t="s">
        <v>173</v>
      </c>
      <c r="C66" s="69"/>
      <c r="D66" s="56" t="s">
        <v>218</v>
      </c>
      <c r="E66" s="54" t="s">
        <v>114</v>
      </c>
      <c r="F66" s="61"/>
      <c r="G66" s="88" t="s">
        <v>281</v>
      </c>
      <c r="H66" s="54" t="s">
        <v>308</v>
      </c>
      <c r="I66" s="61" t="s">
        <v>308</v>
      </c>
      <c r="J66" s="68"/>
    </row>
    <row r="67" spans="1:10" x14ac:dyDescent="0.25">
      <c r="A67" s="54">
        <v>64</v>
      </c>
      <c r="B67" s="67" t="s">
        <v>174</v>
      </c>
      <c r="C67" s="69"/>
      <c r="D67" s="56" t="s">
        <v>220</v>
      </c>
      <c r="E67" s="54" t="s">
        <v>226</v>
      </c>
      <c r="F67" s="61"/>
      <c r="G67" s="88" t="s">
        <v>282</v>
      </c>
      <c r="H67" s="54" t="s">
        <v>308</v>
      </c>
      <c r="I67" s="61" t="s">
        <v>308</v>
      </c>
      <c r="J67" s="68"/>
    </row>
    <row r="68" spans="1:10" x14ac:dyDescent="0.25">
      <c r="A68" s="54">
        <v>65</v>
      </c>
      <c r="B68" s="67" t="s">
        <v>131</v>
      </c>
      <c r="C68" s="69"/>
      <c r="D68" s="56"/>
      <c r="E68" s="54"/>
      <c r="F68" s="61"/>
      <c r="G68" s="88"/>
      <c r="H68" s="54"/>
      <c r="I68" s="61"/>
      <c r="J68" s="68"/>
    </row>
    <row r="69" spans="1:10" x14ac:dyDescent="0.25">
      <c r="A69" s="54">
        <v>66</v>
      </c>
      <c r="B69" s="67" t="s">
        <v>175</v>
      </c>
      <c r="C69" s="125" t="s">
        <v>213</v>
      </c>
      <c r="D69" s="56" t="s">
        <v>220</v>
      </c>
      <c r="E69" s="54" t="s">
        <v>226</v>
      </c>
      <c r="F69" s="61" t="s">
        <v>221</v>
      </c>
      <c r="G69" s="88" t="s">
        <v>240</v>
      </c>
      <c r="H69" s="54" t="s">
        <v>226</v>
      </c>
      <c r="I69" s="61" t="s">
        <v>221</v>
      </c>
      <c r="J69" s="68" t="s">
        <v>240</v>
      </c>
    </row>
    <row r="70" spans="1:10" x14ac:dyDescent="0.25">
      <c r="A70" s="54">
        <v>67</v>
      </c>
      <c r="B70" s="67" t="s">
        <v>176</v>
      </c>
      <c r="C70" s="125"/>
      <c r="D70" s="56" t="s">
        <v>220</v>
      </c>
      <c r="E70" s="54" t="s">
        <v>226</v>
      </c>
      <c r="F70" s="61" t="s">
        <v>221</v>
      </c>
      <c r="G70" s="88" t="s">
        <v>240</v>
      </c>
      <c r="H70" s="54" t="s">
        <v>226</v>
      </c>
      <c r="I70" s="61" t="s">
        <v>221</v>
      </c>
      <c r="J70" s="68" t="s">
        <v>240</v>
      </c>
    </row>
    <row r="71" spans="1:10" x14ac:dyDescent="0.25">
      <c r="A71" s="54">
        <v>68</v>
      </c>
      <c r="B71" s="67" t="s">
        <v>177</v>
      </c>
      <c r="C71" s="136" t="s">
        <v>215</v>
      </c>
      <c r="D71" s="56" t="s">
        <v>220</v>
      </c>
      <c r="E71" s="54" t="s">
        <v>226</v>
      </c>
      <c r="F71" s="61" t="s">
        <v>283</v>
      </c>
      <c r="G71" s="88" t="s">
        <v>240</v>
      </c>
      <c r="H71" s="54" t="s">
        <v>308</v>
      </c>
      <c r="I71" s="61" t="s">
        <v>308</v>
      </c>
      <c r="J71" s="68"/>
    </row>
    <row r="72" spans="1:10" x14ac:dyDescent="0.25">
      <c r="A72" s="54">
        <v>69</v>
      </c>
      <c r="B72" s="67" t="s">
        <v>178</v>
      </c>
      <c r="C72" s="136"/>
      <c r="D72" s="56" t="s">
        <v>220</v>
      </c>
      <c r="E72" s="54" t="s">
        <v>226</v>
      </c>
      <c r="F72" s="61" t="s">
        <v>283</v>
      </c>
      <c r="G72" s="88" t="s">
        <v>240</v>
      </c>
      <c r="H72" s="54" t="s">
        <v>308</v>
      </c>
      <c r="I72" s="61" t="s">
        <v>308</v>
      </c>
      <c r="J72" s="68"/>
    </row>
    <row r="73" spans="1:10" x14ac:dyDescent="0.25">
      <c r="A73" s="54">
        <v>70</v>
      </c>
      <c r="B73" s="67" t="s">
        <v>179</v>
      </c>
      <c r="C73" s="136"/>
      <c r="D73" s="56" t="s">
        <v>220</v>
      </c>
      <c r="E73" s="54" t="s">
        <v>226</v>
      </c>
      <c r="F73" s="61" t="s">
        <v>284</v>
      </c>
      <c r="G73" s="88" t="s">
        <v>285</v>
      </c>
      <c r="H73" s="54" t="s">
        <v>308</v>
      </c>
      <c r="I73" s="61" t="s">
        <v>308</v>
      </c>
      <c r="J73" s="68"/>
    </row>
    <row r="74" spans="1:10" x14ac:dyDescent="0.25">
      <c r="A74" s="54">
        <v>71</v>
      </c>
      <c r="B74" s="67" t="s">
        <v>180</v>
      </c>
      <c r="C74" s="136"/>
      <c r="D74" s="56" t="s">
        <v>220</v>
      </c>
      <c r="E74" s="54" t="s">
        <v>226</v>
      </c>
      <c r="F74" s="61" t="s">
        <v>283</v>
      </c>
      <c r="G74" s="88" t="s">
        <v>240</v>
      </c>
      <c r="H74" s="54" t="s">
        <v>308</v>
      </c>
      <c r="I74" s="61" t="s">
        <v>308</v>
      </c>
      <c r="J74" s="68"/>
    </row>
    <row r="75" spans="1:10" x14ac:dyDescent="0.25">
      <c r="A75" s="54">
        <v>72</v>
      </c>
      <c r="B75" s="67" t="s">
        <v>181</v>
      </c>
      <c r="C75" s="136"/>
      <c r="D75" s="56" t="s">
        <v>220</v>
      </c>
      <c r="E75" s="54" t="s">
        <v>226</v>
      </c>
      <c r="F75" s="61" t="s">
        <v>283</v>
      </c>
      <c r="G75" s="88" t="s">
        <v>240</v>
      </c>
      <c r="H75" s="54" t="s">
        <v>308</v>
      </c>
      <c r="I75" s="61" t="s">
        <v>308</v>
      </c>
      <c r="J75" s="68"/>
    </row>
    <row r="76" spans="1:10" x14ac:dyDescent="0.25">
      <c r="A76" s="54">
        <v>73</v>
      </c>
      <c r="B76" s="67" t="s">
        <v>182</v>
      </c>
      <c r="C76" s="126" t="s">
        <v>216</v>
      </c>
      <c r="D76" s="56" t="s">
        <v>218</v>
      </c>
      <c r="E76" s="54" t="s">
        <v>114</v>
      </c>
      <c r="F76" s="61"/>
      <c r="G76" s="88" t="s">
        <v>286</v>
      </c>
      <c r="H76" s="54" t="s">
        <v>308</v>
      </c>
      <c r="I76" s="61" t="s">
        <v>308</v>
      </c>
      <c r="J76" s="68"/>
    </row>
    <row r="77" spans="1:10" ht="30" x14ac:dyDescent="0.25">
      <c r="A77" s="54">
        <v>74</v>
      </c>
      <c r="B77" s="67" t="s">
        <v>183</v>
      </c>
      <c r="C77" s="126"/>
      <c r="D77" s="56" t="s">
        <v>234</v>
      </c>
      <c r="E77" s="54" t="s">
        <v>226</v>
      </c>
      <c r="F77" s="61"/>
      <c r="G77" s="88" t="s">
        <v>287</v>
      </c>
      <c r="H77" s="54" t="s">
        <v>308</v>
      </c>
      <c r="I77" s="61" t="s">
        <v>308</v>
      </c>
      <c r="J77" s="68"/>
    </row>
    <row r="78" spans="1:10" x14ac:dyDescent="0.25">
      <c r="A78" s="54">
        <v>75</v>
      </c>
      <c r="B78" s="67" t="s">
        <v>131</v>
      </c>
      <c r="C78" s="69"/>
      <c r="D78" s="56"/>
      <c r="E78" s="54"/>
      <c r="F78" s="61"/>
      <c r="G78" s="88"/>
      <c r="H78" s="54"/>
      <c r="I78" s="61"/>
      <c r="J78" s="68"/>
    </row>
    <row r="79" spans="1:10" x14ac:dyDescent="0.25">
      <c r="A79" s="54">
        <v>76</v>
      </c>
      <c r="B79" s="67" t="s">
        <v>186</v>
      </c>
      <c r="C79" s="136" t="s">
        <v>215</v>
      </c>
      <c r="D79" s="56" t="s">
        <v>220</v>
      </c>
      <c r="E79" s="54" t="s">
        <v>226</v>
      </c>
      <c r="F79" s="61" t="s">
        <v>283</v>
      </c>
      <c r="G79" s="88" t="s">
        <v>240</v>
      </c>
      <c r="H79" s="54" t="s">
        <v>308</v>
      </c>
      <c r="I79" s="61" t="s">
        <v>308</v>
      </c>
      <c r="J79" s="68"/>
    </row>
    <row r="80" spans="1:10" x14ac:dyDescent="0.25">
      <c r="A80" s="54">
        <v>77</v>
      </c>
      <c r="B80" s="67" t="s">
        <v>187</v>
      </c>
      <c r="C80" s="136"/>
      <c r="D80" s="56" t="s">
        <v>220</v>
      </c>
      <c r="E80" s="54" t="s">
        <v>226</v>
      </c>
      <c r="F80" s="61" t="s">
        <v>283</v>
      </c>
      <c r="G80" s="88" t="s">
        <v>240</v>
      </c>
      <c r="H80" s="54" t="s">
        <v>308</v>
      </c>
      <c r="I80" s="61" t="s">
        <v>308</v>
      </c>
      <c r="J80" s="68"/>
    </row>
    <row r="81" spans="1:10" ht="30" x14ac:dyDescent="0.25">
      <c r="A81" s="54">
        <v>78</v>
      </c>
      <c r="B81" s="67" t="s">
        <v>188</v>
      </c>
      <c r="C81" s="136"/>
      <c r="D81" s="56" t="s">
        <v>220</v>
      </c>
      <c r="E81" s="54" t="s">
        <v>226</v>
      </c>
      <c r="F81" s="61" t="s">
        <v>221</v>
      </c>
      <c r="G81" s="88" t="s">
        <v>240</v>
      </c>
      <c r="H81" s="54" t="s">
        <v>114</v>
      </c>
      <c r="I81" s="61" t="s">
        <v>331</v>
      </c>
      <c r="J81" s="68" t="s">
        <v>332</v>
      </c>
    </row>
    <row r="82" spans="1:10" ht="30" x14ac:dyDescent="0.25">
      <c r="A82" s="54">
        <v>79</v>
      </c>
      <c r="B82" s="67" t="s">
        <v>189</v>
      </c>
      <c r="C82" s="136"/>
      <c r="D82" s="56" t="s">
        <v>220</v>
      </c>
      <c r="E82" s="54" t="s">
        <v>226</v>
      </c>
      <c r="F82" s="61" t="s">
        <v>221</v>
      </c>
      <c r="G82" s="88" t="s">
        <v>240</v>
      </c>
      <c r="H82" s="54" t="s">
        <v>114</v>
      </c>
      <c r="I82" s="61" t="s">
        <v>333</v>
      </c>
      <c r="J82" s="68" t="s">
        <v>334</v>
      </c>
    </row>
    <row r="83" spans="1:10" ht="30" x14ac:dyDescent="0.25">
      <c r="A83" s="54">
        <v>80</v>
      </c>
      <c r="B83" s="67" t="s">
        <v>190</v>
      </c>
      <c r="C83" s="136"/>
      <c r="D83" s="56" t="s">
        <v>220</v>
      </c>
      <c r="E83" s="54" t="s">
        <v>226</v>
      </c>
      <c r="F83" s="61" t="s">
        <v>221</v>
      </c>
      <c r="G83" s="88" t="s">
        <v>240</v>
      </c>
      <c r="H83" s="54" t="s">
        <v>226</v>
      </c>
      <c r="I83" s="61" t="s">
        <v>335</v>
      </c>
      <c r="J83" s="68" t="s">
        <v>336</v>
      </c>
    </row>
    <row r="84" spans="1:10" ht="30" x14ac:dyDescent="0.25">
      <c r="A84" s="54">
        <v>81</v>
      </c>
      <c r="B84" s="67" t="s">
        <v>191</v>
      </c>
      <c r="C84" s="136"/>
      <c r="D84" s="56" t="s">
        <v>220</v>
      </c>
      <c r="E84" s="54" t="s">
        <v>226</v>
      </c>
      <c r="F84" s="61" t="s">
        <v>221</v>
      </c>
      <c r="G84" s="88" t="s">
        <v>240</v>
      </c>
      <c r="H84" s="54" t="s">
        <v>226</v>
      </c>
      <c r="I84" s="61" t="s">
        <v>337</v>
      </c>
      <c r="J84" s="68" t="s">
        <v>338</v>
      </c>
    </row>
    <row r="85" spans="1:10" ht="30" x14ac:dyDescent="0.25">
      <c r="A85" s="54">
        <v>82</v>
      </c>
      <c r="B85" s="67" t="s">
        <v>192</v>
      </c>
      <c r="C85" s="136"/>
      <c r="D85" s="56" t="s">
        <v>220</v>
      </c>
      <c r="E85" s="54" t="s">
        <v>226</v>
      </c>
      <c r="F85" s="61" t="s">
        <v>221</v>
      </c>
      <c r="G85" s="88" t="s">
        <v>240</v>
      </c>
      <c r="H85" s="54" t="s">
        <v>226</v>
      </c>
      <c r="I85" s="61" t="s">
        <v>339</v>
      </c>
      <c r="J85" s="68" t="s">
        <v>340</v>
      </c>
    </row>
    <row r="86" spans="1:10" ht="30" x14ac:dyDescent="0.25">
      <c r="A86" s="54">
        <v>83</v>
      </c>
      <c r="B86" s="67" t="s">
        <v>193</v>
      </c>
      <c r="C86" s="136"/>
      <c r="D86" s="56" t="s">
        <v>220</v>
      </c>
      <c r="E86" s="54" t="s">
        <v>226</v>
      </c>
      <c r="F86" s="61" t="s">
        <v>221</v>
      </c>
      <c r="G86" s="88" t="s">
        <v>240</v>
      </c>
      <c r="H86" s="54" t="s">
        <v>114</v>
      </c>
      <c r="I86" s="61" t="s">
        <v>341</v>
      </c>
      <c r="J86" s="68" t="s">
        <v>342</v>
      </c>
    </row>
    <row r="87" spans="1:10" x14ac:dyDescent="0.25">
      <c r="A87" s="54">
        <v>84</v>
      </c>
      <c r="B87" s="67" t="s">
        <v>194</v>
      </c>
      <c r="C87" s="136"/>
      <c r="D87" s="56" t="s">
        <v>220</v>
      </c>
      <c r="E87" s="54" t="s">
        <v>226</v>
      </c>
      <c r="F87" s="61" t="s">
        <v>221</v>
      </c>
      <c r="G87" s="88" t="s">
        <v>240</v>
      </c>
      <c r="H87" s="54" t="s">
        <v>226</v>
      </c>
      <c r="I87" s="61" t="s">
        <v>221</v>
      </c>
      <c r="J87" s="68" t="s">
        <v>240</v>
      </c>
    </row>
    <row r="88" spans="1:10" x14ac:dyDescent="0.25">
      <c r="A88" s="54">
        <v>85</v>
      </c>
      <c r="B88" s="67" t="s">
        <v>195</v>
      </c>
      <c r="C88" s="69"/>
      <c r="D88" s="56"/>
      <c r="E88" s="54"/>
      <c r="F88" s="61"/>
      <c r="G88" s="88"/>
      <c r="H88" s="54"/>
      <c r="I88" s="61"/>
      <c r="J88" s="68"/>
    </row>
    <row r="89" spans="1:10" x14ac:dyDescent="0.25">
      <c r="A89" s="54">
        <v>86</v>
      </c>
      <c r="B89" s="67" t="s">
        <v>115</v>
      </c>
      <c r="C89" s="69"/>
      <c r="D89" s="56"/>
      <c r="E89" s="54"/>
      <c r="F89" s="61"/>
      <c r="G89" s="88"/>
      <c r="H89" s="54"/>
      <c r="I89" s="61"/>
      <c r="J89" s="68"/>
    </row>
    <row r="90" spans="1:10" x14ac:dyDescent="0.25">
      <c r="A90" s="54">
        <v>87</v>
      </c>
      <c r="B90" s="67" t="s">
        <v>196</v>
      </c>
      <c r="C90" s="137" t="s">
        <v>39</v>
      </c>
      <c r="D90" s="56" t="s">
        <v>220</v>
      </c>
      <c r="E90" s="54" t="s">
        <v>226</v>
      </c>
      <c r="F90" s="61" t="s">
        <v>221</v>
      </c>
      <c r="G90" s="88" t="s">
        <v>240</v>
      </c>
      <c r="H90" s="54" t="s">
        <v>226</v>
      </c>
      <c r="I90" s="61" t="s">
        <v>221</v>
      </c>
      <c r="J90" s="68" t="s">
        <v>240</v>
      </c>
    </row>
    <row r="91" spans="1:10" x14ac:dyDescent="0.25">
      <c r="A91" s="54">
        <v>88</v>
      </c>
      <c r="B91" s="67" t="s">
        <v>197</v>
      </c>
      <c r="C91" s="137"/>
      <c r="D91" s="56" t="s">
        <v>220</v>
      </c>
      <c r="E91" s="54" t="s">
        <v>226</v>
      </c>
      <c r="F91" s="61" t="s">
        <v>221</v>
      </c>
      <c r="G91" s="88" t="s">
        <v>240</v>
      </c>
      <c r="H91" s="54" t="s">
        <v>226</v>
      </c>
      <c r="I91" s="61" t="s">
        <v>221</v>
      </c>
      <c r="J91" s="68" t="s">
        <v>240</v>
      </c>
    </row>
    <row r="92" spans="1:10" x14ac:dyDescent="0.25">
      <c r="A92" s="54">
        <v>89</v>
      </c>
      <c r="B92" s="67" t="s">
        <v>198</v>
      </c>
      <c r="C92" s="124" t="s">
        <v>211</v>
      </c>
      <c r="D92" s="56" t="s">
        <v>220</v>
      </c>
      <c r="E92" s="54" t="s">
        <v>226</v>
      </c>
      <c r="F92" s="61" t="s">
        <v>221</v>
      </c>
      <c r="G92" s="88" t="s">
        <v>240</v>
      </c>
      <c r="H92" s="54" t="s">
        <v>226</v>
      </c>
      <c r="I92" s="61" t="s">
        <v>221</v>
      </c>
      <c r="J92" s="68" t="s">
        <v>240</v>
      </c>
    </row>
    <row r="93" spans="1:10" x14ac:dyDescent="0.25">
      <c r="A93" s="54">
        <v>90</v>
      </c>
      <c r="B93" s="67" t="s">
        <v>199</v>
      </c>
      <c r="C93" s="124"/>
      <c r="D93" s="56" t="s">
        <v>220</v>
      </c>
      <c r="E93" s="54" t="s">
        <v>226</v>
      </c>
      <c r="F93" s="61" t="s">
        <v>221</v>
      </c>
      <c r="G93" s="88" t="s">
        <v>240</v>
      </c>
      <c r="H93" s="54" t="s">
        <v>226</v>
      </c>
      <c r="I93" s="61" t="s">
        <v>221</v>
      </c>
      <c r="J93" s="68" t="s">
        <v>240</v>
      </c>
    </row>
    <row r="94" spans="1:10" x14ac:dyDescent="0.25">
      <c r="A94" s="54">
        <v>91</v>
      </c>
      <c r="B94" s="67" t="s">
        <v>200</v>
      </c>
      <c r="C94" s="125" t="s">
        <v>213</v>
      </c>
      <c r="D94" s="56" t="s">
        <v>220</v>
      </c>
      <c r="E94" s="54" t="s">
        <v>226</v>
      </c>
      <c r="F94" s="61" t="s">
        <v>221</v>
      </c>
      <c r="G94" s="88" t="s">
        <v>240</v>
      </c>
      <c r="H94" s="54" t="s">
        <v>226</v>
      </c>
      <c r="I94" s="61" t="s">
        <v>221</v>
      </c>
      <c r="J94" s="68" t="s">
        <v>240</v>
      </c>
    </row>
    <row r="95" spans="1:10" x14ac:dyDescent="0.25">
      <c r="A95" s="54">
        <v>92</v>
      </c>
      <c r="B95" s="67" t="s">
        <v>201</v>
      </c>
      <c r="C95" s="125"/>
      <c r="D95" s="56" t="s">
        <v>220</v>
      </c>
      <c r="E95" s="54" t="s">
        <v>226</v>
      </c>
      <c r="F95" s="61" t="s">
        <v>221</v>
      </c>
      <c r="G95" s="88" t="s">
        <v>240</v>
      </c>
      <c r="H95" s="54" t="s">
        <v>226</v>
      </c>
      <c r="I95" s="61" t="s">
        <v>221</v>
      </c>
      <c r="J95" s="68" t="s">
        <v>240</v>
      </c>
    </row>
    <row r="96" spans="1:10" x14ac:dyDescent="0.25">
      <c r="A96" s="54">
        <v>93</v>
      </c>
      <c r="B96" s="67" t="s">
        <v>202</v>
      </c>
      <c r="C96" s="123" t="s">
        <v>212</v>
      </c>
      <c r="D96" s="56" t="s">
        <v>220</v>
      </c>
      <c r="E96" s="54" t="s">
        <v>226</v>
      </c>
      <c r="F96" s="61" t="s">
        <v>221</v>
      </c>
      <c r="G96" s="88" t="s">
        <v>240</v>
      </c>
      <c r="H96" s="54" t="s">
        <v>226</v>
      </c>
      <c r="I96" s="61" t="s">
        <v>221</v>
      </c>
      <c r="J96" s="68" t="s">
        <v>240</v>
      </c>
    </row>
    <row r="97" spans="1:10" ht="30" x14ac:dyDescent="0.25">
      <c r="A97" s="54">
        <v>94</v>
      </c>
      <c r="B97" s="67" t="s">
        <v>203</v>
      </c>
      <c r="C97" s="123"/>
      <c r="D97" s="56" t="s">
        <v>220</v>
      </c>
      <c r="E97" s="54" t="s">
        <v>226</v>
      </c>
      <c r="F97" s="61" t="s">
        <v>326</v>
      </c>
      <c r="G97" s="88" t="s">
        <v>327</v>
      </c>
      <c r="H97" s="54" t="s">
        <v>226</v>
      </c>
      <c r="I97" s="61" t="s">
        <v>221</v>
      </c>
      <c r="J97" s="68" t="s">
        <v>240</v>
      </c>
    </row>
    <row r="98" spans="1:10" ht="30" x14ac:dyDescent="0.25">
      <c r="A98" s="54">
        <v>95</v>
      </c>
      <c r="B98" s="67" t="s">
        <v>204</v>
      </c>
      <c r="C98" s="124" t="s">
        <v>211</v>
      </c>
      <c r="D98" s="56" t="s">
        <v>220</v>
      </c>
      <c r="E98" s="54" t="s">
        <v>226</v>
      </c>
      <c r="F98" s="61" t="s">
        <v>288</v>
      </c>
      <c r="G98" s="88" t="s">
        <v>289</v>
      </c>
      <c r="H98" s="54" t="s">
        <v>226</v>
      </c>
      <c r="I98" s="61" t="s">
        <v>221</v>
      </c>
      <c r="J98" s="68" t="s">
        <v>240</v>
      </c>
    </row>
    <row r="99" spans="1:10" ht="30" x14ac:dyDescent="0.25">
      <c r="A99" s="54">
        <v>96</v>
      </c>
      <c r="B99" s="67" t="s">
        <v>205</v>
      </c>
      <c r="C99" s="124"/>
      <c r="D99" s="56" t="s">
        <v>220</v>
      </c>
      <c r="E99" s="54" t="s">
        <v>226</v>
      </c>
      <c r="F99" s="61" t="s">
        <v>290</v>
      </c>
      <c r="G99" s="88" t="s">
        <v>295</v>
      </c>
      <c r="H99" s="54" t="s">
        <v>226</v>
      </c>
      <c r="I99" s="61" t="s">
        <v>221</v>
      </c>
      <c r="J99" s="68" t="s">
        <v>240</v>
      </c>
    </row>
    <row r="100" spans="1:10" ht="30" x14ac:dyDescent="0.25">
      <c r="A100" s="54">
        <v>97</v>
      </c>
      <c r="B100" s="67" t="s">
        <v>206</v>
      </c>
      <c r="C100" s="124"/>
      <c r="D100" s="56" t="s">
        <v>220</v>
      </c>
      <c r="E100" s="54" t="s">
        <v>226</v>
      </c>
      <c r="F100" s="61" t="s">
        <v>291</v>
      </c>
      <c r="G100" s="88" t="s">
        <v>296</v>
      </c>
      <c r="H100" s="54" t="s">
        <v>226</v>
      </c>
      <c r="I100" s="61" t="s">
        <v>221</v>
      </c>
      <c r="J100" s="68" t="s">
        <v>240</v>
      </c>
    </row>
    <row r="101" spans="1:10" ht="30" x14ac:dyDescent="0.25">
      <c r="A101" s="54">
        <v>98</v>
      </c>
      <c r="B101" s="67" t="s">
        <v>207</v>
      </c>
      <c r="C101" s="123" t="s">
        <v>212</v>
      </c>
      <c r="D101" s="56" t="s">
        <v>220</v>
      </c>
      <c r="E101" s="54" t="s">
        <v>226</v>
      </c>
      <c r="F101" s="61" t="s">
        <v>292</v>
      </c>
      <c r="G101" s="88" t="s">
        <v>297</v>
      </c>
      <c r="H101" s="54" t="s">
        <v>226</v>
      </c>
      <c r="I101" s="61" t="s">
        <v>221</v>
      </c>
      <c r="J101" s="68" t="s">
        <v>240</v>
      </c>
    </row>
    <row r="102" spans="1:10" ht="30" x14ac:dyDescent="0.25">
      <c r="A102" s="54">
        <v>99</v>
      </c>
      <c r="B102" s="67" t="s">
        <v>208</v>
      </c>
      <c r="C102" s="123"/>
      <c r="D102" s="56" t="s">
        <v>220</v>
      </c>
      <c r="E102" s="54" t="s">
        <v>226</v>
      </c>
      <c r="F102" s="61" t="s">
        <v>293</v>
      </c>
      <c r="G102" s="88" t="s">
        <v>298</v>
      </c>
      <c r="H102" s="54" t="s">
        <v>226</v>
      </c>
      <c r="I102" s="61" t="s">
        <v>221</v>
      </c>
      <c r="J102" s="68" t="s">
        <v>240</v>
      </c>
    </row>
    <row r="103" spans="1:10" ht="30.75" thickBot="1" x14ac:dyDescent="0.3">
      <c r="A103" s="55">
        <v>100</v>
      </c>
      <c r="B103" s="70" t="s">
        <v>209</v>
      </c>
      <c r="C103" s="128"/>
      <c r="D103" s="58" t="s">
        <v>220</v>
      </c>
      <c r="E103" s="55" t="s">
        <v>226</v>
      </c>
      <c r="F103" s="62" t="s">
        <v>294</v>
      </c>
      <c r="G103" s="89" t="s">
        <v>299</v>
      </c>
      <c r="H103" s="55" t="s">
        <v>226</v>
      </c>
      <c r="I103" s="62" t="s">
        <v>221</v>
      </c>
      <c r="J103" s="71" t="s">
        <v>240</v>
      </c>
    </row>
  </sheetData>
  <mergeCells count="27">
    <mergeCell ref="C94:C95"/>
    <mergeCell ref="C96:C97"/>
    <mergeCell ref="C98:C100"/>
    <mergeCell ref="C101:C103"/>
    <mergeCell ref="A1:J1"/>
    <mergeCell ref="A2:D2"/>
    <mergeCell ref="C69:C70"/>
    <mergeCell ref="C71:C75"/>
    <mergeCell ref="C76:C77"/>
    <mergeCell ref="C79:C87"/>
    <mergeCell ref="C90:C91"/>
    <mergeCell ref="C92:C93"/>
    <mergeCell ref="C42:C43"/>
    <mergeCell ref="C44:C47"/>
    <mergeCell ref="C50:C51"/>
    <mergeCell ref="C52:C58"/>
    <mergeCell ref="E2:G2"/>
    <mergeCell ref="H2:J2"/>
    <mergeCell ref="C6:C8"/>
    <mergeCell ref="C59:C60"/>
    <mergeCell ref="C61:C64"/>
    <mergeCell ref="C9:C12"/>
    <mergeCell ref="C13:C15"/>
    <mergeCell ref="C21:C22"/>
    <mergeCell ref="C23:C30"/>
    <mergeCell ref="C31:C32"/>
    <mergeCell ref="C35:C38"/>
  </mergeCells>
  <pageMargins left="0.25" right="0.25" top="0.75" bottom="0.75" header="0.3" footer="0.3"/>
  <pageSetup paperSize="3" scale="59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workbookViewId="0">
      <selection activeCell="E4" sqref="E4"/>
    </sheetView>
  </sheetViews>
  <sheetFormatPr defaultRowHeight="15" x14ac:dyDescent="0.25"/>
  <cols>
    <col min="1" max="1" width="13.42578125" customWidth="1"/>
    <col min="2" max="2" width="16.28515625" style="92" customWidth="1"/>
    <col min="3" max="3" width="20.7109375" style="92" customWidth="1"/>
    <col min="4" max="4" width="11.42578125" style="92" customWidth="1"/>
    <col min="5" max="5" width="14.85546875" style="92" customWidth="1"/>
    <col min="6" max="6" width="66.5703125" style="93" customWidth="1"/>
  </cols>
  <sheetData>
    <row r="1" spans="1:6" x14ac:dyDescent="0.25">
      <c r="A1" t="s">
        <v>345</v>
      </c>
    </row>
    <row r="3" spans="1:6" s="91" customFormat="1" ht="45" x14ac:dyDescent="0.25">
      <c r="A3" s="91" t="s">
        <v>346</v>
      </c>
      <c r="B3" s="94" t="s">
        <v>347</v>
      </c>
      <c r="C3" s="94" t="s">
        <v>371</v>
      </c>
      <c r="D3" s="94" t="s">
        <v>355</v>
      </c>
      <c r="E3" s="94" t="s">
        <v>372</v>
      </c>
      <c r="F3" s="95" t="s">
        <v>348</v>
      </c>
    </row>
    <row r="4" spans="1:6" x14ac:dyDescent="0.25">
      <c r="A4" t="s">
        <v>349</v>
      </c>
      <c r="B4" s="92">
        <v>310</v>
      </c>
      <c r="C4" s="92" t="s">
        <v>356</v>
      </c>
      <c r="D4" s="92" t="s">
        <v>362</v>
      </c>
      <c r="E4" s="92" t="s">
        <v>366</v>
      </c>
      <c r="F4" s="93" t="s">
        <v>370</v>
      </c>
    </row>
    <row r="5" spans="1:6" x14ac:dyDescent="0.25">
      <c r="A5" t="s">
        <v>350</v>
      </c>
      <c r="B5" s="92">
        <v>306</v>
      </c>
      <c r="C5" s="92" t="s">
        <v>357</v>
      </c>
      <c r="D5" s="92" t="s">
        <v>363</v>
      </c>
      <c r="E5" s="92" t="s">
        <v>367</v>
      </c>
      <c r="F5" s="93" t="s">
        <v>369</v>
      </c>
    </row>
    <row r="6" spans="1:6" x14ac:dyDescent="0.25">
      <c r="A6" t="s">
        <v>351</v>
      </c>
      <c r="B6" s="92">
        <v>311</v>
      </c>
      <c r="C6" s="92" t="s">
        <v>358</v>
      </c>
      <c r="D6" s="92" t="s">
        <v>362</v>
      </c>
      <c r="E6" s="92" t="s">
        <v>366</v>
      </c>
      <c r="F6" s="93" t="s">
        <v>370</v>
      </c>
    </row>
    <row r="7" spans="1:6" x14ac:dyDescent="0.25">
      <c r="A7" t="s">
        <v>352</v>
      </c>
      <c r="B7" s="92">
        <v>309</v>
      </c>
      <c r="C7" s="92" t="s">
        <v>359</v>
      </c>
      <c r="D7" s="92" t="s">
        <v>364</v>
      </c>
      <c r="E7" s="92" t="s">
        <v>367</v>
      </c>
      <c r="F7" s="93" t="s">
        <v>368</v>
      </c>
    </row>
    <row r="8" spans="1:6" x14ac:dyDescent="0.25">
      <c r="A8" t="s">
        <v>353</v>
      </c>
      <c r="B8" s="92">
        <v>308</v>
      </c>
      <c r="C8" s="92" t="s">
        <v>360</v>
      </c>
      <c r="D8" s="92" t="s">
        <v>364</v>
      </c>
      <c r="E8" s="92" t="s">
        <v>367</v>
      </c>
      <c r="F8" s="93" t="s">
        <v>368</v>
      </c>
    </row>
    <row r="9" spans="1:6" x14ac:dyDescent="0.25">
      <c r="A9" t="s">
        <v>354</v>
      </c>
      <c r="B9" s="92">
        <v>411</v>
      </c>
      <c r="C9" s="92" t="s">
        <v>361</v>
      </c>
      <c r="D9" s="92" t="s">
        <v>365</v>
      </c>
      <c r="E9" s="92" t="s">
        <v>361</v>
      </c>
      <c r="F9" s="93" t="s">
        <v>370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6"/>
  <sheetViews>
    <sheetView topLeftCell="B3" workbookViewId="0">
      <selection activeCell="J26" sqref="J26"/>
    </sheetView>
  </sheetViews>
  <sheetFormatPr defaultColWidth="9.140625" defaultRowHeight="15" x14ac:dyDescent="0.25"/>
  <cols>
    <col min="1" max="1" width="22.42578125" style="96" customWidth="1"/>
    <col min="2" max="7" width="9.140625" style="96"/>
    <col min="8" max="8" width="9.140625" style="99"/>
    <col min="9" max="11" width="9.140625" style="96"/>
    <col min="12" max="12" width="11" style="96" customWidth="1"/>
    <col min="13" max="16384" width="9.140625" style="96"/>
  </cols>
  <sheetData>
    <row r="1" spans="1:16" x14ac:dyDescent="0.25">
      <c r="A1" s="138" t="s">
        <v>389</v>
      </c>
      <c r="B1" s="138"/>
      <c r="C1" s="138"/>
      <c r="D1" s="138"/>
    </row>
    <row r="2" spans="1:16" x14ac:dyDescent="0.25">
      <c r="B2" s="138" t="s">
        <v>376</v>
      </c>
      <c r="C2" s="138"/>
      <c r="D2" s="138"/>
      <c r="G2" s="138" t="s">
        <v>381</v>
      </c>
      <c r="H2" s="138"/>
      <c r="I2" s="138"/>
      <c r="J2" s="114"/>
    </row>
    <row r="3" spans="1:16" ht="45" x14ac:dyDescent="0.25">
      <c r="B3" s="97" t="s">
        <v>373</v>
      </c>
      <c r="C3" s="97" t="s">
        <v>375</v>
      </c>
      <c r="D3" s="96" t="s">
        <v>373</v>
      </c>
      <c r="E3" s="96" t="s">
        <v>374</v>
      </c>
      <c r="G3" s="97" t="s">
        <v>373</v>
      </c>
      <c r="H3" s="99" t="s">
        <v>375</v>
      </c>
      <c r="I3" s="96" t="s">
        <v>373</v>
      </c>
      <c r="J3" s="96" t="s">
        <v>374</v>
      </c>
    </row>
    <row r="4" spans="1:16" x14ac:dyDescent="0.25">
      <c r="A4" s="98" t="s">
        <v>377</v>
      </c>
      <c r="B4" s="96">
        <v>5.0000000000000001E-3</v>
      </c>
      <c r="C4" s="99">
        <v>1</v>
      </c>
      <c r="D4" s="96">
        <f>B4*C4</f>
        <v>5.0000000000000001E-3</v>
      </c>
      <c r="E4" s="96">
        <f>D4*25.4</f>
        <v>0.127</v>
      </c>
      <c r="G4" s="96">
        <v>5.0000000000000001E-3</v>
      </c>
      <c r="H4" s="99">
        <v>1</v>
      </c>
      <c r="I4" s="96">
        <f>G4*H4</f>
        <v>5.0000000000000001E-3</v>
      </c>
      <c r="J4" s="96">
        <f>I4*25.4</f>
        <v>0.127</v>
      </c>
    </row>
    <row r="5" spans="1:16" x14ac:dyDescent="0.25">
      <c r="A5" s="98" t="s">
        <v>378</v>
      </c>
      <c r="B5" s="96">
        <v>2.5000000000000001E-2</v>
      </c>
      <c r="C5" s="99">
        <v>3</v>
      </c>
      <c r="D5" s="96">
        <f t="shared" ref="D5:D6" si="0">B5*C5</f>
        <v>7.5000000000000011E-2</v>
      </c>
      <c r="E5" s="96">
        <f t="shared" ref="E5:E6" si="1">D5*25.4</f>
        <v>1.9050000000000002</v>
      </c>
      <c r="G5" s="96">
        <v>2.5000000000000001E-2</v>
      </c>
      <c r="H5" s="99">
        <v>3</v>
      </c>
      <c r="I5" s="96">
        <f t="shared" ref="I5:I6" si="2">G5*H5</f>
        <v>7.5000000000000011E-2</v>
      </c>
      <c r="J5" s="96">
        <f t="shared" ref="J5:J8" si="3">I5*25.4</f>
        <v>1.9050000000000002</v>
      </c>
    </row>
    <row r="6" spans="1:16" x14ac:dyDescent="0.25">
      <c r="A6" s="98" t="s">
        <v>379</v>
      </c>
      <c r="B6" s="96">
        <v>0.01</v>
      </c>
      <c r="C6" s="99">
        <v>2</v>
      </c>
      <c r="D6" s="96">
        <f t="shared" si="0"/>
        <v>0.02</v>
      </c>
      <c r="E6" s="96">
        <f t="shared" si="1"/>
        <v>0.50800000000000001</v>
      </c>
      <c r="G6" s="96">
        <v>0.01</v>
      </c>
      <c r="H6" s="99">
        <v>2</v>
      </c>
      <c r="I6" s="96">
        <f t="shared" si="2"/>
        <v>0.02</v>
      </c>
      <c r="J6" s="96">
        <f t="shared" si="3"/>
        <v>0.50800000000000001</v>
      </c>
    </row>
    <row r="7" spans="1:16" x14ac:dyDescent="0.25">
      <c r="A7" s="98"/>
      <c r="G7" s="96">
        <v>5.0000000000000001E-3</v>
      </c>
      <c r="H7" s="99">
        <v>0</v>
      </c>
      <c r="I7" s="96">
        <f t="shared" ref="I7:I8" si="4">G7*H7</f>
        <v>0</v>
      </c>
      <c r="J7" s="96">
        <f t="shared" si="3"/>
        <v>0</v>
      </c>
    </row>
    <row r="8" spans="1:16" x14ac:dyDescent="0.25">
      <c r="A8" s="98"/>
      <c r="G8" s="96">
        <v>2E-3</v>
      </c>
      <c r="H8" s="99">
        <v>3</v>
      </c>
      <c r="I8" s="96">
        <f t="shared" si="4"/>
        <v>6.0000000000000001E-3</v>
      </c>
      <c r="J8" s="96">
        <f t="shared" si="3"/>
        <v>0.15240000000000001</v>
      </c>
    </row>
    <row r="9" spans="1:16" ht="15.75" thickBot="1" x14ac:dyDescent="0.3">
      <c r="A9" s="98"/>
      <c r="J9" s="96" t="s">
        <v>386</v>
      </c>
      <c r="K9" s="96" t="s">
        <v>387</v>
      </c>
      <c r="L9" s="96" t="s">
        <v>401</v>
      </c>
    </row>
    <row r="10" spans="1:16" ht="15.75" thickBot="1" x14ac:dyDescent="0.3">
      <c r="A10" s="98"/>
      <c r="C10" s="98" t="s">
        <v>380</v>
      </c>
      <c r="D10" s="100">
        <f>SUM(D4:D6)</f>
        <v>0.10000000000000002</v>
      </c>
      <c r="E10" s="100">
        <f>SUM(E4:E6)</f>
        <v>2.54</v>
      </c>
      <c r="H10" s="99" t="s">
        <v>380</v>
      </c>
      <c r="I10" s="100">
        <f>SUM(I4:I8)</f>
        <v>0.10600000000000002</v>
      </c>
      <c r="J10" s="100">
        <f>SUM(J4:J9)</f>
        <v>2.6924000000000001</v>
      </c>
      <c r="K10" s="100">
        <f>2.794-0.1</f>
        <v>2.694</v>
      </c>
      <c r="L10" s="100">
        <f>K10-J10</f>
        <v>1.5999999999998238E-3</v>
      </c>
    </row>
    <row r="11" spans="1:16" x14ac:dyDescent="0.25">
      <c r="A11" s="98"/>
    </row>
    <row r="13" spans="1:16" x14ac:dyDescent="0.25">
      <c r="K13" s="96" t="s">
        <v>373</v>
      </c>
      <c r="L13" s="96" t="s">
        <v>374</v>
      </c>
    </row>
    <row r="14" spans="1:16" x14ac:dyDescent="0.25">
      <c r="G14" s="101" t="s">
        <v>382</v>
      </c>
      <c r="H14" s="103" t="s">
        <v>383</v>
      </c>
      <c r="I14" s="101"/>
      <c r="J14" s="101"/>
      <c r="K14" s="101">
        <v>6.0000000000000001E-3</v>
      </c>
      <c r="L14" s="101">
        <f>K14*25.4</f>
        <v>0.15240000000000001</v>
      </c>
    </row>
    <row r="15" spans="1:16" x14ac:dyDescent="0.25">
      <c r="G15" s="101"/>
      <c r="H15" s="103" t="s">
        <v>384</v>
      </c>
      <c r="I15" s="101"/>
      <c r="J15" s="101"/>
      <c r="K15" s="101">
        <f>L15/25.4</f>
        <v>1.3779527559055118E-2</v>
      </c>
      <c r="L15" s="101">
        <v>0.35</v>
      </c>
      <c r="M15" s="101" t="s">
        <v>400</v>
      </c>
      <c r="N15" s="101"/>
      <c r="O15" s="101"/>
      <c r="P15" s="101"/>
    </row>
    <row r="16" spans="1:16" ht="15.75" thickBot="1" x14ac:dyDescent="0.3">
      <c r="G16" s="101"/>
      <c r="J16" s="109" t="s">
        <v>396</v>
      </c>
      <c r="K16" s="101">
        <f>L16/25.4</f>
        <v>-2.3622047244094488E-3</v>
      </c>
      <c r="L16" s="96">
        <v>-0.06</v>
      </c>
      <c r="M16" s="101"/>
      <c r="N16" s="101"/>
      <c r="O16" s="101"/>
      <c r="P16" s="101"/>
    </row>
    <row r="17" spans="3:16" ht="15.75" thickBot="1" x14ac:dyDescent="0.3">
      <c r="G17" s="101"/>
      <c r="H17" s="103" t="s">
        <v>385</v>
      </c>
      <c r="I17" s="101"/>
      <c r="J17" s="101"/>
      <c r="K17" s="104">
        <f>L17/25.4</f>
        <v>2.2141732283464569E-2</v>
      </c>
      <c r="L17" s="104">
        <f>SUM(L14:L15)-L16</f>
        <v>0.56240000000000001</v>
      </c>
      <c r="M17" s="101"/>
      <c r="N17" s="101"/>
      <c r="O17" s="101"/>
      <c r="P17" s="101"/>
    </row>
    <row r="18" spans="3:16" x14ac:dyDescent="0.25">
      <c r="G18" s="101"/>
      <c r="H18" s="103"/>
      <c r="I18" s="101"/>
      <c r="J18" s="101"/>
      <c r="K18" s="101"/>
      <c r="L18" s="101"/>
      <c r="M18" s="101"/>
      <c r="N18" s="101"/>
      <c r="O18" s="101"/>
      <c r="P18" s="101"/>
    </row>
    <row r="19" spans="3:16" x14ac:dyDescent="0.25">
      <c r="G19" s="101"/>
      <c r="H19" s="103"/>
      <c r="I19" s="101"/>
      <c r="J19" s="101"/>
      <c r="K19" s="101"/>
      <c r="L19" s="101"/>
      <c r="M19" s="101"/>
      <c r="N19" s="101"/>
      <c r="O19" s="101"/>
      <c r="P19" s="101"/>
    </row>
    <row r="20" spans="3:16" x14ac:dyDescent="0.25">
      <c r="G20" s="101"/>
      <c r="H20" s="103"/>
      <c r="I20" s="101"/>
      <c r="J20" s="101"/>
      <c r="K20" s="101"/>
      <c r="L20" s="101"/>
      <c r="M20" s="101"/>
      <c r="N20" s="101"/>
      <c r="O20" s="101"/>
      <c r="P20" s="101"/>
    </row>
    <row r="21" spans="3:16" x14ac:dyDescent="0.25">
      <c r="C21" s="139" t="s">
        <v>388</v>
      </c>
      <c r="D21" s="139"/>
      <c r="E21" s="140"/>
      <c r="G21" s="101"/>
      <c r="H21" s="103"/>
      <c r="I21" s="101"/>
      <c r="J21" s="101"/>
      <c r="K21" s="101"/>
      <c r="L21" s="101"/>
      <c r="M21" s="101"/>
      <c r="N21" s="101"/>
      <c r="O21" s="101"/>
      <c r="P21" s="101"/>
    </row>
    <row r="22" spans="3:16" x14ac:dyDescent="0.25">
      <c r="C22" s="97" t="s">
        <v>373</v>
      </c>
      <c r="D22" s="97" t="s">
        <v>374</v>
      </c>
      <c r="G22" s="101"/>
      <c r="H22" s="102"/>
      <c r="I22" s="101"/>
      <c r="J22" s="101"/>
      <c r="K22" s="101"/>
      <c r="L22" s="101"/>
      <c r="M22" s="101"/>
      <c r="N22" s="101"/>
      <c r="O22" s="101"/>
      <c r="P22" s="101"/>
    </row>
    <row r="23" spans="3:16" x14ac:dyDescent="0.25">
      <c r="C23" s="96">
        <v>2.5000000000000001E-2</v>
      </c>
      <c r="D23" s="96">
        <f>C23*25.4</f>
        <v>0.63500000000000001</v>
      </c>
      <c r="M23" s="101"/>
      <c r="N23" s="101"/>
      <c r="O23" s="101"/>
      <c r="P23" s="101"/>
    </row>
    <row r="24" spans="3:16" x14ac:dyDescent="0.25">
      <c r="C24" s="96">
        <v>0.01</v>
      </c>
      <c r="D24" s="96">
        <f>C24*25.4</f>
        <v>0.254</v>
      </c>
      <c r="M24" s="101"/>
      <c r="N24" s="101"/>
      <c r="O24" s="101"/>
      <c r="P24" s="101"/>
    </row>
    <row r="25" spans="3:16" x14ac:dyDescent="0.25">
      <c r="C25" s="96">
        <v>5.0000000000000001E-3</v>
      </c>
      <c r="D25" s="96">
        <f>C25*25.4</f>
        <v>0.127</v>
      </c>
    </row>
    <row r="26" spans="3:16" x14ac:dyDescent="0.25">
      <c r="C26" s="96">
        <v>2E-3</v>
      </c>
      <c r="D26" s="96">
        <f>C26*25.4</f>
        <v>5.0799999999999998E-2</v>
      </c>
    </row>
  </sheetData>
  <mergeCells count="4">
    <mergeCell ref="A1:D1"/>
    <mergeCell ref="B2:D2"/>
    <mergeCell ref="G2:J2"/>
    <mergeCell ref="C21:E2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3"/>
  <sheetViews>
    <sheetView topLeftCell="A9" workbookViewId="0">
      <selection activeCell="J19" sqref="J19"/>
    </sheetView>
  </sheetViews>
  <sheetFormatPr defaultRowHeight="15" x14ac:dyDescent="0.25"/>
  <cols>
    <col min="2" max="2" width="11.28515625" customWidth="1"/>
    <col min="4" max="4" width="14.7109375" customWidth="1"/>
    <col min="5" max="5" width="9.140625" style="107"/>
    <col min="6" max="6" width="4.7109375" customWidth="1"/>
    <col min="7" max="7" width="9.7109375" bestFit="1" customWidth="1"/>
  </cols>
  <sheetData>
    <row r="1" spans="1:17" x14ac:dyDescent="0.25">
      <c r="A1" s="1" t="s">
        <v>405</v>
      </c>
      <c r="E1" s="107" t="s">
        <v>404</v>
      </c>
      <c r="G1" s="112">
        <v>44371</v>
      </c>
    </row>
    <row r="2" spans="1:17" ht="33" customHeight="1" x14ac:dyDescent="0.25">
      <c r="A2" s="114" t="s">
        <v>403</v>
      </c>
      <c r="B2" s="114"/>
      <c r="C2" s="114"/>
      <c r="D2" s="114"/>
      <c r="E2" s="114"/>
      <c r="F2" s="114"/>
      <c r="G2" s="114"/>
      <c r="H2" s="114"/>
      <c r="I2" s="114"/>
      <c r="J2" s="91"/>
      <c r="K2" s="91"/>
    </row>
    <row r="4" spans="1:17" ht="47.25" customHeight="1" x14ac:dyDescent="0.25">
      <c r="A4" s="114" t="s">
        <v>412</v>
      </c>
      <c r="B4" s="114"/>
      <c r="C4" s="114"/>
      <c r="D4" s="114"/>
      <c r="E4" s="114"/>
      <c r="F4" s="114"/>
      <c r="G4" s="114"/>
      <c r="H4" s="114"/>
      <c r="I4" s="91"/>
      <c r="J4" s="91"/>
      <c r="K4" s="91"/>
      <c r="L4" s="91"/>
      <c r="M4" s="91"/>
      <c r="N4" s="91"/>
      <c r="O4" s="91"/>
      <c r="P4" s="91"/>
      <c r="Q4" s="91"/>
    </row>
    <row r="5" spans="1:17" ht="15.75" thickBot="1" x14ac:dyDescent="0.3"/>
    <row r="6" spans="1:17" ht="16.5" thickBot="1" x14ac:dyDescent="0.3">
      <c r="A6" s="115" t="s">
        <v>390</v>
      </c>
      <c r="B6" s="115"/>
      <c r="C6" s="115"/>
      <c r="D6" s="115"/>
      <c r="E6" s="106">
        <v>11.83</v>
      </c>
      <c r="F6" t="s">
        <v>374</v>
      </c>
      <c r="G6" t="s">
        <v>392</v>
      </c>
    </row>
    <row r="7" spans="1:17" ht="16.5" thickBot="1" x14ac:dyDescent="0.3">
      <c r="A7" s="115" t="s">
        <v>391</v>
      </c>
      <c r="B7" s="115"/>
      <c r="C7" s="115"/>
      <c r="D7" s="115"/>
      <c r="E7" s="108">
        <v>11.89</v>
      </c>
      <c r="F7" t="s">
        <v>374</v>
      </c>
      <c r="G7" t="s">
        <v>393</v>
      </c>
    </row>
    <row r="10" spans="1:17" ht="35.25" customHeight="1" thickBot="1" x14ac:dyDescent="0.3">
      <c r="A10" s="114" t="s">
        <v>407</v>
      </c>
      <c r="B10" s="114"/>
      <c r="C10" s="114"/>
      <c r="D10" s="114"/>
      <c r="E10" s="114"/>
      <c r="F10" s="114"/>
      <c r="G10" s="114"/>
      <c r="H10" s="114"/>
    </row>
    <row r="11" spans="1:17" ht="22.5" customHeight="1" thickBot="1" x14ac:dyDescent="0.3">
      <c r="A11" s="115" t="s">
        <v>406</v>
      </c>
      <c r="B11" s="115"/>
      <c r="C11" s="115"/>
      <c r="D11" s="115"/>
      <c r="E11" s="113">
        <v>0.3</v>
      </c>
      <c r="F11" t="s">
        <v>374</v>
      </c>
      <c r="G11" t="s">
        <v>408</v>
      </c>
    </row>
    <row r="12" spans="1:17" ht="15.75" thickBot="1" x14ac:dyDescent="0.3"/>
    <row r="13" spans="1:17" ht="40.5" customHeight="1" thickBot="1" x14ac:dyDescent="0.3">
      <c r="A13" s="115" t="s">
        <v>410</v>
      </c>
      <c r="B13" s="115"/>
      <c r="C13" s="115"/>
      <c r="D13" s="116"/>
      <c r="E13" s="111">
        <f>E7+E11</f>
        <v>12.190000000000001</v>
      </c>
      <c r="F13" s="105" t="s">
        <v>374</v>
      </c>
      <c r="G13" s="105" t="s">
        <v>409</v>
      </c>
      <c r="H13" s="105"/>
    </row>
    <row r="15" spans="1:17" ht="30.75" customHeight="1" x14ac:dyDescent="0.25">
      <c r="A15" s="114" t="s">
        <v>411</v>
      </c>
      <c r="B15" s="114"/>
      <c r="C15" s="114"/>
      <c r="D15" s="114"/>
      <c r="E15" s="114"/>
      <c r="F15" s="114"/>
      <c r="G15" s="114"/>
      <c r="H15" s="114"/>
    </row>
    <row r="16" spans="1:17" ht="15.75" thickBot="1" x14ac:dyDescent="0.3"/>
    <row r="17" spans="1:8" ht="25.5" customHeight="1" thickBot="1" x14ac:dyDescent="0.3">
      <c r="A17" s="115" t="s">
        <v>399</v>
      </c>
      <c r="B17" s="115"/>
      <c r="C17" s="115"/>
      <c r="D17" s="115"/>
      <c r="E17" s="111">
        <f>12.174-E13</f>
        <v>-1.6000000000001791E-2</v>
      </c>
      <c r="F17" t="s">
        <v>374</v>
      </c>
      <c r="G17" t="s">
        <v>394</v>
      </c>
    </row>
    <row r="19" spans="1:8" ht="86.25" customHeight="1" x14ac:dyDescent="0.25">
      <c r="A19" s="114" t="s">
        <v>395</v>
      </c>
      <c r="B19" s="114"/>
      <c r="C19" s="114"/>
      <c r="D19" s="114"/>
      <c r="E19" s="114"/>
      <c r="F19" s="114"/>
      <c r="G19" s="114"/>
      <c r="H19" s="114"/>
    </row>
    <row r="20" spans="1:8" ht="15.75" thickBot="1" x14ac:dyDescent="0.3"/>
    <row r="21" spans="1:8" ht="15.75" thickBot="1" x14ac:dyDescent="0.3">
      <c r="A21" s="115" t="s">
        <v>397</v>
      </c>
      <c r="B21" s="115"/>
      <c r="C21" s="115"/>
      <c r="D21" s="115"/>
      <c r="E21" s="110">
        <v>-0.03</v>
      </c>
      <c r="F21" t="s">
        <v>374</v>
      </c>
    </row>
    <row r="22" spans="1:8" ht="15.75" thickBot="1" x14ac:dyDescent="0.3"/>
    <row r="23" spans="1:8" ht="15.75" thickBot="1" x14ac:dyDescent="0.3">
      <c r="A23" s="115" t="s">
        <v>398</v>
      </c>
      <c r="B23" s="115"/>
      <c r="C23" s="115"/>
      <c r="D23" s="115"/>
      <c r="E23" s="111">
        <f>12.174-E21-E7</f>
        <v>0.31399999999999828</v>
      </c>
      <c r="F23" t="s">
        <v>374</v>
      </c>
      <c r="G23" t="s">
        <v>402</v>
      </c>
    </row>
  </sheetData>
  <mergeCells count="12">
    <mergeCell ref="A19:H19"/>
    <mergeCell ref="A21:D21"/>
    <mergeCell ref="A23:D23"/>
    <mergeCell ref="A2:I2"/>
    <mergeCell ref="A11:D11"/>
    <mergeCell ref="A10:H10"/>
    <mergeCell ref="A13:D13"/>
    <mergeCell ref="A15:H15"/>
    <mergeCell ref="A17:D17"/>
    <mergeCell ref="A4:H4"/>
    <mergeCell ref="A6:D6"/>
    <mergeCell ref="A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AnalogOutCircuit</vt:lpstr>
      <vt:lpstr>ADS8350Filter</vt:lpstr>
      <vt:lpstr>LapBxPWR</vt:lpstr>
      <vt:lpstr>RackBxPWR</vt:lpstr>
      <vt:lpstr>CamPWR</vt:lpstr>
      <vt:lpstr>Micro_PCBPinList</vt:lpstr>
      <vt:lpstr>SonyVideoWiring</vt:lpstr>
      <vt:lpstr>ShimSizes</vt:lpstr>
      <vt:lpstr>LensSpacingWorkSheet</vt:lpstr>
      <vt:lpstr>ToDoList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cp:lastPrinted>2021-06-24T14:29:57Z</cp:lastPrinted>
  <dcterms:created xsi:type="dcterms:W3CDTF">2020-10-06T00:43:42Z</dcterms:created>
  <dcterms:modified xsi:type="dcterms:W3CDTF">2021-07-09T19:58:18Z</dcterms:modified>
</cp:coreProperties>
</file>