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MechanicalDesign\MechanicalDesignReferenceData\"/>
    </mc:Choice>
  </mc:AlternateContent>
  <xr:revisionPtr revIDLastSave="0" documentId="13_ncr:1_{38016E68-C1BC-4F9D-B31F-8F506EEB9FFA}" xr6:coauthVersionLast="36" xr6:coauthVersionMax="36" xr10:uidLastSave="{00000000-0000-0000-0000-000000000000}"/>
  <bookViews>
    <workbookView xWindow="0" yWindow="0" windowWidth="29265" windowHeight="14235" xr2:uid="{00000000-000D-0000-FFFF-FFFF00000000}"/>
  </bookViews>
  <sheets>
    <sheet name="CameraHousingSize" sheetId="1" r:id="rId1"/>
    <sheet name="ChassisLengthCalculations" sheetId="6" r:id="rId2"/>
    <sheet name="CompressionSprings" sheetId="13" r:id="rId3"/>
    <sheet name="ChassisTolerances" sheetId="11" r:id="rId4"/>
    <sheet name="MiscPartsTolerances" sheetId="8" r:id="rId5"/>
    <sheet name="RearChassisClamp" sheetId="14" r:id="rId6"/>
    <sheet name="ConeTolerance" sheetId="12" r:id="rId7"/>
    <sheet name="ActionItems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4" l="1"/>
  <c r="B5" i="14"/>
  <c r="B23" i="14" s="1"/>
  <c r="B22" i="14"/>
  <c r="G26" i="14"/>
  <c r="G25" i="14"/>
  <c r="E25" i="14" l="1"/>
  <c r="E26" i="14"/>
  <c r="G24" i="14"/>
  <c r="E11" i="14"/>
  <c r="E9" i="14"/>
  <c r="B25" i="14"/>
  <c r="B26" i="14" s="1"/>
  <c r="B11" i="14"/>
  <c r="B9" i="14"/>
  <c r="E12" i="14" l="1"/>
  <c r="E14" i="14" s="1"/>
  <c r="B12" i="14"/>
  <c r="B14" i="14" s="1"/>
  <c r="E27" i="14"/>
  <c r="E28" i="14" s="1"/>
  <c r="L81" i="6"/>
  <c r="J80" i="6"/>
  <c r="L79" i="6"/>
  <c r="L70" i="6"/>
  <c r="L74" i="6" s="1"/>
  <c r="J74" i="6" s="1"/>
  <c r="L72" i="6"/>
  <c r="J71" i="6"/>
  <c r="L83" i="6" l="1"/>
  <c r="J83" i="6" s="1"/>
  <c r="S60" i="6"/>
  <c r="S58" i="6"/>
  <c r="S57" i="6"/>
  <c r="S56" i="6"/>
  <c r="S55" i="6"/>
  <c r="S48" i="6"/>
  <c r="U49" i="6"/>
  <c r="S46" i="6"/>
  <c r="U46" i="6" s="1"/>
  <c r="B38" i="13"/>
  <c r="B39" i="13" s="1"/>
  <c r="B37" i="13"/>
  <c r="F31" i="13"/>
  <c r="F29" i="13"/>
  <c r="H29" i="13" s="1"/>
  <c r="F21" i="13"/>
  <c r="H21" i="13" s="1"/>
  <c r="H23" i="13" s="1"/>
  <c r="F23" i="13"/>
  <c r="M29" i="13" l="1"/>
  <c r="M30" i="13" s="1"/>
  <c r="I29" i="13"/>
  <c r="H31" i="13"/>
  <c r="M21" i="13"/>
  <c r="M22" i="13" s="1"/>
  <c r="I21" i="13"/>
  <c r="M23" i="13"/>
  <c r="M24" i="13" s="1"/>
  <c r="I23" i="13"/>
  <c r="F15" i="13"/>
  <c r="F8" i="13"/>
  <c r="F6" i="13"/>
  <c r="H6" i="13" s="1"/>
  <c r="H8" i="13" s="1"/>
  <c r="F13" i="13"/>
  <c r="H13" i="13" s="1"/>
  <c r="M31" i="13" l="1"/>
  <c r="M32" i="13" s="1"/>
  <c r="M33" i="13" s="1"/>
  <c r="I31" i="13"/>
  <c r="K29" i="13"/>
  <c r="J29" i="13"/>
  <c r="O29" i="13" s="1"/>
  <c r="O30" i="13" s="1"/>
  <c r="N29" i="13"/>
  <c r="N30" i="13" s="1"/>
  <c r="I13" i="13"/>
  <c r="N13" i="13" s="1"/>
  <c r="N14" i="13" s="1"/>
  <c r="H15" i="13"/>
  <c r="I15" i="13" s="1"/>
  <c r="M15" i="13"/>
  <c r="M16" i="13" s="1"/>
  <c r="N21" i="13"/>
  <c r="N22" i="13" s="1"/>
  <c r="J21" i="13"/>
  <c r="O21" i="13" s="1"/>
  <c r="O22" i="13" s="1"/>
  <c r="L21" i="13"/>
  <c r="K21" i="13"/>
  <c r="K23" i="13"/>
  <c r="N23" i="13"/>
  <c r="N24" i="13" s="1"/>
  <c r="J23" i="13"/>
  <c r="O23" i="13" s="1"/>
  <c r="O24" i="13" s="1"/>
  <c r="M25" i="13"/>
  <c r="I6" i="13"/>
  <c r="K6" i="13" s="1"/>
  <c r="M6" i="13"/>
  <c r="M7" i="13" s="1"/>
  <c r="M8" i="13"/>
  <c r="M9" i="13" s="1"/>
  <c r="I8" i="13"/>
  <c r="J13" i="13"/>
  <c r="O13" i="13" s="1"/>
  <c r="O14" i="13" s="1"/>
  <c r="M13" i="13"/>
  <c r="M14" i="13" s="1"/>
  <c r="J56" i="6"/>
  <c r="K13" i="13" l="1"/>
  <c r="M17" i="13"/>
  <c r="L29" i="13"/>
  <c r="K31" i="13"/>
  <c r="N31" i="13"/>
  <c r="N32" i="13" s="1"/>
  <c r="N33" i="13" s="1"/>
  <c r="J31" i="13"/>
  <c r="O31" i="13" s="1"/>
  <c r="O32" i="13" s="1"/>
  <c r="O33" i="13" s="1"/>
  <c r="O25" i="13"/>
  <c r="L23" i="13"/>
  <c r="N25" i="13"/>
  <c r="M10" i="13"/>
  <c r="J6" i="13"/>
  <c r="O6" i="13" s="1"/>
  <c r="O7" i="13" s="1"/>
  <c r="N6" i="13"/>
  <c r="N7" i="13" s="1"/>
  <c r="K15" i="13"/>
  <c r="N15" i="13"/>
  <c r="N16" i="13" s="1"/>
  <c r="N17" i="13" s="1"/>
  <c r="J15" i="13"/>
  <c r="O15" i="13" s="1"/>
  <c r="O16" i="13" s="1"/>
  <c r="O17" i="13" s="1"/>
  <c r="N8" i="13"/>
  <c r="N9" i="13" s="1"/>
  <c r="K8" i="13"/>
  <c r="J8" i="13"/>
  <c r="O8" i="13" s="1"/>
  <c r="O9" i="13" s="1"/>
  <c r="L13" i="13"/>
  <c r="O10" i="13" l="1"/>
  <c r="L31" i="13"/>
  <c r="L6" i="13"/>
  <c r="N10" i="13"/>
  <c r="L15" i="13"/>
  <c r="L8" i="13"/>
  <c r="J58" i="6"/>
  <c r="J57" i="6"/>
  <c r="J55" i="6"/>
  <c r="L49" i="6"/>
  <c r="J48" i="6"/>
  <c r="D7" i="6"/>
  <c r="D6" i="6"/>
  <c r="B7" i="6"/>
  <c r="B6" i="6"/>
  <c r="B23" i="6"/>
  <c r="J46" i="6" s="1"/>
  <c r="L46" i="6" s="1"/>
  <c r="D22" i="6"/>
  <c r="J41" i="6" l="1"/>
  <c r="L41" i="6" s="1"/>
  <c r="S41" i="6"/>
  <c r="U41" i="6" s="1"/>
  <c r="J42" i="6"/>
  <c r="S42" i="6"/>
  <c r="J60" i="6"/>
  <c r="J43" i="6"/>
  <c r="L43" i="6" s="1"/>
  <c r="L52" i="6" s="1"/>
  <c r="L42" i="6"/>
  <c r="U42" i="6" l="1"/>
  <c r="S43" i="6"/>
  <c r="U43" i="6" s="1"/>
  <c r="U52" i="6" s="1"/>
  <c r="A4" i="12"/>
  <c r="S52" i="6" l="1"/>
  <c r="U63" i="6"/>
  <c r="U62" i="6"/>
  <c r="L63" i="6"/>
  <c r="L62" i="6"/>
  <c r="J52" i="6"/>
  <c r="L29" i="6"/>
  <c r="B68" i="6"/>
  <c r="C24" i="12" l="1"/>
  <c r="B24" i="12"/>
  <c r="E28" i="12"/>
  <c r="B28" i="12" s="1"/>
  <c r="A28" i="12"/>
  <c r="C28" i="12"/>
  <c r="B31" i="12" l="1"/>
  <c r="C31" i="12"/>
  <c r="C34" i="12" s="1"/>
  <c r="C35" i="12" s="1"/>
  <c r="L9" i="12"/>
  <c r="J9" i="12"/>
  <c r="K9" i="12"/>
  <c r="F15" i="12" l="1"/>
  <c r="L18" i="12"/>
  <c r="J15" i="12"/>
  <c r="I15" i="12"/>
  <c r="F4" i="12"/>
  <c r="I18" i="12" l="1"/>
  <c r="L15" i="12"/>
  <c r="K15" i="12"/>
  <c r="M15" i="12"/>
  <c r="J18" i="12"/>
  <c r="B5" i="12"/>
  <c r="A9" i="12"/>
  <c r="B10" i="12" s="1"/>
  <c r="O15" i="12" l="1"/>
  <c r="B12" i="12"/>
  <c r="O16" i="12" s="1"/>
  <c r="N9" i="12"/>
  <c r="C10" i="12"/>
  <c r="C5" i="12"/>
  <c r="B15" i="12" s="1"/>
  <c r="E25" i="8"/>
  <c r="C25" i="8"/>
  <c r="E21" i="8"/>
  <c r="C21" i="8"/>
  <c r="B12" i="8"/>
  <c r="C12" i="8" s="1"/>
  <c r="E14" i="8"/>
  <c r="C14" i="8"/>
  <c r="B14" i="8"/>
  <c r="B11" i="8"/>
  <c r="E11" i="8" s="1"/>
  <c r="E12" i="8" l="1"/>
  <c r="C18" i="8" s="1"/>
  <c r="C27" i="8"/>
  <c r="E18" i="8"/>
  <c r="C23" i="8"/>
  <c r="E23" i="8"/>
  <c r="E27" i="8"/>
  <c r="C17" i="8"/>
  <c r="C11" i="8"/>
  <c r="E17" i="8" s="1"/>
  <c r="M9" i="12"/>
  <c r="N15" i="12"/>
  <c r="B16" i="12"/>
  <c r="N10" i="12"/>
  <c r="C15" i="12"/>
  <c r="C12" i="12"/>
  <c r="N16" i="12" s="1"/>
  <c r="C11" i="11"/>
  <c r="C16" i="11"/>
  <c r="B10" i="11"/>
  <c r="C9" i="11"/>
  <c r="C8" i="11"/>
  <c r="C7" i="11"/>
  <c r="C10" i="11" s="1"/>
  <c r="M10" i="12" l="1"/>
  <c r="C16" i="12"/>
  <c r="D16" i="6" l="1"/>
  <c r="D15" i="6"/>
  <c r="D59" i="6" s="1"/>
  <c r="B59" i="6" s="1"/>
  <c r="D14" i="6"/>
  <c r="D13" i="6"/>
  <c r="D12" i="6"/>
  <c r="D11" i="6"/>
  <c r="D10" i="6"/>
  <c r="D53" i="6" l="1"/>
  <c r="D58" i="6"/>
  <c r="B58" i="6" s="1"/>
  <c r="L32" i="6"/>
  <c r="J32" i="6" s="1"/>
  <c r="L31" i="6"/>
  <c r="J31" i="6" s="1"/>
  <c r="D52" i="6"/>
  <c r="B52" i="6" s="1"/>
  <c r="B60" i="6"/>
  <c r="D36" i="6"/>
  <c r="B36" i="6" s="1"/>
  <c r="B53" i="6"/>
  <c r="D31" i="6"/>
  <c r="B31" i="6" s="1"/>
  <c r="D32" i="6"/>
  <c r="B32" i="6" s="1"/>
  <c r="D35" i="6"/>
  <c r="B35" i="6" s="1"/>
  <c r="B37" i="6" s="1"/>
  <c r="D5" i="6"/>
  <c r="F5" i="6" s="1"/>
  <c r="D4" i="6"/>
  <c r="F4" i="6" s="1"/>
  <c r="D3" i="6"/>
  <c r="F3" i="6" s="1"/>
  <c r="F10" i="1"/>
  <c r="F9" i="1"/>
  <c r="F8" i="1"/>
  <c r="F7" i="1"/>
  <c r="B41" i="6" l="1"/>
  <c r="B42" i="6" s="1"/>
  <c r="B62" i="6"/>
  <c r="B67" i="6"/>
  <c r="B69" i="6" s="1"/>
  <c r="J35" i="6"/>
  <c r="B54" i="6"/>
  <c r="B63" i="6"/>
  <c r="B64" i="6" s="1"/>
  <c r="B33" i="6"/>
  <c r="B39" i="6" s="1"/>
  <c r="B9" i="1" l="1"/>
  <c r="G8" i="1"/>
  <c r="B8" i="1"/>
  <c r="I20" i="1"/>
  <c r="H9" i="1" s="1"/>
  <c r="G9" i="1" s="1"/>
  <c r="I19" i="1"/>
  <c r="I18" i="1"/>
  <c r="B10" i="1"/>
  <c r="C4" i="1" l="1"/>
  <c r="C3" i="1"/>
  <c r="G10" i="1" l="1"/>
  <c r="G7" i="1"/>
  <c r="B7" i="1" l="1"/>
  <c r="H4" i="1" l="1"/>
  <c r="F4" i="1"/>
  <c r="F3" i="1"/>
  <c r="D4" i="1"/>
  <c r="D3" i="1"/>
  <c r="F6" i="1" l="1"/>
  <c r="F5" i="1"/>
  <c r="D6" i="1"/>
  <c r="D5" i="1"/>
  <c r="B18" i="11" l="1"/>
  <c r="B19" i="11" s="1"/>
  <c r="C17" i="11"/>
  <c r="C18" i="11" s="1"/>
  <c r="C1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Chaffey</author>
  </authors>
  <commentList>
    <comment ref="B9" authorId="0" shapeId="0" xr:uid="{00000000-0006-0000-0600-000001000000}">
      <text>
        <r>
          <rPr>
            <b/>
            <sz val="9"/>
            <color indexed="81"/>
            <rFont val="Tahoma"/>
            <charset val="1"/>
          </rPr>
          <t>Mark Chaffey:</t>
        </r>
        <r>
          <rPr>
            <sz val="9"/>
            <color indexed="81"/>
            <rFont val="Tahoma"/>
            <charset val="1"/>
          </rPr>
          <t xml:space="preserve">
Changed from -.002 30jul.</t>
        </r>
      </text>
    </comment>
  </commentList>
</comments>
</file>

<file path=xl/sharedStrings.xml><?xml version="1.0" encoding="utf-8"?>
<sst xmlns="http://schemas.openxmlformats.org/spreadsheetml/2006/main" count="615" uniqueCount="363">
  <si>
    <t>OD</t>
  </si>
  <si>
    <t>Insite Zeus (Ikegami)</t>
  </si>
  <si>
    <t>Our old HD (Sony HDC-750)</t>
  </si>
  <si>
    <t>Sony P-50 w/o moving center</t>
  </si>
  <si>
    <t>Sony P-50 with moving center</t>
  </si>
  <si>
    <t>ID mm</t>
  </si>
  <si>
    <t>OD mm</t>
  </si>
  <si>
    <t>Notes</t>
  </si>
  <si>
    <t>Diameter ID</t>
  </si>
  <si>
    <t>Length internal mm</t>
  </si>
  <si>
    <t>Sony P-50 w/o moving center but custom chassis</t>
  </si>
  <si>
    <t>with connector clearance</t>
  </si>
  <si>
    <t>Camera lens nominal length</t>
  </si>
  <si>
    <t>Fujinon UA14X4.5BERD</t>
  </si>
  <si>
    <t>Fujinon UA13X4.5BERD</t>
  </si>
  <si>
    <t>Canon CJ12ex4.3B</t>
  </si>
  <si>
    <t>length delta</t>
  </si>
  <si>
    <t>96.3° × 64.2° at 4.3mm</t>
  </si>
  <si>
    <t>93.6° × 61.8° at 4.5mm</t>
  </si>
  <si>
    <t>Angle of view</t>
  </si>
  <si>
    <t>zoom</t>
  </si>
  <si>
    <t>13x</t>
  </si>
  <si>
    <t>14x</t>
  </si>
  <si>
    <t>12x</t>
  </si>
  <si>
    <t>Actual and Estimated Housing Sizes - 4000 meters</t>
  </si>
  <si>
    <t>Length internal inches</t>
  </si>
  <si>
    <t>Wall Thickness inches</t>
  </si>
  <si>
    <t>Canon CJ15ex4.3B</t>
  </si>
  <si>
    <t>96.3° x 64.2° at 4.3 mm</t>
  </si>
  <si>
    <t>15x</t>
  </si>
  <si>
    <t>Measured on camera/lens with Fujinon UA14X4.5BERD</t>
  </si>
  <si>
    <t>Housing internal length w/ Fujinon UA14X4.5BERD length w/ aggressive custom chassis</t>
  </si>
  <si>
    <t>Housing internal length w/ Canon CJ15ex4.3B length w/ aggressive custom chassis</t>
  </si>
  <si>
    <t>4K Camera thermal design</t>
  </si>
  <si>
    <t>Variables</t>
  </si>
  <si>
    <t>Housing ID</t>
  </si>
  <si>
    <t>Housing OD</t>
  </si>
  <si>
    <t>Housing length</t>
  </si>
  <si>
    <t>Maximum water temperature</t>
  </si>
  <si>
    <t>Maximum internal temperature</t>
  </si>
  <si>
    <t>Units</t>
  </si>
  <si>
    <t>Constants</t>
  </si>
  <si>
    <t>6061T6</t>
  </si>
  <si>
    <t>mm</t>
  </si>
  <si>
    <t>cm</t>
  </si>
  <si>
    <t>Coefficients of expansion (CTE)</t>
  </si>
  <si>
    <r>
      <t>in/in*</t>
    </r>
    <r>
      <rPr>
        <sz val="11"/>
        <color theme="1"/>
        <rFont val="Calibri"/>
        <family val="2"/>
      </rPr>
      <t>°F</t>
    </r>
  </si>
  <si>
    <t>Titanium Alloy Ti - 6Al - 4V</t>
  </si>
  <si>
    <t>Minimum water temperature</t>
  </si>
  <si>
    <t>inches</t>
  </si>
  <si>
    <t>Maximum Ti housing temperature</t>
  </si>
  <si>
    <t>Minimum internal temperature</t>
  </si>
  <si>
    <t>Minimum Ti housing temperature</t>
  </si>
  <si>
    <t>Ambient temperature at assembly</t>
  </si>
  <si>
    <t>°F</t>
  </si>
  <si>
    <t>°C</t>
  </si>
  <si>
    <r>
      <t>cm/cm*</t>
    </r>
    <r>
      <rPr>
        <sz val="11"/>
        <color theme="1"/>
        <rFont val="Calibri"/>
        <family val="2"/>
      </rPr>
      <t>°C</t>
    </r>
  </si>
  <si>
    <t>Case 1 - Total distance change of front of lens with chassis mounted to housing rear bulkhead</t>
  </si>
  <si>
    <t>Length of Ti housing</t>
  </si>
  <si>
    <t>Length of aluminum chassis to lens mount</t>
  </si>
  <si>
    <t>Length of Canon lens from mount</t>
  </si>
  <si>
    <t>Change in housing length at max temp</t>
  </si>
  <si>
    <t>Net change in lens position at max temp</t>
  </si>
  <si>
    <t>Change in chassis and lens position at min temp</t>
  </si>
  <si>
    <t>Change in chassis and lens position at max temp</t>
  </si>
  <si>
    <t>Change in housing length at min temp</t>
  </si>
  <si>
    <t>Range in lens position +/-</t>
  </si>
  <si>
    <t>Length of chassis from front mount reference to lens mount</t>
  </si>
  <si>
    <t>Net change in lens position at min temp</t>
  </si>
  <si>
    <t>(about +- 0.17mm)</t>
  </si>
  <si>
    <t>Part Number</t>
  </si>
  <si>
    <t>Description</t>
  </si>
  <si>
    <t>Design extended length</t>
  </si>
  <si>
    <t>Spherical Bearings</t>
  </si>
  <si>
    <t>Corrosion-Resistant Swivel Joint
1/4" ID, 21/32" OD</t>
  </si>
  <si>
    <t>63215K64</t>
  </si>
  <si>
    <t>Internal Diameter</t>
  </si>
  <si>
    <t>External Diameter</t>
  </si>
  <si>
    <t>Housing thickness</t>
  </si>
  <si>
    <t>Overall Thickness</t>
  </si>
  <si>
    <t>solid metal</t>
  </si>
  <si>
    <t>Style</t>
  </si>
  <si>
    <t>for .25 screw</t>
  </si>
  <si>
    <t>Swivel Joint
Lubrication-Free, 3/16" ID, 9/16" OD</t>
  </si>
  <si>
    <t>solid metal w/ PTFE liner</t>
  </si>
  <si>
    <t>63195K11</t>
  </si>
  <si>
    <t>for 3/16 screw (#10-24)</t>
  </si>
  <si>
    <t>Item #</t>
  </si>
  <si>
    <t>Date</t>
  </si>
  <si>
    <t>Resolved?</t>
  </si>
  <si>
    <t>Camera Chassis Action Items</t>
  </si>
  <si>
    <t>Verify R-side panel has enough room to come out and mechanically unmate from PCB's &amp; heat sink.</t>
  </si>
  <si>
    <t>Add shim to guide cone for adapter to dome spacing.</t>
  </si>
  <si>
    <t>Confirm menu control knob clearance diameter.</t>
  </si>
  <si>
    <t>Check lens connector cable length to PCB. Needs to have ~0.6 inches extra over orginal position length.</t>
  </si>
  <si>
    <t>Nominal length at design point</t>
  </si>
  <si>
    <t>Check E-net connector clearance.</t>
  </si>
  <si>
    <t>5/30/2020 checked against I2MAP. Close but OK.</t>
  </si>
  <si>
    <t>Check out switchcraft LP seried XLR connectors for power input. PN AAA4FBLP or AAA4FBGGLP.</t>
  </si>
  <si>
    <t>Check ribbon cable length for lens connector panel and if longer ribbon available.</t>
  </si>
  <si>
    <t>Check lens hirose connector diameter clearance in chassisTopPlate.</t>
  </si>
  <si>
    <t>Don’t forget zoom and focus stops!</t>
  </si>
  <si>
    <t>check lens LCD PCB hole locations and sizes on servo panel. Esp. for switches.</t>
  </si>
  <si>
    <t>Add 15 degree bevel to front cone entry and make 7075 AL.</t>
  </si>
  <si>
    <t>Check Sony/Sanyo fan mounting hole dimensions.</t>
  </si>
  <si>
    <t>Fore-Aft Position Tolerance (Spring energized)</t>
  </si>
  <si>
    <t>Nominal Position (shim stack thickness)</t>
  </si>
  <si>
    <t>Canon Lens front element (Chassis) to Optical Adapter Shims</t>
  </si>
  <si>
    <t>Kapton insulator shim</t>
  </si>
  <si>
    <t>Inches</t>
  </si>
  <si>
    <t>Max. adjustment Canon element toward adapter cell</t>
  </si>
  <si>
    <t>Max. adjustment Canon element away from adapter cell</t>
  </si>
  <si>
    <t>2mm +</t>
  </si>
  <si>
    <t>Chassis/Adapter to Dome Shim adjustment</t>
  </si>
  <si>
    <t>Total nominal shim stack</t>
  </si>
  <si>
    <t>Nominal starting shim 1</t>
  </si>
  <si>
    <t>Nominal starting shim 2</t>
  </si>
  <si>
    <t>NOTE: 18-8 SST shim stock available in 0.025mm increments.</t>
  </si>
  <si>
    <t>Max. adjustment Chassis/adapter cell from nominal position closer to dome</t>
  </si>
  <si>
    <t>Max. adjustment Chassis/adapter cell from nominal position further from dome</t>
  </si>
  <si>
    <t>Spring rate lbs./in.</t>
  </si>
  <si>
    <t>LCM125FF 01 M</t>
  </si>
  <si>
    <t>Lee Spring</t>
  </si>
  <si>
    <t>Spring free length</t>
  </si>
  <si>
    <t>Force in nominal position lbs.</t>
  </si>
  <si>
    <t>Case 2 - Total distance change of front of lens to dome with chassis pressed to housing dome support ring.</t>
  </si>
  <si>
    <t>Change in lens front mount position at max temp</t>
  </si>
  <si>
    <t>Change in lens front mount position at min temp</t>
  </si>
  <si>
    <t>Change in dome position due to dome mount Titanium CTE</t>
  </si>
  <si>
    <t>Change in dome mount position at max temp</t>
  </si>
  <si>
    <t>Change in dome mount position at min temp</t>
  </si>
  <si>
    <t>Length of dome support (Ti and 17-4 PH Steel)</t>
  </si>
  <si>
    <t>Range in dome position +/-</t>
  </si>
  <si>
    <t>Net change at max temp</t>
  </si>
  <si>
    <t>Net change at min temp</t>
  </si>
  <si>
    <t>Range in adapter cell to dome position +/-</t>
  </si>
  <si>
    <t>3mm pins</t>
  </si>
  <si>
    <t>upper tolerance</t>
  </si>
  <si>
    <t>lower tolerance</t>
  </si>
  <si>
    <t>.008mm</t>
  </si>
  <si>
    <t>.002mm</t>
  </si>
  <si>
    <t>Press fit drill hole size</t>
  </si>
  <si>
    <t>press fit interference</t>
  </si>
  <si>
    <t>nominal hole size mm</t>
  </si>
  <si>
    <t>Steel dowel diameter</t>
  </si>
  <si>
    <t>maximum interference (smallest hole largest pin)</t>
  </si>
  <si>
    <t>minimum interference (largest hole smallest pin)</t>
  </si>
  <si>
    <t>no press fit!</t>
  </si>
  <si>
    <t>2.9mm bit</t>
  </si>
  <si>
    <t>3mm bit</t>
  </si>
  <si>
    <t>too tight!</t>
  </si>
  <si>
    <t>#31 (0.1200)</t>
  </si>
  <si>
    <t>maximum clearance (largest hole, smallest pin)</t>
  </si>
  <si>
    <t>minimum clearance (smallest hole, largest pin)</t>
  </si>
  <si>
    <t>3mm pin clearance on hole</t>
  </si>
  <si>
    <t>not much clearance</t>
  </si>
  <si>
    <t>1/8"</t>
  </si>
  <si>
    <t>much better clearance</t>
  </si>
  <si>
    <t>done</t>
  </si>
  <si>
    <t>check heatsink pad locations and dimensions on DPR-393 PCB.</t>
  </si>
  <si>
    <t>Length of chassis from front mount reference to adapter cell front lens</t>
  </si>
  <si>
    <t>Double check spacing below DPR-393 PCB. 4mm thermal pads seem too thin.</t>
  </si>
  <si>
    <t>Check spacing below center AL bracket. 4mm thermal pad may be too thick.</t>
  </si>
  <si>
    <t>OD Nominal</t>
  </si>
  <si>
    <t>Tolerance min.</t>
  </si>
  <si>
    <t>Tolerance max.</t>
  </si>
  <si>
    <t>ID Nominal</t>
  </si>
  <si>
    <t>Size range</t>
  </si>
  <si>
    <t>Worst case minimum</t>
  </si>
  <si>
    <t>Worst case maximum</t>
  </si>
  <si>
    <t>DSP&amp;L Dome Support IN INCHES</t>
  </si>
  <si>
    <t>MBARI Alignment Cone IN INCHES</t>
  </si>
  <si>
    <t>OD nominal</t>
  </si>
  <si>
    <t>Dash number</t>
  </si>
  <si>
    <t>Width minimum tolerance</t>
  </si>
  <si>
    <t>OD max.</t>
  </si>
  <si>
    <t>OD min.</t>
  </si>
  <si>
    <t>size range at pressure</t>
  </si>
  <si>
    <t>Cone to Housing nominal</t>
  </si>
  <si>
    <t>Cone to Housing at pressure</t>
  </si>
  <si>
    <t>surface</t>
  </si>
  <si>
    <t>at pressure</t>
  </si>
  <si>
    <t>predicted hydrostatic diameter strain</t>
  </si>
  <si>
    <t>X-Y alignment +/- mm</t>
  </si>
  <si>
    <t>X-Y alignment +/- inches</t>
  </si>
  <si>
    <t>Tilt in degrees +/-</t>
  </si>
  <si>
    <t>Groove ID</t>
  </si>
  <si>
    <t>Nominal peek ring width (W)</t>
  </si>
  <si>
    <t>max dia. interference w/ housing ID</t>
  </si>
  <si>
    <t>thickness tolerance +.0 - 0.010</t>
  </si>
  <si>
    <t>Number of rings</t>
  </si>
  <si>
    <t>Worst case change in ID</t>
  </si>
  <si>
    <t>Worst case change in ID circumference</t>
  </si>
  <si>
    <t>Total groove width nominal</t>
  </si>
  <si>
    <t>0.386 +/- 0.005</t>
  </si>
  <si>
    <t>min. dia. Clearance/interference w/ housing ID</t>
  </si>
  <si>
    <t>done. Added more clearance.</t>
  </si>
  <si>
    <t>Swap Power and optical penetrators</t>
  </si>
  <si>
    <t>Alignment Cone /adapter cell to dome optical alignment tolerance</t>
  </si>
  <si>
    <t>Radial clearances (INCHES)</t>
  </si>
  <si>
    <t>Nominal radial width (W)</t>
  </si>
  <si>
    <t>Ring ID tolerance +/-</t>
  </si>
  <si>
    <t>Ring ID nominal</t>
  </si>
  <si>
    <t>Ring Dash number</t>
  </si>
  <si>
    <t>PEEK back-up ring from M&amp;P assume stock groove depth (not accounting for groove tolerance)</t>
  </si>
  <si>
    <t>PEEK back-up ring from M&amp;P alignment cone adjusted groove dimensions that includes groove tolerance</t>
  </si>
  <si>
    <t>Ring thickness (width)</t>
  </si>
  <si>
    <t>Worst case change in thickness (wedge effect)</t>
  </si>
  <si>
    <t>Total required groove width minimum</t>
  </si>
  <si>
    <t>Groove ID tolerance +</t>
  </si>
  <si>
    <t>Groove ID tolerance -</t>
  </si>
  <si>
    <t>Nominal OD minimal</t>
  </si>
  <si>
    <t>at pressure (about 1.5% PEEK compression)</t>
  </si>
  <si>
    <t>at surface</t>
  </si>
  <si>
    <t>max. radial clearance w/ housing ID inches</t>
  </si>
  <si>
    <t>min. radial clearance w/ housing ID inches</t>
  </si>
  <si>
    <t>Camera Chassis Alignment Cone to Housing Dome Support</t>
  </si>
  <si>
    <t>Camera Chassis Alignment Cone to Optical Adapter Cell</t>
  </si>
  <si>
    <t>MBARI Alignment Cone I.D.IN INCHES</t>
  </si>
  <si>
    <t>Adapter Cell O.D.IN INCHES</t>
  </si>
  <si>
    <t>Adapter Cell O.D. MILLIMETERS
+.00/-.03mm</t>
  </si>
  <si>
    <t>Cone to adapter</t>
  </si>
  <si>
    <t>Degrees</t>
  </si>
  <si>
    <t>Worst case XY decenter</t>
  </si>
  <si>
    <t>millimeters</t>
  </si>
  <si>
    <t>Worst case fit mechanical tilt (note: tilt controlled by flange runout, not bore clearance).</t>
  </si>
  <si>
    <t>Adapter Cell Front Lens Change</t>
  </si>
  <si>
    <t>Worst Case Hot Chassis, Cold Housing</t>
  </si>
  <si>
    <t>(from Jason email 4/17/2020)</t>
  </si>
  <si>
    <t>Worst Case Pressure Dome/Support Displacement Inward</t>
  </si>
  <si>
    <t>Total Worst Case Change in Dome to Adapter 1st Element Spacing</t>
  </si>
  <si>
    <t>Net adapter change at worse case temp</t>
  </si>
  <si>
    <t>Case 3 - Total distance change of front of lens with chassis mounted to front reference surface</t>
  </si>
  <si>
    <t>Worst case lens position change, hot chassis cold housing</t>
  </si>
  <si>
    <t>Change in dome position with hydrostatic pressure</t>
  </si>
  <si>
    <t>When pressure effects on dome are added</t>
  </si>
  <si>
    <t>Length of chassis from lens mount to 1st adapter element mount</t>
  </si>
  <si>
    <t>Change in lens length at max temp</t>
  </si>
  <si>
    <t>Change in Canon lens front element to adapter spacing at max temp</t>
  </si>
  <si>
    <t>Change in chassis/adapter length assuming chassis 10 deg. cooler then max temp</t>
  </si>
  <si>
    <t>done for zoom</t>
  </si>
  <si>
    <t>Change in housing length reference surface to bulkhead due to hydrostatic pressure.</t>
  </si>
  <si>
    <t>(from Jason email 11/23/2020)</t>
  </si>
  <si>
    <t>Solid Height</t>
  </si>
  <si>
    <t>Design minimum length</t>
  </si>
  <si>
    <t>Housing length from bulkhead to axial reference surface</t>
  </si>
  <si>
    <t>Chassis length from bulkhead to axial stop</t>
  </si>
  <si>
    <t>Housing length change from 20 degrees C to 0 degrees C. (20 degree change)</t>
  </si>
  <si>
    <t>Chassis length change from 20 degrees C to 40 degrees C</t>
  </si>
  <si>
    <t>Total worst case TCE length change</t>
  </si>
  <si>
    <t>spring distance decrease</t>
  </si>
  <si>
    <t>Maximum hydrostatic housing length change</t>
  </si>
  <si>
    <t>Spring difference decrease</t>
  </si>
  <si>
    <t>Manufacturing tolerance on housing parts</t>
  </si>
  <si>
    <t>Worst case spring length decrease</t>
  </si>
  <si>
    <t>Clearance from chassis to heatsink</t>
  </si>
  <si>
    <t>Clearance from chassis screws to heatsink</t>
  </si>
  <si>
    <t>Design travel compression</t>
  </si>
  <si>
    <t>Design travel extension</t>
  </si>
  <si>
    <t>3 Sigma +/- variability in tolerance stack</t>
  </si>
  <si>
    <t>Number of toleranced housing and chassis parts between reference surface and bulkhead</t>
  </si>
  <si>
    <t>Percent of spring travel</t>
  </si>
  <si>
    <t>Force at min. length lbs.</t>
  </si>
  <si>
    <t>Compression Springs - all dimensions in inches!</t>
  </si>
  <si>
    <t>Force at extended length lbs.</t>
  </si>
  <si>
    <t>OD 0.443, Rod Dia. 0.323</t>
  </si>
  <si>
    <t>Force at solid height (or working height for wave springs) lbs.</t>
  </si>
  <si>
    <t>Clearance from chassis to bolt head - left side</t>
  </si>
  <si>
    <t>Clearance from chassis to bolt head - right side</t>
  </si>
  <si>
    <t>Min rec length "working height"</t>
  </si>
  <si>
    <t>GOAL maximum spring compression design travel from nominal position</t>
  </si>
  <si>
    <t>Percent of margin</t>
  </si>
  <si>
    <t>LC 059G 04M</t>
  </si>
  <si>
    <t>LCM125FF 02 M</t>
  </si>
  <si>
    <t>OD .443 ROD DIA. .323</t>
  </si>
  <si>
    <t>OD .48 ROD DIA. .35</t>
  </si>
  <si>
    <t>With two springs</t>
  </si>
  <si>
    <t>SECOND SPRING SET</t>
  </si>
  <si>
    <t>Total spring force</t>
  </si>
  <si>
    <t>OPTION 1 QUAD SPRINGS</t>
  </si>
  <si>
    <t>Springs on shoulder screw</t>
  </si>
  <si>
    <t>OPTION 2 QUAD SPRINGS</t>
  </si>
  <si>
    <t>OPTION 4 QUAD MIXED SPRINGS</t>
  </si>
  <si>
    <t>Resonance point</t>
  </si>
  <si>
    <t>Camera mass</t>
  </si>
  <si>
    <t>lbs.</t>
  </si>
  <si>
    <t>kg.</t>
  </si>
  <si>
    <t>Spring constant (option 3)</t>
  </si>
  <si>
    <t>lbs/inch</t>
  </si>
  <si>
    <t>Natural frequency</t>
  </si>
  <si>
    <t>Hz</t>
  </si>
  <si>
    <t>Worst case TCE change in housing and chassis length hot chassis and cold housing</t>
  </si>
  <si>
    <t>Worst case TCE change in housing and chassis length cold chassis and hot housing</t>
  </si>
  <si>
    <t>Housing length change from 20 degrees C to 40 degrees C. (20 degree change)</t>
  </si>
  <si>
    <t>spring distance increase</t>
  </si>
  <si>
    <t>Chassis length change from 20 degrees C to 0 degrees C</t>
  </si>
  <si>
    <t>hydrostatic pressure not worst case for extension</t>
  </si>
  <si>
    <t>Worst case spring length increase</t>
  </si>
  <si>
    <t>spring compression design travel from nominal position</t>
  </si>
  <si>
    <r>
      <t>OPTION 3 QUAD MIXED SPRINGS</t>
    </r>
    <r>
      <rPr>
        <b/>
        <sz val="11"/>
        <color rgb="FFFF0000"/>
        <rFont val="Calibri"/>
        <family val="2"/>
        <scheme val="minor"/>
      </rPr>
      <t xml:space="preserve"> (DESIGN CHOICE)</t>
    </r>
  </si>
  <si>
    <t>Canon lense +/- length tolerance</t>
  </si>
  <si>
    <t>Case 4 - Dynamic - Total distance change of chassis housing based on TCE and hydrostatic force. Used for validating spring travel.</t>
  </si>
  <si>
    <t>Case 5 - Static - Total distance change of chassis housing based on lens +/- 1.5mm (+/- .060") length tolerance and chassis manufacturing tolerance stack. Used for initial housing length shimming requirements.</t>
  </si>
  <si>
    <t>Case 6 - Static - Total tolerance range of Canon lens to alignment cone based on lens +/- 1.5mm (+/- .060") length tolerance and adapter cell and chassis manufacturing tolerance stack. Used for chassis to adapter cell length shimming requirements.</t>
  </si>
  <si>
    <t>Total static housing length varibility +/-</t>
  </si>
  <si>
    <t>Total static Canon lens shim length varibility +/-</t>
  </si>
  <si>
    <t>Chassis spacer at rear allows 0.100 inch adjustment. Nominal height 0.180 inches. Minimum height 0.080 inches.</t>
  </si>
  <si>
    <t>rec. working:</t>
  </si>
  <si>
    <t>Tightening torque (lubed)</t>
  </si>
  <si>
    <t>Hole Diameter</t>
  </si>
  <si>
    <t>Washer diameter</t>
  </si>
  <si>
    <t>Surface area of overlap</t>
  </si>
  <si>
    <t>Hole Area</t>
  </si>
  <si>
    <t>sq. inches</t>
  </si>
  <si>
    <t>Washer Area</t>
  </si>
  <si>
    <t>6061-T6 Yield</t>
  </si>
  <si>
    <t>p.s.i.</t>
  </si>
  <si>
    <t>p.s.i</t>
  </si>
  <si>
    <t>Where:</t>
  </si>
  <si>
    <t>Al vs Steel Friction coefficent</t>
  </si>
  <si>
    <r>
      <rPr>
        <i/>
        <sz val="14"/>
        <color theme="1"/>
        <rFont val="Calibri"/>
        <family val="2"/>
      </rPr>
      <t>µ</t>
    </r>
    <r>
      <rPr>
        <sz val="10"/>
        <color theme="1"/>
        <rFont val="Calibri"/>
        <family val="2"/>
      </rPr>
      <t>s</t>
    </r>
  </si>
  <si>
    <r>
      <rPr>
        <i/>
        <sz val="14"/>
        <color theme="1"/>
        <rFont val="Calibri"/>
        <family val="2"/>
        <scheme val="minor"/>
      </rPr>
      <t>µ</t>
    </r>
    <r>
      <rPr>
        <sz val="11"/>
        <color theme="1"/>
        <rFont val="Calibri"/>
        <family val="2"/>
        <scheme val="minor"/>
      </rPr>
      <t>s = Static frictional coefficent</t>
    </r>
  </si>
  <si>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Normal force between surfaces</t>
    </r>
  </si>
  <si>
    <r>
      <rPr>
        <sz val="14"/>
        <color theme="1"/>
        <rFont val="Calibri"/>
        <family val="2"/>
        <scheme val="minor"/>
      </rPr>
      <t>F</t>
    </r>
    <r>
      <rPr>
        <i/>
        <sz val="8"/>
        <color theme="1"/>
        <rFont val="Calibri"/>
        <family val="2"/>
        <scheme val="minor"/>
      </rPr>
      <t>f</t>
    </r>
    <r>
      <rPr>
        <i/>
        <sz val="11"/>
        <color theme="1"/>
        <rFont val="Calibri"/>
        <family val="2"/>
        <scheme val="minor"/>
      </rPr>
      <t xml:space="preserve"> = </t>
    </r>
    <r>
      <rPr>
        <sz val="11"/>
        <color theme="1"/>
        <rFont val="Calibri"/>
        <family val="2"/>
        <scheme val="minor"/>
      </rPr>
      <t>Frictional force</t>
    </r>
  </si>
  <si>
    <t>(well below aluminum yield point)</t>
  </si>
  <si>
    <t>Rear Chassis Design Calculations</t>
  </si>
  <si>
    <t>Clamp friction force</t>
  </si>
  <si>
    <r>
      <t xml:space="preserve">A washer </t>
    </r>
    <r>
      <rPr>
        <sz val="14"/>
        <color theme="1"/>
        <rFont val="Calibri"/>
        <family val="2"/>
        <scheme val="minor"/>
      </rPr>
      <t>F</t>
    </r>
    <r>
      <rPr>
        <i/>
        <sz val="8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=</t>
    </r>
  </si>
  <si>
    <r>
      <t xml:space="preserve">A&amp;B washers </t>
    </r>
    <r>
      <rPr>
        <sz val="14"/>
        <color theme="1"/>
        <rFont val="Calibri"/>
        <family val="2"/>
        <scheme val="minor"/>
      </rPr>
      <t>F</t>
    </r>
    <r>
      <rPr>
        <i/>
        <sz val="8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=</t>
    </r>
  </si>
  <si>
    <t>Hole diameter</t>
  </si>
  <si>
    <t>Bearing contact surface dia.</t>
  </si>
  <si>
    <t>Bearing contact surface area</t>
  </si>
  <si>
    <t>1/4"-28</t>
  </si>
  <si>
    <t>mrc 12/02/2020</t>
  </si>
  <si>
    <t>Steel alloy screw size</t>
  </si>
  <si>
    <t>Washer friction force</t>
  </si>
  <si>
    <t>Aluminum length</t>
  </si>
  <si>
    <t>Change in aluminum length</t>
  </si>
  <si>
    <t>Length difference over temp.</t>
  </si>
  <si>
    <t>TCE 6061T6</t>
  </si>
  <si>
    <t>TCE high strength steel</t>
  </si>
  <si>
    <t>Change in equiv. steel length</t>
  </si>
  <si>
    <t>Screw length in tension</t>
  </si>
  <si>
    <t>Steel modulus</t>
  </si>
  <si>
    <t>kpsi</t>
  </si>
  <si>
    <t>Aluminum modulus</t>
  </si>
  <si>
    <t>*https://elginfasteners.com/resources/standard-and-specialty-fastener-material-strengths-part-1/</t>
  </si>
  <si>
    <t>in. lbs.*</t>
  </si>
  <si>
    <t>(below steel yield point)</t>
  </si>
  <si>
    <t>440C Stainless Steel Yield (annealed)</t>
  </si>
  <si>
    <t>lbs.**</t>
  </si>
  <si>
    <r>
      <t xml:space="preserve">Assembly to cold temp. </t>
    </r>
    <r>
      <rPr>
        <sz val="11"/>
        <color theme="1"/>
        <rFont val="Calibri"/>
        <family val="2"/>
      </rPr>
      <t>∆</t>
    </r>
  </si>
  <si>
    <t>Change in clamp force</t>
  </si>
  <si>
    <t>Screw clamp loss of force over temperature TCE difference</t>
  </si>
  <si>
    <t>Rear chassis steel on Al contact clamp force</t>
  </si>
  <si>
    <t>Spherical bearing surface steel on steel contact force</t>
  </si>
  <si>
    <t>Clamp stress in p.s.i. on surface</t>
  </si>
  <si>
    <t>(clamp friction force is &gt;60x chassis weight)</t>
  </si>
  <si>
    <t>lbs. ( ~ &lt;4%)</t>
  </si>
  <si>
    <t>Clamp load (37% of grade 2 proof)</t>
  </si>
  <si>
    <t>** Screw is actually 120 KPSI alloy screw and can be tightened significantly more. Torque and clamp force is derated to provide over 300% material stress margin while providing 1250 lbs. of shear friction.</t>
  </si>
  <si>
    <t>done.</t>
  </si>
  <si>
    <t>This is the spring combination used in the final design!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</si>
</sst>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"/>
    <numFmt numFmtId="167" formatCode="0.000000"/>
    <numFmt numFmtId="168" formatCode="0.0000"/>
    <numFmt numFmtId="169" formatCode="0.0%"/>
    <numFmt numFmtId="170" formatCode="0.000E+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</font>
    <font>
      <sz val="10"/>
      <color theme="1"/>
      <name val="Calibri"/>
      <family val="2"/>
    </font>
    <font>
      <i/>
      <sz val="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11" fontId="0" fillId="3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165" fontId="0" fillId="3" borderId="1" xfId="0" applyNumberFormat="1" applyFill="1" applyBorder="1" applyAlignment="1">
      <alignment wrapText="1"/>
    </xf>
    <xf numFmtId="165" fontId="1" fillId="3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wrapText="1"/>
    </xf>
    <xf numFmtId="165" fontId="0" fillId="0" borderId="0" xfId="0" applyNumberFormat="1" applyAlignment="1">
      <alignment horizontal="center" vertical="center" wrapText="1"/>
    </xf>
    <xf numFmtId="165" fontId="0" fillId="2" borderId="16" xfId="0" applyNumberFormat="1" applyFill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165" fontId="0" fillId="2" borderId="0" xfId="0" applyNumberForma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165" fontId="0" fillId="3" borderId="18" xfId="0" applyNumberFormat="1" applyFill="1" applyBorder="1" applyAlignment="1">
      <alignment wrapText="1"/>
    </xf>
    <xf numFmtId="165" fontId="1" fillId="3" borderId="16" xfId="0" applyNumberFormat="1" applyFont="1" applyFill="1" applyBorder="1" applyAlignment="1">
      <alignment wrapText="1"/>
    </xf>
    <xf numFmtId="166" fontId="0" fillId="3" borderId="1" xfId="0" applyNumberFormat="1" applyFill="1" applyBorder="1" applyAlignment="1">
      <alignment wrapText="1"/>
    </xf>
    <xf numFmtId="165" fontId="1" fillId="3" borderId="17" xfId="0" applyNumberFormat="1" applyFont="1" applyFill="1" applyBorder="1" applyAlignment="1">
      <alignment wrapText="1"/>
    </xf>
    <xf numFmtId="167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0" fillId="4" borderId="0" xfId="0" applyFill="1" applyAlignment="1">
      <alignment wrapText="1"/>
    </xf>
    <xf numFmtId="165" fontId="1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165" fontId="1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165" fontId="0" fillId="2" borderId="2" xfId="0" applyNumberFormat="1" applyFill="1" applyBorder="1" applyAlignment="1">
      <alignment wrapText="1"/>
    </xf>
    <xf numFmtId="165" fontId="0" fillId="2" borderId="3" xfId="0" applyNumberFormat="1" applyFill="1" applyBorder="1" applyAlignment="1">
      <alignment wrapText="1"/>
    </xf>
    <xf numFmtId="165" fontId="0" fillId="2" borderId="4" xfId="0" applyNumberFormat="1" applyFill="1" applyBorder="1" applyAlignment="1">
      <alignment wrapText="1"/>
    </xf>
    <xf numFmtId="165" fontId="0" fillId="0" borderId="0" xfId="0" applyNumberFormat="1" applyAlignment="1">
      <alignment horizontal="right" wrapText="1"/>
    </xf>
    <xf numFmtId="1" fontId="0" fillId="0" borderId="0" xfId="0" applyNumberFormat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horizontal="center" vertical="center" wrapText="1"/>
    </xf>
    <xf numFmtId="14" fontId="0" fillId="6" borderId="0" xfId="0" applyNumberFormat="1" applyFill="1" applyAlignment="1">
      <alignment horizontal="center" vertical="center" wrapText="1"/>
    </xf>
    <xf numFmtId="0" fontId="0" fillId="6" borderId="0" xfId="0" applyFill="1" applyAlignment="1">
      <alignment wrapText="1"/>
    </xf>
    <xf numFmtId="165" fontId="1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165" fontId="0" fillId="7" borderId="0" xfId="0" applyNumberFormat="1" applyFill="1" applyAlignment="1">
      <alignment wrapText="1"/>
    </xf>
    <xf numFmtId="165" fontId="1" fillId="7" borderId="0" xfId="0" applyNumberFormat="1" applyFont="1" applyFill="1" applyAlignment="1">
      <alignment wrapText="1"/>
    </xf>
    <xf numFmtId="165" fontId="1" fillId="7" borderId="17" xfId="0" applyNumberFormat="1" applyFont="1" applyFill="1" applyBorder="1" applyAlignment="1">
      <alignment wrapText="1"/>
    </xf>
    <xf numFmtId="165" fontId="1" fillId="7" borderId="16" xfId="0" applyNumberFormat="1" applyFont="1" applyFill="1" applyBorder="1" applyAlignment="1">
      <alignment wrapText="1"/>
    </xf>
    <xf numFmtId="165" fontId="1" fillId="7" borderId="1" xfId="0" applyNumberFormat="1" applyFont="1" applyFill="1" applyBorder="1" applyAlignment="1">
      <alignment wrapText="1"/>
    </xf>
    <xf numFmtId="165" fontId="1" fillId="7" borderId="25" xfId="0" applyNumberFormat="1" applyFont="1" applyFill="1" applyBorder="1" applyAlignment="1">
      <alignment wrapText="1"/>
    </xf>
    <xf numFmtId="1" fontId="0" fillId="0" borderId="25" xfId="0" applyNumberFormat="1" applyBorder="1" applyAlignment="1">
      <alignment wrapText="1"/>
    </xf>
    <xf numFmtId="165" fontId="0" fillId="0" borderId="25" xfId="0" applyNumberFormat="1" applyBorder="1" applyAlignment="1">
      <alignment wrapText="1"/>
    </xf>
    <xf numFmtId="165" fontId="0" fillId="7" borderId="25" xfId="0" applyNumberFormat="1" applyFill="1" applyBorder="1" applyAlignment="1">
      <alignment wrapText="1"/>
    </xf>
    <xf numFmtId="165" fontId="0" fillId="0" borderId="18" xfId="0" applyNumberForma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25" xfId="0" applyBorder="1" applyAlignment="1">
      <alignment wrapText="1"/>
    </xf>
    <xf numFmtId="0" fontId="0" fillId="7" borderId="25" xfId="0" applyFill="1" applyBorder="1" applyAlignment="1">
      <alignment wrapText="1"/>
    </xf>
    <xf numFmtId="0" fontId="1" fillId="0" borderId="26" xfId="0" applyFont="1" applyBorder="1" applyAlignment="1">
      <alignment horizontal="center" wrapText="1"/>
    </xf>
    <xf numFmtId="165" fontId="0" fillId="7" borderId="25" xfId="0" applyNumberFormat="1" applyFont="1" applyFill="1" applyBorder="1" applyAlignment="1">
      <alignment wrapText="1"/>
    </xf>
    <xf numFmtId="168" fontId="1" fillId="7" borderId="25" xfId="0" applyNumberFormat="1" applyFont="1" applyFill="1" applyBorder="1" applyAlignment="1">
      <alignment wrapText="1"/>
    </xf>
    <xf numFmtId="168" fontId="1" fillId="7" borderId="1" xfId="0" applyNumberFormat="1" applyFont="1" applyFill="1" applyBorder="1" applyAlignment="1">
      <alignment wrapText="1"/>
    </xf>
    <xf numFmtId="2" fontId="0" fillId="0" borderId="25" xfId="0" applyNumberFormat="1" applyBorder="1" applyAlignment="1">
      <alignment wrapText="1"/>
    </xf>
    <xf numFmtId="0" fontId="1" fillId="0" borderId="0" xfId="0" applyFont="1" applyAlignment="1">
      <alignment wrapText="1"/>
    </xf>
    <xf numFmtId="0" fontId="1" fillId="8" borderId="0" xfId="0" applyFont="1" applyFill="1" applyBorder="1" applyAlignment="1">
      <alignment wrapText="1"/>
    </xf>
    <xf numFmtId="0" fontId="0" fillId="8" borderId="0" xfId="0" applyFill="1" applyAlignment="1">
      <alignment wrapText="1"/>
    </xf>
    <xf numFmtId="168" fontId="1" fillId="7" borderId="17" xfId="0" applyNumberFormat="1" applyFont="1" applyFill="1" applyBorder="1" applyAlignment="1">
      <alignment wrapText="1"/>
    </xf>
    <xf numFmtId="165" fontId="0" fillId="0" borderId="0" xfId="0" applyNumberForma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165" fontId="6" fillId="3" borderId="16" xfId="0" applyNumberFormat="1" applyFont="1" applyFill="1" applyBorder="1" applyAlignment="1">
      <alignment wrapText="1"/>
    </xf>
    <xf numFmtId="165" fontId="0" fillId="3" borderId="16" xfId="0" applyNumberFormat="1" applyFill="1" applyBorder="1" applyAlignment="1">
      <alignment wrapText="1"/>
    </xf>
    <xf numFmtId="11" fontId="0" fillId="3" borderId="18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5" fontId="1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2" fontId="1" fillId="0" borderId="0" xfId="0" applyNumberFormat="1" applyFont="1" applyAlignment="1">
      <alignment wrapText="1"/>
    </xf>
    <xf numFmtId="165" fontId="0" fillId="3" borderId="32" xfId="0" applyNumberFormat="1" applyFill="1" applyBorder="1" applyAlignment="1">
      <alignment wrapText="1"/>
    </xf>
    <xf numFmtId="168" fontId="0" fillId="3" borderId="1" xfId="0" applyNumberFormat="1" applyFill="1" applyBorder="1" applyAlignment="1">
      <alignment wrapText="1"/>
    </xf>
    <xf numFmtId="0" fontId="0" fillId="9" borderId="1" xfId="0" applyFill="1" applyBorder="1" applyAlignment="1">
      <alignment wrapText="1"/>
    </xf>
    <xf numFmtId="168" fontId="0" fillId="9" borderId="1" xfId="0" applyNumberFormat="1" applyFill="1" applyBorder="1" applyAlignment="1">
      <alignment wrapText="1"/>
    </xf>
    <xf numFmtId="168" fontId="1" fillId="9" borderId="1" xfId="0" applyNumberFormat="1" applyFont="1" applyFill="1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9" fontId="0" fillId="9" borderId="1" xfId="0" applyNumberFormat="1" applyFont="1" applyFill="1" applyBorder="1" applyAlignment="1">
      <alignment wrapText="1"/>
    </xf>
    <xf numFmtId="0" fontId="1" fillId="9" borderId="0" xfId="0" applyFont="1" applyFill="1" applyAlignment="1">
      <alignment wrapText="1"/>
    </xf>
    <xf numFmtId="0" fontId="0" fillId="9" borderId="0" xfId="0" applyFill="1" applyAlignment="1">
      <alignment wrapText="1"/>
    </xf>
    <xf numFmtId="164" fontId="1" fillId="0" borderId="0" xfId="0" applyNumberFormat="1" applyFont="1" applyAlignment="1">
      <alignment wrapText="1"/>
    </xf>
    <xf numFmtId="2" fontId="0" fillId="9" borderId="0" xfId="0" applyNumberFormat="1" applyFill="1" applyBorder="1" applyAlignment="1">
      <alignment wrapText="1"/>
    </xf>
    <xf numFmtId="0" fontId="0" fillId="9" borderId="0" xfId="0" applyFill="1" applyBorder="1" applyAlignment="1">
      <alignment wrapText="1"/>
    </xf>
    <xf numFmtId="165" fontId="0" fillId="9" borderId="0" xfId="0" applyNumberFormat="1" applyFill="1" applyBorder="1" applyAlignment="1">
      <alignment wrapText="1"/>
    </xf>
    <xf numFmtId="165" fontId="0" fillId="0" borderId="0" xfId="0" applyNumberFormat="1" applyBorder="1" applyAlignment="1">
      <alignment wrapText="1"/>
    </xf>
    <xf numFmtId="2" fontId="1" fillId="9" borderId="0" xfId="0" applyNumberFormat="1" applyFont="1" applyFill="1" applyBorder="1" applyAlignment="1">
      <alignment wrapText="1"/>
    </xf>
    <xf numFmtId="164" fontId="0" fillId="9" borderId="0" xfId="0" applyNumberFormat="1" applyFill="1" applyBorder="1" applyAlignment="1">
      <alignment wrapText="1"/>
    </xf>
    <xf numFmtId="2" fontId="0" fillId="0" borderId="0" xfId="0" applyNumberFormat="1" applyBorder="1" applyAlignment="1">
      <alignment wrapText="1"/>
    </xf>
    <xf numFmtId="0" fontId="0" fillId="9" borderId="31" xfId="0" applyFill="1" applyBorder="1" applyAlignment="1">
      <alignment wrapText="1"/>
    </xf>
    <xf numFmtId="0" fontId="0" fillId="9" borderId="33" xfId="0" applyFill="1" applyBorder="1" applyAlignment="1">
      <alignment wrapText="1"/>
    </xf>
    <xf numFmtId="165" fontId="0" fillId="9" borderId="33" xfId="0" applyNumberFormat="1" applyFill="1" applyBorder="1" applyAlignment="1">
      <alignment wrapText="1"/>
    </xf>
    <xf numFmtId="164" fontId="0" fillId="9" borderId="33" xfId="0" applyNumberFormat="1" applyFill="1" applyBorder="1" applyAlignment="1">
      <alignment wrapText="1"/>
    </xf>
    <xf numFmtId="0" fontId="0" fillId="0" borderId="0" xfId="0" applyAlignment="1">
      <alignment wrapText="1"/>
    </xf>
    <xf numFmtId="168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165" fontId="0" fillId="0" borderId="0" xfId="0" applyNumberFormat="1" applyAlignment="1">
      <alignment wrapText="1"/>
    </xf>
    <xf numFmtId="10" fontId="0" fillId="9" borderId="1" xfId="0" applyNumberFormat="1" applyFill="1" applyBorder="1" applyAlignment="1">
      <alignment wrapText="1"/>
    </xf>
    <xf numFmtId="165" fontId="0" fillId="10" borderId="1" xfId="0" applyNumberFormat="1" applyFill="1" applyBorder="1" applyAlignment="1">
      <alignment wrapText="1"/>
    </xf>
    <xf numFmtId="164" fontId="0" fillId="10" borderId="1" xfId="0" applyNumberFormat="1" applyFill="1" applyBorder="1" applyAlignment="1">
      <alignment wrapText="1"/>
    </xf>
    <xf numFmtId="164" fontId="0" fillId="10" borderId="18" xfId="0" applyNumberFormat="1" applyFill="1" applyBorder="1" applyAlignment="1">
      <alignment wrapText="1"/>
    </xf>
    <xf numFmtId="164" fontId="1" fillId="10" borderId="2" xfId="0" applyNumberFormat="1" applyFont="1" applyFill="1" applyBorder="1" applyAlignment="1">
      <alignment wrapText="1"/>
    </xf>
    <xf numFmtId="164" fontId="1" fillId="10" borderId="3" xfId="0" applyNumberFormat="1" applyFont="1" applyFill="1" applyBorder="1" applyAlignment="1">
      <alignment wrapText="1"/>
    </xf>
    <xf numFmtId="164" fontId="1" fillId="10" borderId="4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5" fontId="0" fillId="10" borderId="6" xfId="0" applyNumberFormat="1" applyFill="1" applyBorder="1" applyAlignment="1">
      <alignment wrapText="1"/>
    </xf>
    <xf numFmtId="164" fontId="0" fillId="10" borderId="6" xfId="0" applyNumberFormat="1" applyFill="1" applyBorder="1" applyAlignment="1">
      <alignment wrapText="1"/>
    </xf>
    <xf numFmtId="164" fontId="0" fillId="10" borderId="7" xfId="0" applyNumberFormat="1" applyFill="1" applyBorder="1" applyAlignment="1">
      <alignment wrapText="1"/>
    </xf>
    <xf numFmtId="164" fontId="0" fillId="10" borderId="11" xfId="0" applyNumberFormat="1" applyFill="1" applyBorder="1" applyAlignment="1">
      <alignment wrapText="1"/>
    </xf>
    <xf numFmtId="164" fontId="0" fillId="10" borderId="12" xfId="0" applyNumberFormat="1" applyFill="1" applyBorder="1" applyAlignment="1">
      <alignment wrapText="1"/>
    </xf>
    <xf numFmtId="164" fontId="0" fillId="10" borderId="36" xfId="0" applyNumberFormat="1" applyFill="1" applyBorder="1" applyAlignment="1">
      <alignment wrapText="1"/>
    </xf>
    <xf numFmtId="0" fontId="0" fillId="0" borderId="31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3" xfId="0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165" fontId="0" fillId="0" borderId="40" xfId="0" applyNumberForma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10" borderId="0" xfId="0" applyFont="1" applyFill="1" applyAlignment="1">
      <alignment wrapText="1"/>
    </xf>
    <xf numFmtId="0" fontId="0" fillId="8" borderId="31" xfId="0" applyFill="1" applyBorder="1" applyAlignment="1">
      <alignment wrapText="1"/>
    </xf>
    <xf numFmtId="0" fontId="0" fillId="8" borderId="0" xfId="0" applyFill="1" applyBorder="1" applyAlignment="1">
      <alignment wrapText="1"/>
    </xf>
    <xf numFmtId="2" fontId="0" fillId="8" borderId="0" xfId="0" applyNumberFormat="1" applyFill="1" applyBorder="1" applyAlignment="1">
      <alignment wrapText="1"/>
    </xf>
    <xf numFmtId="165" fontId="0" fillId="8" borderId="0" xfId="0" applyNumberFormat="1" applyFill="1" applyBorder="1" applyAlignment="1">
      <alignment wrapText="1"/>
    </xf>
    <xf numFmtId="2" fontId="1" fillId="8" borderId="0" xfId="0" applyNumberFormat="1" applyFont="1" applyFill="1" applyBorder="1" applyAlignment="1">
      <alignment wrapText="1"/>
    </xf>
    <xf numFmtId="165" fontId="0" fillId="8" borderId="33" xfId="0" applyNumberFormat="1" applyFill="1" applyBorder="1" applyAlignment="1">
      <alignment wrapText="1"/>
    </xf>
    <xf numFmtId="164" fontId="0" fillId="8" borderId="0" xfId="0" applyNumberForma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0" fillId="10" borderId="41" xfId="0" applyFill="1" applyBorder="1" applyAlignment="1">
      <alignment wrapText="1"/>
    </xf>
    <xf numFmtId="0" fontId="0" fillId="10" borderId="42" xfId="0" applyFill="1" applyBorder="1" applyAlignment="1">
      <alignment wrapText="1"/>
    </xf>
    <xf numFmtId="2" fontId="0" fillId="10" borderId="42" xfId="0" applyNumberFormat="1" applyFill="1" applyBorder="1" applyAlignment="1">
      <alignment wrapText="1"/>
    </xf>
    <xf numFmtId="165" fontId="0" fillId="10" borderId="42" xfId="0" applyNumberFormat="1" applyFill="1" applyBorder="1" applyAlignment="1">
      <alignment wrapText="1"/>
    </xf>
    <xf numFmtId="2" fontId="1" fillId="10" borderId="42" xfId="0" applyNumberFormat="1" applyFont="1" applyFill="1" applyBorder="1" applyAlignment="1">
      <alignment wrapText="1"/>
    </xf>
    <xf numFmtId="164" fontId="0" fillId="8" borderId="33" xfId="0" applyNumberFormat="1" applyFill="1" applyBorder="1" applyAlignment="1">
      <alignment wrapText="1"/>
    </xf>
    <xf numFmtId="0" fontId="0" fillId="0" borderId="27" xfId="0" applyBorder="1" applyAlignment="1">
      <alignment wrapText="1"/>
    </xf>
    <xf numFmtId="0" fontId="1" fillId="9" borderId="23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13" xfId="0" applyFill="1" applyBorder="1" applyAlignment="1">
      <alignment wrapText="1"/>
    </xf>
    <xf numFmtId="2" fontId="0" fillId="9" borderId="24" xfId="0" applyNumberFormat="1" applyFill="1" applyBorder="1" applyAlignment="1">
      <alignment wrapText="1"/>
    </xf>
    <xf numFmtId="165" fontId="0" fillId="9" borderId="24" xfId="0" applyNumberFormat="1" applyFill="1" applyBorder="1" applyAlignment="1">
      <alignment wrapText="1"/>
    </xf>
    <xf numFmtId="0" fontId="0" fillId="9" borderId="43" xfId="0" applyFill="1" applyBorder="1" applyAlignment="1">
      <alignment wrapText="1"/>
    </xf>
    <xf numFmtId="2" fontId="1" fillId="9" borderId="24" xfId="0" applyNumberFormat="1" applyFont="1" applyFill="1" applyBorder="1" applyAlignment="1">
      <alignment wrapText="1"/>
    </xf>
    <xf numFmtId="165" fontId="0" fillId="9" borderId="43" xfId="0" applyNumberFormat="1" applyFill="1" applyBorder="1" applyAlignment="1">
      <alignment wrapText="1"/>
    </xf>
    <xf numFmtId="164" fontId="0" fillId="9" borderId="24" xfId="0" applyNumberFormat="1" applyFill="1" applyBorder="1" applyAlignment="1">
      <alignment wrapText="1"/>
    </xf>
    <xf numFmtId="164" fontId="0" fillId="9" borderId="43" xfId="0" applyNumberFormat="1" applyFill="1" applyBorder="1" applyAlignment="1">
      <alignment wrapText="1"/>
    </xf>
    <xf numFmtId="0" fontId="0" fillId="9" borderId="22" xfId="0" applyFill="1" applyBorder="1" applyAlignment="1">
      <alignment wrapText="1"/>
    </xf>
    <xf numFmtId="165" fontId="0" fillId="10" borderId="45" xfId="0" applyNumberFormat="1" applyFill="1" applyBorder="1" applyAlignment="1">
      <alignment wrapText="1"/>
    </xf>
    <xf numFmtId="0" fontId="0" fillId="10" borderId="2" xfId="0" applyFill="1" applyBorder="1" applyAlignment="1">
      <alignment wrapText="1"/>
    </xf>
    <xf numFmtId="0" fontId="0" fillId="10" borderId="3" xfId="0" applyFill="1" applyBorder="1" applyAlignment="1">
      <alignment wrapText="1"/>
    </xf>
    <xf numFmtId="2" fontId="0" fillId="10" borderId="3" xfId="0" applyNumberFormat="1" applyFill="1" applyBorder="1" applyAlignment="1">
      <alignment wrapText="1"/>
    </xf>
    <xf numFmtId="165" fontId="0" fillId="10" borderId="3" xfId="0" applyNumberFormat="1" applyFill="1" applyBorder="1" applyAlignment="1">
      <alignment wrapText="1"/>
    </xf>
    <xf numFmtId="2" fontId="1" fillId="10" borderId="3" xfId="0" applyNumberFormat="1" applyFont="1" applyFill="1" applyBorder="1" applyAlignment="1">
      <alignment wrapText="1"/>
    </xf>
    <xf numFmtId="2" fontId="0" fillId="10" borderId="4" xfId="0" applyNumberFormat="1" applyFill="1" applyBorder="1" applyAlignment="1">
      <alignment wrapText="1"/>
    </xf>
    <xf numFmtId="2" fontId="0" fillId="10" borderId="13" xfId="0" applyNumberFormat="1" applyFill="1" applyBorder="1" applyAlignment="1">
      <alignment wrapText="1"/>
    </xf>
    <xf numFmtId="165" fontId="0" fillId="10" borderId="5" xfId="0" applyNumberFormat="1" applyFill="1" applyBorder="1" applyAlignment="1">
      <alignment wrapText="1"/>
    </xf>
    <xf numFmtId="165" fontId="0" fillId="10" borderId="34" xfId="0" applyNumberFormat="1" applyFill="1" applyBorder="1" applyAlignment="1">
      <alignment wrapText="1"/>
    </xf>
    <xf numFmtId="0" fontId="1" fillId="10" borderId="44" xfId="0" applyFont="1" applyFill="1" applyBorder="1" applyAlignment="1">
      <alignment wrapText="1"/>
    </xf>
    <xf numFmtId="0" fontId="0" fillId="8" borderId="40" xfId="0" applyFill="1" applyBorder="1" applyAlignment="1">
      <alignment wrapText="1"/>
    </xf>
    <xf numFmtId="165" fontId="0" fillId="8" borderId="40" xfId="0" applyNumberFormat="1" applyFill="1" applyBorder="1" applyAlignment="1">
      <alignment wrapText="1"/>
    </xf>
    <xf numFmtId="2" fontId="1" fillId="8" borderId="40" xfId="0" applyNumberFormat="1" applyFont="1" applyFill="1" applyBorder="1" applyAlignment="1">
      <alignment wrapText="1"/>
    </xf>
    <xf numFmtId="2" fontId="0" fillId="8" borderId="31" xfId="0" applyNumberFormat="1" applyFill="1" applyBorder="1" applyAlignment="1">
      <alignment wrapText="1"/>
    </xf>
    <xf numFmtId="164" fontId="0" fillId="10" borderId="9" xfId="0" applyNumberFormat="1" applyFill="1" applyBorder="1" applyAlignment="1">
      <alignment wrapText="1"/>
    </xf>
    <xf numFmtId="165" fontId="0" fillId="10" borderId="8" xfId="0" applyNumberFormat="1" applyFill="1" applyBorder="1" applyAlignment="1">
      <alignment wrapText="1"/>
    </xf>
    <xf numFmtId="2" fontId="0" fillId="10" borderId="49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2" fontId="0" fillId="0" borderId="6" xfId="0" applyNumberFormat="1" applyFill="1" applyBorder="1" applyAlignment="1">
      <alignment wrapText="1"/>
    </xf>
    <xf numFmtId="165" fontId="0" fillId="0" borderId="6" xfId="0" applyNumberFormat="1" applyFill="1" applyBorder="1" applyAlignment="1">
      <alignment wrapText="1"/>
    </xf>
    <xf numFmtId="2" fontId="1" fillId="0" borderId="6" xfId="0" applyNumberFormat="1" applyFont="1" applyFill="1" applyBorder="1" applyAlignment="1">
      <alignment wrapText="1"/>
    </xf>
    <xf numFmtId="0" fontId="0" fillId="0" borderId="42" xfId="0" applyFill="1" applyBorder="1" applyAlignment="1">
      <alignment wrapText="1"/>
    </xf>
    <xf numFmtId="2" fontId="0" fillId="0" borderId="42" xfId="0" applyNumberFormat="1" applyFill="1" applyBorder="1" applyAlignment="1">
      <alignment wrapText="1"/>
    </xf>
    <xf numFmtId="165" fontId="0" fillId="0" borderId="42" xfId="0" applyNumberFormat="1" applyFill="1" applyBorder="1" applyAlignment="1">
      <alignment wrapText="1"/>
    </xf>
    <xf numFmtId="2" fontId="1" fillId="0" borderId="42" xfId="0" applyNumberFormat="1" applyFont="1" applyFill="1" applyBorder="1" applyAlignment="1">
      <alignment wrapText="1"/>
    </xf>
    <xf numFmtId="2" fontId="0" fillId="0" borderId="49" xfId="0" applyNumberFormat="1" applyFill="1" applyBorder="1" applyAlignment="1">
      <alignment wrapText="1"/>
    </xf>
    <xf numFmtId="0" fontId="0" fillId="0" borderId="11" xfId="0" applyFill="1" applyBorder="1" applyAlignment="1">
      <alignment wrapText="1"/>
    </xf>
    <xf numFmtId="2" fontId="0" fillId="0" borderId="11" xfId="0" applyNumberFormat="1" applyFill="1" applyBorder="1" applyAlignment="1">
      <alignment wrapText="1"/>
    </xf>
    <xf numFmtId="165" fontId="0" fillId="0" borderId="11" xfId="0" applyNumberFormat="1" applyFill="1" applyBorder="1" applyAlignment="1">
      <alignment wrapText="1"/>
    </xf>
    <xf numFmtId="165" fontId="0" fillId="0" borderId="1" xfId="0" applyNumberFormat="1" applyFill="1" applyBorder="1" applyAlignment="1">
      <alignment wrapText="1"/>
    </xf>
    <xf numFmtId="2" fontId="1" fillId="0" borderId="11" xfId="0" applyNumberFormat="1" applyFont="1" applyFill="1" applyBorder="1" applyAlignment="1">
      <alignment wrapText="1"/>
    </xf>
    <xf numFmtId="164" fontId="0" fillId="0" borderId="11" xfId="0" applyNumberFormat="1" applyFill="1" applyBorder="1" applyAlignment="1">
      <alignment wrapText="1"/>
    </xf>
    <xf numFmtId="164" fontId="0" fillId="0" borderId="12" xfId="0" applyNumberForma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165" fontId="0" fillId="0" borderId="33" xfId="0" applyNumberFormat="1" applyFill="1" applyBorder="1" applyAlignment="1">
      <alignment wrapText="1"/>
    </xf>
    <xf numFmtId="164" fontId="0" fillId="0" borderId="0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2" fontId="0" fillId="0" borderId="14" xfId="0" applyNumberFormat="1" applyFill="1" applyBorder="1" applyAlignment="1">
      <alignment wrapText="1"/>
    </xf>
    <xf numFmtId="165" fontId="0" fillId="0" borderId="5" xfId="0" applyNumberFormat="1" applyFill="1" applyBorder="1" applyAlignment="1">
      <alignment wrapText="1"/>
    </xf>
    <xf numFmtId="164" fontId="0" fillId="0" borderId="6" xfId="0" applyNumberFormat="1" applyFill="1" applyBorder="1" applyAlignment="1">
      <alignment wrapText="1"/>
    </xf>
    <xf numFmtId="164" fontId="0" fillId="0" borderId="7" xfId="0" applyNumberForma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2" fontId="0" fillId="0" borderId="15" xfId="0" applyNumberForma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2" fontId="0" fillId="0" borderId="3" xfId="0" applyNumberFormat="1" applyFill="1" applyBorder="1" applyAlignment="1">
      <alignment wrapText="1"/>
    </xf>
    <xf numFmtId="165" fontId="0" fillId="0" borderId="3" xfId="0" applyNumberFormat="1" applyFill="1" applyBorder="1" applyAlignment="1">
      <alignment wrapText="1"/>
    </xf>
    <xf numFmtId="2" fontId="1" fillId="0" borderId="3" xfId="0" applyNumberFormat="1" applyFont="1" applyFill="1" applyBorder="1" applyAlignment="1">
      <alignment wrapText="1"/>
    </xf>
    <xf numFmtId="2" fontId="0" fillId="0" borderId="13" xfId="0" applyNumberFormat="1" applyFill="1" applyBorder="1" applyAlignment="1">
      <alignment wrapText="1"/>
    </xf>
    <xf numFmtId="0" fontId="0" fillId="0" borderId="27" xfId="0" applyFill="1" applyBorder="1" applyAlignment="1">
      <alignment wrapText="1"/>
    </xf>
    <xf numFmtId="164" fontId="1" fillId="0" borderId="37" xfId="0" applyNumberFormat="1" applyFont="1" applyFill="1" applyBorder="1" applyAlignment="1">
      <alignment wrapText="1"/>
    </xf>
    <xf numFmtId="164" fontId="1" fillId="0" borderId="38" xfId="0" applyNumberFormat="1" applyFont="1" applyFill="1" applyBorder="1" applyAlignment="1">
      <alignment wrapText="1"/>
    </xf>
    <xf numFmtId="164" fontId="1" fillId="0" borderId="39" xfId="0" applyNumberFormat="1" applyFont="1" applyFill="1" applyBorder="1" applyAlignment="1">
      <alignment wrapText="1"/>
    </xf>
    <xf numFmtId="164" fontId="0" fillId="0" borderId="33" xfId="0" applyNumberFormat="1" applyFill="1" applyBorder="1" applyAlignment="1">
      <alignment wrapText="1"/>
    </xf>
    <xf numFmtId="0" fontId="1" fillId="0" borderId="44" xfId="0" applyFont="1" applyFill="1" applyBorder="1" applyAlignment="1">
      <alignment wrapText="1"/>
    </xf>
    <xf numFmtId="0" fontId="0" fillId="0" borderId="40" xfId="0" applyFill="1" applyBorder="1" applyAlignment="1">
      <alignment wrapText="1"/>
    </xf>
    <xf numFmtId="2" fontId="0" fillId="0" borderId="40" xfId="0" applyNumberFormat="1" applyFill="1" applyBorder="1" applyAlignment="1">
      <alignment wrapText="1"/>
    </xf>
    <xf numFmtId="2" fontId="1" fillId="0" borderId="40" xfId="0" applyNumberFormat="1" applyFont="1" applyFill="1" applyBorder="1" applyAlignment="1">
      <alignment wrapText="1"/>
    </xf>
    <xf numFmtId="2" fontId="0" fillId="0" borderId="31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165" fontId="0" fillId="0" borderId="43" xfId="0" applyNumberFormat="1" applyFill="1" applyBorder="1" applyAlignment="1">
      <alignment wrapText="1"/>
    </xf>
    <xf numFmtId="165" fontId="0" fillId="0" borderId="8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164" fontId="0" fillId="0" borderId="9" xfId="0" applyNumberFormat="1" applyFill="1" applyBorder="1" applyAlignment="1">
      <alignment wrapText="1"/>
    </xf>
    <xf numFmtId="164" fontId="0" fillId="0" borderId="18" xfId="0" applyNumberFormat="1" applyFill="1" applyBorder="1" applyAlignment="1">
      <alignment wrapText="1"/>
    </xf>
    <xf numFmtId="164" fontId="0" fillId="0" borderId="36" xfId="0" applyNumberFormat="1" applyFill="1" applyBorder="1" applyAlignment="1">
      <alignment wrapText="1"/>
    </xf>
    <xf numFmtId="164" fontId="1" fillId="0" borderId="2" xfId="0" applyNumberFormat="1" applyFont="1" applyFill="1" applyBorder="1" applyAlignment="1">
      <alignment wrapText="1"/>
    </xf>
    <xf numFmtId="164" fontId="1" fillId="0" borderId="3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165" fontId="0" fillId="9" borderId="1" xfId="0" applyNumberFormat="1" applyFill="1" applyBorder="1" applyAlignment="1">
      <alignment wrapText="1"/>
    </xf>
    <xf numFmtId="165" fontId="1" fillId="9" borderId="1" xfId="0" applyNumberFormat="1" applyFont="1" applyFill="1" applyBorder="1" applyAlignment="1">
      <alignment wrapText="1"/>
    </xf>
    <xf numFmtId="2" fontId="7" fillId="8" borderId="40" xfId="0" applyNumberFormat="1" applyFont="1" applyFill="1" applyBorder="1" applyAlignment="1">
      <alignment wrapText="1"/>
    </xf>
    <xf numFmtId="165" fontId="7" fillId="8" borderId="40" xfId="0" applyNumberFormat="1" applyFont="1" applyFill="1" applyBorder="1" applyAlignment="1">
      <alignment wrapText="1"/>
    </xf>
    <xf numFmtId="165" fontId="7" fillId="0" borderId="0" xfId="0" applyNumberFormat="1" applyFont="1" applyBorder="1" applyAlignment="1">
      <alignment wrapText="1"/>
    </xf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65" fontId="0" fillId="9" borderId="1" xfId="0" applyNumberFormat="1" applyFill="1" applyBorder="1"/>
    <xf numFmtId="0" fontId="0" fillId="9" borderId="1" xfId="0" applyFill="1" applyBorder="1"/>
    <xf numFmtId="0" fontId="0" fillId="0" borderId="1" xfId="0" applyFill="1" applyBorder="1"/>
    <xf numFmtId="0" fontId="8" fillId="0" borderId="0" xfId="0" applyFont="1"/>
    <xf numFmtId="3" fontId="0" fillId="0" borderId="1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68" fontId="0" fillId="0" borderId="1" xfId="0" applyNumberFormat="1" applyBorder="1"/>
    <xf numFmtId="3" fontId="0" fillId="0" borderId="0" xfId="0" applyNumberFormat="1" applyBorder="1"/>
    <xf numFmtId="165" fontId="0" fillId="0" borderId="1" xfId="0" applyNumberFormat="1" applyFill="1" applyBorder="1"/>
    <xf numFmtId="0" fontId="1" fillId="9" borderId="1" xfId="0" applyFont="1" applyFill="1" applyBorder="1"/>
    <xf numFmtId="0" fontId="0" fillId="0" borderId="21" xfId="0" applyBorder="1"/>
    <xf numFmtId="0" fontId="0" fillId="0" borderId="27" xfId="0" applyBorder="1" applyAlignment="1">
      <alignment horizontal="right"/>
    </xf>
    <xf numFmtId="0" fontId="0" fillId="0" borderId="28" xfId="0" applyBorder="1"/>
    <xf numFmtId="0" fontId="0" fillId="0" borderId="27" xfId="0" applyFill="1" applyBorder="1" applyAlignment="1">
      <alignment horizontal="right"/>
    </xf>
    <xf numFmtId="0" fontId="0" fillId="0" borderId="27" xfId="0" applyBorder="1"/>
    <xf numFmtId="165" fontId="0" fillId="0" borderId="0" xfId="0" applyNumberFormat="1" applyBorder="1"/>
    <xf numFmtId="0" fontId="8" fillId="0" borderId="29" xfId="0" applyFont="1" applyBorder="1"/>
    <xf numFmtId="0" fontId="0" fillId="0" borderId="30" xfId="0" applyBorder="1"/>
    <xf numFmtId="0" fontId="0" fillId="0" borderId="26" xfId="0" applyBorder="1"/>
    <xf numFmtId="0" fontId="1" fillId="0" borderId="27" xfId="0" applyFont="1" applyBorder="1" applyAlignment="1">
      <alignment horizontal="right"/>
    </xf>
    <xf numFmtId="0" fontId="1" fillId="0" borderId="19" xfId="0" applyFont="1" applyBorder="1"/>
    <xf numFmtId="0" fontId="0" fillId="0" borderId="20" xfId="0" applyBorder="1"/>
    <xf numFmtId="0" fontId="0" fillId="0" borderId="0" xfId="0" applyBorder="1" applyAlignment="1">
      <alignment horizontal="right"/>
    </xf>
    <xf numFmtId="0" fontId="3" fillId="0" borderId="28" xfId="0" applyFont="1" applyBorder="1"/>
    <xf numFmtId="0" fontId="0" fillId="0" borderId="29" xfId="0" applyBorder="1" applyAlignment="1">
      <alignment horizontal="right"/>
    </xf>
    <xf numFmtId="0" fontId="0" fillId="0" borderId="11" xfId="0" applyBorder="1"/>
    <xf numFmtId="0" fontId="0" fillId="0" borderId="30" xfId="0" applyBorder="1" applyAlignment="1">
      <alignment horizontal="right"/>
    </xf>
    <xf numFmtId="3" fontId="0" fillId="0" borderId="11" xfId="0" applyNumberFormat="1" applyBorder="1"/>
    <xf numFmtId="0" fontId="2" fillId="0" borderId="0" xfId="0" applyFont="1"/>
    <xf numFmtId="0" fontId="3" fillId="0" borderId="0" xfId="0" applyFont="1" applyFill="1" applyBorder="1"/>
    <xf numFmtId="170" fontId="0" fillId="9" borderId="1" xfId="0" applyNumberFormat="1" applyFill="1" applyBorder="1"/>
    <xf numFmtId="2" fontId="0" fillId="9" borderId="1" xfId="0" applyNumberFormat="1" applyFill="1" applyBorder="1"/>
    <xf numFmtId="0" fontId="8" fillId="0" borderId="29" xfId="0" applyFont="1" applyBorder="1" applyAlignment="1">
      <alignment horizontal="right"/>
    </xf>
    <xf numFmtId="1" fontId="1" fillId="9" borderId="1" xfId="0" applyNumberFormat="1" applyFont="1" applyFill="1" applyBorder="1"/>
    <xf numFmtId="11" fontId="0" fillId="0" borderId="1" xfId="0" applyNumberFormat="1" applyFill="1" applyBorder="1" applyAlignment="1">
      <alignment wrapText="1"/>
    </xf>
    <xf numFmtId="2" fontId="1" fillId="9" borderId="1" xfId="0" applyNumberFormat="1" applyFont="1" applyFill="1" applyBorder="1"/>
    <xf numFmtId="0" fontId="8" fillId="0" borderId="27" xfId="0" applyFont="1" applyBorder="1"/>
    <xf numFmtId="0" fontId="0" fillId="0" borderId="29" xfId="0" applyBorder="1"/>
    <xf numFmtId="0" fontId="3" fillId="0" borderId="0" xfId="0" applyFont="1" applyBorder="1"/>
    <xf numFmtId="0" fontId="0" fillId="0" borderId="0" xfId="0" applyBorder="1" applyAlignment="1">
      <alignment horizontal="right" wrapText="1"/>
    </xf>
    <xf numFmtId="0" fontId="0" fillId="0" borderId="30" xfId="0" applyFill="1" applyBorder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5" fontId="0" fillId="3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1" xfId="0" applyBorder="1" applyAlignment="1">
      <alignment wrapText="1"/>
    </xf>
    <xf numFmtId="168" fontId="0" fillId="0" borderId="0" xfId="0" applyNumberFormat="1" applyAlignment="1">
      <alignment wrapText="1"/>
    </xf>
    <xf numFmtId="0" fontId="1" fillId="0" borderId="3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47" xfId="0" applyNumberFormat="1" applyFill="1" applyBorder="1" applyAlignment="1">
      <alignment horizontal="right"/>
    </xf>
    <xf numFmtId="0" fontId="0" fillId="0" borderId="48" xfId="0" applyNumberFormat="1" applyFill="1" applyBorder="1" applyAlignment="1">
      <alignment horizontal="right"/>
    </xf>
    <xf numFmtId="0" fontId="0" fillId="0" borderId="10" xfId="0" applyNumberFormat="1" applyFill="1" applyBorder="1" applyAlignment="1">
      <alignment horizontal="right"/>
    </xf>
    <xf numFmtId="0" fontId="0" fillId="0" borderId="11" xfId="0" applyNumberFormat="1" applyFill="1" applyBorder="1" applyAlignment="1">
      <alignment horizontal="right"/>
    </xf>
    <xf numFmtId="0" fontId="0" fillId="0" borderId="46" xfId="0" applyNumberFormat="1" applyFill="1" applyBorder="1" applyAlignment="1">
      <alignment horizontal="right"/>
    </xf>
    <xf numFmtId="0" fontId="0" fillId="0" borderId="34" xfId="0" applyNumberFormat="1" applyFill="1" applyBorder="1" applyAlignment="1">
      <alignment horizontal="right"/>
    </xf>
    <xf numFmtId="0" fontId="0" fillId="10" borderId="10" xfId="0" applyNumberFormat="1" applyFill="1" applyBorder="1" applyAlignment="1">
      <alignment horizontal="right"/>
    </xf>
    <xf numFmtId="0" fontId="0" fillId="0" borderId="11" xfId="0" applyNumberFormat="1" applyBorder="1" applyAlignment="1">
      <alignment horizontal="right"/>
    </xf>
    <xf numFmtId="0" fontId="0" fillId="10" borderId="46" xfId="0" applyNumberFormat="1" applyFill="1" applyBorder="1" applyAlignment="1">
      <alignment horizontal="right"/>
    </xf>
    <xf numFmtId="0" fontId="0" fillId="0" borderId="34" xfId="0" applyNumberFormat="1" applyBorder="1" applyAlignment="1">
      <alignment horizontal="right"/>
    </xf>
    <xf numFmtId="0" fontId="0" fillId="10" borderId="47" xfId="0" applyNumberFormat="1" applyFill="1" applyBorder="1" applyAlignment="1">
      <alignment horizontal="right"/>
    </xf>
    <xf numFmtId="0" fontId="0" fillId="0" borderId="48" xfId="0" applyNumberFormat="1" applyBorder="1" applyAlignment="1">
      <alignment horizontal="right"/>
    </xf>
    <xf numFmtId="0" fontId="0" fillId="0" borderId="29" xfId="0" applyNumberFormat="1" applyFill="1" applyBorder="1" applyAlignment="1">
      <alignment horizontal="right"/>
    </xf>
    <xf numFmtId="0" fontId="0" fillId="0" borderId="30" xfId="0" applyNumberFormat="1" applyFill="1" applyBorder="1" applyAlignment="1">
      <alignment horizontal="right"/>
    </xf>
    <xf numFmtId="0" fontId="0" fillId="10" borderId="35" xfId="0" applyNumberFormat="1" applyFill="1" applyBorder="1" applyAlignment="1">
      <alignment horizontal="right"/>
    </xf>
    <xf numFmtId="165" fontId="1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0" xfId="0" applyBorder="1" applyAlignment="1"/>
    <xf numFmtId="0" fontId="0" fillId="0" borderId="21" xfId="0" applyBorder="1" applyAlignment="1"/>
    <xf numFmtId="165" fontId="0" fillId="2" borderId="23" xfId="0" applyNumberForma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5" fontId="0" fillId="2" borderId="19" xfId="0" applyNumberForma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65" fontId="1" fillId="2" borderId="23" xfId="0" applyNumberFormat="1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165" fontId="1" fillId="0" borderId="27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28" xfId="0" applyFont="1" applyBorder="1" applyAlignment="1">
      <alignment wrapText="1"/>
    </xf>
    <xf numFmtId="165" fontId="1" fillId="0" borderId="23" xfId="0" applyNumberFormat="1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2" xfId="0" applyBorder="1" applyAlignment="1">
      <alignment wrapText="1"/>
    </xf>
    <xf numFmtId="0" fontId="0" fillId="2" borderId="1" xfId="0" applyFill="1" applyBorder="1" applyAlignment="1">
      <alignment wrapText="1"/>
    </xf>
    <xf numFmtId="165" fontId="1" fillId="2" borderId="29" xfId="0" applyNumberFormat="1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165" fontId="1" fillId="0" borderId="24" xfId="0" applyNumberFormat="1" applyFont="1" applyBorder="1" applyAlignment="1">
      <alignment wrapText="1"/>
    </xf>
    <xf numFmtId="165" fontId="1" fillId="0" borderId="19" xfId="0" applyNumberFormat="1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17</xdr:row>
      <xdr:rowOff>57151</xdr:rowOff>
    </xdr:from>
    <xdr:to>
      <xdr:col>0</xdr:col>
      <xdr:colOff>1395413</xdr:colOff>
      <xdr:row>18</xdr:row>
      <xdr:rowOff>157164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495301" y="3228976"/>
              <a:ext cx="900112" cy="280988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0" i="0">
                  <a:latin typeface="+mn-lt"/>
                </a:rPr>
                <a:t>F</a:t>
              </a:r>
              <a14:m>
                <m:oMath xmlns:m="http://schemas.openxmlformats.org/officeDocument/2006/math">
                  <m:r>
                    <a:rPr lang="en-US" sz="900" b="0" i="1">
                      <a:latin typeface="Cambria Math" panose="02040503050406030204" pitchFamily="18" charset="0"/>
                    </a:rPr>
                    <m:t>𝑓</m:t>
                  </m:r>
                </m:oMath>
              </a14:m>
              <a:r>
                <a:rPr lang="en-US" sz="1100"/>
                <a:t> = </a:t>
              </a:r>
              <a:r>
                <a:rPr lang="en-US" sz="1400" i="1"/>
                <a:t>µ</a:t>
              </a:r>
              <a:r>
                <a:rPr lang="en-US" sz="1100" i="1"/>
                <a:t>s x N</a:t>
              </a:r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495301" y="3228976"/>
              <a:ext cx="900112" cy="280988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 b="0" i="0">
                  <a:latin typeface="+mn-lt"/>
                </a:rPr>
                <a:t>F</a:t>
              </a:r>
              <a:r>
                <a:rPr lang="en-US" sz="900" b="0" i="0">
                  <a:latin typeface="Cambria Math" panose="02040503050406030204" pitchFamily="18" charset="0"/>
                </a:rPr>
                <a:t>𝑓</a:t>
              </a:r>
              <a:r>
                <a:rPr lang="en-US" sz="1100"/>
                <a:t> = </a:t>
              </a:r>
              <a:r>
                <a:rPr lang="en-US" sz="1400" i="1"/>
                <a:t>µ</a:t>
              </a:r>
              <a:r>
                <a:rPr lang="en-US" sz="1100" i="1"/>
                <a:t>s x N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26.85546875" style="1" customWidth="1"/>
    <col min="2" max="2" width="14.140625" style="89" customWidth="1"/>
    <col min="3" max="3" width="11.140625" style="6" customWidth="1"/>
    <col min="4" max="4" width="8.85546875" style="1"/>
    <col min="5" max="5" width="11.5703125" style="1" bestFit="1" customWidth="1"/>
    <col min="6" max="6" width="8.85546875" style="1"/>
    <col min="7" max="7" width="13.5703125" style="1" customWidth="1"/>
    <col min="8" max="8" width="13.7109375" style="1" customWidth="1"/>
    <col min="9" max="9" width="27.42578125" style="1" customWidth="1"/>
    <col min="10" max="10" width="21" style="1" customWidth="1"/>
    <col min="11" max="16384" width="8.85546875" style="1"/>
  </cols>
  <sheetData>
    <row r="1" spans="1:11" ht="18.75" x14ac:dyDescent="0.3">
      <c r="A1" s="293" t="s">
        <v>24</v>
      </c>
      <c r="B1" s="293"/>
      <c r="C1" s="293"/>
      <c r="D1" s="293"/>
      <c r="E1" s="293"/>
    </row>
    <row r="2" spans="1:11" ht="45" x14ac:dyDescent="0.25">
      <c r="B2" s="89" t="s">
        <v>8</v>
      </c>
      <c r="C2" s="6" t="s">
        <v>26</v>
      </c>
      <c r="D2" s="1" t="s">
        <v>5</v>
      </c>
      <c r="E2" s="1" t="s">
        <v>0</v>
      </c>
      <c r="F2" s="1" t="s">
        <v>6</v>
      </c>
      <c r="G2" s="1" t="s">
        <v>25</v>
      </c>
      <c r="H2" s="1" t="s">
        <v>9</v>
      </c>
    </row>
    <row r="3" spans="1:11" x14ac:dyDescent="0.25">
      <c r="A3" s="1" t="s">
        <v>2</v>
      </c>
      <c r="B3" s="89">
        <v>7.72</v>
      </c>
      <c r="C3" s="6">
        <f>(E3-B3)/2</f>
        <v>0.47500000000000009</v>
      </c>
      <c r="D3" s="1">
        <f>B3*25.4</f>
        <v>196.08799999999999</v>
      </c>
      <c r="E3" s="1">
        <v>8.67</v>
      </c>
      <c r="F3" s="1">
        <f t="shared" ref="F3:F10" si="0">E3*25.4</f>
        <v>220.21799999999999</v>
      </c>
      <c r="G3" s="1">
        <v>20</v>
      </c>
    </row>
    <row r="4" spans="1:11" x14ac:dyDescent="0.25">
      <c r="A4" s="1" t="s">
        <v>1</v>
      </c>
      <c r="B4" s="89">
        <v>6.75</v>
      </c>
      <c r="C4" s="6">
        <f>(E4-B4)/2</f>
        <v>0.5</v>
      </c>
      <c r="D4" s="1">
        <f>B4*25.4</f>
        <v>171.45</v>
      </c>
      <c r="E4" s="1">
        <v>7.75</v>
      </c>
      <c r="F4" s="1">
        <f t="shared" si="0"/>
        <v>196.85</v>
      </c>
      <c r="G4" s="1">
        <v>19</v>
      </c>
      <c r="H4" s="1">
        <f>G4*25.4</f>
        <v>482.59999999999997</v>
      </c>
    </row>
    <row r="5" spans="1:11" ht="30" x14ac:dyDescent="0.25">
      <c r="A5" s="1" t="s">
        <v>3</v>
      </c>
      <c r="B5" s="89">
        <v>7.72</v>
      </c>
      <c r="D5" s="1">
        <f>B5*25.4</f>
        <v>196.08799999999999</v>
      </c>
      <c r="E5" s="1">
        <v>8.67</v>
      </c>
      <c r="F5" s="1">
        <f t="shared" si="0"/>
        <v>220.21799999999999</v>
      </c>
      <c r="G5" s="1">
        <v>19</v>
      </c>
    </row>
    <row r="6" spans="1:11" ht="30" x14ac:dyDescent="0.25">
      <c r="A6" s="1" t="s">
        <v>4</v>
      </c>
      <c r="B6" s="89">
        <v>6.75</v>
      </c>
      <c r="D6" s="1">
        <f>B6*25.4</f>
        <v>171.45</v>
      </c>
      <c r="E6" s="1">
        <v>7.75</v>
      </c>
      <c r="F6" s="1">
        <f t="shared" si="0"/>
        <v>196.85</v>
      </c>
      <c r="G6" s="1">
        <v>19</v>
      </c>
    </row>
    <row r="7" spans="1:11" ht="30" x14ac:dyDescent="0.25">
      <c r="A7" s="1" t="s">
        <v>10</v>
      </c>
      <c r="B7" s="89">
        <f>D7/25.4</f>
        <v>7.0866141732283472</v>
      </c>
      <c r="D7" s="1">
        <v>180</v>
      </c>
      <c r="E7" s="1">
        <v>8</v>
      </c>
      <c r="F7" s="1">
        <f t="shared" si="0"/>
        <v>203.2</v>
      </c>
      <c r="G7" s="4">
        <f>H7/25.4</f>
        <v>17.204724409448819</v>
      </c>
      <c r="H7" s="1">
        <v>437</v>
      </c>
      <c r="I7" s="1" t="s">
        <v>30</v>
      </c>
    </row>
    <row r="8" spans="1:11" ht="60" x14ac:dyDescent="0.25">
      <c r="A8" s="1" t="s">
        <v>10</v>
      </c>
      <c r="B8" s="89">
        <f>D8/25.4</f>
        <v>7.0866141732283472</v>
      </c>
      <c r="D8" s="1">
        <v>180</v>
      </c>
      <c r="E8" s="1">
        <v>8</v>
      </c>
      <c r="F8" s="1">
        <f t="shared" si="0"/>
        <v>203.2</v>
      </c>
      <c r="G8" s="4">
        <f>H8/25.4</f>
        <v>17.204724409448819</v>
      </c>
      <c r="H8" s="1">
        <v>437</v>
      </c>
      <c r="I8" s="1" t="s">
        <v>31</v>
      </c>
    </row>
    <row r="9" spans="1:11" ht="45" x14ac:dyDescent="0.25">
      <c r="A9" s="1" t="s">
        <v>10</v>
      </c>
      <c r="B9" s="89">
        <f>D9/25.4</f>
        <v>7.0866141732283472</v>
      </c>
      <c r="D9" s="1">
        <v>180</v>
      </c>
      <c r="E9" s="1">
        <v>8</v>
      </c>
      <c r="F9" s="1">
        <f t="shared" si="0"/>
        <v>203.2</v>
      </c>
      <c r="G9" s="4">
        <f>H9/25.4</f>
        <v>17.64173228346457</v>
      </c>
      <c r="H9" s="1">
        <f>437+I20</f>
        <v>448.1</v>
      </c>
      <c r="I9" s="1" t="s">
        <v>32</v>
      </c>
    </row>
    <row r="10" spans="1:11" ht="30" x14ac:dyDescent="0.25">
      <c r="A10" s="1" t="s">
        <v>10</v>
      </c>
      <c r="B10" s="89">
        <f>D10/25.4</f>
        <v>7.0866141732283472</v>
      </c>
      <c r="D10" s="1">
        <v>180</v>
      </c>
      <c r="E10" s="1">
        <v>8</v>
      </c>
      <c r="F10" s="1">
        <f t="shared" si="0"/>
        <v>203.2</v>
      </c>
      <c r="G10" s="4">
        <f>H10/25.4</f>
        <v>19.015748031496063</v>
      </c>
      <c r="H10" s="1">
        <v>483</v>
      </c>
      <c r="I10" s="1" t="s">
        <v>11</v>
      </c>
    </row>
    <row r="15" spans="1:11" x14ac:dyDescent="0.25">
      <c r="A15" s="1" t="s">
        <v>12</v>
      </c>
    </row>
    <row r="16" spans="1:11" x14ac:dyDescent="0.25">
      <c r="I16" s="1" t="s">
        <v>16</v>
      </c>
      <c r="J16" s="1" t="s">
        <v>19</v>
      </c>
      <c r="K16" s="1" t="s">
        <v>20</v>
      </c>
    </row>
    <row r="17" spans="1:11" x14ac:dyDescent="0.25">
      <c r="A17" s="1" t="s">
        <v>13</v>
      </c>
      <c r="F17" s="1">
        <v>95</v>
      </c>
      <c r="H17" s="1">
        <v>238.5</v>
      </c>
      <c r="J17" s="1" t="s">
        <v>18</v>
      </c>
      <c r="K17" s="1" t="s">
        <v>22</v>
      </c>
    </row>
    <row r="18" spans="1:11" x14ac:dyDescent="0.25">
      <c r="A18" s="1" t="s">
        <v>14</v>
      </c>
      <c r="H18" s="1">
        <v>253</v>
      </c>
      <c r="I18" s="1">
        <f>H18-$H$17</f>
        <v>14.5</v>
      </c>
      <c r="J18" s="1" t="s">
        <v>18</v>
      </c>
      <c r="K18" s="1" t="s">
        <v>21</v>
      </c>
    </row>
    <row r="19" spans="1:11" x14ac:dyDescent="0.25">
      <c r="A19" s="1" t="s">
        <v>15</v>
      </c>
      <c r="H19" s="1">
        <v>247.8</v>
      </c>
      <c r="I19" s="1">
        <f>H19-$H$17</f>
        <v>9.3000000000000114</v>
      </c>
      <c r="J19" s="1" t="s">
        <v>17</v>
      </c>
      <c r="K19" s="1" t="s">
        <v>23</v>
      </c>
    </row>
    <row r="20" spans="1:11" x14ac:dyDescent="0.25">
      <c r="A20" s="1" t="s">
        <v>27</v>
      </c>
      <c r="H20" s="1">
        <v>249.6</v>
      </c>
      <c r="I20" s="1">
        <f>H20-$H$17</f>
        <v>11.099999999999994</v>
      </c>
      <c r="J20" s="1" t="s">
        <v>28</v>
      </c>
      <c r="K20" s="1" t="s">
        <v>29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3"/>
  <sheetViews>
    <sheetView topLeftCell="A46" zoomScale="75" zoomScaleNormal="75" workbookViewId="0">
      <selection activeCell="A20" sqref="A20:C20"/>
    </sheetView>
  </sheetViews>
  <sheetFormatPr defaultColWidth="8.85546875" defaultRowHeight="15" x14ac:dyDescent="0.25"/>
  <cols>
    <col min="1" max="1" width="36.85546875" style="1" customWidth="1"/>
    <col min="2" max="2" width="10.140625" style="1" customWidth="1"/>
    <col min="3" max="3" width="10.85546875" style="1" customWidth="1"/>
    <col min="4" max="4" width="10.5703125" style="1" customWidth="1"/>
    <col min="5" max="6" width="8.85546875" style="1"/>
    <col min="7" max="7" width="10.140625" style="1" customWidth="1"/>
    <col min="8" max="8" width="8.85546875" style="1"/>
    <col min="9" max="9" width="39.42578125" style="1" customWidth="1"/>
    <col min="10" max="10" width="12" style="1" bestFit="1" customWidth="1"/>
    <col min="11" max="11" width="8.85546875" style="1"/>
    <col min="12" max="12" width="18.28515625" style="1" bestFit="1" customWidth="1"/>
    <col min="13" max="17" width="8.85546875" style="1"/>
    <col min="18" max="18" width="24.42578125" style="1" customWidth="1"/>
    <col min="19" max="19" width="13.140625" style="1" customWidth="1"/>
    <col min="20" max="22" width="8.85546875" style="1"/>
    <col min="23" max="23" width="15.140625" style="1" customWidth="1"/>
    <col min="24" max="16384" width="8.85546875" style="1"/>
  </cols>
  <sheetData>
    <row r="1" spans="1:7" x14ac:dyDescent="0.25">
      <c r="A1" s="2" t="s">
        <v>33</v>
      </c>
    </row>
    <row r="2" spans="1:7" x14ac:dyDescent="0.25">
      <c r="A2" s="2" t="s">
        <v>34</v>
      </c>
      <c r="C2" s="1" t="s">
        <v>40</v>
      </c>
      <c r="E2" s="1" t="s">
        <v>40</v>
      </c>
      <c r="G2" s="1" t="s">
        <v>40</v>
      </c>
    </row>
    <row r="3" spans="1:7" x14ac:dyDescent="0.25">
      <c r="A3" s="1" t="s">
        <v>35</v>
      </c>
      <c r="B3" s="7">
        <v>180</v>
      </c>
      <c r="C3" s="1" t="s">
        <v>43</v>
      </c>
      <c r="D3" s="8">
        <f>B3/10</f>
        <v>18</v>
      </c>
      <c r="E3" s="1" t="s">
        <v>44</v>
      </c>
      <c r="F3" s="8">
        <f>D3/2.54</f>
        <v>7.0866141732283463</v>
      </c>
      <c r="G3" s="1" t="s">
        <v>49</v>
      </c>
    </row>
    <row r="4" spans="1:7" x14ac:dyDescent="0.25">
      <c r="A4" s="1" t="s">
        <v>36</v>
      </c>
      <c r="B4" s="7">
        <v>203.2</v>
      </c>
      <c r="C4" s="1" t="s">
        <v>43</v>
      </c>
      <c r="D4" s="8">
        <f>B4/10</f>
        <v>20.32</v>
      </c>
      <c r="E4" s="1" t="s">
        <v>44</v>
      </c>
      <c r="F4" s="8">
        <f>D4/2.54</f>
        <v>8</v>
      </c>
      <c r="G4" s="1" t="s">
        <v>49</v>
      </c>
    </row>
    <row r="5" spans="1:7" x14ac:dyDescent="0.25">
      <c r="A5" s="1" t="s">
        <v>37</v>
      </c>
      <c r="B5" s="7">
        <v>437</v>
      </c>
      <c r="C5" s="1" t="s">
        <v>43</v>
      </c>
      <c r="D5" s="8">
        <f>B5/10</f>
        <v>43.7</v>
      </c>
      <c r="E5" s="1" t="s">
        <v>44</v>
      </c>
      <c r="F5" s="8">
        <f>D5/2.54</f>
        <v>17.204724409448819</v>
      </c>
      <c r="G5" s="1" t="s">
        <v>49</v>
      </c>
    </row>
    <row r="6" spans="1:7" s="87" customFormat="1" ht="30" x14ac:dyDescent="0.25">
      <c r="A6" s="87" t="s">
        <v>245</v>
      </c>
      <c r="B6" s="97">
        <f>F6*25.4</f>
        <v>392.93799999999999</v>
      </c>
      <c r="C6" s="87" t="s">
        <v>43</v>
      </c>
      <c r="D6" s="97">
        <f>F6*2.54</f>
        <v>39.293800000000005</v>
      </c>
      <c r="E6" s="87" t="s">
        <v>44</v>
      </c>
      <c r="F6" s="7">
        <v>15.47</v>
      </c>
      <c r="G6" s="87" t="s">
        <v>49</v>
      </c>
    </row>
    <row r="7" spans="1:7" ht="30" x14ac:dyDescent="0.25">
      <c r="A7" s="1" t="s">
        <v>246</v>
      </c>
      <c r="B7" s="97">
        <f>F7*25.4</f>
        <v>392.93799999999999</v>
      </c>
      <c r="C7" s="1" t="s">
        <v>43</v>
      </c>
      <c r="D7" s="97">
        <f>F7*2.54</f>
        <v>39.293800000000005</v>
      </c>
      <c r="E7" s="87" t="s">
        <v>44</v>
      </c>
      <c r="F7" s="7">
        <v>15.47</v>
      </c>
      <c r="G7" s="87" t="s">
        <v>49</v>
      </c>
    </row>
    <row r="8" spans="1:7" s="87" customFormat="1" x14ac:dyDescent="0.25">
      <c r="B8" s="9"/>
      <c r="F8" s="10"/>
    </row>
    <row r="9" spans="1:7" x14ac:dyDescent="0.25">
      <c r="C9" s="1" t="s">
        <v>40</v>
      </c>
      <c r="E9" s="1" t="s">
        <v>40</v>
      </c>
    </row>
    <row r="10" spans="1:7" x14ac:dyDescent="0.25">
      <c r="A10" s="1" t="s">
        <v>38</v>
      </c>
      <c r="B10" s="7">
        <v>25</v>
      </c>
      <c r="C10" s="1" t="s">
        <v>55</v>
      </c>
      <c r="D10" s="8">
        <f>(B10*(9/5))+32</f>
        <v>77</v>
      </c>
      <c r="E10" s="1" t="s">
        <v>54</v>
      </c>
    </row>
    <row r="11" spans="1:7" x14ac:dyDescent="0.25">
      <c r="A11" s="1" t="s">
        <v>48</v>
      </c>
      <c r="B11" s="7">
        <v>0</v>
      </c>
      <c r="C11" s="1" t="s">
        <v>55</v>
      </c>
      <c r="D11" s="8">
        <f t="shared" ref="D11:D16" si="0">(B11*(9/5))+32</f>
        <v>32</v>
      </c>
      <c r="E11" s="1" t="s">
        <v>54</v>
      </c>
    </row>
    <row r="12" spans="1:7" x14ac:dyDescent="0.25">
      <c r="A12" s="1" t="s">
        <v>39</v>
      </c>
      <c r="B12" s="7">
        <v>45</v>
      </c>
      <c r="C12" s="1" t="s">
        <v>55</v>
      </c>
      <c r="D12" s="8">
        <f t="shared" si="0"/>
        <v>113</v>
      </c>
      <c r="E12" s="1" t="s">
        <v>54</v>
      </c>
    </row>
    <row r="13" spans="1:7" x14ac:dyDescent="0.25">
      <c r="A13" s="1" t="s">
        <v>51</v>
      </c>
      <c r="B13" s="7">
        <v>13</v>
      </c>
      <c r="C13" s="1" t="s">
        <v>55</v>
      </c>
      <c r="D13" s="8">
        <f t="shared" si="0"/>
        <v>55.400000000000006</v>
      </c>
      <c r="E13" s="1" t="s">
        <v>54</v>
      </c>
    </row>
    <row r="14" spans="1:7" x14ac:dyDescent="0.25">
      <c r="A14" s="1" t="s">
        <v>50</v>
      </c>
      <c r="B14" s="7">
        <v>30</v>
      </c>
      <c r="C14" s="1" t="s">
        <v>55</v>
      </c>
      <c r="D14" s="8">
        <f t="shared" si="0"/>
        <v>86</v>
      </c>
      <c r="E14" s="1" t="s">
        <v>54</v>
      </c>
    </row>
    <row r="15" spans="1:7" x14ac:dyDescent="0.25">
      <c r="A15" s="1" t="s">
        <v>52</v>
      </c>
      <c r="B15" s="7">
        <v>5</v>
      </c>
      <c r="C15" s="1" t="s">
        <v>55</v>
      </c>
      <c r="D15" s="8">
        <f t="shared" si="0"/>
        <v>41</v>
      </c>
      <c r="E15" s="1" t="s">
        <v>54</v>
      </c>
    </row>
    <row r="16" spans="1:7" x14ac:dyDescent="0.25">
      <c r="A16" s="1" t="s">
        <v>53</v>
      </c>
      <c r="B16" s="7">
        <v>20</v>
      </c>
      <c r="C16" s="1" t="s">
        <v>55</v>
      </c>
      <c r="D16" s="8">
        <f t="shared" si="0"/>
        <v>68</v>
      </c>
      <c r="E16" s="1" t="s">
        <v>54</v>
      </c>
    </row>
    <row r="18" spans="1:18" x14ac:dyDescent="0.25">
      <c r="A18" s="2" t="s">
        <v>41</v>
      </c>
    </row>
    <row r="19" spans="1:18" x14ac:dyDescent="0.25">
      <c r="A19" s="1" t="s">
        <v>45</v>
      </c>
    </row>
    <row r="20" spans="1:18" x14ac:dyDescent="0.25">
      <c r="A20" s="1" t="s">
        <v>42</v>
      </c>
      <c r="B20" s="11">
        <v>2.3799999999999999E-5</v>
      </c>
      <c r="C20" s="1" t="s">
        <v>56</v>
      </c>
      <c r="D20" s="11">
        <v>1.31E-5</v>
      </c>
      <c r="E20" s="1" t="s">
        <v>46</v>
      </c>
    </row>
    <row r="21" spans="1:18" ht="15.75" thickBot="1" x14ac:dyDescent="0.3">
      <c r="A21" s="1" t="s">
        <v>47</v>
      </c>
      <c r="B21" s="11">
        <v>8.6000000000000007E-6</v>
      </c>
      <c r="C21" s="1" t="s">
        <v>56</v>
      </c>
      <c r="D21" s="85">
        <v>4.7999999999999998E-6</v>
      </c>
      <c r="E21" s="1" t="s">
        <v>46</v>
      </c>
    </row>
    <row r="22" spans="1:18" s="49" customFormat="1" ht="30" x14ac:dyDescent="0.25">
      <c r="A22" s="49" t="s">
        <v>234</v>
      </c>
      <c r="B22" s="95">
        <v>-0.17799999999999999</v>
      </c>
      <c r="C22" s="87" t="s">
        <v>43</v>
      </c>
      <c r="D22" s="95">
        <f>B22/25.4</f>
        <v>-7.0078740157480312E-3</v>
      </c>
      <c r="E22" s="49" t="s">
        <v>49</v>
      </c>
      <c r="F22" s="294" t="s">
        <v>228</v>
      </c>
      <c r="G22" s="294"/>
      <c r="H22" s="294"/>
    </row>
    <row r="23" spans="1:18" s="87" customFormat="1" ht="45" x14ac:dyDescent="0.25">
      <c r="A23" s="87" t="s">
        <v>241</v>
      </c>
      <c r="B23" s="97">
        <f>D23*25.4</f>
        <v>1.3589</v>
      </c>
      <c r="C23" s="87" t="s">
        <v>43</v>
      </c>
      <c r="D23" s="96">
        <v>5.3499999999999999E-2</v>
      </c>
      <c r="E23" s="87" t="s">
        <v>49</v>
      </c>
      <c r="F23" s="294" t="s">
        <v>242</v>
      </c>
      <c r="G23" s="294"/>
      <c r="H23" s="294"/>
    </row>
    <row r="25" spans="1:18" x14ac:dyDescent="0.25">
      <c r="A25" s="295" t="s">
        <v>57</v>
      </c>
      <c r="B25" s="295"/>
      <c r="C25" s="295"/>
      <c r="D25" s="295"/>
      <c r="E25" s="295"/>
      <c r="F25" s="295"/>
      <c r="G25" s="295"/>
      <c r="H25" s="295"/>
      <c r="I25" s="295"/>
      <c r="J25" s="295" t="s">
        <v>232</v>
      </c>
      <c r="K25" s="295"/>
      <c r="L25" s="295"/>
      <c r="M25" s="295"/>
      <c r="N25" s="295"/>
      <c r="O25" s="295"/>
      <c r="P25" s="295"/>
      <c r="Q25" s="295"/>
      <c r="R25" s="295"/>
    </row>
    <row r="26" spans="1:18" x14ac:dyDescent="0.25">
      <c r="C26" s="1" t="s">
        <v>40</v>
      </c>
      <c r="E26" s="1" t="s">
        <v>40</v>
      </c>
    </row>
    <row r="27" spans="1:18" x14ac:dyDescent="0.25">
      <c r="A27" s="1" t="s">
        <v>58</v>
      </c>
      <c r="D27" s="12">
        <v>18.5</v>
      </c>
      <c r="E27" s="1" t="s">
        <v>49</v>
      </c>
    </row>
    <row r="28" spans="1:18" ht="30" x14ac:dyDescent="0.25">
      <c r="A28" s="1" t="s">
        <v>59</v>
      </c>
      <c r="D28" s="12">
        <v>8.6999999999999993</v>
      </c>
      <c r="E28" s="1" t="s">
        <v>49</v>
      </c>
      <c r="I28" s="1" t="s">
        <v>236</v>
      </c>
      <c r="L28" s="12">
        <v>9.8810000000000002</v>
      </c>
      <c r="M28" s="49" t="s">
        <v>49</v>
      </c>
    </row>
    <row r="29" spans="1:18" x14ac:dyDescent="0.25">
      <c r="A29" s="1" t="s">
        <v>60</v>
      </c>
      <c r="D29" s="12">
        <v>9.4220000000000006</v>
      </c>
      <c r="E29" s="1" t="s">
        <v>49</v>
      </c>
      <c r="I29" s="49" t="s">
        <v>60</v>
      </c>
      <c r="L29" s="8">
        <f>D29</f>
        <v>9.4220000000000006</v>
      </c>
      <c r="M29" s="1" t="s">
        <v>49</v>
      </c>
    </row>
    <row r="31" spans="1:18" ht="30" x14ac:dyDescent="0.25">
      <c r="A31" s="1" t="s">
        <v>64</v>
      </c>
      <c r="B31" s="13">
        <f>25.4*D31</f>
        <v>0.27134614260000001</v>
      </c>
      <c r="C31" s="1" t="s">
        <v>43</v>
      </c>
      <c r="D31" s="8">
        <f>(D28+D29)*D20*(D12-D16)</f>
        <v>1.0682919000000001E-2</v>
      </c>
      <c r="E31" s="1" t="s">
        <v>49</v>
      </c>
      <c r="I31" s="1" t="s">
        <v>237</v>
      </c>
      <c r="J31" s="29">
        <f>25.4*L31</f>
        <v>0.1410784326</v>
      </c>
      <c r="K31" s="1" t="s">
        <v>43</v>
      </c>
      <c r="L31" s="12">
        <f>L29*D20*(D12-D16)</f>
        <v>5.5542690000000006E-3</v>
      </c>
      <c r="M31" s="1" t="s">
        <v>49</v>
      </c>
    </row>
    <row r="32" spans="1:18" x14ac:dyDescent="0.25">
      <c r="A32" s="1" t="s">
        <v>61</v>
      </c>
      <c r="B32" s="13">
        <f>25.4*D32</f>
        <v>4.0599359999999994E-2</v>
      </c>
      <c r="C32" s="1" t="s">
        <v>43</v>
      </c>
      <c r="D32" s="8">
        <f>D27*D21*(D14-D16)</f>
        <v>1.5983999999999998E-3</v>
      </c>
      <c r="E32" s="1" t="s">
        <v>49</v>
      </c>
      <c r="I32" s="294" t="s">
        <v>239</v>
      </c>
      <c r="J32" s="296">
        <f>25.4*L32</f>
        <v>0.1150731379</v>
      </c>
      <c r="K32" s="298" t="s">
        <v>43</v>
      </c>
      <c r="L32" s="297">
        <f>L28*D20*((D12-D16)-10)</f>
        <v>4.5304385000000001E-3</v>
      </c>
      <c r="M32" s="294" t="s">
        <v>49</v>
      </c>
    </row>
    <row r="33" spans="1:26" ht="30" x14ac:dyDescent="0.25">
      <c r="A33" s="2" t="s">
        <v>62</v>
      </c>
      <c r="B33" s="14">
        <f>B31-B32</f>
        <v>0.23074678260000001</v>
      </c>
      <c r="C33" s="1" t="s">
        <v>43</v>
      </c>
      <c r="D33" s="10"/>
      <c r="I33" s="294"/>
      <c r="J33" s="296"/>
      <c r="K33" s="298"/>
      <c r="L33" s="297"/>
      <c r="M33" s="294"/>
    </row>
    <row r="34" spans="1:26" ht="15.75" thickBot="1" x14ac:dyDescent="0.3">
      <c r="A34" s="2"/>
      <c r="B34" s="10"/>
      <c r="D34" s="10"/>
    </row>
    <row r="35" spans="1:26" ht="30.75" thickBot="1" x14ac:dyDescent="0.3">
      <c r="A35" s="1" t="s">
        <v>63</v>
      </c>
      <c r="B35" s="13">
        <f>25.4*D35</f>
        <v>-7.5976919927999959E-2</v>
      </c>
      <c r="C35" s="1" t="s">
        <v>43</v>
      </c>
      <c r="D35" s="8">
        <f>(D28+D29)*D20*(D13-D16)</f>
        <v>-2.9912173199999987E-3</v>
      </c>
      <c r="E35" s="1" t="s">
        <v>49</v>
      </c>
      <c r="I35" s="1" t="s">
        <v>238</v>
      </c>
      <c r="J35" s="84">
        <f>J32-J31</f>
        <v>-2.6005294700000001E-2</v>
      </c>
      <c r="K35" s="1" t="s">
        <v>43</v>
      </c>
    </row>
    <row r="36" spans="1:26" x14ac:dyDescent="0.25">
      <c r="A36" s="1" t="s">
        <v>65</v>
      </c>
      <c r="B36" s="13">
        <f>25.4*D36</f>
        <v>-6.0899039999999988E-2</v>
      </c>
      <c r="C36" s="1" t="s">
        <v>43</v>
      </c>
      <c r="D36" s="8">
        <f>D27*D21*(D15-D16)</f>
        <v>-2.3975999999999997E-3</v>
      </c>
      <c r="E36" s="1" t="s">
        <v>49</v>
      </c>
    </row>
    <row r="37" spans="1:26" ht="30" x14ac:dyDescent="0.25">
      <c r="A37" s="2" t="s">
        <v>68</v>
      </c>
      <c r="B37" s="14">
        <f>B35-B36</f>
        <v>-1.5077879927999971E-2</v>
      </c>
      <c r="C37" s="1" t="s">
        <v>43</v>
      </c>
    </row>
    <row r="38" spans="1:26" x14ac:dyDescent="0.25">
      <c r="J38" s="295" t="s">
        <v>301</v>
      </c>
      <c r="K38" s="295"/>
      <c r="L38" s="295"/>
      <c r="M38" s="295"/>
      <c r="N38" s="295"/>
      <c r="O38" s="295"/>
      <c r="P38" s="295"/>
      <c r="Q38" s="295"/>
      <c r="R38" s="295"/>
      <c r="S38" s="294"/>
      <c r="T38" s="294"/>
      <c r="U38" s="294"/>
    </row>
    <row r="39" spans="1:26" x14ac:dyDescent="0.25">
      <c r="A39" s="1" t="s">
        <v>66</v>
      </c>
      <c r="B39" s="14">
        <f>B33+(ABS(B37))/2</f>
        <v>0.23828572256399999</v>
      </c>
      <c r="C39" s="1" t="s">
        <v>43</v>
      </c>
      <c r="D39" s="295" t="s">
        <v>69</v>
      </c>
      <c r="E39" s="295"/>
    </row>
    <row r="40" spans="1:26" ht="45.75" thickBot="1" x14ac:dyDescent="0.3">
      <c r="I40" s="1" t="s">
        <v>291</v>
      </c>
      <c r="S40" s="294" t="s">
        <v>292</v>
      </c>
      <c r="T40" s="294"/>
      <c r="U40" s="294"/>
      <c r="V40" s="120"/>
    </row>
    <row r="41" spans="1:26" s="49" customFormat="1" ht="60.75" thickBot="1" x14ac:dyDescent="0.3">
      <c r="A41" s="49" t="s">
        <v>233</v>
      </c>
      <c r="B41" s="30">
        <f>(B31-B36)</f>
        <v>0.33224518260000002</v>
      </c>
      <c r="C41" s="49" t="s">
        <v>43</v>
      </c>
      <c r="I41" s="49" t="s">
        <v>247</v>
      </c>
      <c r="J41" s="98">
        <f>(-D6*B21*(B16-B11))*10</f>
        <v>-6.758533600000001E-2</v>
      </c>
      <c r="K41" s="49" t="s">
        <v>43</v>
      </c>
      <c r="L41" s="98">
        <f>J41/25.4</f>
        <v>-2.6608400000000007E-3</v>
      </c>
      <c r="M41" s="49" t="s">
        <v>49</v>
      </c>
      <c r="N41" s="294" t="s">
        <v>250</v>
      </c>
      <c r="O41" s="294"/>
      <c r="P41" s="294"/>
      <c r="Q41" s="294"/>
      <c r="R41" s="120" t="s">
        <v>293</v>
      </c>
      <c r="S41" s="98">
        <f>(-D6*B21*(B16-B12))*10</f>
        <v>8.4481670000000009E-2</v>
      </c>
      <c r="T41" s="120" t="s">
        <v>43</v>
      </c>
      <c r="U41" s="98">
        <f>S41/25.4</f>
        <v>3.3260500000000005E-3</v>
      </c>
      <c r="V41" s="120" t="s">
        <v>49</v>
      </c>
      <c r="W41" s="294" t="s">
        <v>294</v>
      </c>
      <c r="X41" s="294"/>
      <c r="Y41" s="294"/>
      <c r="Z41" s="294"/>
    </row>
    <row r="42" spans="1:26" s="49" customFormat="1" ht="45.75" thickBot="1" x14ac:dyDescent="0.3">
      <c r="A42" s="49" t="s">
        <v>235</v>
      </c>
      <c r="B42" s="30">
        <f>-(B41-D22)</f>
        <v>-0.33925305661574806</v>
      </c>
      <c r="C42" s="49" t="s">
        <v>43</v>
      </c>
      <c r="I42" s="49" t="s">
        <v>248</v>
      </c>
      <c r="J42" s="98">
        <f>(D7*(B12-B16)*B20)*10</f>
        <v>0.23379811000000003</v>
      </c>
      <c r="K42" s="49" t="s">
        <v>43</v>
      </c>
      <c r="L42" s="98">
        <f>J42/25.4</f>
        <v>9.2046500000000017E-3</v>
      </c>
      <c r="M42" s="87" t="s">
        <v>49</v>
      </c>
      <c r="N42" s="294" t="s">
        <v>250</v>
      </c>
      <c r="O42" s="294"/>
      <c r="P42" s="294"/>
      <c r="Q42" s="294"/>
      <c r="R42" s="120" t="s">
        <v>295</v>
      </c>
      <c r="S42" s="98">
        <f>(D7*(B11-B16)*B20)*10</f>
        <v>-0.18703848800000003</v>
      </c>
      <c r="T42" s="120" t="s">
        <v>43</v>
      </c>
      <c r="U42" s="98">
        <f>S42/25.4</f>
        <v>-7.3637200000000015E-3</v>
      </c>
      <c r="V42" s="120" t="s">
        <v>49</v>
      </c>
      <c r="W42" s="294" t="s">
        <v>294</v>
      </c>
      <c r="X42" s="294"/>
      <c r="Y42" s="294"/>
      <c r="Z42" s="294"/>
    </row>
    <row r="43" spans="1:26" s="49" customFormat="1" x14ac:dyDescent="0.25">
      <c r="I43" s="49" t="s">
        <v>249</v>
      </c>
      <c r="J43" s="99">
        <f>J42+ABS(J41)</f>
        <v>0.30138344600000005</v>
      </c>
      <c r="K43" s="49" t="s">
        <v>43</v>
      </c>
      <c r="L43" s="99">
        <f>J43/25.4</f>
        <v>1.1865490000000003E-2</v>
      </c>
      <c r="M43" s="87" t="s">
        <v>49</v>
      </c>
      <c r="N43" s="294" t="s">
        <v>250</v>
      </c>
      <c r="O43" s="294"/>
      <c r="P43" s="294"/>
      <c r="Q43" s="294"/>
      <c r="S43" s="99">
        <f>ABS(S42)+(S41)</f>
        <v>0.27152015800000007</v>
      </c>
      <c r="T43" s="120" t="s">
        <v>43</v>
      </c>
      <c r="U43" s="99">
        <f>S43/25.4</f>
        <v>1.0689770000000003E-2</v>
      </c>
      <c r="V43" s="120" t="s">
        <v>49</v>
      </c>
      <c r="W43" s="294" t="s">
        <v>294</v>
      </c>
      <c r="X43" s="294"/>
      <c r="Y43" s="294"/>
      <c r="Z43" s="294"/>
    </row>
    <row r="44" spans="1:26" s="49" customFormat="1" x14ac:dyDescent="0.25">
      <c r="S44" s="120"/>
      <c r="T44" s="120"/>
      <c r="U44" s="120"/>
      <c r="V44" s="120"/>
    </row>
    <row r="45" spans="1:26" x14ac:dyDescent="0.25">
      <c r="A45" s="295" t="s">
        <v>125</v>
      </c>
      <c r="B45" s="295"/>
      <c r="C45" s="295"/>
      <c r="D45" s="295"/>
      <c r="E45" s="295"/>
      <c r="F45" s="295"/>
      <c r="G45" s="295"/>
      <c r="H45" s="295"/>
      <c r="I45" s="295"/>
      <c r="S45" s="120"/>
      <c r="T45" s="120"/>
      <c r="U45" s="120"/>
      <c r="V45" s="120"/>
    </row>
    <row r="46" spans="1:26" ht="30" x14ac:dyDescent="0.25">
      <c r="A46" s="2"/>
      <c r="B46" s="2"/>
      <c r="C46" s="2"/>
      <c r="D46" s="2"/>
      <c r="E46" s="2"/>
      <c r="F46" s="2"/>
      <c r="G46" s="2"/>
      <c r="H46" s="2"/>
      <c r="I46" s="3" t="s">
        <v>251</v>
      </c>
      <c r="J46" s="97">
        <f>B23</f>
        <v>1.3589</v>
      </c>
      <c r="K46" s="1" t="s">
        <v>43</v>
      </c>
      <c r="L46" s="99">
        <f>J46/25.4</f>
        <v>5.3500000000000006E-2</v>
      </c>
      <c r="M46" s="87" t="s">
        <v>49</v>
      </c>
      <c r="N46" s="294" t="s">
        <v>252</v>
      </c>
      <c r="O46" s="294"/>
      <c r="P46" s="294"/>
      <c r="S46" s="97">
        <f>K23</f>
        <v>0</v>
      </c>
      <c r="T46" s="120" t="s">
        <v>43</v>
      </c>
      <c r="U46" s="99">
        <f>S46/25.4</f>
        <v>0</v>
      </c>
      <c r="V46" s="120" t="s">
        <v>49</v>
      </c>
      <c r="W46" s="294" t="s">
        <v>296</v>
      </c>
      <c r="X46" s="294"/>
      <c r="Y46" s="294"/>
      <c r="Z46" s="294"/>
    </row>
    <row r="47" spans="1:26" ht="30" x14ac:dyDescent="0.25">
      <c r="A47" s="3" t="s">
        <v>67</v>
      </c>
      <c r="B47" s="2"/>
      <c r="C47" s="2"/>
      <c r="D47" s="15">
        <v>7.056</v>
      </c>
      <c r="E47" s="3" t="s">
        <v>49</v>
      </c>
      <c r="F47" s="2"/>
      <c r="G47" s="3"/>
      <c r="H47" s="2"/>
      <c r="I47" s="2"/>
      <c r="S47" s="120"/>
      <c r="T47" s="120"/>
      <c r="U47" s="120"/>
      <c r="V47" s="120"/>
    </row>
    <row r="48" spans="1:26" ht="30" x14ac:dyDescent="0.25">
      <c r="A48" s="3" t="s">
        <v>160</v>
      </c>
      <c r="B48" s="21"/>
      <c r="C48" s="21"/>
      <c r="D48" s="15">
        <v>4.5</v>
      </c>
      <c r="E48" s="3" t="s">
        <v>49</v>
      </c>
      <c r="F48" s="21"/>
      <c r="G48" s="21"/>
      <c r="H48" s="21"/>
      <c r="I48" s="3" t="s">
        <v>253</v>
      </c>
      <c r="J48" s="97">
        <f>L48*25.4</f>
        <v>0.127</v>
      </c>
      <c r="K48" s="1" t="s">
        <v>43</v>
      </c>
      <c r="L48" s="88">
        <v>5.0000000000000001E-3</v>
      </c>
      <c r="M48" s="1" t="s">
        <v>49</v>
      </c>
      <c r="S48" s="97">
        <f>L48*25.4</f>
        <v>0.127</v>
      </c>
      <c r="T48" s="120" t="s">
        <v>43</v>
      </c>
      <c r="U48" s="122">
        <v>5.0000000000000001E-3</v>
      </c>
      <c r="V48" s="120" t="s">
        <v>49</v>
      </c>
    </row>
    <row r="49" spans="1:27" ht="45" x14ac:dyDescent="0.25">
      <c r="A49" s="3" t="s">
        <v>131</v>
      </c>
      <c r="B49" s="21"/>
      <c r="C49" s="21"/>
      <c r="D49" s="15">
        <v>1.746</v>
      </c>
      <c r="E49" s="3" t="s">
        <v>49</v>
      </c>
      <c r="F49" s="21"/>
      <c r="G49" s="21"/>
      <c r="H49" s="21"/>
      <c r="I49" s="3" t="s">
        <v>260</v>
      </c>
      <c r="J49" s="88">
        <v>8</v>
      </c>
      <c r="L49" s="99">
        <f>SQRT(J49*(L48^2))</f>
        <v>1.4142135623730951E-2</v>
      </c>
      <c r="M49" s="1" t="s">
        <v>49</v>
      </c>
      <c r="N49" s="294" t="s">
        <v>259</v>
      </c>
      <c r="O49" s="294"/>
      <c r="P49" s="294"/>
      <c r="Q49" s="294"/>
      <c r="R49" s="294"/>
      <c r="S49" s="122">
        <v>8</v>
      </c>
      <c r="T49" s="120"/>
      <c r="U49" s="99">
        <f>SQRT(S49*(U48^2))</f>
        <v>1.4142135623730951E-2</v>
      </c>
      <c r="V49" s="120" t="s">
        <v>49</v>
      </c>
    </row>
    <row r="50" spans="1:27" x14ac:dyDescent="0.25">
      <c r="A50" s="3"/>
      <c r="B50" s="21"/>
      <c r="C50" s="21"/>
      <c r="D50" s="28"/>
      <c r="E50" s="3"/>
      <c r="F50" s="21"/>
      <c r="G50" s="21"/>
      <c r="H50" s="21"/>
      <c r="I50" s="21"/>
    </row>
    <row r="51" spans="1:27" x14ac:dyDescent="0.25">
      <c r="A51" s="295" t="s">
        <v>226</v>
      </c>
      <c r="B51" s="294"/>
      <c r="C51" s="21"/>
      <c r="D51" s="28"/>
      <c r="E51" s="3"/>
      <c r="F51" s="21"/>
      <c r="G51" s="21"/>
      <c r="H51" s="21"/>
      <c r="I51" s="87"/>
      <c r="J51" s="87"/>
      <c r="K51" s="87"/>
      <c r="L51" s="87"/>
      <c r="M51" s="87"/>
      <c r="N51" s="299"/>
      <c r="O51" s="299"/>
      <c r="P51" s="299"/>
      <c r="Q51" s="299"/>
      <c r="R51" s="299"/>
      <c r="S51" s="299"/>
      <c r="T51" s="299"/>
      <c r="U51" s="87"/>
    </row>
    <row r="52" spans="1:27" ht="30" x14ac:dyDescent="0.25">
      <c r="A52" s="1" t="s">
        <v>126</v>
      </c>
      <c r="B52" s="13">
        <f>25.4*D52</f>
        <v>6.7379849999999991E-2</v>
      </c>
      <c r="C52" s="1" t="s">
        <v>43</v>
      </c>
      <c r="D52" s="31">
        <f>(D12-D16)*(D20*D48)</f>
        <v>2.6527499999999997E-3</v>
      </c>
      <c r="E52" s="1" t="s">
        <v>49</v>
      </c>
      <c r="J52" s="99">
        <f>L52*25.4</f>
        <v>2.0194936908427663</v>
      </c>
      <c r="K52" s="120" t="s">
        <v>43</v>
      </c>
      <c r="L52" s="99">
        <f>SUM(L43,L46,L49)</f>
        <v>7.9507625623730968E-2</v>
      </c>
      <c r="M52" s="120" t="s">
        <v>49</v>
      </c>
      <c r="N52" s="294" t="s">
        <v>254</v>
      </c>
      <c r="O52" s="294"/>
      <c r="P52" s="294"/>
      <c r="Q52" s="294"/>
      <c r="R52" s="294"/>
      <c r="S52" s="99">
        <f>U52*25.4</f>
        <v>0.63073040284276616</v>
      </c>
      <c r="T52" s="120" t="s">
        <v>43</v>
      </c>
      <c r="U52" s="99">
        <f>SUM(U43,U46,U49)</f>
        <v>2.4831905623730954E-2</v>
      </c>
      <c r="V52" s="120" t="s">
        <v>49</v>
      </c>
      <c r="W52" s="294" t="s">
        <v>297</v>
      </c>
      <c r="X52" s="294"/>
      <c r="Y52" s="294"/>
      <c r="Z52" s="294"/>
      <c r="AA52" s="294"/>
    </row>
    <row r="53" spans="1:27" ht="30.75" thickBot="1" x14ac:dyDescent="0.3">
      <c r="A53" s="1" t="s">
        <v>127</v>
      </c>
      <c r="B53" s="29">
        <f>25.4*D53</f>
        <v>-1.8866357999999989E-2</v>
      </c>
      <c r="C53" s="1" t="s">
        <v>43</v>
      </c>
      <c r="D53" s="31">
        <f>(D13-D16)*(D20*D48)</f>
        <v>-7.4276999999999959E-4</v>
      </c>
      <c r="E53" s="1" t="s">
        <v>49</v>
      </c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</row>
    <row r="54" spans="1:27" ht="15.75" thickBot="1" x14ac:dyDescent="0.3">
      <c r="A54" s="21" t="s">
        <v>66</v>
      </c>
      <c r="B54" s="30">
        <f>(B52+ABS(B53))/2</f>
        <v>4.3123103999999989E-2</v>
      </c>
      <c r="C54" s="1" t="s">
        <v>43</v>
      </c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</row>
    <row r="55" spans="1:27" x14ac:dyDescent="0.25">
      <c r="B55" s="295"/>
      <c r="C55" s="295"/>
      <c r="J55" s="99">
        <f>L55*25.4</f>
        <v>3.4620199999999999</v>
      </c>
      <c r="K55" s="120" t="s">
        <v>43</v>
      </c>
      <c r="L55" s="122">
        <v>0.1363</v>
      </c>
      <c r="M55" s="120" t="s">
        <v>49</v>
      </c>
      <c r="N55" s="294" t="s">
        <v>267</v>
      </c>
      <c r="O55" s="294"/>
      <c r="P55" s="294"/>
      <c r="Q55" s="294"/>
      <c r="R55" s="294"/>
      <c r="S55" s="99">
        <f>U55*25.4</f>
        <v>0</v>
      </c>
      <c r="T55" s="120" t="s">
        <v>43</v>
      </c>
      <c r="U55" s="122"/>
      <c r="V55" s="120"/>
      <c r="W55" s="294"/>
      <c r="X55" s="294"/>
      <c r="Y55" s="294"/>
      <c r="Z55" s="294"/>
      <c r="AA55" s="294"/>
    </row>
    <row r="56" spans="1:27" ht="30" x14ac:dyDescent="0.25">
      <c r="A56" s="76" t="s">
        <v>128</v>
      </c>
      <c r="J56" s="99">
        <f>L56*25.4</f>
        <v>4.3433999999999999</v>
      </c>
      <c r="K56" s="120" t="s">
        <v>43</v>
      </c>
      <c r="L56" s="122">
        <v>0.17100000000000001</v>
      </c>
      <c r="M56" s="120" t="s">
        <v>49</v>
      </c>
      <c r="N56" s="294" t="s">
        <v>268</v>
      </c>
      <c r="O56" s="294"/>
      <c r="P56" s="294"/>
      <c r="Q56" s="294"/>
      <c r="R56" s="294"/>
      <c r="S56" s="99">
        <f>U56*25.4</f>
        <v>0</v>
      </c>
      <c r="T56" s="120" t="s">
        <v>43</v>
      </c>
      <c r="U56" s="122"/>
      <c r="V56" s="120"/>
      <c r="W56" s="294"/>
      <c r="X56" s="294"/>
      <c r="Y56" s="294"/>
      <c r="Z56" s="294"/>
      <c r="AA56" s="294"/>
    </row>
    <row r="57" spans="1:27" s="101" customFormat="1" x14ac:dyDescent="0.25">
      <c r="A57" s="102"/>
      <c r="J57" s="99">
        <f>L57*25.4</f>
        <v>2.3875999999999999</v>
      </c>
      <c r="K57" s="120" t="s">
        <v>43</v>
      </c>
      <c r="L57" s="122">
        <v>9.4E-2</v>
      </c>
      <c r="M57" s="120" t="s">
        <v>49</v>
      </c>
      <c r="N57" s="294" t="s">
        <v>256</v>
      </c>
      <c r="O57" s="294"/>
      <c r="P57" s="294"/>
      <c r="Q57" s="294"/>
      <c r="R57" s="294"/>
      <c r="S57" s="99">
        <f>U57*25.4</f>
        <v>0</v>
      </c>
      <c r="T57" s="120" t="s">
        <v>43</v>
      </c>
      <c r="U57" s="122"/>
      <c r="V57" s="120"/>
      <c r="W57" s="294"/>
      <c r="X57" s="294"/>
      <c r="Y57" s="294"/>
      <c r="Z57" s="294"/>
      <c r="AA57" s="294"/>
    </row>
    <row r="58" spans="1:27" ht="30" x14ac:dyDescent="0.25">
      <c r="A58" s="1" t="s">
        <v>129</v>
      </c>
      <c r="B58" s="13">
        <f>25.4*D58</f>
        <v>3.8317017599999994E-3</v>
      </c>
      <c r="C58" s="1" t="s">
        <v>43</v>
      </c>
      <c r="D58" s="31">
        <f>(D14-D16)*(D21*D49)</f>
        <v>1.5085439999999999E-4</v>
      </c>
      <c r="J58" s="99">
        <f>L58*25.4</f>
        <v>3.8976299999999999</v>
      </c>
      <c r="K58" s="120" t="s">
        <v>43</v>
      </c>
      <c r="L58" s="122">
        <v>0.15345</v>
      </c>
      <c r="M58" s="120" t="s">
        <v>49</v>
      </c>
      <c r="N58" s="294" t="s">
        <v>255</v>
      </c>
      <c r="O58" s="294"/>
      <c r="P58" s="294"/>
      <c r="Q58" s="294"/>
      <c r="R58" s="294"/>
      <c r="S58" s="99">
        <f>U58*25.4</f>
        <v>0</v>
      </c>
      <c r="T58" s="120" t="s">
        <v>43</v>
      </c>
      <c r="U58" s="122"/>
      <c r="V58" s="120"/>
      <c r="W58" s="294"/>
      <c r="X58" s="294"/>
      <c r="Y58" s="294"/>
      <c r="Z58" s="294"/>
      <c r="AA58" s="294"/>
    </row>
    <row r="59" spans="1:27" ht="30.75" thickBot="1" x14ac:dyDescent="0.3">
      <c r="A59" s="1" t="s">
        <v>130</v>
      </c>
      <c r="B59" s="13">
        <f>25.4*D59</f>
        <v>-5.7475526399999996E-3</v>
      </c>
      <c r="C59" s="1" t="s">
        <v>43</v>
      </c>
      <c r="D59" s="31">
        <f>(D15-D16)*(D21*D49)</f>
        <v>-2.2628159999999999E-4</v>
      </c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</row>
    <row r="60" spans="1:27" ht="15.75" thickBot="1" x14ac:dyDescent="0.3">
      <c r="A60" s="21" t="s">
        <v>132</v>
      </c>
      <c r="B60" s="30">
        <f>(B58+ABS(B59))/2</f>
        <v>4.7896271999999995E-3</v>
      </c>
      <c r="C60" s="1" t="s">
        <v>43</v>
      </c>
      <c r="J60" s="99">
        <f>L60*25.4</f>
        <v>3.8099999999999996</v>
      </c>
      <c r="K60" s="120" t="s">
        <v>43</v>
      </c>
      <c r="L60" s="98">
        <v>0.15</v>
      </c>
      <c r="M60" s="120"/>
      <c r="N60" s="294" t="s">
        <v>298</v>
      </c>
      <c r="O60" s="294"/>
      <c r="P60" s="294"/>
      <c r="Q60" s="294"/>
      <c r="R60" s="294"/>
      <c r="S60" s="99">
        <f>U60*25.4</f>
        <v>1.27</v>
      </c>
      <c r="T60" s="120" t="s">
        <v>43</v>
      </c>
      <c r="U60" s="98">
        <v>0.05</v>
      </c>
      <c r="V60" s="120"/>
      <c r="W60" s="294" t="s">
        <v>270</v>
      </c>
      <c r="X60" s="294"/>
      <c r="Y60" s="294"/>
      <c r="Z60" s="294"/>
      <c r="AA60" s="294"/>
    </row>
    <row r="61" spans="1:27" x14ac:dyDescent="0.25"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</row>
    <row r="62" spans="1:27" x14ac:dyDescent="0.25">
      <c r="A62" s="1" t="s">
        <v>133</v>
      </c>
      <c r="B62" s="13">
        <f>B52-B58</f>
        <v>6.3548148239999991E-2</v>
      </c>
      <c r="C62" s="1" t="s">
        <v>43</v>
      </c>
      <c r="J62" s="120"/>
      <c r="K62" s="120"/>
      <c r="L62" s="103">
        <f>(L52/L60)</f>
        <v>0.53005083749153981</v>
      </c>
      <c r="M62" s="120"/>
      <c r="N62" s="294" t="s">
        <v>261</v>
      </c>
      <c r="O62" s="294"/>
      <c r="P62" s="294"/>
      <c r="Q62" s="294"/>
      <c r="R62" s="294"/>
      <c r="S62" s="120"/>
      <c r="T62" s="120"/>
      <c r="U62" s="103">
        <f>(U52/U60)</f>
        <v>0.49663811247461903</v>
      </c>
      <c r="V62" s="120"/>
      <c r="W62" s="294" t="s">
        <v>261</v>
      </c>
      <c r="X62" s="294"/>
      <c r="Y62" s="294"/>
      <c r="Z62" s="294"/>
      <c r="AA62" s="294"/>
    </row>
    <row r="63" spans="1:27" x14ac:dyDescent="0.25">
      <c r="A63" s="1" t="s">
        <v>134</v>
      </c>
      <c r="B63" s="13">
        <f>B53-B59</f>
        <v>-1.3118805359999989E-2</v>
      </c>
      <c r="C63" s="1" t="s">
        <v>43</v>
      </c>
      <c r="J63" s="120"/>
      <c r="K63" s="120"/>
      <c r="L63" s="124">
        <f>(L60/L52)-1</f>
        <v>0.88661148944220103</v>
      </c>
      <c r="M63" s="120"/>
      <c r="N63" s="294" t="s">
        <v>271</v>
      </c>
      <c r="O63" s="294"/>
      <c r="P63" s="294"/>
      <c r="Q63" s="294"/>
      <c r="R63" s="294"/>
      <c r="S63" s="120"/>
      <c r="T63" s="120"/>
      <c r="U63" s="124">
        <f>(U60/U52)-1</f>
        <v>1.0135385804711183</v>
      </c>
      <c r="V63" s="120"/>
      <c r="W63" s="294" t="s">
        <v>271</v>
      </c>
      <c r="X63" s="294"/>
      <c r="Y63" s="294"/>
      <c r="Z63" s="294"/>
      <c r="AA63" s="294"/>
    </row>
    <row r="64" spans="1:27" ht="30.75" thickBot="1" x14ac:dyDescent="0.3">
      <c r="A64" s="1" t="s">
        <v>135</v>
      </c>
      <c r="B64" s="32">
        <f>(B62+ABS(B63))/2</f>
        <v>3.8333476799999988E-2</v>
      </c>
      <c r="C64" s="1" t="s">
        <v>43</v>
      </c>
      <c r="I64" s="10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</row>
    <row r="65" spans="1:21" x14ac:dyDescent="0.25">
      <c r="I65" s="100"/>
      <c r="J65" s="87"/>
      <c r="L65" s="119"/>
    </row>
    <row r="66" spans="1:21" ht="15.75" thickBot="1" x14ac:dyDescent="0.3">
      <c r="A66" s="295" t="s">
        <v>227</v>
      </c>
      <c r="B66" s="295"/>
      <c r="I66" s="100"/>
    </row>
    <row r="67" spans="1:21" ht="15.75" thickBot="1" x14ac:dyDescent="0.3">
      <c r="A67" s="49" t="s">
        <v>231</v>
      </c>
      <c r="B67" s="30">
        <f>B52+ABS(B59)</f>
        <v>7.3127402639999992E-2</v>
      </c>
      <c r="C67" s="1" t="s">
        <v>43</v>
      </c>
      <c r="I67" s="100"/>
      <c r="J67" s="87"/>
      <c r="L67" s="87"/>
    </row>
    <row r="68" spans="1:21" ht="30.75" thickBot="1" x14ac:dyDescent="0.3">
      <c r="A68" s="1" t="s">
        <v>229</v>
      </c>
      <c r="B68" s="30">
        <f>D22</f>
        <v>-7.0078740157480312E-3</v>
      </c>
      <c r="C68" s="1" t="s">
        <v>43</v>
      </c>
      <c r="I68" s="100"/>
      <c r="J68" s="295" t="s">
        <v>302</v>
      </c>
      <c r="K68" s="295"/>
      <c r="L68" s="295"/>
      <c r="M68" s="295"/>
      <c r="N68" s="295"/>
      <c r="O68" s="295"/>
      <c r="P68" s="295"/>
      <c r="Q68" s="295"/>
      <c r="R68" s="295"/>
      <c r="S68" s="294"/>
      <c r="T68" s="294"/>
      <c r="U68" s="294"/>
    </row>
    <row r="69" spans="1:21" ht="30.75" thickBot="1" x14ac:dyDescent="0.3">
      <c r="A69" s="1" t="s">
        <v>230</v>
      </c>
      <c r="B69" s="83">
        <f>-(B67-B68)</f>
        <v>-8.0135276655748017E-2</v>
      </c>
      <c r="C69" s="1" t="s">
        <v>43</v>
      </c>
      <c r="I69" s="100"/>
      <c r="J69" s="87"/>
      <c r="L69" s="87"/>
    </row>
    <row r="70" spans="1:21" x14ac:dyDescent="0.25">
      <c r="I70" s="100" t="s">
        <v>300</v>
      </c>
      <c r="J70" s="87">
        <v>1.5</v>
      </c>
      <c r="K70" s="1" t="s">
        <v>43</v>
      </c>
      <c r="L70" s="242">
        <f>J70/25.4</f>
        <v>5.9055118110236227E-2</v>
      </c>
      <c r="M70" s="131" t="s">
        <v>49</v>
      </c>
    </row>
    <row r="71" spans="1:21" x14ac:dyDescent="0.25">
      <c r="I71" s="3" t="s">
        <v>253</v>
      </c>
      <c r="J71" s="97">
        <f>L71*25.4</f>
        <v>0.127</v>
      </c>
      <c r="K71" s="131" t="s">
        <v>43</v>
      </c>
      <c r="L71" s="132">
        <v>5.0000000000000001E-3</v>
      </c>
      <c r="M71" s="131" t="s">
        <v>49</v>
      </c>
    </row>
    <row r="72" spans="1:21" ht="45" x14ac:dyDescent="0.25">
      <c r="I72" s="3" t="s">
        <v>260</v>
      </c>
      <c r="J72" s="132">
        <v>8</v>
      </c>
      <c r="K72" s="131"/>
      <c r="L72" s="99">
        <f>SQRT(J72*(L71^2))</f>
        <v>1.4142135623730951E-2</v>
      </c>
      <c r="M72" s="131" t="s">
        <v>49</v>
      </c>
      <c r="N72" s="294" t="s">
        <v>259</v>
      </c>
      <c r="O72" s="294"/>
      <c r="P72" s="294"/>
      <c r="Q72" s="294"/>
      <c r="R72" s="294"/>
    </row>
    <row r="74" spans="1:21" x14ac:dyDescent="0.25">
      <c r="I74" s="1" t="s">
        <v>304</v>
      </c>
      <c r="J74" s="242">
        <f>L74*25.4</f>
        <v>1.8592102448427663</v>
      </c>
      <c r="K74" s="1" t="s">
        <v>43</v>
      </c>
      <c r="L74" s="243">
        <f>SUM(L70+L72)</f>
        <v>7.3197253733967182E-2</v>
      </c>
      <c r="M74" s="131" t="s">
        <v>49</v>
      </c>
    </row>
    <row r="75" spans="1:21" ht="45" x14ac:dyDescent="0.25">
      <c r="I75" s="1" t="s">
        <v>306</v>
      </c>
    </row>
    <row r="77" spans="1:21" x14ac:dyDescent="0.25">
      <c r="J77" s="295" t="s">
        <v>303</v>
      </c>
      <c r="K77" s="295"/>
      <c r="L77" s="295"/>
      <c r="M77" s="295"/>
      <c r="N77" s="295"/>
      <c r="O77" s="295"/>
      <c r="P77" s="295"/>
      <c r="Q77" s="295"/>
      <c r="R77" s="295"/>
      <c r="S77" s="294"/>
      <c r="T77" s="294"/>
      <c r="U77" s="294"/>
    </row>
    <row r="79" spans="1:21" x14ac:dyDescent="0.25">
      <c r="I79" s="100" t="s">
        <v>300</v>
      </c>
      <c r="J79" s="131">
        <v>1.5</v>
      </c>
      <c r="K79" s="131" t="s">
        <v>43</v>
      </c>
      <c r="L79" s="242">
        <f>J79/25.4</f>
        <v>5.9055118110236227E-2</v>
      </c>
      <c r="M79" s="131" t="s">
        <v>49</v>
      </c>
      <c r="N79" s="131"/>
      <c r="O79" s="131"/>
      <c r="P79" s="131"/>
      <c r="Q79" s="131"/>
      <c r="R79" s="131"/>
    </row>
    <row r="80" spans="1:21" x14ac:dyDescent="0.25">
      <c r="I80" s="3" t="s">
        <v>253</v>
      </c>
      <c r="J80" s="97">
        <f>L80*25.4</f>
        <v>0.127</v>
      </c>
      <c r="K80" s="131" t="s">
        <v>43</v>
      </c>
      <c r="L80" s="132">
        <v>5.0000000000000001E-3</v>
      </c>
      <c r="M80" s="131" t="s">
        <v>49</v>
      </c>
      <c r="N80" s="131"/>
      <c r="O80" s="131"/>
      <c r="P80" s="131"/>
      <c r="Q80" s="131"/>
      <c r="R80" s="131"/>
    </row>
    <row r="81" spans="9:18" ht="45" x14ac:dyDescent="0.25">
      <c r="I81" s="3" t="s">
        <v>260</v>
      </c>
      <c r="J81" s="132">
        <v>5</v>
      </c>
      <c r="K81" s="131"/>
      <c r="L81" s="99">
        <f>SQRT(J81*(L80^2))</f>
        <v>1.1180339887498949E-2</v>
      </c>
      <c r="M81" s="131" t="s">
        <v>49</v>
      </c>
      <c r="N81" s="294" t="s">
        <v>259</v>
      </c>
      <c r="O81" s="294"/>
      <c r="P81" s="294"/>
      <c r="Q81" s="294"/>
      <c r="R81" s="294"/>
    </row>
    <row r="82" spans="9:18" x14ac:dyDescent="0.25">
      <c r="I82" s="131"/>
      <c r="J82" s="131"/>
      <c r="K82" s="131"/>
      <c r="L82" s="131"/>
      <c r="M82" s="131"/>
      <c r="N82" s="131"/>
      <c r="O82" s="131"/>
      <c r="P82" s="131"/>
      <c r="Q82" s="131"/>
      <c r="R82" s="131"/>
    </row>
    <row r="83" spans="9:18" ht="30" x14ac:dyDescent="0.25">
      <c r="I83" s="131" t="s">
        <v>305</v>
      </c>
      <c r="J83" s="242">
        <f>L83*25.4</f>
        <v>1.7839806331424732</v>
      </c>
      <c r="K83" s="131" t="s">
        <v>43</v>
      </c>
      <c r="L83" s="243">
        <f>SUM(L79+L81)</f>
        <v>7.0235457997735173E-2</v>
      </c>
      <c r="M83" s="131" t="s">
        <v>49</v>
      </c>
      <c r="N83" s="131"/>
      <c r="O83" s="131"/>
      <c r="P83" s="131"/>
      <c r="Q83" s="131"/>
      <c r="R83" s="131"/>
    </row>
  </sheetData>
  <mergeCells count="46">
    <mergeCell ref="J68:U68"/>
    <mergeCell ref="N72:R72"/>
    <mergeCell ref="J77:U77"/>
    <mergeCell ref="N81:R81"/>
    <mergeCell ref="N51:T51"/>
    <mergeCell ref="F23:H23"/>
    <mergeCell ref="J38:U38"/>
    <mergeCell ref="N41:Q41"/>
    <mergeCell ref="N42:Q42"/>
    <mergeCell ref="N43:Q43"/>
    <mergeCell ref="N46:P46"/>
    <mergeCell ref="N49:R49"/>
    <mergeCell ref="S40:U40"/>
    <mergeCell ref="N63:R63"/>
    <mergeCell ref="N60:R60"/>
    <mergeCell ref="N62:R62"/>
    <mergeCell ref="N57:R57"/>
    <mergeCell ref="N58:R58"/>
    <mergeCell ref="A66:B66"/>
    <mergeCell ref="F22:H22"/>
    <mergeCell ref="J25:R25"/>
    <mergeCell ref="I32:I33"/>
    <mergeCell ref="J32:J33"/>
    <mergeCell ref="L32:L33"/>
    <mergeCell ref="M32:M33"/>
    <mergeCell ref="K32:K33"/>
    <mergeCell ref="A25:I25"/>
    <mergeCell ref="D39:E39"/>
    <mergeCell ref="A45:I45"/>
    <mergeCell ref="B55:C55"/>
    <mergeCell ref="A51:B51"/>
    <mergeCell ref="N52:R52"/>
    <mergeCell ref="N55:R55"/>
    <mergeCell ref="N56:R56"/>
    <mergeCell ref="W41:Z41"/>
    <mergeCell ref="W42:Z42"/>
    <mergeCell ref="W43:Z43"/>
    <mergeCell ref="W46:Z46"/>
    <mergeCell ref="W52:AA52"/>
    <mergeCell ref="W62:AA62"/>
    <mergeCell ref="W63:AA63"/>
    <mergeCell ref="W55:AA55"/>
    <mergeCell ref="W56:AA56"/>
    <mergeCell ref="W57:AA57"/>
    <mergeCell ref="W58:AA58"/>
    <mergeCell ref="W60:AA6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"/>
  <sheetViews>
    <sheetView workbookViewId="0">
      <selection activeCell="B50" sqref="B50"/>
    </sheetView>
  </sheetViews>
  <sheetFormatPr defaultColWidth="27" defaultRowHeight="15" x14ac:dyDescent="0.25"/>
  <cols>
    <col min="1" max="1" width="29.42578125" style="49" customWidth="1"/>
    <col min="2" max="2" width="30.5703125" style="49" customWidth="1"/>
    <col min="3" max="3" width="12.42578125" style="49" customWidth="1"/>
    <col min="4" max="4" width="12.42578125" style="91" customWidth="1"/>
    <col min="5" max="5" width="11.5703125" style="89" customWidth="1"/>
    <col min="6" max="6" width="9.28515625" style="93" customWidth="1"/>
    <col min="7" max="7" width="10.28515625" style="49" customWidth="1"/>
    <col min="8" max="8" width="10.5703125" style="49" customWidth="1"/>
    <col min="9" max="9" width="9.7109375" style="49" customWidth="1"/>
    <col min="10" max="10" width="9.28515625" style="49" customWidth="1"/>
    <col min="11" max="11" width="11.5703125" style="93" customWidth="1"/>
    <col min="12" max="12" width="11.42578125" style="93" customWidth="1"/>
    <col min="13" max="13" width="10.7109375" style="49" customWidth="1"/>
    <col min="14" max="15" width="11.5703125" style="49" customWidth="1"/>
    <col min="16" max="16" width="47.42578125" style="49" customWidth="1"/>
    <col min="17" max="16384" width="27" style="49"/>
  </cols>
  <sheetData>
    <row r="1" spans="1:16" x14ac:dyDescent="0.25">
      <c r="A1" s="295" t="s">
        <v>263</v>
      </c>
      <c r="B1" s="295"/>
      <c r="C1" s="91"/>
      <c r="G1" s="91"/>
      <c r="H1" s="91"/>
      <c r="I1" s="89"/>
      <c r="J1" s="91"/>
      <c r="M1" s="4"/>
      <c r="N1" s="4"/>
      <c r="O1" s="4"/>
      <c r="P1" s="91"/>
    </row>
    <row r="2" spans="1:16" ht="90" x14ac:dyDescent="0.25">
      <c r="A2" s="90" t="s">
        <v>70</v>
      </c>
      <c r="B2" s="90" t="s">
        <v>71</v>
      </c>
      <c r="C2" s="90" t="s">
        <v>243</v>
      </c>
      <c r="D2" s="90" t="s">
        <v>266</v>
      </c>
      <c r="E2" s="94" t="s">
        <v>120</v>
      </c>
      <c r="F2" s="92" t="s">
        <v>269</v>
      </c>
      <c r="G2" s="90" t="s">
        <v>123</v>
      </c>
      <c r="H2" s="90" t="s">
        <v>244</v>
      </c>
      <c r="I2" s="94" t="s">
        <v>95</v>
      </c>
      <c r="J2" s="90" t="s">
        <v>72</v>
      </c>
      <c r="K2" s="92" t="s">
        <v>257</v>
      </c>
      <c r="L2" s="92" t="s">
        <v>258</v>
      </c>
      <c r="M2" s="106" t="s">
        <v>262</v>
      </c>
      <c r="N2" s="106" t="s">
        <v>124</v>
      </c>
      <c r="O2" s="106" t="s">
        <v>264</v>
      </c>
      <c r="P2" s="90" t="s">
        <v>7</v>
      </c>
    </row>
    <row r="3" spans="1:16" ht="15.75" thickBot="1" x14ac:dyDescent="0.3">
      <c r="A3" s="104" t="s">
        <v>122</v>
      </c>
      <c r="B3" s="105"/>
      <c r="C3" s="114"/>
      <c r="D3" s="108"/>
      <c r="E3" s="107"/>
      <c r="F3" s="109"/>
      <c r="G3" s="115"/>
      <c r="H3" s="114"/>
      <c r="I3" s="111"/>
      <c r="J3" s="108"/>
      <c r="K3" s="109"/>
      <c r="L3" s="116"/>
      <c r="M3" s="112"/>
      <c r="N3" s="112"/>
      <c r="O3" s="117"/>
      <c r="P3" s="105"/>
    </row>
    <row r="4" spans="1:16" s="120" customFormat="1" ht="15.75" thickBot="1" x14ac:dyDescent="0.3">
      <c r="A4" s="161" t="s">
        <v>279</v>
      </c>
      <c r="B4" s="162"/>
      <c r="C4" s="163"/>
      <c r="D4" s="162"/>
      <c r="E4" s="164"/>
      <c r="F4" s="165"/>
      <c r="G4" s="166"/>
      <c r="H4" s="163"/>
      <c r="I4" s="167"/>
      <c r="J4" s="162"/>
      <c r="K4" s="165"/>
      <c r="L4" s="168"/>
      <c r="M4" s="169"/>
      <c r="N4" s="169"/>
      <c r="O4" s="170"/>
      <c r="P4" s="171"/>
    </row>
    <row r="5" spans="1:16" s="120" customFormat="1" ht="15.75" thickBot="1" x14ac:dyDescent="0.3">
      <c r="A5" s="206" t="s">
        <v>280</v>
      </c>
      <c r="B5" s="82"/>
      <c r="C5" s="139"/>
      <c r="D5" s="9"/>
      <c r="E5" s="140"/>
      <c r="F5" s="80"/>
      <c r="G5" s="141"/>
      <c r="H5" s="139"/>
      <c r="I5" s="142"/>
      <c r="J5" s="9"/>
      <c r="K5" s="80"/>
      <c r="L5" s="207"/>
      <c r="M5" s="208"/>
      <c r="N5" s="208"/>
      <c r="O5" s="208"/>
      <c r="P5" s="105"/>
    </row>
    <row r="6" spans="1:16" s="118" customFormat="1" ht="19.5" customHeight="1" x14ac:dyDescent="0.25">
      <c r="A6" s="209" t="s">
        <v>121</v>
      </c>
      <c r="B6" s="190" t="s">
        <v>265</v>
      </c>
      <c r="C6" s="190">
        <v>0.27100000000000002</v>
      </c>
      <c r="D6" s="190">
        <v>20.952000000000002</v>
      </c>
      <c r="E6" s="191">
        <v>41.194000000000003</v>
      </c>
      <c r="F6" s="192">
        <f>C6+0.03</f>
        <v>0.30100000000000005</v>
      </c>
      <c r="G6" s="190">
        <v>0.78700000000000003</v>
      </c>
      <c r="H6" s="192">
        <f>F6</f>
        <v>0.30100000000000005</v>
      </c>
      <c r="I6" s="193">
        <f>H6+0.15</f>
        <v>0.45100000000000007</v>
      </c>
      <c r="J6" s="210">
        <f>I6+0.05</f>
        <v>0.50100000000000011</v>
      </c>
      <c r="K6" s="211">
        <f>I6-H6</f>
        <v>0.15000000000000002</v>
      </c>
      <c r="L6" s="192">
        <f>I6-J6</f>
        <v>-5.0000000000000044E-2</v>
      </c>
      <c r="M6" s="212">
        <f>($G6-H6)*$E6</f>
        <v>20.020284</v>
      </c>
      <c r="N6" s="212">
        <f>($G6-I6)*$E6</f>
        <v>13.841184</v>
      </c>
      <c r="O6" s="213">
        <f>($G6-J6)*$E6</f>
        <v>11.781483999999997</v>
      </c>
    </row>
    <row r="7" spans="1:16" s="118" customFormat="1" ht="19.5" customHeight="1" thickBot="1" x14ac:dyDescent="0.3">
      <c r="A7" s="214" t="s">
        <v>277</v>
      </c>
      <c r="B7" s="199"/>
      <c r="C7" s="199"/>
      <c r="D7" s="199"/>
      <c r="E7" s="200"/>
      <c r="F7" s="201"/>
      <c r="G7" s="199"/>
      <c r="H7" s="201"/>
      <c r="I7" s="203"/>
      <c r="J7" s="215"/>
      <c r="K7" s="305" t="s">
        <v>276</v>
      </c>
      <c r="L7" s="306"/>
      <c r="M7" s="204">
        <f>M6*2</f>
        <v>40.040568</v>
      </c>
      <c r="N7" s="204">
        <f>N6*2</f>
        <v>27.682368</v>
      </c>
      <c r="O7" s="205">
        <f>O6*2</f>
        <v>23.562967999999994</v>
      </c>
    </row>
    <row r="8" spans="1:16" s="118" customFormat="1" ht="19.5" customHeight="1" thickBot="1" x14ac:dyDescent="0.3">
      <c r="A8" s="216" t="s">
        <v>121</v>
      </c>
      <c r="B8" s="217" t="s">
        <v>265</v>
      </c>
      <c r="C8" s="217">
        <v>0.27100000000000002</v>
      </c>
      <c r="D8" s="217">
        <v>20.952000000000002</v>
      </c>
      <c r="E8" s="218">
        <v>41.194000000000003</v>
      </c>
      <c r="F8" s="219">
        <f>C8+0.03</f>
        <v>0.30100000000000005</v>
      </c>
      <c r="G8" s="217">
        <v>0.78700000000000003</v>
      </c>
      <c r="H8" s="219">
        <f>H6+0.155</f>
        <v>0.45600000000000007</v>
      </c>
      <c r="I8" s="220">
        <f>H8+0.15</f>
        <v>0.60600000000000009</v>
      </c>
      <c r="J8" s="221">
        <f>I8+0.05</f>
        <v>0.65600000000000014</v>
      </c>
      <c r="K8" s="211">
        <f>I8-H8</f>
        <v>0.15000000000000002</v>
      </c>
      <c r="L8" s="192">
        <f>I8-J8</f>
        <v>-5.0000000000000044E-2</v>
      </c>
      <c r="M8" s="212">
        <f>($G8-H8)*$E8</f>
        <v>13.635214</v>
      </c>
      <c r="N8" s="212">
        <f>($G8-I8)*$E8</f>
        <v>7.4561139999999977</v>
      </c>
      <c r="O8" s="213">
        <f>($G8-J8)*$E8</f>
        <v>5.3964139999999956</v>
      </c>
    </row>
    <row r="9" spans="1:16" s="118" customFormat="1" ht="19.5" customHeight="1" thickBot="1" x14ac:dyDescent="0.3">
      <c r="A9" s="222"/>
      <c r="B9" s="9"/>
      <c r="C9" s="9"/>
      <c r="D9" s="9"/>
      <c r="E9" s="140"/>
      <c r="F9" s="80"/>
      <c r="G9" s="9"/>
      <c r="H9" s="9"/>
      <c r="I9" s="9"/>
      <c r="J9" s="9"/>
      <c r="K9" s="305" t="s">
        <v>276</v>
      </c>
      <c r="L9" s="306"/>
      <c r="M9" s="204">
        <f>M8*2</f>
        <v>27.270427999999999</v>
      </c>
      <c r="N9" s="204">
        <f>N8*2</f>
        <v>14.912227999999995</v>
      </c>
      <c r="O9" s="205">
        <f>O8*2</f>
        <v>10.792827999999991</v>
      </c>
    </row>
    <row r="10" spans="1:16" s="118" customFormat="1" ht="19.5" customHeight="1" thickBot="1" x14ac:dyDescent="0.3">
      <c r="A10" s="222"/>
      <c r="B10" s="9"/>
      <c r="C10" s="9"/>
      <c r="D10" s="9"/>
      <c r="E10" s="140"/>
      <c r="F10" s="80"/>
      <c r="G10" s="9"/>
      <c r="H10" s="9"/>
      <c r="I10" s="9"/>
      <c r="J10" s="9"/>
      <c r="K10" s="315" t="s">
        <v>278</v>
      </c>
      <c r="L10" s="316"/>
      <c r="M10" s="223">
        <f>M7+M9</f>
        <v>67.310996000000003</v>
      </c>
      <c r="N10" s="224">
        <f>N7+N9</f>
        <v>42.594595999999996</v>
      </c>
      <c r="O10" s="225">
        <f>O7+O9</f>
        <v>34.355795999999984</v>
      </c>
    </row>
    <row r="11" spans="1:16" s="120" customFormat="1" ht="15.75" thickBot="1" x14ac:dyDescent="0.3">
      <c r="A11" s="161" t="s">
        <v>281</v>
      </c>
      <c r="B11" s="162"/>
      <c r="C11" s="163"/>
      <c r="D11" s="162"/>
      <c r="E11" s="164"/>
      <c r="F11" s="165"/>
      <c r="G11" s="166"/>
      <c r="H11" s="163"/>
      <c r="I11" s="167"/>
      <c r="J11" s="162"/>
      <c r="K11" s="165"/>
      <c r="L11" s="168"/>
      <c r="M11" s="169"/>
      <c r="N11" s="169"/>
      <c r="O11" s="170"/>
      <c r="P11" s="171"/>
    </row>
    <row r="12" spans="1:16" s="120" customFormat="1" ht="15.75" thickBot="1" x14ac:dyDescent="0.3">
      <c r="A12" s="145" t="s">
        <v>280</v>
      </c>
      <c r="B12" s="78"/>
      <c r="C12" s="147"/>
      <c r="D12" s="147"/>
      <c r="E12" s="148"/>
      <c r="F12" s="149"/>
      <c r="G12" s="147"/>
      <c r="H12" s="146"/>
      <c r="I12" s="150"/>
      <c r="J12" s="147"/>
      <c r="K12" s="149"/>
      <c r="L12" s="151"/>
      <c r="M12" s="152"/>
      <c r="N12" s="152"/>
      <c r="O12" s="159"/>
      <c r="P12" s="78"/>
    </row>
    <row r="13" spans="1:16" ht="15.75" thickBot="1" x14ac:dyDescent="0.3">
      <c r="A13" s="154" t="s">
        <v>273</v>
      </c>
      <c r="B13" s="155" t="s">
        <v>274</v>
      </c>
      <c r="C13" s="155">
        <v>0.36899999999999999</v>
      </c>
      <c r="D13" s="155">
        <v>20.952000000000002</v>
      </c>
      <c r="E13" s="156">
        <v>26.213999999999999</v>
      </c>
      <c r="F13" s="157">
        <f>C13+0.03</f>
        <v>0.39900000000000002</v>
      </c>
      <c r="G13" s="155">
        <v>1.161</v>
      </c>
      <c r="H13" s="157">
        <f>F13</f>
        <v>0.39900000000000002</v>
      </c>
      <c r="I13" s="158">
        <f>H13+0.15</f>
        <v>0.54900000000000004</v>
      </c>
      <c r="J13" s="189">
        <f>I13+0.05</f>
        <v>0.59900000000000009</v>
      </c>
      <c r="K13" s="172">
        <f>I13-H13</f>
        <v>0.15000000000000002</v>
      </c>
      <c r="L13" s="133">
        <f>I13-J13</f>
        <v>-5.0000000000000044E-2</v>
      </c>
      <c r="M13" s="134">
        <f>($G13-H13)*$E13</f>
        <v>19.975068</v>
      </c>
      <c r="N13" s="134">
        <f>($G13-I13)*$E13</f>
        <v>16.042967999999998</v>
      </c>
      <c r="O13" s="135">
        <f>($G13-J13)*$E13</f>
        <v>14.732267999999998</v>
      </c>
    </row>
    <row r="14" spans="1:16" s="118" customFormat="1" ht="15.75" thickBot="1" x14ac:dyDescent="0.3">
      <c r="A14" s="153" t="s">
        <v>277</v>
      </c>
      <c r="B14" s="194"/>
      <c r="C14" s="194"/>
      <c r="D14" s="194"/>
      <c r="E14" s="195"/>
      <c r="F14" s="196"/>
      <c r="G14" s="194"/>
      <c r="H14" s="196"/>
      <c r="I14" s="197"/>
      <c r="J14" s="198"/>
      <c r="K14" s="317" t="s">
        <v>276</v>
      </c>
      <c r="L14" s="312"/>
      <c r="M14" s="126">
        <f>M13*2</f>
        <v>39.950136000000001</v>
      </c>
      <c r="N14" s="126">
        <f>N13*2</f>
        <v>32.085935999999997</v>
      </c>
      <c r="O14" s="187">
        <f>O13*2</f>
        <v>29.464535999999995</v>
      </c>
    </row>
    <row r="15" spans="1:16" s="118" customFormat="1" ht="15.75" thickBot="1" x14ac:dyDescent="0.3">
      <c r="A15" s="173" t="s">
        <v>273</v>
      </c>
      <c r="B15" s="174" t="s">
        <v>274</v>
      </c>
      <c r="C15" s="174">
        <v>0.36899999999999999</v>
      </c>
      <c r="D15" s="174">
        <v>20.952000000000002</v>
      </c>
      <c r="E15" s="175">
        <v>26.213999999999999</v>
      </c>
      <c r="F15" s="176">
        <f>C15+0.03</f>
        <v>0.39900000000000002</v>
      </c>
      <c r="G15" s="174">
        <v>1.161</v>
      </c>
      <c r="H15" s="176">
        <f>H13+0.155</f>
        <v>0.55400000000000005</v>
      </c>
      <c r="I15" s="177">
        <f>H15+0.15</f>
        <v>0.70400000000000007</v>
      </c>
      <c r="J15" s="178">
        <f>I15+0.05</f>
        <v>0.75400000000000011</v>
      </c>
      <c r="K15" s="181">
        <f>I15-H15</f>
        <v>0.15000000000000002</v>
      </c>
      <c r="L15" s="125">
        <f>I15-J15</f>
        <v>-5.0000000000000044E-2</v>
      </c>
      <c r="M15" s="126">
        <f>($G15-H15)*$E15</f>
        <v>15.911897999999999</v>
      </c>
      <c r="N15" s="126">
        <f>($G15-I15)*$E15</f>
        <v>11.979797999999999</v>
      </c>
      <c r="O15" s="187">
        <f>($G15-J15)*$E15</f>
        <v>10.669097999999996</v>
      </c>
    </row>
    <row r="16" spans="1:16" s="118" customFormat="1" ht="15.75" thickBot="1" x14ac:dyDescent="0.3">
      <c r="A16" s="160"/>
      <c r="B16" s="10"/>
      <c r="C16" s="10"/>
      <c r="D16" s="10"/>
      <c r="E16" s="113"/>
      <c r="F16" s="110"/>
      <c r="G16" s="10"/>
      <c r="H16" s="10"/>
      <c r="I16" s="10"/>
      <c r="J16" s="10"/>
      <c r="K16" s="311" t="s">
        <v>276</v>
      </c>
      <c r="L16" s="312"/>
      <c r="M16" s="127">
        <f>M15*2</f>
        <v>31.823795999999998</v>
      </c>
      <c r="N16" s="127">
        <f>N15*2</f>
        <v>23.959595999999998</v>
      </c>
      <c r="O16" s="138">
        <f>O15*2</f>
        <v>21.338195999999993</v>
      </c>
    </row>
    <row r="17" spans="1:16" s="118" customFormat="1" ht="15.75" thickBot="1" x14ac:dyDescent="0.3">
      <c r="A17" s="160"/>
      <c r="B17" s="10"/>
      <c r="C17" s="10"/>
      <c r="D17" s="10"/>
      <c r="E17" s="113"/>
      <c r="F17" s="110"/>
      <c r="G17" s="10"/>
      <c r="H17" s="10"/>
      <c r="I17" s="10"/>
      <c r="J17" s="10"/>
      <c r="K17" s="313" t="s">
        <v>278</v>
      </c>
      <c r="L17" s="314"/>
      <c r="M17" s="128">
        <f>M14+M16</f>
        <v>71.773932000000002</v>
      </c>
      <c r="N17" s="129">
        <f>N14+N16</f>
        <v>56.045531999999994</v>
      </c>
      <c r="O17" s="130">
        <f>O14+O16</f>
        <v>50.802731999999992</v>
      </c>
    </row>
    <row r="18" spans="1:16" s="120" customFormat="1" ht="15.75" thickBot="1" x14ac:dyDescent="0.3">
      <c r="A18" s="10"/>
      <c r="B18" s="10"/>
      <c r="C18" s="10"/>
      <c r="D18" s="10"/>
      <c r="E18" s="113"/>
      <c r="F18" s="110"/>
      <c r="G18" s="10"/>
      <c r="H18" s="10"/>
      <c r="I18" s="10"/>
      <c r="J18" s="10"/>
      <c r="K18" s="113"/>
      <c r="L18" s="110"/>
      <c r="M18" s="10"/>
      <c r="N18" s="10"/>
      <c r="O18" s="10"/>
      <c r="P18" s="10"/>
    </row>
    <row r="19" spans="1:16" s="120" customFormat="1" ht="30.75" thickBot="1" x14ac:dyDescent="0.3">
      <c r="A19" s="161" t="s">
        <v>299</v>
      </c>
      <c r="B19" s="162"/>
      <c r="C19" s="163"/>
      <c r="D19" s="162"/>
      <c r="E19" s="164"/>
      <c r="F19" s="165"/>
      <c r="G19" s="166"/>
      <c r="H19" s="163"/>
      <c r="I19" s="167"/>
      <c r="J19" s="162"/>
      <c r="K19" s="165"/>
      <c r="L19" s="168"/>
      <c r="M19" s="169"/>
      <c r="N19" s="169"/>
      <c r="O19" s="170"/>
      <c r="P19" s="171"/>
    </row>
    <row r="20" spans="1:16" s="120" customFormat="1" ht="15.75" thickBot="1" x14ac:dyDescent="0.3">
      <c r="A20" s="145" t="s">
        <v>280</v>
      </c>
      <c r="B20" s="78"/>
      <c r="C20" s="147"/>
      <c r="D20" s="147"/>
      <c r="E20" s="148"/>
      <c r="F20" s="149"/>
      <c r="G20" s="147"/>
      <c r="H20" s="146"/>
      <c r="I20" s="150"/>
      <c r="J20" s="147"/>
      <c r="K20" s="149"/>
      <c r="L20" s="151"/>
      <c r="M20" s="152"/>
      <c r="N20" s="152"/>
      <c r="O20" s="159"/>
      <c r="P20" s="78"/>
    </row>
    <row r="21" spans="1:16" s="120" customFormat="1" ht="15.75" thickBot="1" x14ac:dyDescent="0.3">
      <c r="A21" s="173" t="s">
        <v>121</v>
      </c>
      <c r="B21" s="174" t="s">
        <v>265</v>
      </c>
      <c r="C21" s="174">
        <v>0.27100000000000002</v>
      </c>
      <c r="D21" s="174">
        <v>20.952000000000002</v>
      </c>
      <c r="E21" s="175">
        <v>41.194000000000003</v>
      </c>
      <c r="F21" s="176">
        <f>C21+0.03</f>
        <v>0.30100000000000005</v>
      </c>
      <c r="G21" s="174">
        <v>0.78700000000000003</v>
      </c>
      <c r="H21" s="176">
        <f>F21</f>
        <v>0.30100000000000005</v>
      </c>
      <c r="I21" s="177">
        <f>H21+0.15</f>
        <v>0.45100000000000007</v>
      </c>
      <c r="J21" s="179">
        <f>I21+0.05</f>
        <v>0.50100000000000011</v>
      </c>
      <c r="K21" s="180">
        <f>I21-H21</f>
        <v>0.15000000000000002</v>
      </c>
      <c r="L21" s="133">
        <f>I21-J21</f>
        <v>-5.0000000000000044E-2</v>
      </c>
      <c r="M21" s="134">
        <f>($G21-H21)*$E21</f>
        <v>20.020284</v>
      </c>
      <c r="N21" s="134">
        <f>($G21-I21)*$E21</f>
        <v>13.841184</v>
      </c>
      <c r="O21" s="135">
        <f>($G21-J21)*$E21</f>
        <v>11.781483999999997</v>
      </c>
      <c r="P21" s="300" t="s">
        <v>362</v>
      </c>
    </row>
    <row r="22" spans="1:16" s="120" customFormat="1" ht="30.75" thickBot="1" x14ac:dyDescent="0.3">
      <c r="A22" s="182" t="s">
        <v>277</v>
      </c>
      <c r="B22" s="183"/>
      <c r="C22" s="183"/>
      <c r="D22" s="183"/>
      <c r="E22" s="244" t="s">
        <v>307</v>
      </c>
      <c r="F22" s="245">
        <v>0.37</v>
      </c>
      <c r="G22" s="183"/>
      <c r="H22" s="184"/>
      <c r="I22" s="185"/>
      <c r="J22" s="186"/>
      <c r="K22" s="309" t="s">
        <v>276</v>
      </c>
      <c r="L22" s="310"/>
      <c r="M22" s="136">
        <f>M21*2</f>
        <v>40.040568</v>
      </c>
      <c r="N22" s="136">
        <f>N21*2</f>
        <v>27.682368</v>
      </c>
      <c r="O22" s="137">
        <f>O21*2</f>
        <v>23.562967999999994</v>
      </c>
      <c r="P22" s="301"/>
    </row>
    <row r="23" spans="1:16" s="120" customFormat="1" ht="15.75" thickBot="1" x14ac:dyDescent="0.3">
      <c r="A23" s="173" t="s">
        <v>273</v>
      </c>
      <c r="B23" s="174" t="s">
        <v>274</v>
      </c>
      <c r="C23" s="174">
        <v>0.36899999999999999</v>
      </c>
      <c r="D23" s="174">
        <v>20.952000000000002</v>
      </c>
      <c r="E23" s="175">
        <v>26.213999999999999</v>
      </c>
      <c r="F23" s="176">
        <f>C23+0.03</f>
        <v>0.39900000000000002</v>
      </c>
      <c r="G23" s="174">
        <v>1.161</v>
      </c>
      <c r="H23" s="176">
        <f>H21+0.155</f>
        <v>0.45600000000000007</v>
      </c>
      <c r="I23" s="177">
        <f>H23+0.15</f>
        <v>0.60600000000000009</v>
      </c>
      <c r="J23" s="179">
        <f>I23+0.05</f>
        <v>0.65600000000000014</v>
      </c>
      <c r="K23" s="188">
        <f>I23-H23</f>
        <v>0.15000000000000002</v>
      </c>
      <c r="L23" s="125">
        <f>I23-J23</f>
        <v>-5.0000000000000044E-2</v>
      </c>
      <c r="M23" s="126">
        <f>($G23-H23)*$E23</f>
        <v>18.480869999999999</v>
      </c>
      <c r="N23" s="126">
        <f>($G23-I23)*$E23</f>
        <v>14.548769999999998</v>
      </c>
      <c r="O23" s="187">
        <f>($G23-J23)*$E23</f>
        <v>13.238069999999997</v>
      </c>
      <c r="P23" s="301"/>
    </row>
    <row r="24" spans="1:16" s="120" customFormat="1" ht="30.75" thickBot="1" x14ac:dyDescent="0.3">
      <c r="A24" s="160"/>
      <c r="B24" s="10"/>
      <c r="C24" s="10"/>
      <c r="D24" s="10"/>
      <c r="E24" s="244" t="s">
        <v>307</v>
      </c>
      <c r="F24" s="246">
        <v>0.52200000000000002</v>
      </c>
      <c r="G24" s="10"/>
      <c r="H24" s="10"/>
      <c r="I24" s="10"/>
      <c r="J24" s="10"/>
      <c r="K24" s="311" t="s">
        <v>276</v>
      </c>
      <c r="L24" s="312"/>
      <c r="M24" s="127">
        <f>M23*2</f>
        <v>36.961739999999999</v>
      </c>
      <c r="N24" s="127">
        <f>N23*2</f>
        <v>29.097539999999995</v>
      </c>
      <c r="O24" s="138">
        <f>O23*2</f>
        <v>26.476139999999994</v>
      </c>
      <c r="P24" s="301"/>
    </row>
    <row r="25" spans="1:16" s="120" customFormat="1" ht="15.75" thickBot="1" x14ac:dyDescent="0.3">
      <c r="A25" s="160"/>
      <c r="B25" s="10"/>
      <c r="C25" s="10"/>
      <c r="D25" s="10"/>
      <c r="E25" s="113"/>
      <c r="F25" s="110"/>
      <c r="G25" s="10"/>
      <c r="H25" s="10"/>
      <c r="I25" s="10"/>
      <c r="J25" s="10"/>
      <c r="K25" s="313" t="s">
        <v>278</v>
      </c>
      <c r="L25" s="314"/>
      <c r="M25" s="128">
        <f>M22+M24</f>
        <v>77.002307999999999</v>
      </c>
      <c r="N25" s="129">
        <f>N22+N24</f>
        <v>56.779907999999992</v>
      </c>
      <c r="O25" s="130">
        <f>O22+O24</f>
        <v>50.039107999999985</v>
      </c>
      <c r="P25" s="302"/>
    </row>
    <row r="26" spans="1:16" s="120" customFormat="1" ht="15.75" thickBot="1" x14ac:dyDescent="0.3">
      <c r="A26" s="10"/>
      <c r="B26" s="10"/>
      <c r="C26" s="10"/>
      <c r="D26" s="10"/>
      <c r="E26" s="113"/>
      <c r="F26" s="110"/>
      <c r="G26" s="10"/>
      <c r="H26" s="10"/>
      <c r="I26" s="10"/>
      <c r="J26" s="10"/>
      <c r="K26" s="123"/>
      <c r="L26" s="123"/>
    </row>
    <row r="27" spans="1:16" s="120" customFormat="1" ht="30.75" thickBot="1" x14ac:dyDescent="0.3">
      <c r="A27" s="161" t="s">
        <v>282</v>
      </c>
      <c r="B27" s="162"/>
      <c r="C27" s="163"/>
      <c r="D27" s="162"/>
      <c r="E27" s="164"/>
      <c r="F27" s="165"/>
      <c r="G27" s="166"/>
      <c r="H27" s="163"/>
      <c r="I27" s="167"/>
      <c r="J27" s="162"/>
      <c r="K27" s="165"/>
      <c r="L27" s="168"/>
      <c r="M27" s="169"/>
      <c r="N27" s="169"/>
      <c r="O27" s="170"/>
      <c r="P27" s="171"/>
    </row>
    <row r="28" spans="1:16" s="120" customFormat="1" ht="15.75" thickBot="1" x14ac:dyDescent="0.3">
      <c r="A28" s="144" t="s">
        <v>280</v>
      </c>
      <c r="B28" s="82"/>
      <c r="C28" s="9"/>
      <c r="D28" s="9"/>
      <c r="E28" s="140"/>
      <c r="F28" s="80"/>
      <c r="G28" s="9"/>
      <c r="H28" s="139"/>
      <c r="I28" s="142"/>
      <c r="J28" s="9"/>
      <c r="K28" s="80"/>
      <c r="L28" s="207"/>
      <c r="M28" s="208"/>
      <c r="N28" s="208"/>
      <c r="O28" s="226"/>
      <c r="P28" s="78"/>
    </row>
    <row r="29" spans="1:16" s="120" customFormat="1" ht="15.75" thickBot="1" x14ac:dyDescent="0.3">
      <c r="A29" s="216" t="s">
        <v>121</v>
      </c>
      <c r="B29" s="217" t="s">
        <v>265</v>
      </c>
      <c r="C29" s="217">
        <v>0.27100000000000002</v>
      </c>
      <c r="D29" s="217">
        <v>20.952000000000002</v>
      </c>
      <c r="E29" s="218">
        <v>41.194000000000003</v>
      </c>
      <c r="F29" s="219">
        <f>C29+0.03</f>
        <v>0.30100000000000005</v>
      </c>
      <c r="G29" s="217">
        <v>0.78700000000000003</v>
      </c>
      <c r="H29" s="219">
        <f>F29</f>
        <v>0.30100000000000005</v>
      </c>
      <c r="I29" s="220">
        <f>H29+0.15</f>
        <v>0.45100000000000007</v>
      </c>
      <c r="J29" s="221">
        <f>I29+0.05</f>
        <v>0.50100000000000011</v>
      </c>
      <c r="K29" s="211">
        <f>I29-H29</f>
        <v>0.15000000000000002</v>
      </c>
      <c r="L29" s="192">
        <f>I29-J29</f>
        <v>-5.0000000000000044E-2</v>
      </c>
      <c r="M29" s="212">
        <f>($G29-H29)*$E29</f>
        <v>20.020284</v>
      </c>
      <c r="N29" s="212">
        <f>($G29-I29)*$E29</f>
        <v>13.841184</v>
      </c>
      <c r="O29" s="213">
        <f>($G29-J29)*$E29</f>
        <v>11.781483999999997</v>
      </c>
    </row>
    <row r="30" spans="1:16" s="120" customFormat="1" ht="15.75" thickBot="1" x14ac:dyDescent="0.3">
      <c r="A30" s="227" t="s">
        <v>277</v>
      </c>
      <c r="B30" s="228"/>
      <c r="C30" s="228"/>
      <c r="D30" s="228"/>
      <c r="E30" s="229"/>
      <c r="F30" s="143"/>
      <c r="G30" s="228"/>
      <c r="H30" s="143"/>
      <c r="I30" s="230"/>
      <c r="J30" s="231"/>
      <c r="K30" s="305" t="s">
        <v>276</v>
      </c>
      <c r="L30" s="306"/>
      <c r="M30" s="204">
        <f>M29*2</f>
        <v>40.040568</v>
      </c>
      <c r="N30" s="204">
        <f>N29*2</f>
        <v>27.682368</v>
      </c>
      <c r="O30" s="205">
        <f>O29*2</f>
        <v>23.562967999999994</v>
      </c>
    </row>
    <row r="31" spans="1:16" s="120" customFormat="1" ht="15.75" thickBot="1" x14ac:dyDescent="0.3">
      <c r="A31" s="216" t="s">
        <v>272</v>
      </c>
      <c r="B31" s="217" t="s">
        <v>275</v>
      </c>
      <c r="C31" s="217">
        <v>0.39800000000000002</v>
      </c>
      <c r="D31" s="217">
        <v>24</v>
      </c>
      <c r="E31" s="218">
        <v>51</v>
      </c>
      <c r="F31" s="219">
        <f>C31+0.03</f>
        <v>0.42800000000000005</v>
      </c>
      <c r="G31" s="232">
        <v>0.875</v>
      </c>
      <c r="H31" s="233">
        <f>H29+0.155</f>
        <v>0.45600000000000007</v>
      </c>
      <c r="I31" s="220">
        <f>H31+0.15</f>
        <v>0.60600000000000009</v>
      </c>
      <c r="J31" s="221">
        <f>I31+0.05</f>
        <v>0.65600000000000014</v>
      </c>
      <c r="K31" s="234">
        <f>I31-H31</f>
        <v>0.15000000000000002</v>
      </c>
      <c r="L31" s="202">
        <f>I31-J31</f>
        <v>-5.0000000000000044E-2</v>
      </c>
      <c r="M31" s="235">
        <f>($G31-H31)*$E31</f>
        <v>21.368999999999996</v>
      </c>
      <c r="N31" s="235">
        <f>($G31-I31)*$E31</f>
        <v>13.718999999999996</v>
      </c>
      <c r="O31" s="236">
        <f>($G31-J31)*$E31</f>
        <v>11.168999999999993</v>
      </c>
    </row>
    <row r="32" spans="1:16" s="120" customFormat="1" ht="15.75" thickBot="1" x14ac:dyDescent="0.3">
      <c r="A32" s="222"/>
      <c r="B32" s="9"/>
      <c r="C32" s="9"/>
      <c r="D32" s="9"/>
      <c r="E32" s="140"/>
      <c r="F32" s="80"/>
      <c r="G32" s="9"/>
      <c r="H32" s="9"/>
      <c r="I32" s="9"/>
      <c r="J32" s="9"/>
      <c r="K32" s="307" t="s">
        <v>276</v>
      </c>
      <c r="L32" s="308"/>
      <c r="M32" s="237">
        <f>M31*2</f>
        <v>42.737999999999992</v>
      </c>
      <c r="N32" s="237">
        <f>N31*2</f>
        <v>27.437999999999992</v>
      </c>
      <c r="O32" s="238">
        <f>O31*2</f>
        <v>22.337999999999987</v>
      </c>
    </row>
    <row r="33" spans="1:15" s="120" customFormat="1" ht="15.75" thickBot="1" x14ac:dyDescent="0.3">
      <c r="A33" s="222"/>
      <c r="B33" s="9"/>
      <c r="C33" s="9"/>
      <c r="D33" s="9"/>
      <c r="E33" s="140"/>
      <c r="F33" s="80"/>
      <c r="G33" s="9"/>
      <c r="H33" s="9"/>
      <c r="I33" s="9"/>
      <c r="J33" s="9"/>
      <c r="K33" s="303" t="s">
        <v>278</v>
      </c>
      <c r="L33" s="304"/>
      <c r="M33" s="239">
        <f>M30+M32</f>
        <v>82.778567999999993</v>
      </c>
      <c r="N33" s="240">
        <f>N30+N32</f>
        <v>55.120367999999992</v>
      </c>
      <c r="O33" s="241">
        <f>O30+O32</f>
        <v>45.900967999999978</v>
      </c>
    </row>
    <row r="35" spans="1:15" x14ac:dyDescent="0.25">
      <c r="A35" s="121" t="s">
        <v>283</v>
      </c>
    </row>
    <row r="36" spans="1:15" x14ac:dyDescent="0.25">
      <c r="A36" s="49" t="s">
        <v>284</v>
      </c>
      <c r="B36" s="89">
        <v>18</v>
      </c>
      <c r="C36" s="49" t="s">
        <v>285</v>
      </c>
    </row>
    <row r="37" spans="1:15" x14ac:dyDescent="0.25">
      <c r="B37" s="89">
        <f>B36/2.2</f>
        <v>8.1818181818181817</v>
      </c>
      <c r="C37" s="49" t="s">
        <v>286</v>
      </c>
    </row>
    <row r="38" spans="1:15" x14ac:dyDescent="0.25">
      <c r="A38" s="49" t="s">
        <v>287</v>
      </c>
      <c r="B38" s="89">
        <f>(E21+E23)</f>
        <v>67.408000000000001</v>
      </c>
      <c r="C38" s="49" t="s">
        <v>288</v>
      </c>
    </row>
    <row r="39" spans="1:15" x14ac:dyDescent="0.25">
      <c r="A39" s="49" t="s">
        <v>289</v>
      </c>
      <c r="B39" s="89">
        <f>(1/(2*PI()))*(SQRT(B38/B36))</f>
        <v>0.30799211630789408</v>
      </c>
      <c r="C39" s="49" t="s">
        <v>290</v>
      </c>
    </row>
  </sheetData>
  <mergeCells count="14">
    <mergeCell ref="K16:L16"/>
    <mergeCell ref="K17:L17"/>
    <mergeCell ref="A1:B1"/>
    <mergeCell ref="K7:L7"/>
    <mergeCell ref="K9:L9"/>
    <mergeCell ref="K10:L10"/>
    <mergeCell ref="K14:L14"/>
    <mergeCell ref="P21:P25"/>
    <mergeCell ref="K33:L33"/>
    <mergeCell ref="K30:L30"/>
    <mergeCell ref="K32:L32"/>
    <mergeCell ref="K22:L22"/>
    <mergeCell ref="K24:L24"/>
    <mergeCell ref="K25:L2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activeCell="D20" sqref="D20"/>
    </sheetView>
  </sheetViews>
  <sheetFormatPr defaultColWidth="8.85546875" defaultRowHeight="15" x14ac:dyDescent="0.25"/>
  <cols>
    <col min="1" max="1" width="28.140625" style="6" customWidth="1"/>
    <col min="2" max="2" width="9.85546875" style="22" customWidth="1"/>
    <col min="3" max="3" width="8.85546875" style="22"/>
    <col min="4" max="4" width="47" style="6" customWidth="1"/>
    <col min="5" max="16384" width="8.85546875" style="6"/>
  </cols>
  <sheetData>
    <row r="1" spans="1:4" x14ac:dyDescent="0.25">
      <c r="A1" s="318" t="s">
        <v>105</v>
      </c>
      <c r="B1" s="319"/>
      <c r="C1" s="319"/>
      <c r="D1" s="26" t="s">
        <v>7</v>
      </c>
    </row>
    <row r="5" spans="1:4" ht="30" x14ac:dyDescent="0.25">
      <c r="A5" s="318" t="s">
        <v>107</v>
      </c>
      <c r="B5" s="319"/>
      <c r="C5" s="319"/>
      <c r="D5" s="6" t="s">
        <v>117</v>
      </c>
    </row>
    <row r="6" spans="1:4" ht="30" x14ac:dyDescent="0.25">
      <c r="A6" s="6" t="s">
        <v>106</v>
      </c>
      <c r="B6" s="22" t="s">
        <v>109</v>
      </c>
      <c r="C6" s="22" t="s">
        <v>43</v>
      </c>
    </row>
    <row r="7" spans="1:4" x14ac:dyDescent="0.25">
      <c r="A7" s="6" t="s">
        <v>108</v>
      </c>
      <c r="B7" s="24">
        <v>2.5000000000000001E-2</v>
      </c>
      <c r="C7" s="27">
        <f>B7*25.4</f>
        <v>0.63500000000000001</v>
      </c>
    </row>
    <row r="8" spans="1:4" x14ac:dyDescent="0.25">
      <c r="A8" s="6" t="s">
        <v>115</v>
      </c>
      <c r="B8" s="24">
        <v>2.5000000000000001E-2</v>
      </c>
      <c r="C8" s="27">
        <f>B8*25.4</f>
        <v>0.63500000000000001</v>
      </c>
    </row>
    <row r="9" spans="1:4" ht="15.75" thickBot="1" x14ac:dyDescent="0.3">
      <c r="A9" s="6" t="s">
        <v>116</v>
      </c>
      <c r="B9" s="24">
        <v>2.5000000000000001E-2</v>
      </c>
      <c r="C9" s="27">
        <f>B9*25.4</f>
        <v>0.63500000000000001</v>
      </c>
    </row>
    <row r="10" spans="1:4" ht="15.75" thickBot="1" x14ac:dyDescent="0.3">
      <c r="A10" s="6" t="s">
        <v>114</v>
      </c>
      <c r="B10" s="23">
        <f>SUM(B7:B9)</f>
        <v>7.5000000000000011E-2</v>
      </c>
      <c r="C10" s="23">
        <f>SUM(C7:C9)</f>
        <v>1.905</v>
      </c>
    </row>
    <row r="11" spans="1:4" ht="30" x14ac:dyDescent="0.25">
      <c r="A11" s="6" t="s">
        <v>110</v>
      </c>
      <c r="B11" s="25">
        <v>0.05</v>
      </c>
      <c r="C11" s="27">
        <f>B11*25.4</f>
        <v>1.27</v>
      </c>
    </row>
    <row r="12" spans="1:4" ht="45" x14ac:dyDescent="0.25">
      <c r="A12" s="6" t="s">
        <v>111</v>
      </c>
      <c r="C12" s="22" t="s">
        <v>112</v>
      </c>
    </row>
    <row r="14" spans="1:4" x14ac:dyDescent="0.25">
      <c r="A14" s="318" t="s">
        <v>113</v>
      </c>
      <c r="B14" s="319"/>
      <c r="C14" s="319"/>
    </row>
    <row r="15" spans="1:4" ht="30" x14ac:dyDescent="0.25">
      <c r="A15" s="6" t="s">
        <v>106</v>
      </c>
      <c r="B15" s="22" t="s">
        <v>109</v>
      </c>
      <c r="C15" s="22" t="s">
        <v>43</v>
      </c>
    </row>
    <row r="16" spans="1:4" x14ac:dyDescent="0.25">
      <c r="A16" s="6" t="s">
        <v>115</v>
      </c>
      <c r="B16" s="24">
        <v>2.5000000000000001E-2</v>
      </c>
      <c r="C16" s="27">
        <f>B16*25.4</f>
        <v>0.63500000000000001</v>
      </c>
    </row>
    <row r="17" spans="1:3" ht="15.75" thickBot="1" x14ac:dyDescent="0.3">
      <c r="A17" s="6" t="s">
        <v>116</v>
      </c>
      <c r="B17" s="24">
        <v>2.5000000000000001E-2</v>
      </c>
      <c r="C17" s="27">
        <f>B17*25.4</f>
        <v>0.63500000000000001</v>
      </c>
    </row>
    <row r="18" spans="1:3" ht="15.75" thickBot="1" x14ac:dyDescent="0.3">
      <c r="A18" s="6" t="s">
        <v>114</v>
      </c>
      <c r="B18" s="23">
        <f>SUM(B16:B17)</f>
        <v>0.05</v>
      </c>
      <c r="C18" s="23">
        <f>SUM(C16:C17)</f>
        <v>1.27</v>
      </c>
    </row>
    <row r="19" spans="1:3" ht="60.75" thickBot="1" x14ac:dyDescent="0.3">
      <c r="A19" s="6" t="s">
        <v>118</v>
      </c>
      <c r="B19" s="23">
        <f>B18</f>
        <v>0.05</v>
      </c>
      <c r="C19" s="23">
        <f>C18</f>
        <v>1.27</v>
      </c>
    </row>
    <row r="20" spans="1:3" ht="60" x14ac:dyDescent="0.25">
      <c r="A20" s="6" t="s">
        <v>119</v>
      </c>
      <c r="C20" s="22" t="s">
        <v>112</v>
      </c>
    </row>
  </sheetData>
  <mergeCells count="3">
    <mergeCell ref="A1:C1"/>
    <mergeCell ref="A5:C5"/>
    <mergeCell ref="A14:C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workbookViewId="0">
      <selection activeCell="Q16" sqref="Q16"/>
    </sheetView>
  </sheetViews>
  <sheetFormatPr defaultColWidth="8.85546875" defaultRowHeight="15" x14ac:dyDescent="0.25"/>
  <cols>
    <col min="1" max="1" width="12.7109375" style="1" bestFit="1" customWidth="1"/>
    <col min="2" max="2" width="30.140625" style="1" bestFit="1" customWidth="1"/>
    <col min="3" max="3" width="11.5703125" style="1" bestFit="1" customWidth="1"/>
    <col min="4" max="4" width="8.28515625" style="91" customWidth="1"/>
    <col min="5" max="5" width="11.5703125" style="1" bestFit="1" customWidth="1"/>
    <col min="6" max="6" width="9.42578125" style="1" bestFit="1" customWidth="1"/>
    <col min="7" max="7" width="9.28515625" style="1" bestFit="1" customWidth="1"/>
    <col min="8" max="8" width="7.85546875" style="1" bestFit="1" customWidth="1"/>
    <col min="9" max="9" width="12" style="1" customWidth="1"/>
    <col min="10" max="10" width="10.28515625" style="87" customWidth="1"/>
    <col min="11" max="11" width="10.85546875" style="1" bestFit="1" customWidth="1"/>
    <col min="12" max="12" width="11" style="86" bestFit="1" customWidth="1"/>
    <col min="13" max="15" width="9.42578125" style="4" customWidth="1"/>
    <col min="16" max="16" width="13.5703125" style="89" customWidth="1"/>
    <col min="17" max="17" width="39.7109375" style="1" customWidth="1"/>
    <col min="18" max="16384" width="8.85546875" style="1"/>
  </cols>
  <sheetData>
    <row r="1" spans="1:12" x14ac:dyDescent="0.25">
      <c r="A1" s="295" t="s">
        <v>73</v>
      </c>
      <c r="B1" s="295"/>
      <c r="C1" s="91"/>
      <c r="E1" s="91"/>
      <c r="F1" s="91"/>
      <c r="G1" s="91"/>
      <c r="H1" s="91"/>
      <c r="I1" s="91"/>
      <c r="J1" s="91"/>
      <c r="K1" s="91"/>
      <c r="L1" s="91"/>
    </row>
    <row r="2" spans="1:12" ht="45" x14ac:dyDescent="0.25">
      <c r="A2" s="91" t="s">
        <v>70</v>
      </c>
      <c r="B2" s="91" t="s">
        <v>71</v>
      </c>
      <c r="C2" s="91" t="s">
        <v>76</v>
      </c>
      <c r="E2" s="91" t="s">
        <v>77</v>
      </c>
      <c r="F2" s="91"/>
      <c r="G2" s="91" t="s">
        <v>78</v>
      </c>
      <c r="H2" s="91" t="s">
        <v>79</v>
      </c>
      <c r="I2" s="91"/>
      <c r="J2" s="91"/>
      <c r="K2" s="91" t="s">
        <v>81</v>
      </c>
      <c r="L2" s="89" t="s">
        <v>7</v>
      </c>
    </row>
    <row r="3" spans="1:12" ht="30" x14ac:dyDescent="0.25">
      <c r="A3" s="91" t="s">
        <v>75</v>
      </c>
      <c r="B3" s="91" t="s">
        <v>74</v>
      </c>
      <c r="C3" s="91">
        <v>0.25</v>
      </c>
      <c r="E3" s="91">
        <v>0.65625</v>
      </c>
      <c r="F3" s="91"/>
      <c r="G3" s="91">
        <v>0.25</v>
      </c>
      <c r="H3" s="91">
        <v>0.34375</v>
      </c>
      <c r="I3" s="91"/>
      <c r="J3" s="91"/>
      <c r="K3" s="91" t="s">
        <v>80</v>
      </c>
      <c r="L3" s="89" t="s">
        <v>82</v>
      </c>
    </row>
    <row r="4" spans="1:12" ht="45" x14ac:dyDescent="0.25">
      <c r="A4" s="91" t="s">
        <v>85</v>
      </c>
      <c r="B4" s="91" t="s">
        <v>83</v>
      </c>
      <c r="C4" s="91">
        <v>0.1875</v>
      </c>
      <c r="E4" s="91">
        <v>0.5625</v>
      </c>
      <c r="F4" s="91"/>
      <c r="G4" s="91">
        <v>0.21875</v>
      </c>
      <c r="H4" s="91">
        <v>0.28125</v>
      </c>
      <c r="I4" s="91"/>
      <c r="J4" s="91"/>
      <c r="K4" s="91" t="s">
        <v>84</v>
      </c>
      <c r="L4" s="89" t="s">
        <v>86</v>
      </c>
    </row>
    <row r="7" spans="1:12" x14ac:dyDescent="0.25">
      <c r="A7" s="295" t="s">
        <v>136</v>
      </c>
      <c r="B7" s="295"/>
    </row>
    <row r="8" spans="1:12" ht="30" x14ac:dyDescent="0.25">
      <c r="A8" s="1" t="s">
        <v>141</v>
      </c>
    </row>
    <row r="9" spans="1:12" ht="45" x14ac:dyDescent="0.25">
      <c r="A9" s="1" t="s">
        <v>143</v>
      </c>
      <c r="B9" s="1" t="s">
        <v>49</v>
      </c>
      <c r="C9" s="1" t="s">
        <v>137</v>
      </c>
      <c r="E9" s="1" t="s">
        <v>138</v>
      </c>
    </row>
    <row r="10" spans="1:12" x14ac:dyDescent="0.25">
      <c r="C10" s="1">
        <v>4.0000000000000001E-3</v>
      </c>
      <c r="E10" s="1">
        <v>-1E-3</v>
      </c>
    </row>
    <row r="11" spans="1:12" x14ac:dyDescent="0.25">
      <c r="A11" s="1">
        <v>3</v>
      </c>
      <c r="B11" s="1">
        <f>A11/25.4</f>
        <v>0.11811023622047245</v>
      </c>
      <c r="C11" s="1">
        <f>B11+C10</f>
        <v>0.12211023622047246</v>
      </c>
      <c r="E11" s="1">
        <f>B11+E10</f>
        <v>0.11711023622047245</v>
      </c>
    </row>
    <row r="12" spans="1:12" x14ac:dyDescent="0.25">
      <c r="A12" s="1">
        <v>2.9</v>
      </c>
      <c r="B12" s="1">
        <f>A12/25.4</f>
        <v>0.1141732283464567</v>
      </c>
      <c r="C12" s="1">
        <f>B12+C10</f>
        <v>0.1181732283464567</v>
      </c>
      <c r="E12" s="1">
        <f>B12+E10</f>
        <v>0.1131732283464567</v>
      </c>
    </row>
    <row r="13" spans="1:12" ht="30" x14ac:dyDescent="0.25">
      <c r="A13" s="1" t="s">
        <v>144</v>
      </c>
      <c r="C13" s="1" t="s">
        <v>139</v>
      </c>
      <c r="E13" s="1" t="s">
        <v>140</v>
      </c>
    </row>
    <row r="14" spans="1:12" x14ac:dyDescent="0.25">
      <c r="A14" s="1">
        <v>3</v>
      </c>
      <c r="B14" s="1">
        <f>A14/25.4</f>
        <v>0.11811023622047245</v>
      </c>
      <c r="C14" s="1">
        <f>(A14+0.008)/25.4</f>
        <v>0.11842519685039371</v>
      </c>
      <c r="E14" s="1">
        <f>(A14+0.002)/25.4</f>
        <v>0.11818897637795275</v>
      </c>
    </row>
    <row r="16" spans="1:12" ht="120" x14ac:dyDescent="0.25">
      <c r="A16" s="1" t="s">
        <v>142</v>
      </c>
      <c r="C16" s="1" t="s">
        <v>145</v>
      </c>
      <c r="E16" s="1" t="s">
        <v>146</v>
      </c>
    </row>
    <row r="17" spans="1:6" ht="30" x14ac:dyDescent="0.25">
      <c r="A17" s="1" t="s">
        <v>149</v>
      </c>
      <c r="C17" s="1">
        <f>C14-E11</f>
        <v>1.314960629921258E-3</v>
      </c>
      <c r="E17" s="35">
        <f>E14-C11</f>
        <v>-3.9212598425197032E-3</v>
      </c>
      <c r="F17" s="1" t="s">
        <v>147</v>
      </c>
    </row>
    <row r="18" spans="1:6" x14ac:dyDescent="0.25">
      <c r="A18" s="1" t="s">
        <v>148</v>
      </c>
      <c r="C18" s="35">
        <f>C14-E12</f>
        <v>5.2519685039370129E-3</v>
      </c>
      <c r="D18" s="35"/>
      <c r="E18" s="33">
        <f>E14-C12</f>
        <v>1.5748031496051751E-5</v>
      </c>
      <c r="F18" s="1" t="s">
        <v>150</v>
      </c>
    </row>
    <row r="20" spans="1:6" ht="45" x14ac:dyDescent="0.25">
      <c r="A20" s="1" t="s">
        <v>154</v>
      </c>
    </row>
    <row r="21" spans="1:6" x14ac:dyDescent="0.25">
      <c r="A21" s="1" t="s">
        <v>151</v>
      </c>
      <c r="B21" s="1">
        <v>0.12</v>
      </c>
      <c r="C21" s="1">
        <f>B21+$C$10</f>
        <v>0.124</v>
      </c>
      <c r="E21" s="1">
        <f>B21+$E$10</f>
        <v>0.11899999999999999</v>
      </c>
    </row>
    <row r="22" spans="1:6" ht="120" x14ac:dyDescent="0.25">
      <c r="C22" s="1" t="s">
        <v>152</v>
      </c>
      <c r="E22" s="1" t="s">
        <v>153</v>
      </c>
    </row>
    <row r="23" spans="1:6" ht="30" x14ac:dyDescent="0.25">
      <c r="C23" s="1">
        <f>C21-E14</f>
        <v>5.8110236220472455E-3</v>
      </c>
      <c r="E23" s="1">
        <f>E21-C14</f>
        <v>5.7480314960628442E-4</v>
      </c>
      <c r="F23" s="1" t="s">
        <v>155</v>
      </c>
    </row>
    <row r="25" spans="1:6" x14ac:dyDescent="0.25">
      <c r="A25" s="34" t="s">
        <v>156</v>
      </c>
      <c r="B25" s="1">
        <v>0.125</v>
      </c>
      <c r="C25" s="1">
        <f>B25+$C$10</f>
        <v>0.129</v>
      </c>
      <c r="E25" s="1">
        <f>B25+$E$10</f>
        <v>0.124</v>
      </c>
    </row>
    <row r="26" spans="1:6" ht="120" x14ac:dyDescent="0.25">
      <c r="C26" s="1" t="s">
        <v>152</v>
      </c>
      <c r="E26" s="1" t="s">
        <v>153</v>
      </c>
    </row>
    <row r="27" spans="1:6" ht="45" x14ac:dyDescent="0.25">
      <c r="C27" s="1">
        <f>C25-E14</f>
        <v>1.081102362204725E-2</v>
      </c>
      <c r="E27" s="1">
        <f>E25-C14</f>
        <v>5.5748031496062889E-3</v>
      </c>
      <c r="F27" s="1" t="s">
        <v>157</v>
      </c>
    </row>
  </sheetData>
  <mergeCells count="2">
    <mergeCell ref="A1:B1"/>
    <mergeCell ref="A7:B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"/>
  <sheetViews>
    <sheetView workbookViewId="0">
      <selection activeCell="A4" sqref="A4"/>
    </sheetView>
  </sheetViews>
  <sheetFormatPr defaultRowHeight="15" x14ac:dyDescent="0.25"/>
  <cols>
    <col min="1" max="1" width="29.140625" customWidth="1"/>
    <col min="2" max="2" width="7.85546875" customWidth="1"/>
    <col min="4" max="4" width="29.7109375" customWidth="1"/>
    <col min="5" max="5" width="10.28515625" customWidth="1"/>
    <col min="7" max="7" width="12.7109375" customWidth="1"/>
    <col min="8" max="8" width="5.140625" customWidth="1"/>
  </cols>
  <sheetData>
    <row r="1" spans="1:8" ht="19.5" thickBot="1" x14ac:dyDescent="0.35">
      <c r="A1" s="280" t="s">
        <v>325</v>
      </c>
      <c r="C1" t="s">
        <v>333</v>
      </c>
    </row>
    <row r="2" spans="1:8" x14ac:dyDescent="0.25">
      <c r="A2" s="272" t="s">
        <v>41</v>
      </c>
      <c r="B2" s="273"/>
      <c r="C2" s="273"/>
      <c r="D2" s="273"/>
      <c r="E2" s="273"/>
      <c r="F2" s="273"/>
      <c r="G2" s="273"/>
      <c r="H2" s="262"/>
    </row>
    <row r="3" spans="1:8" x14ac:dyDescent="0.25">
      <c r="A3" s="263" t="s">
        <v>334</v>
      </c>
      <c r="B3" s="248" t="s">
        <v>332</v>
      </c>
      <c r="C3" s="255"/>
      <c r="D3" s="274" t="s">
        <v>315</v>
      </c>
      <c r="E3" s="254">
        <v>35000</v>
      </c>
      <c r="F3" s="255" t="s">
        <v>316</v>
      </c>
      <c r="G3" s="255"/>
      <c r="H3" s="264"/>
    </row>
    <row r="4" spans="1:8" ht="18.75" x14ac:dyDescent="0.3">
      <c r="A4" s="263" t="s">
        <v>308</v>
      </c>
      <c r="B4" s="249">
        <f>57.5/2</f>
        <v>28.75</v>
      </c>
      <c r="C4" s="255" t="s">
        <v>347</v>
      </c>
      <c r="D4" s="274" t="s">
        <v>319</v>
      </c>
      <c r="E4" s="249">
        <v>0.61</v>
      </c>
      <c r="F4" s="290" t="s">
        <v>320</v>
      </c>
      <c r="G4" s="255"/>
      <c r="H4" s="264"/>
    </row>
    <row r="5" spans="1:8" ht="15.75" thickBot="1" x14ac:dyDescent="0.3">
      <c r="A5" s="276" t="s">
        <v>359</v>
      </c>
      <c r="B5" s="277">
        <f>2046/2</f>
        <v>1023</v>
      </c>
      <c r="C5" s="269" t="s">
        <v>350</v>
      </c>
      <c r="D5" s="278" t="s">
        <v>349</v>
      </c>
      <c r="E5" s="279">
        <v>65000</v>
      </c>
      <c r="F5" s="292" t="s">
        <v>316</v>
      </c>
      <c r="G5" s="269"/>
      <c r="H5" s="270"/>
    </row>
    <row r="6" spans="1:8" ht="15.75" thickBot="1" x14ac:dyDescent="0.3">
      <c r="B6" s="255"/>
      <c r="D6" s="247"/>
      <c r="E6" s="259"/>
      <c r="F6" s="256"/>
    </row>
    <row r="7" spans="1:8" x14ac:dyDescent="0.25">
      <c r="A7" s="320" t="s">
        <v>354</v>
      </c>
      <c r="B7" s="321"/>
      <c r="C7" s="324"/>
      <c r="D7" s="320" t="s">
        <v>355</v>
      </c>
      <c r="E7" s="321"/>
      <c r="F7" s="323"/>
      <c r="G7" s="323"/>
      <c r="H7" s="324"/>
    </row>
    <row r="8" spans="1:8" x14ac:dyDescent="0.25">
      <c r="A8" s="263" t="s">
        <v>309</v>
      </c>
      <c r="B8" s="249">
        <v>0.45</v>
      </c>
      <c r="C8" s="255" t="s">
        <v>49</v>
      </c>
      <c r="D8" s="263" t="s">
        <v>329</v>
      </c>
      <c r="E8" s="260">
        <v>0.25</v>
      </c>
      <c r="F8" s="255" t="s">
        <v>49</v>
      </c>
      <c r="G8" s="255"/>
      <c r="H8" s="264"/>
    </row>
    <row r="9" spans="1:8" x14ac:dyDescent="0.25">
      <c r="A9" s="263" t="s">
        <v>312</v>
      </c>
      <c r="B9" s="250">
        <f>(B8/2)^2*PI()</f>
        <v>0.15904312808798329</v>
      </c>
      <c r="C9" s="255" t="s">
        <v>313</v>
      </c>
      <c r="D9" s="263" t="s">
        <v>312</v>
      </c>
      <c r="E9" s="250">
        <f>(E8/2)^2*PI()</f>
        <v>4.9087385212340517E-2</v>
      </c>
      <c r="F9" s="255" t="s">
        <v>313</v>
      </c>
      <c r="G9" s="255"/>
      <c r="H9" s="264"/>
    </row>
    <row r="10" spans="1:8" x14ac:dyDescent="0.25">
      <c r="A10" s="263" t="s">
        <v>310</v>
      </c>
      <c r="B10" s="252">
        <v>0.625</v>
      </c>
      <c r="C10" s="255" t="s">
        <v>49</v>
      </c>
      <c r="D10" s="265" t="s">
        <v>330</v>
      </c>
      <c r="E10" s="258">
        <v>0.36380000000000001</v>
      </c>
      <c r="F10" s="255" t="s">
        <v>49</v>
      </c>
      <c r="G10" s="255"/>
      <c r="H10" s="264"/>
    </row>
    <row r="11" spans="1:8" x14ac:dyDescent="0.25">
      <c r="A11" s="263" t="s">
        <v>314</v>
      </c>
      <c r="B11" s="250">
        <f>(B10/2)^2*PI()</f>
        <v>0.30679615757712825</v>
      </c>
      <c r="C11" s="255" t="s">
        <v>313</v>
      </c>
      <c r="D11" s="265" t="s">
        <v>331</v>
      </c>
      <c r="E11" s="250">
        <f>(E10/2)^2*PI()</f>
        <v>0.10394779250084418</v>
      </c>
      <c r="F11" s="255" t="s">
        <v>313</v>
      </c>
      <c r="G11" s="255"/>
      <c r="H11" s="264"/>
    </row>
    <row r="12" spans="1:8" x14ac:dyDescent="0.25">
      <c r="A12" s="263" t="s">
        <v>311</v>
      </c>
      <c r="B12" s="250">
        <f>B11-B9</f>
        <v>0.14775302948914495</v>
      </c>
      <c r="C12" s="255" t="s">
        <v>313</v>
      </c>
      <c r="D12" s="263" t="s">
        <v>311</v>
      </c>
      <c r="E12" s="250">
        <f>E11-E9</f>
        <v>5.4860407288503665E-2</v>
      </c>
      <c r="F12" s="255" t="s">
        <v>313</v>
      </c>
      <c r="G12" s="255"/>
      <c r="H12" s="264"/>
    </row>
    <row r="13" spans="1:8" x14ac:dyDescent="0.25">
      <c r="A13" s="263"/>
      <c r="B13" s="255"/>
      <c r="C13" s="255"/>
      <c r="D13" s="266"/>
      <c r="E13" s="267"/>
      <c r="F13" s="255"/>
      <c r="G13" s="255"/>
      <c r="H13" s="264"/>
    </row>
    <row r="14" spans="1:8" x14ac:dyDescent="0.25">
      <c r="A14" s="263" t="s">
        <v>356</v>
      </c>
      <c r="B14" s="285">
        <f>$B$5/B12</f>
        <v>6923.7159030648318</v>
      </c>
      <c r="C14" s="255" t="s">
        <v>317</v>
      </c>
      <c r="D14" s="263" t="s">
        <v>356</v>
      </c>
      <c r="E14" s="285">
        <f>$B$5/E12</f>
        <v>18647.327837363249</v>
      </c>
      <c r="F14" s="255" t="s">
        <v>317</v>
      </c>
      <c r="G14" s="255"/>
      <c r="H14" s="264"/>
    </row>
    <row r="15" spans="1:8" ht="15.75" thickBot="1" x14ac:dyDescent="0.3">
      <c r="A15" s="268" t="s">
        <v>324</v>
      </c>
      <c r="B15" s="269"/>
      <c r="C15" s="269"/>
      <c r="D15" s="284" t="s">
        <v>348</v>
      </c>
      <c r="E15" s="269"/>
      <c r="F15" s="269"/>
      <c r="G15" s="269"/>
      <c r="H15" s="270"/>
    </row>
    <row r="16" spans="1:8" ht="15.75" thickBot="1" x14ac:dyDescent="0.3">
      <c r="A16" s="253"/>
    </row>
    <row r="17" spans="1:8" x14ac:dyDescent="0.25">
      <c r="A17" s="320" t="s">
        <v>335</v>
      </c>
      <c r="B17" s="321"/>
      <c r="C17" s="262"/>
      <c r="D17" s="322" t="s">
        <v>353</v>
      </c>
      <c r="E17" s="321"/>
      <c r="F17" s="323"/>
      <c r="G17" s="323"/>
      <c r="H17" s="324"/>
    </row>
    <row r="18" spans="1:8" x14ac:dyDescent="0.25">
      <c r="A18" s="266"/>
      <c r="B18" s="255"/>
      <c r="C18" s="264"/>
      <c r="D18" s="274" t="s">
        <v>351</v>
      </c>
      <c r="E18" s="249">
        <v>-20</v>
      </c>
      <c r="F18" s="290" t="s">
        <v>55</v>
      </c>
      <c r="G18" s="255"/>
      <c r="H18" s="264"/>
    </row>
    <row r="19" spans="1:8" ht="30" x14ac:dyDescent="0.25">
      <c r="A19" s="266"/>
      <c r="B19" s="255"/>
      <c r="C19" s="264"/>
      <c r="D19" s="291" t="s">
        <v>339</v>
      </c>
      <c r="E19" s="286">
        <v>2.3799999999999999E-5</v>
      </c>
      <c r="F19" s="10" t="s">
        <v>56</v>
      </c>
      <c r="G19" s="255"/>
      <c r="H19" s="264"/>
    </row>
    <row r="20" spans="1:8" ht="30" x14ac:dyDescent="0.25">
      <c r="A20" s="266" t="s">
        <v>318</v>
      </c>
      <c r="B20" s="255"/>
      <c r="C20" s="264"/>
      <c r="D20" s="291" t="s">
        <v>340</v>
      </c>
      <c r="E20" s="286">
        <v>1.01E-5</v>
      </c>
      <c r="F20" s="10" t="s">
        <v>56</v>
      </c>
      <c r="G20" s="255"/>
      <c r="H20" s="264"/>
    </row>
    <row r="21" spans="1:8" ht="18.75" x14ac:dyDescent="0.3">
      <c r="A21" s="266" t="s">
        <v>323</v>
      </c>
      <c r="B21" s="255"/>
      <c r="C21" s="264"/>
      <c r="D21" s="257" t="s">
        <v>343</v>
      </c>
      <c r="E21" s="254">
        <v>30000</v>
      </c>
      <c r="F21" s="281" t="s">
        <v>344</v>
      </c>
      <c r="G21" s="255"/>
      <c r="H21" s="264"/>
    </row>
    <row r="22" spans="1:8" ht="18.75" x14ac:dyDescent="0.3">
      <c r="A22" s="266" t="s">
        <v>321</v>
      </c>
      <c r="B22" s="251">
        <f>E4</f>
        <v>0.61</v>
      </c>
      <c r="C22" s="275" t="s">
        <v>320</v>
      </c>
      <c r="D22" s="257" t="s">
        <v>345</v>
      </c>
      <c r="E22" s="254">
        <v>10000</v>
      </c>
      <c r="F22" s="281" t="s">
        <v>344</v>
      </c>
      <c r="G22" s="255"/>
      <c r="H22" s="264"/>
    </row>
    <row r="23" spans="1:8" x14ac:dyDescent="0.25">
      <c r="A23" s="266" t="s">
        <v>322</v>
      </c>
      <c r="B23" s="251">
        <f>B5</f>
        <v>1023</v>
      </c>
      <c r="C23" s="264" t="s">
        <v>285</v>
      </c>
      <c r="D23" s="257" t="s">
        <v>342</v>
      </c>
      <c r="E23" s="249">
        <v>0.70399999999999996</v>
      </c>
      <c r="F23" s="281" t="s">
        <v>49</v>
      </c>
      <c r="G23" s="255"/>
      <c r="H23" s="264"/>
    </row>
    <row r="24" spans="1:8" x14ac:dyDescent="0.25">
      <c r="A24" s="271" t="s">
        <v>326</v>
      </c>
      <c r="B24" s="255"/>
      <c r="C24" s="264"/>
      <c r="D24" s="257" t="s">
        <v>336</v>
      </c>
      <c r="E24" s="249">
        <v>0.10249999999999999</v>
      </c>
      <c r="F24" s="281" t="s">
        <v>49</v>
      </c>
      <c r="G24" s="283">
        <f>E24*25.4</f>
        <v>2.6034999999999995</v>
      </c>
      <c r="H24" s="264" t="s">
        <v>43</v>
      </c>
    </row>
    <row r="25" spans="1:8" ht="18.75" x14ac:dyDescent="0.3">
      <c r="A25" s="263" t="s">
        <v>327</v>
      </c>
      <c r="B25" s="261">
        <f>B5*E4</f>
        <v>624.03</v>
      </c>
      <c r="C25" s="264" t="s">
        <v>285</v>
      </c>
      <c r="D25" s="257" t="s">
        <v>337</v>
      </c>
      <c r="E25" s="282">
        <f>G25/25.4</f>
        <v>-1.9208661417322833E-6</v>
      </c>
      <c r="F25" s="281" t="s">
        <v>49</v>
      </c>
      <c r="G25" s="282">
        <f>E19*E24*E18</f>
        <v>-4.8789999999999992E-5</v>
      </c>
      <c r="H25" s="264" t="s">
        <v>43</v>
      </c>
    </row>
    <row r="26" spans="1:8" ht="18.75" x14ac:dyDescent="0.3">
      <c r="A26" s="263" t="s">
        <v>328</v>
      </c>
      <c r="B26" s="261">
        <f>2*B25</f>
        <v>1248.06</v>
      </c>
      <c r="C26" s="264" t="s">
        <v>285</v>
      </c>
      <c r="D26" s="257" t="s">
        <v>341</v>
      </c>
      <c r="E26" s="282">
        <f>G26/25.4</f>
        <v>-8.1515748031496059E-7</v>
      </c>
      <c r="F26" s="281" t="s">
        <v>49</v>
      </c>
      <c r="G26" s="282">
        <f>E20*E24*E18</f>
        <v>-2.0704999999999999E-5</v>
      </c>
      <c r="H26" s="264" t="s">
        <v>43</v>
      </c>
    </row>
    <row r="27" spans="1:8" x14ac:dyDescent="0.25">
      <c r="A27" s="288" t="s">
        <v>357</v>
      </c>
      <c r="B27" s="255"/>
      <c r="C27" s="264"/>
      <c r="D27" s="257" t="s">
        <v>338</v>
      </c>
      <c r="E27" s="282">
        <f>E25-E26</f>
        <v>-1.1057086614173228E-6</v>
      </c>
      <c r="F27" s="281" t="s">
        <v>49</v>
      </c>
      <c r="G27" s="255"/>
      <c r="H27" s="264"/>
    </row>
    <row r="28" spans="1:8" x14ac:dyDescent="0.25">
      <c r="A28" s="266"/>
      <c r="B28" s="255"/>
      <c r="C28" s="264"/>
      <c r="D28" s="257" t="s">
        <v>352</v>
      </c>
      <c r="E28" s="287">
        <f>((E27/E23)*E21)*1000</f>
        <v>-47.118266821760912</v>
      </c>
      <c r="F28" s="281" t="s">
        <v>358</v>
      </c>
      <c r="G28" s="255"/>
      <c r="H28" s="264"/>
    </row>
    <row r="29" spans="1:8" ht="15.75" thickBot="1" x14ac:dyDescent="0.3">
      <c r="A29" s="289"/>
      <c r="B29" s="269"/>
      <c r="C29" s="270"/>
      <c r="D29" s="269"/>
      <c r="E29" s="269"/>
      <c r="F29" s="269"/>
      <c r="G29" s="269"/>
      <c r="H29" s="270"/>
    </row>
    <row r="30" spans="1:8" x14ac:dyDescent="0.25">
      <c r="A30" t="s">
        <v>346</v>
      </c>
    </row>
    <row r="31" spans="1:8" x14ac:dyDescent="0.25">
      <c r="A31" s="294" t="s">
        <v>360</v>
      </c>
      <c r="B31" s="294"/>
      <c r="C31" s="294"/>
      <c r="D31" s="294"/>
      <c r="E31" s="294"/>
      <c r="F31" s="294"/>
      <c r="G31" s="294"/>
      <c r="H31" s="294"/>
    </row>
    <row r="32" spans="1:8" x14ac:dyDescent="0.25">
      <c r="A32" s="294"/>
      <c r="B32" s="294"/>
      <c r="C32" s="294"/>
      <c r="D32" s="294"/>
      <c r="E32" s="294"/>
      <c r="F32" s="294"/>
      <c r="G32" s="294"/>
      <c r="H32" s="294"/>
    </row>
  </sheetData>
  <mergeCells count="5">
    <mergeCell ref="A31:H32"/>
    <mergeCell ref="A17:B17"/>
    <mergeCell ref="D17:H17"/>
    <mergeCell ref="D7:H7"/>
    <mergeCell ref="A7:C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5"/>
  <sheetViews>
    <sheetView zoomScale="75" zoomScaleNormal="75" workbookViewId="0">
      <selection activeCell="D4" sqref="D4"/>
    </sheetView>
  </sheetViews>
  <sheetFormatPr defaultColWidth="8.85546875" defaultRowHeight="15" x14ac:dyDescent="0.25"/>
  <cols>
    <col min="1" max="1" width="19.140625" style="37" customWidth="1"/>
    <col min="2" max="2" width="13.140625" style="37" customWidth="1"/>
    <col min="3" max="3" width="13.5703125" style="37" customWidth="1"/>
    <col min="4" max="4" width="12.42578125" style="37" customWidth="1"/>
    <col min="5" max="5" width="14" style="37" customWidth="1"/>
    <col min="6" max="6" width="12.85546875" style="39" customWidth="1"/>
    <col min="7" max="7" width="14.85546875" style="39" customWidth="1"/>
    <col min="8" max="8" width="15.140625" style="39" customWidth="1"/>
    <col min="9" max="9" width="13.28515625" style="39" customWidth="1"/>
    <col min="10" max="10" width="13.140625" style="1" customWidth="1"/>
    <col min="11" max="11" width="12.85546875" style="1" customWidth="1"/>
    <col min="12" max="12" width="10.85546875" style="1" customWidth="1"/>
    <col min="13" max="13" width="20.140625" style="1" customWidth="1"/>
    <col min="14" max="14" width="15.42578125" style="1" customWidth="1"/>
    <col min="15" max="15" width="15" style="1" customWidth="1"/>
    <col min="16" max="16" width="12.140625" style="1" bestFit="1" customWidth="1"/>
    <col min="17" max="16384" width="8.85546875" style="1"/>
  </cols>
  <sheetData>
    <row r="1" spans="1:17" s="49" customFormat="1" ht="22.9" customHeight="1" thickBot="1" x14ac:dyDescent="0.3">
      <c r="A1" s="331" t="s">
        <v>216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3"/>
    </row>
    <row r="2" spans="1:17" ht="31.9" customHeight="1" thickBot="1" x14ac:dyDescent="0.3">
      <c r="A2" s="334" t="s">
        <v>171</v>
      </c>
      <c r="B2" s="335"/>
      <c r="C2" s="336"/>
      <c r="E2" s="343" t="s">
        <v>198</v>
      </c>
      <c r="F2" s="344"/>
      <c r="G2" s="345"/>
      <c r="H2" s="49"/>
      <c r="I2" s="49"/>
    </row>
    <row r="3" spans="1:17" ht="45.75" thickBot="1" x14ac:dyDescent="0.3">
      <c r="A3" s="40" t="s">
        <v>163</v>
      </c>
      <c r="B3" s="41" t="s">
        <v>164</v>
      </c>
      <c r="C3" s="42" t="s">
        <v>165</v>
      </c>
      <c r="E3" s="40" t="s">
        <v>183</v>
      </c>
      <c r="F3" s="40" t="s">
        <v>184</v>
      </c>
      <c r="G3" s="42" t="s">
        <v>185</v>
      </c>
    </row>
    <row r="4" spans="1:17" x14ac:dyDescent="0.25">
      <c r="A4" s="37">
        <f>5.846</f>
        <v>5.8460000000000001</v>
      </c>
      <c r="B4" s="37">
        <v>-5.0000000000000001E-3</v>
      </c>
      <c r="C4" s="37">
        <v>5.0000000000000001E-3</v>
      </c>
      <c r="E4" s="75">
        <v>0.3</v>
      </c>
      <c r="F4" s="65">
        <f>E4/25.4</f>
        <v>1.1811023622047244E-2</v>
      </c>
      <c r="G4" s="75">
        <v>0.15</v>
      </c>
    </row>
    <row r="5" spans="1:17" x14ac:dyDescent="0.25">
      <c r="A5" s="43" t="s">
        <v>167</v>
      </c>
      <c r="B5" s="58">
        <f>A4+B4</f>
        <v>5.8410000000000002</v>
      </c>
      <c r="C5" s="58">
        <f>A4+C4</f>
        <v>5.851</v>
      </c>
    </row>
    <row r="6" spans="1:17" ht="15.75" thickBot="1" x14ac:dyDescent="0.3"/>
    <row r="7" spans="1:17" ht="15.75" thickBot="1" x14ac:dyDescent="0.3">
      <c r="A7" s="347" t="s">
        <v>170</v>
      </c>
      <c r="B7" s="348"/>
      <c r="C7" s="349"/>
      <c r="E7" s="337" t="s">
        <v>204</v>
      </c>
      <c r="F7" s="346"/>
      <c r="G7" s="346"/>
      <c r="H7" s="338"/>
      <c r="I7" s="338"/>
      <c r="J7" s="340"/>
      <c r="K7" s="340"/>
      <c r="L7" s="340"/>
      <c r="M7" s="340"/>
      <c r="N7" s="341"/>
    </row>
    <row r="8" spans="1:17" ht="45.75" thickBot="1" x14ac:dyDescent="0.3">
      <c r="A8" s="40" t="s">
        <v>166</v>
      </c>
      <c r="B8" s="41" t="s">
        <v>164</v>
      </c>
      <c r="C8" s="42" t="s">
        <v>165</v>
      </c>
      <c r="E8" s="40" t="s">
        <v>203</v>
      </c>
      <c r="F8" s="41" t="s">
        <v>202</v>
      </c>
      <c r="G8" s="41" t="s">
        <v>201</v>
      </c>
      <c r="H8" s="41" t="s">
        <v>200</v>
      </c>
      <c r="I8" s="41" t="s">
        <v>174</v>
      </c>
      <c r="J8" s="45" t="s">
        <v>172</v>
      </c>
      <c r="K8" s="45" t="s">
        <v>175</v>
      </c>
      <c r="L8" s="46" t="s">
        <v>176</v>
      </c>
      <c r="M8" s="47" t="s">
        <v>195</v>
      </c>
      <c r="N8" s="47" t="s">
        <v>188</v>
      </c>
    </row>
    <row r="9" spans="1:17" x14ac:dyDescent="0.25">
      <c r="A9" s="37">
        <f>2.953*2</f>
        <v>5.9059999999999997</v>
      </c>
      <c r="B9" s="37">
        <v>0</v>
      </c>
      <c r="C9" s="37">
        <v>2E-3</v>
      </c>
      <c r="E9" s="64">
        <v>432</v>
      </c>
      <c r="F9" s="65">
        <v>5.4260000000000002</v>
      </c>
      <c r="G9" s="65">
        <v>1E-3</v>
      </c>
      <c r="H9" s="65">
        <v>0.23699999999999999</v>
      </c>
      <c r="I9" s="65">
        <v>0.23599999999999999</v>
      </c>
      <c r="J9" s="66">
        <f>F9+(2*H9)</f>
        <v>5.9</v>
      </c>
      <c r="K9" s="66">
        <f>F9+G9+(2*H9)</f>
        <v>5.9010000000000007</v>
      </c>
      <c r="L9" s="66">
        <f>F9-G9+(2*I9)</f>
        <v>5.8970000000000002</v>
      </c>
      <c r="M9" s="63">
        <f>C10-L9</f>
        <v>1.0999999999999233E-2</v>
      </c>
      <c r="N9" s="63">
        <f>$B$10-K9</f>
        <v>4.9999999999990052E-3</v>
      </c>
      <c r="O9" s="1" t="s">
        <v>180</v>
      </c>
    </row>
    <row r="10" spans="1:17" x14ac:dyDescent="0.25">
      <c r="A10" s="43" t="s">
        <v>167</v>
      </c>
      <c r="B10" s="59">
        <f>A9+B9</f>
        <v>5.9059999999999997</v>
      </c>
      <c r="C10" s="59">
        <f>A9+C9</f>
        <v>5.9079999999999995</v>
      </c>
      <c r="E10" s="44"/>
      <c r="J10" s="39"/>
      <c r="K10" s="39"/>
      <c r="L10" s="39"/>
      <c r="M10" s="62">
        <f>C12-L9</f>
        <v>9.9999999999944578E-4</v>
      </c>
      <c r="N10" s="62">
        <f>B12-K9</f>
        <v>-5.0000000000007816E-3</v>
      </c>
      <c r="O10" s="1" t="s">
        <v>181</v>
      </c>
    </row>
    <row r="11" spans="1:17" ht="45" x14ac:dyDescent="0.25">
      <c r="A11" s="43" t="s">
        <v>182</v>
      </c>
      <c r="B11" s="39">
        <v>-0.01</v>
      </c>
      <c r="C11" s="39">
        <v>-0.01</v>
      </c>
      <c r="D11" s="39"/>
    </row>
    <row r="12" spans="1:17" ht="30.75" thickBot="1" x14ac:dyDescent="0.3">
      <c r="A12" s="43" t="s">
        <v>177</v>
      </c>
      <c r="B12" s="59">
        <f>B10+B11</f>
        <v>5.8959999999999999</v>
      </c>
      <c r="C12" s="59">
        <f>C10+C11</f>
        <v>5.8979999999999997</v>
      </c>
      <c r="D12" s="39"/>
      <c r="E12" s="39"/>
    </row>
    <row r="13" spans="1:17" ht="15.75" thickBot="1" x14ac:dyDescent="0.3">
      <c r="E13" s="337" t="s">
        <v>205</v>
      </c>
      <c r="F13" s="346"/>
      <c r="G13" s="346"/>
      <c r="H13" s="338"/>
      <c r="I13" s="338"/>
      <c r="J13" s="340"/>
      <c r="K13" s="340"/>
      <c r="L13" s="340"/>
      <c r="M13" s="340"/>
      <c r="N13" s="341"/>
    </row>
    <row r="14" spans="1:17" ht="60.75" thickBot="1" x14ac:dyDescent="0.3">
      <c r="A14" s="40" t="s">
        <v>199</v>
      </c>
      <c r="B14" s="41" t="s">
        <v>168</v>
      </c>
      <c r="C14" s="42" t="s">
        <v>169</v>
      </c>
      <c r="E14" s="40" t="s">
        <v>173</v>
      </c>
      <c r="F14" s="41" t="s">
        <v>186</v>
      </c>
      <c r="G14" s="41" t="s">
        <v>209</v>
      </c>
      <c r="H14" s="41" t="s">
        <v>210</v>
      </c>
      <c r="I14" s="41" t="s">
        <v>187</v>
      </c>
      <c r="J14" s="41" t="s">
        <v>174</v>
      </c>
      <c r="K14" s="45" t="s">
        <v>211</v>
      </c>
      <c r="L14" s="45" t="s">
        <v>175</v>
      </c>
      <c r="M14" s="46" t="s">
        <v>176</v>
      </c>
      <c r="N14" s="48" t="s">
        <v>214</v>
      </c>
      <c r="O14" s="47" t="s">
        <v>215</v>
      </c>
      <c r="P14" s="49"/>
    </row>
    <row r="15" spans="1:17" ht="30.75" thickBot="1" x14ac:dyDescent="0.3">
      <c r="A15" s="36" t="s">
        <v>178</v>
      </c>
      <c r="B15" s="60">
        <f>(B10-C5)/2</f>
        <v>2.7499999999999858E-2</v>
      </c>
      <c r="C15" s="60">
        <f>(C10-B5)/2</f>
        <v>3.3499999999999641E-2</v>
      </c>
      <c r="E15" s="64">
        <v>432</v>
      </c>
      <c r="F15" s="72">
        <f>F9</f>
        <v>5.4260000000000002</v>
      </c>
      <c r="G15" s="65">
        <v>2E-3</v>
      </c>
      <c r="H15" s="65">
        <v>0</v>
      </c>
      <c r="I15" s="66">
        <f>H9</f>
        <v>0.23699999999999999</v>
      </c>
      <c r="J15" s="66">
        <f>I9</f>
        <v>0.23599999999999999</v>
      </c>
      <c r="K15" s="66">
        <f>F15+(2*I15)</f>
        <v>5.9</v>
      </c>
      <c r="L15" s="66">
        <f>F15+G15+(2*I15)+G9</f>
        <v>5.9030000000000005</v>
      </c>
      <c r="M15" s="66">
        <f>F15-H15-G9+(2*J15)</f>
        <v>5.8970000000000002</v>
      </c>
      <c r="N15" s="73">
        <f>(C10-M15)/2</f>
        <v>5.4999999999996163E-3</v>
      </c>
      <c r="O15" s="73">
        <f>(B10-L15)/2</f>
        <v>1.4999999999996128E-3</v>
      </c>
      <c r="P15" s="342" t="s">
        <v>213</v>
      </c>
      <c r="Q15" s="342"/>
    </row>
    <row r="16" spans="1:17" ht="33.6" customHeight="1" thickBot="1" x14ac:dyDescent="0.3">
      <c r="A16" s="38" t="s">
        <v>179</v>
      </c>
      <c r="B16" s="61">
        <f>(B12-C5)/2</f>
        <v>2.2499999999999964E-2</v>
      </c>
      <c r="C16" s="61">
        <f>(C12-B5)/2</f>
        <v>2.8499999999999748E-2</v>
      </c>
      <c r="E16" s="67"/>
      <c r="F16" s="67"/>
      <c r="G16" s="67"/>
      <c r="I16" s="67"/>
      <c r="J16" s="67"/>
      <c r="K16" s="68"/>
      <c r="L16" s="68"/>
      <c r="M16" s="68"/>
      <c r="N16" s="74">
        <f>(C12-M15)/2</f>
        <v>4.9999999999972289E-4</v>
      </c>
      <c r="O16" s="74">
        <f>(B12-L15)/2</f>
        <v>-3.5000000000002807E-3</v>
      </c>
      <c r="P16" s="342" t="s">
        <v>212</v>
      </c>
      <c r="Q16" s="342"/>
    </row>
    <row r="17" spans="1:18" ht="75.75" thickBot="1" x14ac:dyDescent="0.3">
      <c r="E17" s="40" t="s">
        <v>173</v>
      </c>
      <c r="F17" s="41" t="s">
        <v>206</v>
      </c>
      <c r="G17" s="41" t="s">
        <v>189</v>
      </c>
      <c r="H17" s="41" t="s">
        <v>190</v>
      </c>
      <c r="I17" s="45" t="s">
        <v>191</v>
      </c>
      <c r="J17" s="45" t="s">
        <v>192</v>
      </c>
      <c r="K17" s="45" t="s">
        <v>207</v>
      </c>
      <c r="L17" s="45" t="s">
        <v>208</v>
      </c>
      <c r="M17" s="46" t="s">
        <v>193</v>
      </c>
    </row>
    <row r="18" spans="1:18" ht="15.75" thickBot="1" x14ac:dyDescent="0.3">
      <c r="E18" s="64">
        <v>434</v>
      </c>
      <c r="F18" s="65">
        <v>0.11</v>
      </c>
      <c r="G18" s="65">
        <v>0.01</v>
      </c>
      <c r="H18" s="64">
        <v>3</v>
      </c>
      <c r="I18" s="66">
        <f>(F9+G9)-(F15-G15)</f>
        <v>3.0000000000001137E-3</v>
      </c>
      <c r="J18" s="66">
        <f>(PI()*(F9+G9))-(PI()*(F15-G15))</f>
        <v>9.4247779607670168E-3</v>
      </c>
      <c r="K18" s="69">
        <v>1.7000000000000001E-2</v>
      </c>
      <c r="L18" s="70">
        <f>(F18*H18)+(K18*H18)</f>
        <v>0.38100000000000001</v>
      </c>
      <c r="M18" s="71" t="s">
        <v>194</v>
      </c>
    </row>
    <row r="19" spans="1:18" ht="15.75" thickBot="1" x14ac:dyDescent="0.3"/>
    <row r="20" spans="1:18" s="49" customFormat="1" ht="22.9" customHeight="1" thickBot="1" x14ac:dyDescent="0.3">
      <c r="A20" s="331" t="s">
        <v>217</v>
      </c>
      <c r="B20" s="340"/>
      <c r="C20" s="340"/>
      <c r="D20" s="340"/>
      <c r="E20" s="340"/>
      <c r="F20" s="34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2"/>
    </row>
    <row r="21" spans="1:18" s="78" customFormat="1" ht="21" customHeight="1" thickBot="1" x14ac:dyDescent="0.3">
      <c r="A21" s="334" t="s">
        <v>218</v>
      </c>
      <c r="B21" s="335"/>
      <c r="C21" s="336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8" ht="30.75" thickBot="1" x14ac:dyDescent="0.3">
      <c r="A22" s="40" t="s">
        <v>166</v>
      </c>
      <c r="B22" s="41" t="s">
        <v>164</v>
      </c>
      <c r="C22" s="42" t="s">
        <v>165</v>
      </c>
    </row>
    <row r="23" spans="1:18" x14ac:dyDescent="0.25">
      <c r="A23" s="37">
        <v>5.0010000000000003</v>
      </c>
      <c r="B23" s="37">
        <v>0</v>
      </c>
      <c r="C23" s="37">
        <v>2E-3</v>
      </c>
    </row>
    <row r="24" spans="1:18" s="49" customFormat="1" ht="15.75" thickBot="1" x14ac:dyDescent="0.3">
      <c r="A24" s="43" t="s">
        <v>167</v>
      </c>
      <c r="B24" s="58">
        <f>A23-B23</f>
        <v>5.0010000000000003</v>
      </c>
      <c r="C24" s="58">
        <f>A23+C23</f>
        <v>5.0030000000000001</v>
      </c>
      <c r="D24" s="57"/>
      <c r="E24" s="57"/>
      <c r="F24" s="57"/>
      <c r="G24" s="57"/>
      <c r="H24" s="57"/>
      <c r="I24" s="57"/>
    </row>
    <row r="25" spans="1:18" ht="15.75" thickBot="1" x14ac:dyDescent="0.3"/>
    <row r="26" spans="1:18" ht="31.35" customHeight="1" thickBot="1" x14ac:dyDescent="0.3">
      <c r="A26" s="337" t="s">
        <v>219</v>
      </c>
      <c r="B26" s="338"/>
      <c r="C26" s="339"/>
      <c r="D26" s="337" t="s">
        <v>220</v>
      </c>
      <c r="E26" s="338"/>
      <c r="F26" s="339"/>
    </row>
    <row r="27" spans="1:18" ht="30.75" thickBot="1" x14ac:dyDescent="0.3">
      <c r="A27" s="40" t="s">
        <v>163</v>
      </c>
      <c r="B27" s="41" t="s">
        <v>164</v>
      </c>
      <c r="C27" s="42" t="s">
        <v>165</v>
      </c>
      <c r="D27" s="40" t="s">
        <v>163</v>
      </c>
      <c r="E27" s="41" t="s">
        <v>164</v>
      </c>
      <c r="F27" s="42" t="s">
        <v>165</v>
      </c>
    </row>
    <row r="28" spans="1:18" x14ac:dyDescent="0.25">
      <c r="A28" s="57">
        <f>D28/25.4</f>
        <v>5</v>
      </c>
      <c r="B28" s="58">
        <f>E28/25.4</f>
        <v>4.9988188976377952</v>
      </c>
      <c r="C28" s="58">
        <f>F28/25.4</f>
        <v>5</v>
      </c>
      <c r="D28" s="37">
        <v>127</v>
      </c>
      <c r="E28" s="37">
        <f>D28-0.03</f>
        <v>126.97</v>
      </c>
      <c r="F28" s="39">
        <v>127</v>
      </c>
    </row>
    <row r="29" spans="1:18" ht="15.75" thickBot="1" x14ac:dyDescent="0.3"/>
    <row r="30" spans="1:18" ht="30.75" thickBot="1" x14ac:dyDescent="0.3">
      <c r="A30" s="40" t="s">
        <v>199</v>
      </c>
      <c r="B30" s="41" t="s">
        <v>168</v>
      </c>
      <c r="C30" s="42" t="s">
        <v>169</v>
      </c>
    </row>
    <row r="31" spans="1:18" ht="15.75" thickBot="1" x14ac:dyDescent="0.3">
      <c r="A31" s="56" t="s">
        <v>221</v>
      </c>
      <c r="B31" s="79">
        <f>(B24-C28)/2</f>
        <v>5.0000000000016698E-4</v>
      </c>
      <c r="C31" s="79">
        <f>(C24-B28)/2</f>
        <v>2.0905511811024624E-3</v>
      </c>
      <c r="D31" s="37" t="s">
        <v>49</v>
      </c>
    </row>
    <row r="32" spans="1:18" ht="15.75" thickBot="1" x14ac:dyDescent="0.3"/>
    <row r="33" spans="1:4" ht="43.35" customHeight="1" thickBot="1" x14ac:dyDescent="0.3">
      <c r="A33" s="325" t="s">
        <v>225</v>
      </c>
      <c r="B33" s="326"/>
      <c r="C33" s="61">
        <v>0.15</v>
      </c>
      <c r="D33" s="80" t="s">
        <v>222</v>
      </c>
    </row>
    <row r="34" spans="1:4" ht="16.899999999999999" customHeight="1" thickBot="1" x14ac:dyDescent="0.3">
      <c r="A34" s="327" t="s">
        <v>223</v>
      </c>
      <c r="B34" s="328"/>
      <c r="C34" s="61">
        <f>C31</f>
        <v>2.0905511811024624E-3</v>
      </c>
      <c r="D34" s="37" t="s">
        <v>49</v>
      </c>
    </row>
    <row r="35" spans="1:4" ht="15.75" thickBot="1" x14ac:dyDescent="0.3">
      <c r="A35" s="329"/>
      <c r="B35" s="330"/>
      <c r="C35" s="61">
        <f>C34*25.4</f>
        <v>5.3100000000002541E-2</v>
      </c>
      <c r="D35" s="37" t="s">
        <v>224</v>
      </c>
    </row>
  </sheetData>
  <mergeCells count="14">
    <mergeCell ref="A33:B33"/>
    <mergeCell ref="A34:B35"/>
    <mergeCell ref="A1:Q1"/>
    <mergeCell ref="A21:C21"/>
    <mergeCell ref="A26:C26"/>
    <mergeCell ref="D26:F26"/>
    <mergeCell ref="A20:F20"/>
    <mergeCell ref="P16:Q16"/>
    <mergeCell ref="P15:Q15"/>
    <mergeCell ref="E2:G2"/>
    <mergeCell ref="E13:N13"/>
    <mergeCell ref="A2:C2"/>
    <mergeCell ref="A7:C7"/>
    <mergeCell ref="E7:N7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8"/>
  <sheetViews>
    <sheetView workbookViewId="0">
      <selection activeCell="D19" sqref="D19"/>
    </sheetView>
  </sheetViews>
  <sheetFormatPr defaultColWidth="8.85546875" defaultRowHeight="15" x14ac:dyDescent="0.25"/>
  <cols>
    <col min="1" max="1" width="7.140625" style="5" customWidth="1"/>
    <col min="2" max="2" width="12" style="5" customWidth="1"/>
    <col min="3" max="3" width="44.140625" style="1" customWidth="1"/>
    <col min="4" max="4" width="40.28515625" style="1" customWidth="1"/>
    <col min="5" max="16384" width="8.85546875" style="1"/>
  </cols>
  <sheetData>
    <row r="1" spans="1:4" ht="18.75" x14ac:dyDescent="0.3">
      <c r="A1" s="350" t="s">
        <v>90</v>
      </c>
      <c r="B1" s="350"/>
      <c r="C1" s="350"/>
      <c r="D1" s="350"/>
    </row>
    <row r="2" spans="1:4" s="16" customFormat="1" x14ac:dyDescent="0.25">
      <c r="A2" s="18" t="s">
        <v>87</v>
      </c>
      <c r="B2" s="18" t="s">
        <v>88</v>
      </c>
      <c r="C2" s="19" t="s">
        <v>71</v>
      </c>
      <c r="D2" s="19" t="s">
        <v>89</v>
      </c>
    </row>
    <row r="3" spans="1:4" ht="45" x14ac:dyDescent="0.25">
      <c r="A3" s="5">
        <v>1</v>
      </c>
      <c r="B3" s="17">
        <v>43971</v>
      </c>
      <c r="C3" s="1" t="s">
        <v>94</v>
      </c>
    </row>
    <row r="4" spans="1:4" ht="45" x14ac:dyDescent="0.25">
      <c r="A4" s="5">
        <v>2</v>
      </c>
      <c r="B4" s="17">
        <v>43971</v>
      </c>
      <c r="C4" s="1" t="s">
        <v>91</v>
      </c>
      <c r="D4" s="1" t="s">
        <v>158</v>
      </c>
    </row>
    <row r="5" spans="1:4" ht="30" x14ac:dyDescent="0.25">
      <c r="A5" s="5">
        <v>3</v>
      </c>
      <c r="B5" s="17">
        <v>43971</v>
      </c>
      <c r="C5" s="20" t="s">
        <v>92</v>
      </c>
      <c r="D5" s="1" t="s">
        <v>158</v>
      </c>
    </row>
    <row r="6" spans="1:4" ht="30" x14ac:dyDescent="0.25">
      <c r="A6" s="5">
        <v>4</v>
      </c>
      <c r="B6" s="17">
        <v>43977</v>
      </c>
      <c r="C6" s="1" t="s">
        <v>93</v>
      </c>
      <c r="D6" s="1" t="s">
        <v>158</v>
      </c>
    </row>
    <row r="7" spans="1:4" ht="30" x14ac:dyDescent="0.25">
      <c r="A7" s="5">
        <v>5</v>
      </c>
      <c r="B7" s="17">
        <v>43981</v>
      </c>
      <c r="C7" s="1" t="s">
        <v>96</v>
      </c>
      <c r="D7" s="1" t="s">
        <v>97</v>
      </c>
    </row>
    <row r="8" spans="1:4" ht="30" x14ac:dyDescent="0.25">
      <c r="A8" s="5">
        <v>6</v>
      </c>
      <c r="B8" s="17">
        <v>43982</v>
      </c>
      <c r="C8" s="1" t="s">
        <v>98</v>
      </c>
    </row>
    <row r="9" spans="1:4" ht="30" x14ac:dyDescent="0.25">
      <c r="A9" s="5">
        <v>7</v>
      </c>
      <c r="B9" s="17">
        <v>44002</v>
      </c>
      <c r="C9" s="1" t="s">
        <v>99</v>
      </c>
    </row>
    <row r="10" spans="1:4" ht="30" x14ac:dyDescent="0.25">
      <c r="A10" s="5">
        <v>8</v>
      </c>
      <c r="B10" s="17">
        <v>44002</v>
      </c>
      <c r="C10" s="1" t="s">
        <v>100</v>
      </c>
      <c r="D10" s="1" t="s">
        <v>158</v>
      </c>
    </row>
    <row r="11" spans="1:4" x14ac:dyDescent="0.25">
      <c r="A11" s="53">
        <v>9</v>
      </c>
      <c r="B11" s="54">
        <v>44003</v>
      </c>
      <c r="C11" s="55" t="s">
        <v>101</v>
      </c>
      <c r="D11" s="55" t="s">
        <v>240</v>
      </c>
    </row>
    <row r="12" spans="1:4" ht="30" x14ac:dyDescent="0.25">
      <c r="A12" s="5">
        <v>10</v>
      </c>
      <c r="B12" s="17">
        <v>44004</v>
      </c>
      <c r="C12" s="1" t="s">
        <v>102</v>
      </c>
      <c r="D12" s="1" t="s">
        <v>158</v>
      </c>
    </row>
    <row r="13" spans="1:4" ht="30" x14ac:dyDescent="0.25">
      <c r="A13" s="5">
        <v>11</v>
      </c>
      <c r="B13" s="17">
        <v>44005</v>
      </c>
      <c r="C13" s="1" t="s">
        <v>103</v>
      </c>
      <c r="D13" s="1" t="s">
        <v>158</v>
      </c>
    </row>
    <row r="14" spans="1:4" ht="30" x14ac:dyDescent="0.25">
      <c r="A14" s="5">
        <v>12</v>
      </c>
      <c r="B14" s="17">
        <v>44007</v>
      </c>
      <c r="C14" s="1" t="s">
        <v>104</v>
      </c>
      <c r="D14" s="1" t="s">
        <v>158</v>
      </c>
    </row>
    <row r="15" spans="1:4" ht="30" x14ac:dyDescent="0.25">
      <c r="A15" s="5">
        <v>13</v>
      </c>
      <c r="B15" s="17">
        <v>44018</v>
      </c>
      <c r="C15" s="1" t="s">
        <v>159</v>
      </c>
      <c r="D15" s="1" t="s">
        <v>158</v>
      </c>
    </row>
    <row r="16" spans="1:4" ht="30" x14ac:dyDescent="0.25">
      <c r="A16" s="50">
        <v>14</v>
      </c>
      <c r="B16" s="51">
        <v>44028</v>
      </c>
      <c r="C16" s="52" t="s">
        <v>161</v>
      </c>
      <c r="D16" s="52"/>
    </row>
    <row r="17" spans="1:4" ht="30" x14ac:dyDescent="0.25">
      <c r="A17" s="5">
        <v>15</v>
      </c>
      <c r="B17" s="17">
        <v>44028</v>
      </c>
      <c r="C17" s="1" t="s">
        <v>162</v>
      </c>
      <c r="D17" s="1" t="s">
        <v>196</v>
      </c>
    </row>
    <row r="18" spans="1:4" x14ac:dyDescent="0.25">
      <c r="A18" s="53">
        <v>16</v>
      </c>
      <c r="B18" s="54">
        <v>44037</v>
      </c>
      <c r="C18" s="55" t="s">
        <v>197</v>
      </c>
      <c r="D18" s="55" t="s">
        <v>361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CameraHousingSize</vt:lpstr>
      <vt:lpstr>ChassisLengthCalculations</vt:lpstr>
      <vt:lpstr>CompressionSprings</vt:lpstr>
      <vt:lpstr>ChassisTolerances</vt:lpstr>
      <vt:lpstr>MiscPartsTolerances</vt:lpstr>
      <vt:lpstr>RearChassisClamp</vt:lpstr>
      <vt:lpstr>ConeTolerance</vt:lpstr>
      <vt:lpstr>ActionItems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Mark Chaffey</cp:lastModifiedBy>
  <cp:lastPrinted>2021-08-10T22:08:21Z</cp:lastPrinted>
  <dcterms:created xsi:type="dcterms:W3CDTF">2019-03-13T19:04:03Z</dcterms:created>
  <dcterms:modified xsi:type="dcterms:W3CDTF">2022-03-09T23:20:06Z</dcterms:modified>
</cp:coreProperties>
</file>