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8"/>
  <workbookPr/>
  <mc:AlternateContent xmlns:mc="http://schemas.openxmlformats.org/markup-compatibility/2006">
    <mc:Choice Requires="x15">
      <x15ac:absPath xmlns:x15ac="http://schemas.microsoft.com/office/spreadsheetml/2010/11/ac" url="\\atlas\ProjectLibrary\902001_4K_ROVCameraDevelopment\EngineeringDesignDocuments\MechanicalDesign\MechanicalDesignData\"/>
    </mc:Choice>
  </mc:AlternateContent>
  <xr:revisionPtr revIDLastSave="0" documentId="13_ncr:1_{5DD5CAE5-53B5-425E-9362-1C18162E3103}" xr6:coauthVersionLast="36" xr6:coauthVersionMax="36" xr10:uidLastSave="{00000000-0000-0000-0000-000000000000}"/>
  <bookViews>
    <workbookView xWindow="0" yWindow="0" windowWidth="5648" windowHeight="1980" firstSheet="1" activeTab="1" xr2:uid="{00000000-000D-0000-FFFF-FFFF00000000}"/>
  </bookViews>
  <sheets>
    <sheet name="ResultsSummary" sheetId="12" r:id="rId1"/>
    <sheet name="ThermalCaculationBaseline" sheetId="10" r:id="rId2"/>
    <sheet name="HeatSinkAreas" sheetId="7" r:id="rId3"/>
    <sheet name="HeliumOption" sheetId="6" r:id="rId4"/>
    <sheet name="i2MAPVerification" sheetId="8" r:id="rId5"/>
    <sheet name="i2MAPHeatsinkAreas" sheetId="9" r:id="rId6"/>
    <sheet name="FanCurveData" sheetId="11" r:id="rId7"/>
  </sheets>
  <definedNames>
    <definedName name="_xlnm.Print_Area" localSheetId="3">HeliumOption!$A$1:$K$172</definedName>
    <definedName name="_xlnm.Print_Area" localSheetId="4">i2MAPVerification!$A$1:$K$165</definedName>
    <definedName name="_xlnm.Print_Area" localSheetId="1">ThermalCaculationBaseline!$A$1:$S$164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76" i="8" l="1"/>
  <c r="B171" i="8"/>
  <c r="D37" i="7" l="1"/>
  <c r="D39" i="7" s="1"/>
  <c r="B177" i="8"/>
  <c r="D171" i="8" l="1"/>
  <c r="L12" i="12" l="1"/>
  <c r="L10" i="12"/>
  <c r="L8" i="12"/>
  <c r="B4" i="12"/>
  <c r="I12" i="12"/>
  <c r="I10" i="12"/>
  <c r="I8" i="12"/>
  <c r="F12" i="12"/>
  <c r="F10" i="12"/>
  <c r="F8" i="12"/>
  <c r="M21" i="11" l="1"/>
  <c r="K21" i="11"/>
  <c r="M20" i="11"/>
  <c r="K20" i="11"/>
  <c r="M19" i="11"/>
  <c r="K19" i="11"/>
  <c r="M18" i="11"/>
  <c r="K18" i="11"/>
  <c r="M17" i="11"/>
  <c r="K17" i="11"/>
  <c r="M16" i="11"/>
  <c r="K16" i="11"/>
  <c r="M15" i="11"/>
  <c r="K15" i="11"/>
  <c r="M14" i="11"/>
  <c r="K14" i="11"/>
  <c r="M13" i="11"/>
  <c r="K13" i="11"/>
  <c r="M12" i="11"/>
  <c r="K12" i="11"/>
  <c r="M11" i="11"/>
  <c r="K11" i="11"/>
  <c r="M10" i="11"/>
  <c r="K10" i="11"/>
  <c r="K4" i="11"/>
  <c r="B4" i="11"/>
  <c r="F4" i="11"/>
  <c r="C10" i="11"/>
  <c r="F10" i="11"/>
  <c r="H10" i="11"/>
  <c r="C11" i="11"/>
  <c r="F11" i="11"/>
  <c r="H11" i="11"/>
  <c r="C12" i="11"/>
  <c r="F12" i="11"/>
  <c r="H12" i="11"/>
  <c r="C13" i="11"/>
  <c r="F13" i="11"/>
  <c r="H13" i="11"/>
  <c r="C14" i="11"/>
  <c r="F14" i="11"/>
  <c r="H14" i="11"/>
  <c r="C15" i="11"/>
  <c r="F15" i="11"/>
  <c r="H15" i="11"/>
  <c r="C16" i="11"/>
  <c r="F16" i="11"/>
  <c r="H16" i="11"/>
  <c r="C17" i="11"/>
  <c r="F17" i="11"/>
  <c r="H17" i="11"/>
  <c r="C18" i="11"/>
  <c r="F18" i="11"/>
  <c r="H18" i="11"/>
  <c r="C19" i="11"/>
  <c r="F19" i="11"/>
  <c r="H19" i="11"/>
  <c r="C20" i="11"/>
  <c r="F20" i="11"/>
  <c r="H20" i="11"/>
  <c r="C21" i="11"/>
  <c r="F21" i="11"/>
  <c r="H21" i="11"/>
  <c r="O151" i="10" l="1"/>
  <c r="O152" i="10" s="1"/>
  <c r="L14" i="12" s="1"/>
  <c r="I151" i="10" l="1"/>
  <c r="I152" i="10" s="1"/>
  <c r="L151" i="10"/>
  <c r="L152" i="10" s="1"/>
  <c r="O143" i="10"/>
  <c r="L143" i="10"/>
  <c r="I39" i="10"/>
  <c r="I43" i="10" s="1"/>
  <c r="F11" i="12" s="1"/>
  <c r="L39" i="10"/>
  <c r="L43" i="10" s="1"/>
  <c r="I11" i="12" s="1"/>
  <c r="I76" i="10"/>
  <c r="F13" i="12" s="1"/>
  <c r="I143" i="10"/>
  <c r="J97" i="10"/>
  <c r="O39" i="10"/>
  <c r="O43" i="10" s="1"/>
  <c r="I9" i="12" l="1"/>
  <c r="F9" i="12"/>
  <c r="L9" i="12"/>
  <c r="L11" i="12"/>
  <c r="I14" i="12"/>
  <c r="F14" i="12"/>
  <c r="O76" i="10"/>
  <c r="L13" i="12" s="1"/>
  <c r="L76" i="10"/>
  <c r="I13" i="12" s="1"/>
  <c r="R76" i="10"/>
  <c r="H7" i="7" l="1"/>
  <c r="H15" i="7" s="1"/>
  <c r="H31" i="7" s="1"/>
  <c r="D10" i="10" s="1"/>
  <c r="B86" i="10" l="1"/>
  <c r="L6" i="10"/>
  <c r="B65" i="10" l="1"/>
  <c r="B61" i="10"/>
  <c r="B63" i="10" s="1"/>
  <c r="B64" i="10" s="1"/>
  <c r="Q11" i="10"/>
  <c r="L10" i="10"/>
  <c r="L8" i="10"/>
  <c r="L7" i="10"/>
  <c r="D6" i="10"/>
  <c r="D5" i="10"/>
  <c r="D4" i="10"/>
  <c r="D3" i="10"/>
  <c r="D34" i="7" s="1"/>
  <c r="B107" i="10" l="1"/>
  <c r="D113" i="10" s="1"/>
  <c r="D9" i="10"/>
  <c r="B8" i="12"/>
  <c r="B3" i="12"/>
  <c r="C8" i="12"/>
  <c r="Q12" i="10"/>
  <c r="O156" i="10"/>
  <c r="L15" i="12" s="1"/>
  <c r="I156" i="10"/>
  <c r="I158" i="10" s="1"/>
  <c r="L156" i="10"/>
  <c r="I15" i="12" s="1"/>
  <c r="L11" i="10"/>
  <c r="L12" i="10" s="1"/>
  <c r="D8" i="10"/>
  <c r="B66" i="10"/>
  <c r="B74" i="10" s="1"/>
  <c r="D13" i="10"/>
  <c r="B112" i="10"/>
  <c r="D14" i="10"/>
  <c r="D7" i="10"/>
  <c r="B4" i="8"/>
  <c r="D4" i="8" s="1"/>
  <c r="B3" i="8"/>
  <c r="D3" i="8" s="1"/>
  <c r="D10" i="9" s="1"/>
  <c r="D11" i="9" s="1"/>
  <c r="D12" i="9"/>
  <c r="D13" i="9" s="1"/>
  <c r="D15" i="9" s="1"/>
  <c r="B78" i="8"/>
  <c r="B74" i="8"/>
  <c r="B76" i="8" s="1"/>
  <c r="B77" i="8" s="1"/>
  <c r="B79" i="8" s="1"/>
  <c r="B26" i="8"/>
  <c r="D6" i="8"/>
  <c r="D5" i="8"/>
  <c r="D16" i="7"/>
  <c r="D17" i="7" s="1"/>
  <c r="B85" i="6"/>
  <c r="B81" i="6"/>
  <c r="L158" i="10" l="1"/>
  <c r="B113" i="10"/>
  <c r="O158" i="10"/>
  <c r="B111" i="10"/>
  <c r="B110" i="10"/>
  <c r="F15" i="12"/>
  <c r="C174" i="8"/>
  <c r="C177" i="8" s="1"/>
  <c r="B120" i="8"/>
  <c r="D126" i="8" s="1"/>
  <c r="D17" i="9"/>
  <c r="D11" i="8" s="1"/>
  <c r="C3" i="9"/>
  <c r="C4" i="9" s="1"/>
  <c r="B87" i="8"/>
  <c r="D9" i="8"/>
  <c r="D13" i="8"/>
  <c r="D8" i="8"/>
  <c r="Q5" i="10"/>
  <c r="Q6" i="10" s="1"/>
  <c r="I3" i="12"/>
  <c r="I135" i="10"/>
  <c r="B29" i="10"/>
  <c r="D74" i="10"/>
  <c r="D75" i="10" s="1"/>
  <c r="D15" i="10"/>
  <c r="F15" i="10" s="1"/>
  <c r="B20" i="8"/>
  <c r="B21" i="8" s="1"/>
  <c r="B124" i="8"/>
  <c r="D14" i="8"/>
  <c r="B27" i="8"/>
  <c r="B126" i="8"/>
  <c r="D7" i="8"/>
  <c r="B123" i="8"/>
  <c r="B83" i="6"/>
  <c r="B84" i="6" s="1"/>
  <c r="B86" i="6" s="1"/>
  <c r="C25" i="7"/>
  <c r="D27" i="7" s="1"/>
  <c r="C12" i="7"/>
  <c r="D13" i="7" s="1"/>
  <c r="D14" i="7" s="1"/>
  <c r="D15" i="7" s="1"/>
  <c r="D18" i="7" s="1"/>
  <c r="D15" i="8" l="1"/>
  <c r="Q7" i="10"/>
  <c r="B125" i="8"/>
  <c r="B42" i="8"/>
  <c r="B47" i="8" s="1"/>
  <c r="D7" i="9"/>
  <c r="D10" i="8" s="1"/>
  <c r="D12" i="8" s="1"/>
  <c r="C12" i="12"/>
  <c r="B12" i="12"/>
  <c r="B34" i="10"/>
  <c r="B43" i="10" s="1"/>
  <c r="B76" i="10"/>
  <c r="B22" i="8"/>
  <c r="B85" i="10"/>
  <c r="B87" i="10" s="1"/>
  <c r="B95" i="10" s="1"/>
  <c r="B96" i="10" s="1"/>
  <c r="B97" i="10" s="1"/>
  <c r="B32" i="6"/>
  <c r="C22" i="6"/>
  <c r="C20" i="6"/>
  <c r="C19" i="6"/>
  <c r="C18" i="6"/>
  <c r="B89" i="8" l="1"/>
  <c r="B56" i="8"/>
  <c r="B172" i="8"/>
  <c r="B173" i="8" s="1"/>
  <c r="B175" i="8" s="1"/>
  <c r="D175" i="8" s="1"/>
  <c r="B98" i="8"/>
  <c r="B100" i="8" s="1"/>
  <c r="B108" i="8" s="1"/>
  <c r="B109" i="8" s="1"/>
  <c r="B110" i="8" s="1"/>
  <c r="E34" i="10"/>
  <c r="B9" i="12"/>
  <c r="C9" i="12"/>
  <c r="C11" i="12"/>
  <c r="B11" i="12"/>
  <c r="B13" i="12"/>
  <c r="C13" i="12"/>
  <c r="B120" i="10"/>
  <c r="B129" i="10" s="1"/>
  <c r="D138" i="10" s="1"/>
  <c r="D145" i="10" s="1"/>
  <c r="D146" i="10" s="1"/>
  <c r="B33" i="6"/>
  <c r="C23" i="6"/>
  <c r="C24" i="6" s="1"/>
  <c r="B26" i="6" s="1"/>
  <c r="D6" i="6"/>
  <c r="D5" i="6"/>
  <c r="D4" i="6"/>
  <c r="B94" i="6" s="1"/>
  <c r="D3" i="6"/>
  <c r="D9" i="6" s="1"/>
  <c r="B133" i="8" l="1"/>
  <c r="B142" i="8" s="1"/>
  <c r="B138" i="10"/>
  <c r="B145" i="10" s="1"/>
  <c r="B146" i="10" s="1"/>
  <c r="B10" i="12" s="1"/>
  <c r="F138" i="10"/>
  <c r="F145" i="10" s="1"/>
  <c r="F146" i="10" s="1"/>
  <c r="C10" i="12" s="1"/>
  <c r="D151" i="8"/>
  <c r="D158" i="8" s="1"/>
  <c r="B151" i="8"/>
  <c r="B158" i="8" s="1"/>
  <c r="F151" i="8"/>
  <c r="F158" i="8" s="1"/>
  <c r="F161" i="8" s="1"/>
  <c r="F164" i="8" s="1"/>
  <c r="F167" i="8" s="1"/>
  <c r="D14" i="6"/>
  <c r="D7" i="6"/>
  <c r="C21" i="7"/>
  <c r="C22" i="7" s="1"/>
  <c r="D29" i="7" s="1"/>
  <c r="D31" i="7" s="1"/>
  <c r="D35" i="7"/>
  <c r="D41" i="7" s="1"/>
  <c r="B127" i="6"/>
  <c r="D8" i="6"/>
  <c r="D13" i="6"/>
  <c r="B27" i="6"/>
  <c r="B28" i="6"/>
  <c r="B105" i="6" s="1"/>
  <c r="F159" i="8" l="1"/>
  <c r="B161" i="8"/>
  <c r="B164" i="8" s="1"/>
  <c r="B167" i="8" s="1"/>
  <c r="B159" i="8"/>
  <c r="D161" i="8"/>
  <c r="D164" i="8" s="1"/>
  <c r="D167" i="8" s="1"/>
  <c r="D159" i="8"/>
  <c r="D10" i="6"/>
  <c r="D133" i="6"/>
  <c r="B132" i="6"/>
  <c r="B96" i="6"/>
  <c r="B107" i="6"/>
  <c r="B115" i="6" s="1"/>
  <c r="B133" i="6"/>
  <c r="B130" i="6"/>
  <c r="B131" i="6"/>
  <c r="D15" i="6"/>
  <c r="B49" i="6"/>
  <c r="B54" i="6" s="1"/>
  <c r="B63" i="6" s="1"/>
  <c r="D11" i="6" l="1"/>
  <c r="D12" i="6" s="1"/>
  <c r="D11" i="10"/>
  <c r="D12" i="10" s="1"/>
  <c r="B140" i="6"/>
  <c r="B149" i="6" s="1"/>
  <c r="B116" i="6"/>
  <c r="B117" i="6" s="1"/>
  <c r="B152" i="10" l="1"/>
  <c r="C172" i="8"/>
  <c r="F152" i="10"/>
  <c r="D152" i="10"/>
  <c r="D156" i="10" s="1"/>
  <c r="D158" i="10" s="1"/>
  <c r="F158" i="6"/>
  <c r="D158" i="6"/>
  <c r="B158" i="6"/>
  <c r="B156" i="10" l="1"/>
  <c r="B158" i="10" s="1"/>
  <c r="B14" i="12"/>
  <c r="B165" i="6"/>
  <c r="B168" i="6" s="1"/>
  <c r="I169" i="6" s="1"/>
  <c r="D165" i="6"/>
  <c r="D168" i="6" s="1"/>
  <c r="F165" i="6"/>
  <c r="F168" i="6" s="1"/>
  <c r="D172" i="8"/>
  <c r="C173" i="8"/>
  <c r="F156" i="10"/>
  <c r="C14" i="12"/>
  <c r="C15" i="12" l="1"/>
  <c r="F158" i="10"/>
  <c r="B15" i="12"/>
  <c r="C175" i="8"/>
  <c r="D173" i="8"/>
  <c r="D174" i="8" s="1"/>
  <c r="D177" i="8" s="1"/>
</calcChain>
</file>

<file path=xl/sharedStrings.xml><?xml version="1.0" encoding="utf-8"?>
<sst xmlns="http://schemas.openxmlformats.org/spreadsheetml/2006/main" count="982" uniqueCount="331">
  <si>
    <t>DSP&amp;L</t>
  </si>
  <si>
    <t>4K Camera thermal design</t>
  </si>
  <si>
    <t>Variables</t>
  </si>
  <si>
    <t>Housing ID</t>
  </si>
  <si>
    <t>Housing OD</t>
  </si>
  <si>
    <t>Housing endcap thickness</t>
  </si>
  <si>
    <t>Housing length</t>
  </si>
  <si>
    <t>Internal heat load</t>
  </si>
  <si>
    <t>Maximum water temperature</t>
  </si>
  <si>
    <t>Units</t>
  </si>
  <si>
    <t>Watts</t>
  </si>
  <si>
    <t>degrees C</t>
  </si>
  <si>
    <t>6061T6</t>
  </si>
  <si>
    <r>
      <t>cal/sec*cm*</t>
    </r>
    <r>
      <rPr>
        <sz val="11"/>
        <color theme="1"/>
        <rFont val="Calibri"/>
        <family val="2"/>
      </rPr>
      <t>°</t>
    </r>
    <r>
      <rPr>
        <sz val="11"/>
        <color theme="1"/>
        <rFont val="Calibri"/>
        <family val="2"/>
        <scheme val="minor"/>
      </rPr>
      <t>C</t>
    </r>
  </si>
  <si>
    <t>mm</t>
  </si>
  <si>
    <t>Titanium</t>
  </si>
  <si>
    <t>Water movement</t>
  </si>
  <si>
    <t>Airflow</t>
  </si>
  <si>
    <t>m3/h</t>
  </si>
  <si>
    <t>cm</t>
  </si>
  <si>
    <t>cm2</t>
  </si>
  <si>
    <t>Housing external surface area</t>
  </si>
  <si>
    <t>Camera &amp; lens</t>
  </si>
  <si>
    <t>Focal 914</t>
  </si>
  <si>
    <t>MBARI CPU PCB</t>
  </si>
  <si>
    <t>Amps 12VDC</t>
  </si>
  <si>
    <t>Power supply efficency</t>
  </si>
  <si>
    <t>Fan estimate</t>
  </si>
  <si>
    <t>Total Internal heat load</t>
  </si>
  <si>
    <t>subtotal</t>
  </si>
  <si>
    <t>Total external surface area</t>
  </si>
  <si>
    <t>Housing endcap external surface area</t>
  </si>
  <si>
    <t>Heat load in Btu/hr</t>
  </si>
  <si>
    <t>Q=Power dissipation in cal/sec</t>
  </si>
  <si>
    <t>A=Cross section area</t>
  </si>
  <si>
    <t>STEP 1. Calculate temperature drop across Titanium housing.</t>
  </si>
  <si>
    <t>1A. Calculate log mean of housing wall cross section area.</t>
  </si>
  <si>
    <t>1C. Calculate temperature drop across housing wall.</t>
  </si>
  <si>
    <t>2A. The temperature can be determined with the convection relation (punting on this for now)</t>
  </si>
  <si>
    <r>
      <rPr>
        <i/>
        <sz val="11"/>
        <color theme="1"/>
        <rFont val="Calibri"/>
        <family val="2"/>
        <scheme val="minor"/>
      </rPr>
      <t>J</t>
    </r>
    <r>
      <rPr>
        <sz val="11"/>
        <color theme="1"/>
        <rFont val="Calibri"/>
        <family val="2"/>
        <scheme val="minor"/>
      </rPr>
      <t>= Colburn factor</t>
    </r>
  </si>
  <si>
    <t>STEP 2. Calculate temperature drop from housing to water.</t>
  </si>
  <si>
    <r>
      <rPr>
        <i/>
        <sz val="11"/>
        <color theme="1"/>
        <rFont val="Calibri"/>
        <family val="2"/>
        <scheme val="minor"/>
      </rPr>
      <t>Cp</t>
    </r>
    <r>
      <rPr>
        <sz val="11"/>
        <color theme="1"/>
        <rFont val="Calibri"/>
        <family val="2"/>
        <scheme val="minor"/>
      </rPr>
      <t xml:space="preserve"> = specific heat of fluid</t>
    </r>
  </si>
  <si>
    <r>
      <rPr>
        <i/>
        <sz val="11"/>
        <color theme="1"/>
        <rFont val="Calibri"/>
        <family val="2"/>
        <scheme val="minor"/>
      </rPr>
      <t>G</t>
    </r>
    <r>
      <rPr>
        <sz val="11"/>
        <color theme="1"/>
        <rFont val="Calibri"/>
        <family val="2"/>
        <scheme val="minor"/>
      </rPr>
      <t xml:space="preserve"> = weight velocity flow</t>
    </r>
  </si>
  <si>
    <r>
      <rPr>
        <i/>
        <sz val="11"/>
        <color theme="1"/>
        <rFont val="Calibri"/>
        <family val="2"/>
      </rPr>
      <t>K</t>
    </r>
    <r>
      <rPr>
        <sz val="11"/>
        <color theme="1"/>
        <rFont val="Calibri"/>
        <family val="2"/>
      </rPr>
      <t xml:space="preserve"> = thermal conductivity of fluid</t>
    </r>
  </si>
  <si>
    <r>
      <t>∆</t>
    </r>
    <r>
      <rPr>
        <i/>
        <sz val="11"/>
        <color theme="1"/>
        <rFont val="Calibri"/>
        <family val="2"/>
      </rPr>
      <t>t</t>
    </r>
    <r>
      <rPr>
        <sz val="11"/>
        <color theme="1"/>
        <rFont val="Calibri"/>
        <family val="2"/>
      </rPr>
      <t xml:space="preserve"> = temperature rise</t>
    </r>
  </si>
  <si>
    <t>Q = heat in cal/sec</t>
  </si>
  <si>
    <t>Q = Power dissipation in cal/sec</t>
  </si>
  <si>
    <t>A = Surface area</t>
  </si>
  <si>
    <t>hc = Convection coefficient</t>
  </si>
  <si>
    <r>
      <rPr>
        <i/>
        <sz val="11"/>
        <color theme="1"/>
        <rFont val="Calibri"/>
        <family val="2"/>
        <scheme val="minor"/>
      </rPr>
      <t>Cp</t>
    </r>
    <r>
      <rPr>
        <sz val="11"/>
        <color theme="1"/>
        <rFont val="Calibri"/>
        <family val="2"/>
        <scheme val="minor"/>
      </rPr>
      <t xml:space="preserve"> = specific heat in cal/g  </t>
    </r>
    <r>
      <rPr>
        <sz val="11"/>
        <color theme="1"/>
        <rFont val="Calibri"/>
        <family val="2"/>
      </rPr>
      <t>°C</t>
    </r>
  </si>
  <si>
    <r>
      <rPr>
        <i/>
        <sz val="11"/>
        <color theme="1"/>
        <rFont val="Calibri"/>
        <family val="2"/>
        <scheme val="minor"/>
      </rPr>
      <t>W</t>
    </r>
    <r>
      <rPr>
        <sz val="11"/>
        <color theme="1"/>
        <rFont val="Calibri"/>
        <family val="2"/>
        <scheme val="minor"/>
      </rPr>
      <t xml:space="preserve"> = air flow in g/sec</t>
    </r>
  </si>
  <si>
    <t>Maximum internal inlet temp.</t>
  </si>
  <si>
    <t>Estimated internal exit temp.</t>
  </si>
  <si>
    <t>Air</t>
  </si>
  <si>
    <r>
      <t xml:space="preserve">cal/g </t>
    </r>
    <r>
      <rPr>
        <sz val="11"/>
        <color theme="1"/>
        <rFont val="Calibri"/>
        <family val="2"/>
      </rPr>
      <t>°</t>
    </r>
    <r>
      <rPr>
        <sz val="11"/>
        <color theme="1"/>
        <rFont val="Calibri"/>
        <family val="2"/>
        <scheme val="minor"/>
      </rPr>
      <t>C</t>
    </r>
  </si>
  <si>
    <t>grams/second</t>
  </si>
  <si>
    <t>STEP 3. Calculate minimum mass air flow required to transfer heat load.</t>
  </si>
  <si>
    <t>average air temperature Kelvin</t>
  </si>
  <si>
    <t>g/cm3</t>
  </si>
  <si>
    <t>Q = volumetric flow in cm3</t>
  </si>
  <si>
    <t>W = mass flow in g/sec.</t>
  </si>
  <si>
    <t>volumetric flow =</t>
  </si>
  <si>
    <t>cm3/sec</t>
  </si>
  <si>
    <t>m3/sec</t>
  </si>
  <si>
    <t>m3/hour</t>
  </si>
  <si>
    <t>Total housing x-section for heat transfer</t>
  </si>
  <si>
    <t>Step 5. Calculate temperature rise beween air and housing inner wall.</t>
  </si>
  <si>
    <r>
      <rPr>
        <i/>
        <sz val="11"/>
        <color theme="1"/>
        <rFont val="Calibri"/>
        <family val="2"/>
        <scheme val="minor"/>
      </rPr>
      <t>p</t>
    </r>
    <r>
      <rPr>
        <sz val="11"/>
        <color theme="1"/>
        <rFont val="Calibri"/>
        <family val="2"/>
        <scheme val="minor"/>
      </rPr>
      <t xml:space="preserve"> = air density at average housing air temperature</t>
    </r>
  </si>
  <si>
    <r>
      <rPr>
        <i/>
        <sz val="11"/>
        <color theme="1"/>
        <rFont val="Calibri"/>
        <family val="2"/>
      </rPr>
      <t>µ</t>
    </r>
    <r>
      <rPr>
        <sz val="11"/>
        <color theme="1"/>
        <rFont val="Calibri"/>
        <family val="2"/>
      </rPr>
      <t xml:space="preserve"> = viscosity of fluid at average temperature</t>
    </r>
  </si>
  <si>
    <t xml:space="preserve">D = hydraulic diameter = </t>
  </si>
  <si>
    <t xml:space="preserve">Inner duct diameter = </t>
  </si>
  <si>
    <t>Calcu. outer-inner duct area A =</t>
  </si>
  <si>
    <t>Calcu. total perimeter =</t>
  </si>
  <si>
    <t>Assume air flow is circular annulus duct composed of inner and outer cylinders</t>
  </si>
  <si>
    <t xml:space="preserve">G = </t>
  </si>
  <si>
    <t>g/sec cm2</t>
  </si>
  <si>
    <t>g/cm sec</t>
  </si>
  <si>
    <r>
      <rPr>
        <i/>
        <sz val="11"/>
        <color theme="1"/>
        <rFont val="Calibri"/>
        <family val="2"/>
      </rPr>
      <t>µ</t>
    </r>
    <r>
      <rPr>
        <sz val="11"/>
        <color theme="1"/>
        <rFont val="Calibri"/>
        <family val="2"/>
      </rPr>
      <t xml:space="preserve"> = viscosity of fluid at average housing temperature</t>
    </r>
  </si>
  <si>
    <t xml:space="preserve">J = </t>
  </si>
  <si>
    <t xml:space="preserve">Hc  = </t>
  </si>
  <si>
    <t>Thermal conductivity K</t>
  </si>
  <si>
    <t>Specific heat Cp</t>
  </si>
  <si>
    <r>
      <t xml:space="preserve">cal/sec cm2 </t>
    </r>
    <r>
      <rPr>
        <sz val="11"/>
        <color theme="1"/>
        <rFont val="Calibri"/>
        <family val="2"/>
      </rPr>
      <t>°C</t>
    </r>
  </si>
  <si>
    <t>Temp delta housing to air</t>
  </si>
  <si>
    <t>Estimated average air temp.</t>
  </si>
  <si>
    <t>Heat load in cal/sec Q</t>
  </si>
  <si>
    <t>K=Thermal conductivity in cal/sec*cm*°C</t>
  </si>
  <si>
    <t>°C</t>
  </si>
  <si>
    <t>Hydraulic dia. D for annulus =</t>
  </si>
  <si>
    <t xml:space="preserve">Duct approximate aspect ratio = </t>
  </si>
  <si>
    <t>Minimum W =</t>
  </si>
  <si>
    <t xml:space="preserve">Total mass flow W = </t>
  </si>
  <si>
    <t>Grey values calculated results - no editing</t>
  </si>
  <si>
    <t>Variables that can be changed</t>
  </si>
  <si>
    <t>Red are key values used by subsequent calculations</t>
  </si>
  <si>
    <t>Front bulkhead heatsink area</t>
  </si>
  <si>
    <t>100221414-14-B_PortSideAlignmentCone_HeatSinkVersion heatsink area</t>
  </si>
  <si>
    <t>Solidworks areas</t>
  </si>
  <si>
    <t>in2</t>
  </si>
  <si>
    <t>inside faces of 1 channel</t>
  </si>
  <si>
    <t>X 30 channels</t>
  </si>
  <si>
    <t>Total inside one channel</t>
  </si>
  <si>
    <t>Total heatsink area</t>
  </si>
  <si>
    <t>Convert to cm2</t>
  </si>
  <si>
    <t>remaining surface area (housing ID - alignment cone diameter)</t>
  </si>
  <si>
    <t>alignment cone diameter</t>
  </si>
  <si>
    <t>in</t>
  </si>
  <si>
    <t>alignment cone area</t>
  </si>
  <si>
    <t>Total remaining front surface area</t>
  </si>
  <si>
    <t>total front bulkhead area</t>
  </si>
  <si>
    <t>Total front bulkhead surface area</t>
  </si>
  <si>
    <t>Rear bulkhead heatsink area</t>
  </si>
  <si>
    <t>total rear bulkhead area</t>
  </si>
  <si>
    <t>Housing internal end cap flat surface area (thru wall calc)</t>
  </si>
  <si>
    <t>Front endcap internal surface area (convection calc)</t>
  </si>
  <si>
    <t>Rear endcap internal surface area (convection calc)</t>
  </si>
  <si>
    <t>Total internal surface area (convection calc)</t>
  </si>
  <si>
    <t>Additional mass flow (for modeling)</t>
  </si>
  <si>
    <t>Housing wall internal surface area</t>
  </si>
  <si>
    <t>Housing wall thermal path length (thickness)</t>
  </si>
  <si>
    <t>L=Thermal path length</t>
  </si>
  <si>
    <t>degrees Kelvin</t>
  </si>
  <si>
    <r>
      <t xml:space="preserve">Density </t>
    </r>
    <r>
      <rPr>
        <i/>
        <sz val="11"/>
        <color theme="1"/>
        <rFont val="Calibri"/>
        <family val="2"/>
        <scheme val="minor"/>
      </rPr>
      <t>p</t>
    </r>
  </si>
  <si>
    <t>Outer duct diameter (housing ID) =</t>
  </si>
  <si>
    <t>1.B Sum housing cylinder log mean x-section area with endcap internal area (conservative).</t>
  </si>
  <si>
    <t xml:space="preserve">Minimum fan air movement = </t>
  </si>
  <si>
    <r>
      <t xml:space="preserve">Dynamic Viscosity </t>
    </r>
    <r>
      <rPr>
        <sz val="11"/>
        <color theme="1"/>
        <rFont val="Calibri"/>
        <family val="2"/>
      </rPr>
      <t>µ</t>
    </r>
  </si>
  <si>
    <t>Constants at 43 degrees C</t>
  </si>
  <si>
    <r>
      <t>Water (at 25</t>
    </r>
    <r>
      <rPr>
        <sz val="11"/>
        <color theme="1"/>
        <rFont val="Calibri"/>
        <family val="2"/>
      </rPr>
      <t>°</t>
    </r>
    <r>
      <rPr>
        <sz val="8.25"/>
        <color theme="1"/>
        <rFont val="Calibri"/>
        <family val="2"/>
      </rPr>
      <t>C)</t>
    </r>
  </si>
  <si>
    <t>Helium</t>
  </si>
  <si>
    <t>area of flow =</t>
  </si>
  <si>
    <t>hydraulic diameter D =</t>
  </si>
  <si>
    <t>total mass flow =</t>
  </si>
  <si>
    <t>mass velocity flow G =</t>
  </si>
  <si>
    <t>g/sec</t>
  </si>
  <si>
    <t>G = Mass velocity  flow in g/cm2 sec</t>
  </si>
  <si>
    <t>g/cm2 sec</t>
  </si>
  <si>
    <t xml:space="preserve">Nr = </t>
  </si>
  <si>
    <t xml:space="preserve">b = </t>
  </si>
  <si>
    <t xml:space="preserve">m = </t>
  </si>
  <si>
    <t xml:space="preserve">h = </t>
  </si>
  <si>
    <t xml:space="preserve">Δ °C = </t>
  </si>
  <si>
    <t xml:space="preserve">water velocity = </t>
  </si>
  <si>
    <t>cm sec</t>
  </si>
  <si>
    <t>Nr=</t>
  </si>
  <si>
    <t>see note 1</t>
  </si>
  <si>
    <t>Key</t>
  </si>
  <si>
    <t>Max water temperature equals:</t>
  </si>
  <si>
    <t>RESULTS</t>
  </si>
  <si>
    <t xml:space="preserve"> </t>
  </si>
  <si>
    <t>rectangular ducts aspect ratio &gt; 8</t>
  </si>
  <si>
    <t>square ducts aspect ratio = 1</t>
  </si>
  <si>
    <t>turbulent ducts Nr = 10,000-120,000</t>
  </si>
  <si>
    <t>= D1-D2 for annulus</t>
  </si>
  <si>
    <t>5A. Weight velocity flow G is calculated from total mass flow W.</t>
  </si>
  <si>
    <t>5B. The Reynolds number for the air duct along the housing wall is calculated as;</t>
  </si>
  <si>
    <t>5C. The Colburn J factor is determined from the Reynolds number (Nr) and for rectangular ducts aspect ratio &gt; 8</t>
  </si>
  <si>
    <r>
      <t xml:space="preserve">5D. Convection coefficient </t>
    </r>
    <r>
      <rPr>
        <i/>
        <sz val="11"/>
        <color theme="1"/>
        <rFont val="Calibri"/>
        <family val="2"/>
        <scheme val="minor"/>
      </rPr>
      <t>Hc</t>
    </r>
    <r>
      <rPr>
        <sz val="11"/>
        <color theme="1"/>
        <rFont val="Calibri"/>
        <family val="2"/>
        <scheme val="minor"/>
      </rPr>
      <t xml:space="preserve"> is calculated for different duct geometries and </t>
    </r>
    <r>
      <rPr>
        <i/>
        <sz val="11"/>
        <color theme="1"/>
        <rFont val="Calibri"/>
        <family val="2"/>
        <scheme val="minor"/>
      </rPr>
      <t>Nr</t>
    </r>
    <r>
      <rPr>
        <sz val="11"/>
        <color theme="1"/>
        <rFont val="Calibri"/>
        <family val="2"/>
        <scheme val="minor"/>
      </rPr>
      <t xml:space="preserve"> values</t>
    </r>
  </si>
  <si>
    <t>5E. Substituting in Hc and total housing internal surface area A</t>
  </si>
  <si>
    <r>
      <t xml:space="preserve">for </t>
    </r>
    <r>
      <rPr>
        <i/>
        <sz val="11"/>
        <color theme="1"/>
        <rFont val="Calibri"/>
        <family val="2"/>
        <scheme val="minor"/>
      </rPr>
      <t>Nr</t>
    </r>
    <r>
      <rPr>
        <sz val="11"/>
        <color theme="1"/>
        <rFont val="Calibri"/>
        <family val="2"/>
        <scheme val="minor"/>
      </rPr>
      <t xml:space="preserve"> = 4000-40,000</t>
    </r>
  </si>
  <si>
    <t>A = Surface area for heat transfer</t>
  </si>
  <si>
    <t>A = Surface area for fluid flow</t>
  </si>
  <si>
    <t>alternate aspect ratio calculation</t>
  </si>
  <si>
    <t>average internal air  temperature - (air to Ti ∆T) - Ti ∆T - (Ti to water ∆T)</t>
  </si>
  <si>
    <t>Step 4. Calculate volumetric flow from mass flow for estimating fan requirements.</t>
  </si>
  <si>
    <t>water flow channel diameter =</t>
  </si>
  <si>
    <t>Seawater Tmax =</t>
  </si>
  <si>
    <t xml:space="preserve">Heatsink base area = </t>
  </si>
  <si>
    <t xml:space="preserve">Heatsink base diameter = </t>
  </si>
  <si>
    <t xml:space="preserve">ratio of total area to base area = </t>
  </si>
  <si>
    <t xml:space="preserve">Housing ID = </t>
  </si>
  <si>
    <t xml:space="preserve">rear bulkhead flat area = </t>
  </si>
  <si>
    <t xml:space="preserve">outside surface = </t>
  </si>
  <si>
    <t xml:space="preserve">Inside surface = </t>
  </si>
  <si>
    <t xml:space="preserve">i2MAP heatsink base diameter = </t>
  </si>
  <si>
    <t xml:space="preserve">i2MAP heatsink base area = </t>
  </si>
  <si>
    <t xml:space="preserve">i2MAP heatsink area = </t>
  </si>
  <si>
    <t>2C. Calculate convection coefficent for cylinder in flow</t>
  </si>
  <si>
    <t>2B. Calculate Reynolds number assuming a 10 meter diameter water flow channel at 0.5 cm per second impinging on camera cylinder</t>
  </si>
  <si>
    <t>rev. 2020_2_20</t>
  </si>
  <si>
    <t>Amps</t>
  </si>
  <si>
    <t>Housing length (ID)</t>
  </si>
  <si>
    <t>Additional mass flow multiplier (for modeling)</t>
  </si>
  <si>
    <t>additional mass flow multiplier (for what/if modeling)</t>
  </si>
  <si>
    <r>
      <t>Heat load in cal/sec</t>
    </r>
    <r>
      <rPr>
        <b/>
        <sz val="11"/>
        <color theme="1"/>
        <rFont val="Calibri"/>
        <family val="2"/>
        <scheme val="minor"/>
      </rPr>
      <t xml:space="preserve"> "Q"</t>
    </r>
  </si>
  <si>
    <t>OLD</t>
  </si>
  <si>
    <t>NEW</t>
  </si>
  <si>
    <t>Endcap radius=</t>
  </si>
  <si>
    <t>inches</t>
  </si>
  <si>
    <t>area =</t>
  </si>
  <si>
    <t>heatsink flat area =</t>
  </si>
  <si>
    <r>
      <t xml:space="preserve">5A. Weight velocity flow </t>
    </r>
    <r>
      <rPr>
        <b/>
        <sz val="11"/>
        <color theme="1"/>
        <rFont val="Calibri"/>
        <family val="2"/>
        <scheme val="minor"/>
      </rPr>
      <t>G</t>
    </r>
    <r>
      <rPr>
        <sz val="11"/>
        <color theme="1"/>
        <rFont val="Calibri"/>
        <family val="2"/>
        <scheme val="minor"/>
      </rPr>
      <t xml:space="preserve"> is calculated from total mass flow </t>
    </r>
    <r>
      <rPr>
        <b/>
        <sz val="11"/>
        <color theme="1"/>
        <rFont val="Calibri"/>
        <family val="2"/>
        <scheme val="minor"/>
      </rPr>
      <t>W</t>
    </r>
    <r>
      <rPr>
        <sz val="11"/>
        <color theme="1"/>
        <rFont val="Calibri"/>
        <family val="2"/>
        <scheme val="minor"/>
      </rPr>
      <t>.</t>
    </r>
  </si>
  <si>
    <r>
      <t>2C. Calculate convection coefficent (</t>
    </r>
    <r>
      <rPr>
        <b/>
        <i/>
        <sz val="11"/>
        <color theme="1"/>
        <rFont val="Calibri"/>
        <family val="2"/>
        <scheme val="minor"/>
      </rPr>
      <t>hc</t>
    </r>
    <r>
      <rPr>
        <sz val="11"/>
        <color theme="1"/>
        <rFont val="Calibri"/>
        <family val="2"/>
        <scheme val="minor"/>
      </rPr>
      <t>)for cylinder in flow</t>
    </r>
  </si>
  <si>
    <t>2A. The temperature difference between housing and water can be determined with the convection relation.</t>
  </si>
  <si>
    <t xml:space="preserve">hc = </t>
  </si>
  <si>
    <t>kcal/hr/m2/°C</t>
  </si>
  <si>
    <t>W/m2/°C</t>
  </si>
  <si>
    <r>
      <rPr>
        <i/>
        <sz val="11"/>
        <color theme="1"/>
        <rFont val="Calibri"/>
        <family val="2"/>
        <scheme val="minor"/>
      </rPr>
      <t xml:space="preserve">hc </t>
    </r>
    <r>
      <rPr>
        <sz val="11"/>
        <color theme="1"/>
        <rFont val="Calibri"/>
        <family val="2"/>
        <scheme val="minor"/>
      </rPr>
      <t>conversions</t>
    </r>
  </si>
  <si>
    <t>m2</t>
  </si>
  <si>
    <t>cal/sec</t>
  </si>
  <si>
    <t>Housing barrel external surface area</t>
  </si>
  <si>
    <r>
      <t xml:space="preserve">cal/sec/cm2 </t>
    </r>
    <r>
      <rPr>
        <sz val="11"/>
        <color theme="1"/>
        <rFont val="Calibri"/>
        <family val="2"/>
      </rPr>
      <t>°C</t>
    </r>
  </si>
  <si>
    <r>
      <t xml:space="preserve">5E. Substituting in </t>
    </r>
    <r>
      <rPr>
        <i/>
        <sz val="11"/>
        <color theme="1"/>
        <rFont val="Calibri"/>
        <family val="2"/>
        <scheme val="minor"/>
      </rPr>
      <t>hc</t>
    </r>
    <r>
      <rPr>
        <sz val="11"/>
        <color theme="1"/>
        <rFont val="Calibri"/>
        <family val="2"/>
        <scheme val="minor"/>
      </rPr>
      <t xml:space="preserve"> and total housing internal surface area A</t>
    </r>
  </si>
  <si>
    <t>area factor</t>
  </si>
  <si>
    <t xml:space="preserve">Bus voltage  = </t>
  </si>
  <si>
    <t>Volts</t>
  </si>
  <si>
    <t>SolidWorks Flow Simulation Results</t>
  </si>
  <si>
    <t>water temp</t>
  </si>
  <si>
    <t>multiplication factor</t>
  </si>
  <si>
    <t>2B. Calculate Reynolds number assuming a 10 meter diameter water flow channel at 0.25 cm per second impinging on camera cylinder</t>
  </si>
  <si>
    <t>Forcing water velocity:</t>
  </si>
  <si>
    <t>(0.0025 m sec.)</t>
  </si>
  <si>
    <t>cm sec.</t>
  </si>
  <si>
    <t>forced lateral convection</t>
  </si>
  <si>
    <t>forced longitudinal</t>
  </si>
  <si>
    <t xml:space="preserve"> + Free convection</t>
  </si>
  <si>
    <t>Manual Calculation Results</t>
  </si>
  <si>
    <t>Average temp delta housing to air</t>
  </si>
  <si>
    <r>
      <t xml:space="preserve">5D. Convection coefficient </t>
    </r>
    <r>
      <rPr>
        <i/>
        <sz val="11"/>
        <color theme="1"/>
        <rFont val="Calibri"/>
        <family val="2"/>
        <scheme val="minor"/>
      </rPr>
      <t>Hc</t>
    </r>
    <r>
      <rPr>
        <sz val="11"/>
        <color theme="1"/>
        <rFont val="Calibri"/>
        <family val="2"/>
        <scheme val="minor"/>
      </rPr>
      <t xml:space="preserve"> for air is calculated for different duct geometries and </t>
    </r>
    <r>
      <rPr>
        <i/>
        <sz val="11"/>
        <color theme="1"/>
        <rFont val="Calibri"/>
        <family val="2"/>
        <scheme val="minor"/>
      </rPr>
      <t>Nr</t>
    </r>
    <r>
      <rPr>
        <sz val="11"/>
        <color theme="1"/>
        <rFont val="Calibri"/>
        <family val="2"/>
        <scheme val="minor"/>
      </rPr>
      <t xml:space="preserve"> values</t>
    </r>
  </si>
  <si>
    <r>
      <t>Flow simulation average internal temperature with 25</t>
    </r>
    <r>
      <rPr>
        <sz val="11"/>
        <color theme="1"/>
        <rFont val="Calibri"/>
        <family val="2"/>
      </rPr>
      <t>° C seawater</t>
    </r>
  </si>
  <si>
    <t>m3/sec.</t>
  </si>
  <si>
    <t>Avg. external wall temp.</t>
  </si>
  <si>
    <t>Avg. internal wall temp.</t>
  </si>
  <si>
    <t>Free convection only</t>
  </si>
  <si>
    <t>Average air temperature</t>
  </si>
  <si>
    <t>Step 4.Solidworks volumetric flow from simulation and fan curves.</t>
  </si>
  <si>
    <t xml:space="preserve">SW calculated fan air movement = </t>
  </si>
  <si>
    <t>STEP 2. SW calculated average temperature drop from housing to water.</t>
  </si>
  <si>
    <t>STEP 1. SW calculated temperature drop across Titanium housing.</t>
  </si>
  <si>
    <t>only</t>
  </si>
  <si>
    <r>
      <t xml:space="preserve">Housing/water </t>
    </r>
    <r>
      <rPr>
        <i/>
        <sz val="11"/>
        <color theme="1"/>
        <rFont val="Calibri"/>
        <family val="2"/>
        <scheme val="minor"/>
      </rPr>
      <t>hc</t>
    </r>
    <r>
      <rPr>
        <sz val="11"/>
        <color theme="1"/>
        <rFont val="Calibri"/>
        <family val="2"/>
        <scheme val="minor"/>
      </rPr>
      <t xml:space="preserve"> for ref.</t>
    </r>
  </si>
  <si>
    <t>only (worst case)</t>
  </si>
  <si>
    <t>same as forced longitudinal</t>
  </si>
  <si>
    <t>SW forcing conditions:</t>
  </si>
  <si>
    <r>
      <t xml:space="preserve">Note that the calculation method first calculated with external flow simulation the Titanium housing to seawater convection coefficient </t>
    </r>
    <r>
      <rPr>
        <i/>
        <sz val="11"/>
        <color theme="1"/>
        <rFont val="Calibri"/>
        <family val="2"/>
        <scheme val="minor"/>
      </rPr>
      <t>hc</t>
    </r>
    <r>
      <rPr>
        <sz val="11"/>
        <color theme="1"/>
        <rFont val="Calibri"/>
        <family val="2"/>
        <scheme val="minor"/>
      </rPr>
      <t xml:space="preserve"> for different flow conditions and the resulting housing/seawater temperature delta at the designed heat load and then used these boundry conditions for a second internal simulation of the chassis flow and temperature performance. Three cases were modeled for internal flow. 1. The case that was manually calculated - for comparison. 2. Longitudinal water flow, which was the worst case. 3. Longitudinal water flow with free convection, the possibly most likely condition.</t>
    </r>
  </si>
  <si>
    <t>NOT APPLICABLE TO SIMULATION</t>
  </si>
  <si>
    <t>Heat load =</t>
  </si>
  <si>
    <t>Set boundary condition of</t>
  </si>
  <si>
    <t>and housing wall temp</t>
  </si>
  <si>
    <r>
      <t xml:space="preserve"> housing to seawater </t>
    </r>
    <r>
      <rPr>
        <i/>
        <sz val="11"/>
        <color theme="1"/>
        <rFont val="Calibri"/>
        <family val="2"/>
        <scheme val="minor"/>
      </rPr>
      <t>hc</t>
    </r>
    <r>
      <rPr>
        <sz val="11"/>
        <color theme="1"/>
        <rFont val="Calibri"/>
        <family val="2"/>
        <scheme val="minor"/>
      </rPr>
      <t xml:space="preserve"> </t>
    </r>
  </si>
  <si>
    <t>same as forced lateral</t>
  </si>
  <si>
    <r>
      <t xml:space="preserve">housing to seawater </t>
    </r>
    <r>
      <rPr>
        <i/>
        <sz val="11"/>
        <color theme="1"/>
        <rFont val="Calibri"/>
        <family val="2"/>
        <scheme val="minor"/>
      </rPr>
      <t>hc</t>
    </r>
    <r>
      <rPr>
        <sz val="11"/>
        <color theme="1"/>
        <rFont val="Calibri"/>
        <family val="2"/>
        <scheme val="minor"/>
      </rPr>
      <t xml:space="preserve"> </t>
    </r>
  </si>
  <si>
    <t>Estimated average air temp. max target</t>
  </si>
  <si>
    <t>average internal air  max. temperature - (air to Ti ∆T) - Ti ∆T - (Ti to water ∆T)</t>
  </si>
  <si>
    <t>uses rear bulkhead and 25% front bulkhead</t>
  </si>
  <si>
    <t>does not account for extra end cap thickness!</t>
  </si>
  <si>
    <t>FAN DATA</t>
  </si>
  <si>
    <t>rotor speed (rpm)</t>
  </si>
  <si>
    <t>rotor speed (radians/second)</t>
  </si>
  <si>
    <t>Fan diameter (m)</t>
  </si>
  <si>
    <t>Hub diameter (m)</t>
  </si>
  <si>
    <t>Rotation direction</t>
  </si>
  <si>
    <t>clockwise</t>
  </si>
  <si>
    <t>M^3/hr</t>
  </si>
  <si>
    <t>M^3/sec</t>
  </si>
  <si>
    <t>Static Pressure (Pa)</t>
  </si>
  <si>
    <t>M^3/min</t>
  </si>
  <si>
    <t>Data sheet</t>
  </si>
  <si>
    <t>Sony/SanAce at 12VDC</t>
  </si>
  <si>
    <t>Sony/SanAce at 13.8VDC</t>
  </si>
  <si>
    <t>Pabst 712F (assume 12V)</t>
  </si>
  <si>
    <r>
      <rPr>
        <sz val="11"/>
        <color theme="1"/>
        <rFont val="Calibri"/>
        <family val="2"/>
        <scheme val="minor"/>
      </rPr>
      <t>SW Air/housing avg.</t>
    </r>
    <r>
      <rPr>
        <i/>
        <sz val="11"/>
        <color theme="1"/>
        <rFont val="Calibri"/>
        <family val="2"/>
        <scheme val="minor"/>
      </rPr>
      <t xml:space="preserve"> Hc  = </t>
    </r>
  </si>
  <si>
    <t>Housing air maximum temperature target</t>
  </si>
  <si>
    <t>Maximum ambient seawater temperature target</t>
  </si>
  <si>
    <t>Internal housing heat load</t>
  </si>
  <si>
    <t>Water flow conditions</t>
  </si>
  <si>
    <r>
      <rPr>
        <sz val="11"/>
        <color theme="1"/>
        <rFont val="Calibri"/>
        <family val="2"/>
      </rPr>
      <t>∆</t>
    </r>
    <r>
      <rPr>
        <sz val="11"/>
        <color theme="1"/>
        <rFont val="Calibri"/>
        <family val="2"/>
        <scheme val="minor"/>
      </rPr>
      <t>T across housing wall</t>
    </r>
  </si>
  <si>
    <r>
      <rPr>
        <sz val="11"/>
        <color theme="1"/>
        <rFont val="Calibri"/>
        <family val="2"/>
      </rPr>
      <t>∆</t>
    </r>
    <r>
      <rPr>
        <sz val="11"/>
        <color theme="1"/>
        <rFont val="Calibri"/>
        <family val="2"/>
        <scheme val="minor"/>
      </rPr>
      <t>T housing-to-seawater</t>
    </r>
  </si>
  <si>
    <r>
      <t xml:space="preserve">Air to housing heat transfer coefficient </t>
    </r>
    <r>
      <rPr>
        <b/>
        <i/>
        <sz val="11"/>
        <color theme="1"/>
        <rFont val="Calibri"/>
        <family val="2"/>
        <scheme val="minor"/>
      </rPr>
      <t>hc</t>
    </r>
  </si>
  <si>
    <r>
      <t xml:space="preserve">Housing-to-water heat transfor coefficient </t>
    </r>
    <r>
      <rPr>
        <b/>
        <i/>
        <sz val="11"/>
        <color theme="1"/>
        <rFont val="Calibri"/>
        <family val="2"/>
        <scheme val="minor"/>
      </rPr>
      <t>hc</t>
    </r>
  </si>
  <si>
    <r>
      <t>m</t>
    </r>
    <r>
      <rPr>
        <sz val="11"/>
        <color theme="1"/>
        <rFont val="Calibri"/>
        <family val="2"/>
      </rPr>
      <t>ᶾ</t>
    </r>
    <r>
      <rPr>
        <sz val="11"/>
        <color theme="1"/>
        <rFont val="Calibri"/>
        <family val="2"/>
        <scheme val="minor"/>
      </rPr>
      <t>/hour</t>
    </r>
  </si>
  <si>
    <t>Volumetric airflow</t>
  </si>
  <si>
    <t>Laminar flow in narrow ducts</t>
  </si>
  <si>
    <t>Turbulent flow in narrow ducts</t>
  </si>
  <si>
    <t>Air flow conditions</t>
  </si>
  <si>
    <t>Internal housing average air temperature</t>
  </si>
  <si>
    <t>°C*</t>
  </si>
  <si>
    <t>°C max</t>
  </si>
  <si>
    <t xml:space="preserve">Δ °C across housing wall = </t>
  </si>
  <si>
    <t>Forced water flow velocity</t>
  </si>
  <si>
    <t>m/second</t>
  </si>
  <si>
    <t>Flow conditions determined by simulation calculation</t>
  </si>
  <si>
    <t>4K ROV Camera Thermal Analysis Data Summary</t>
  </si>
  <si>
    <t>Initial Conditions</t>
  </si>
  <si>
    <t>Max. seawater temp. for continous duty</t>
  </si>
  <si>
    <r>
      <t xml:space="preserve">Total </t>
    </r>
    <r>
      <rPr>
        <b/>
        <sz val="12"/>
        <color theme="1"/>
        <rFont val="Calibri"/>
        <family val="2"/>
      </rPr>
      <t>∆</t>
    </r>
    <r>
      <rPr>
        <b/>
        <sz val="12"/>
        <color theme="1"/>
        <rFont val="Calibri"/>
        <family val="2"/>
        <scheme val="minor"/>
      </rPr>
      <t>T internal air to seawater</t>
    </r>
  </si>
  <si>
    <r>
      <t xml:space="preserve">Calculations based on heat convection formulas from </t>
    </r>
    <r>
      <rPr>
        <b/>
        <i/>
        <sz val="11"/>
        <color theme="1"/>
        <rFont val="Calibri"/>
        <family val="2"/>
        <scheme val="minor"/>
      </rPr>
      <t>Cooling Techniques for Electronic Equipment</t>
    </r>
    <r>
      <rPr>
        <b/>
        <sz val="11"/>
        <color theme="1"/>
        <rFont val="Calibri"/>
        <family val="2"/>
        <scheme val="minor"/>
      </rPr>
      <t xml:space="preserve"> and used forced lateral water flow</t>
    </r>
  </si>
  <si>
    <r>
      <t>Set boundary condition of housing to seawater</t>
    </r>
    <r>
      <rPr>
        <b/>
        <i/>
        <sz val="11"/>
        <color theme="1"/>
        <rFont val="Calibri"/>
        <family val="2"/>
        <scheme val="minor"/>
      </rPr>
      <t xml:space="preserve"> hc</t>
    </r>
    <r>
      <rPr>
        <b/>
        <sz val="11"/>
        <color theme="1"/>
        <rFont val="Calibri"/>
        <family val="2"/>
        <scheme val="minor"/>
      </rPr>
      <t xml:space="preserve"> and housing wall temp same as forced longitudinal only (worst case)</t>
    </r>
  </si>
  <si>
    <r>
      <t>Set boundary condition of housing to seawater</t>
    </r>
    <r>
      <rPr>
        <b/>
        <i/>
        <sz val="11"/>
        <color theme="1"/>
        <rFont val="Calibri"/>
        <family val="2"/>
        <scheme val="minor"/>
      </rPr>
      <t xml:space="preserve"> hc</t>
    </r>
    <r>
      <rPr>
        <b/>
        <sz val="11"/>
        <color theme="1"/>
        <rFont val="Calibri"/>
        <family val="2"/>
        <scheme val="minor"/>
      </rPr>
      <t xml:space="preserve"> and housing wall temp same as same as forced lateral only</t>
    </r>
  </si>
  <si>
    <r>
      <t>Set boundary condition of housing to seawater</t>
    </r>
    <r>
      <rPr>
        <b/>
        <i/>
        <sz val="11"/>
        <color theme="1"/>
        <rFont val="Calibri"/>
        <family val="2"/>
        <scheme val="minor"/>
      </rPr>
      <t xml:space="preserve"> hc</t>
    </r>
    <r>
      <rPr>
        <b/>
        <sz val="11"/>
        <color theme="1"/>
        <rFont val="Calibri"/>
        <family val="2"/>
        <scheme val="minor"/>
      </rPr>
      <t xml:space="preserve"> and housing wall temp same as same as same as forced longitudinal + free convection</t>
    </r>
  </si>
  <si>
    <t>* In 25 °C seawater. Note that SW simulation starts with seawater temperature as an environmental condition and calculates the internal average air temperature. Manual calculation starts with maximum allowable average air temperature and calculates the maximum water temperature.
SW maximum water temperature is manually calculated by subtracting the temperature drops across the system from the specified maximum internal temperature °C max so that the calculation results can be directly compared.</t>
  </si>
  <si>
    <r>
      <t>cm</t>
    </r>
    <r>
      <rPr>
        <sz val="11"/>
        <color theme="1"/>
        <rFont val="Calibri"/>
        <family val="2"/>
      </rPr>
      <t>²</t>
    </r>
  </si>
  <si>
    <r>
      <t>m</t>
    </r>
    <r>
      <rPr>
        <sz val="11"/>
        <color theme="1"/>
        <rFont val="Calibri"/>
        <family val="2"/>
      </rPr>
      <t>ᶾ</t>
    </r>
    <r>
      <rPr>
        <sz val="11"/>
        <color theme="1"/>
        <rFont val="Calibri"/>
        <family val="2"/>
        <scheme val="minor"/>
      </rPr>
      <t>/h</t>
    </r>
  </si>
  <si>
    <t>Step 5.Solidworks temperature rise beween air and housing inner wall.</t>
  </si>
  <si>
    <t>Avg. housing wall ID temp. (step 1)</t>
  </si>
  <si>
    <t>Comparing 4K Camera to i2MAP</t>
  </si>
  <si>
    <t>Heat load</t>
  </si>
  <si>
    <t>4K Camera Design</t>
  </si>
  <si>
    <t>Internal surface area</t>
  </si>
  <si>
    <t>delta T from air to seawater</t>
  </si>
  <si>
    <t>i2MAP actual results</t>
  </si>
  <si>
    <r>
      <t xml:space="preserve">4K Camera w/i2MAP </t>
    </r>
    <r>
      <rPr>
        <i/>
        <sz val="11"/>
        <color theme="1"/>
        <rFont val="Calibri"/>
        <family val="2"/>
        <scheme val="minor"/>
      </rPr>
      <t>Hc</t>
    </r>
  </si>
  <si>
    <r>
      <t xml:space="preserve">Calculated heat transfer coefficient </t>
    </r>
    <r>
      <rPr>
        <i/>
        <sz val="11"/>
        <color theme="1"/>
        <rFont val="Calibri"/>
        <family val="2"/>
        <scheme val="minor"/>
      </rPr>
      <t>Hc</t>
    </r>
  </si>
  <si>
    <t>(this fudge factor accounts for the reduced heat transfer through the front bulkhead)</t>
  </si>
  <si>
    <t>Derate factor</t>
  </si>
  <si>
    <r>
      <t xml:space="preserve">Macro calculation of </t>
    </r>
    <r>
      <rPr>
        <b/>
        <i/>
        <sz val="14"/>
        <color theme="1"/>
        <rFont val="Calibri"/>
        <family val="2"/>
        <scheme val="minor"/>
      </rPr>
      <t>Hc</t>
    </r>
  </si>
  <si>
    <t>Max seawater temp</t>
  </si>
  <si>
    <t>Max avg internal temp</t>
  </si>
  <si>
    <t xml:space="preserve">total rear bulkhead flat area = </t>
  </si>
  <si>
    <t>heatsink flat diameter =</t>
  </si>
  <si>
    <t xml:space="preserve">rear bulkhead total heatsink area = </t>
  </si>
  <si>
    <t>total rear bulkhead surface area</t>
  </si>
  <si>
    <t xml:space="preserve">net heatsink surface area = </t>
  </si>
  <si>
    <t xml:space="preserve">net i2MAP heatsink area = </t>
  </si>
  <si>
    <t>i2MAP Camera thermal design Comparison</t>
  </si>
  <si>
    <t>Total i2MAP Heat Load</t>
  </si>
  <si>
    <t>Δ °C Avg. Internal air to seawater</t>
  </si>
  <si>
    <t>Experiments in SW simulation</t>
  </si>
  <si>
    <t>Seawater =</t>
  </si>
  <si>
    <t>Air T Avg. =</t>
  </si>
  <si>
    <t>Heatpad entire bulkhead to endcap</t>
  </si>
  <si>
    <t>Baseline condition</t>
  </si>
  <si>
    <t>Heatpad Vicor and telemetry modules</t>
  </si>
  <si>
    <t>Add full alignment cone and dome/support</t>
  </si>
  <si>
    <t>Add alum spacers and therm reliefs in PCB</t>
  </si>
  <si>
    <t>Changed Hc to 79.6 (worst case)</t>
  </si>
  <si>
    <t>Module temp</t>
  </si>
  <si>
    <t>Focal mux</t>
  </si>
  <si>
    <t>Add heatpad</t>
  </si>
  <si>
    <t>Vicor w/air heatsink</t>
  </si>
  <si>
    <t>Add heatpad to chassis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</si>
</sst>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0000000"/>
    <numFmt numFmtId="166" formatCode="0.0000000"/>
    <numFmt numFmtId="167" formatCode="0.000000"/>
    <numFmt numFmtId="168" formatCode="0.0000000000"/>
    <numFmt numFmtId="169" formatCode="0.000000000"/>
    <numFmt numFmtId="170" formatCode="0.0000"/>
    <numFmt numFmtId="171" formatCode="0.000"/>
  </numFmts>
  <fonts count="32" x14ac:knownFonts="1">
    <font>
      <sz val="11"/>
      <color theme="1"/>
      <name val="Calibri"/>
      <family val="2"/>
      <scheme val="minor"/>
    </font>
    <font>
      <b/>
      <sz val="11"/>
      <color theme="1"/>
      <name val="Calibri"/>
      <family val="2"/>
      <scheme val="minor"/>
    </font>
    <font>
      <sz val="11"/>
      <color theme="1"/>
      <name val="Calibri"/>
      <family val="2"/>
    </font>
    <font>
      <i/>
      <sz val="11"/>
      <color theme="1"/>
      <name val="Calibri"/>
      <family val="2"/>
      <scheme val="minor"/>
    </font>
    <font>
      <i/>
      <sz val="11"/>
      <color theme="1"/>
      <name val="Calibri"/>
      <family val="2"/>
    </font>
    <font>
      <b/>
      <sz val="11"/>
      <color rgb="FFC00000"/>
      <name val="Calibri"/>
      <family val="2"/>
      <scheme val="minor"/>
    </font>
    <font>
      <sz val="11"/>
      <color rgb="FFC00000"/>
      <name val="Calibri"/>
      <family val="2"/>
      <scheme val="minor"/>
    </font>
    <font>
      <b/>
      <sz val="12"/>
      <color theme="1"/>
      <name val="Calibri"/>
      <family val="2"/>
      <scheme val="minor"/>
    </font>
    <font>
      <sz val="12"/>
      <color theme="1"/>
      <name val="Calibri"/>
      <family val="2"/>
    </font>
    <font>
      <sz val="16"/>
      <color theme="1"/>
      <name val="Calibri"/>
      <family val="2"/>
    </font>
    <font>
      <sz val="16"/>
      <color rgb="FFC00000"/>
      <name val="Calibri"/>
      <family val="2"/>
      <scheme val="minor"/>
    </font>
    <font>
      <b/>
      <u/>
      <sz val="11"/>
      <color theme="1"/>
      <name val="Calibri"/>
      <family val="2"/>
      <scheme val="minor"/>
    </font>
    <font>
      <sz val="8.25"/>
      <color theme="1"/>
      <name val="Calibri"/>
      <family val="2"/>
    </font>
    <font>
      <sz val="12"/>
      <color theme="1"/>
      <name val="Calibri"/>
      <family val="2"/>
      <scheme val="minor"/>
    </font>
    <font>
      <b/>
      <sz val="16"/>
      <color theme="1"/>
      <name val="Calibri"/>
      <family val="2"/>
      <scheme val="minor"/>
    </font>
    <font>
      <sz val="11"/>
      <color rgb="FFFF0000"/>
      <name val="Calibri"/>
      <family val="2"/>
      <scheme val="minor"/>
    </font>
    <font>
      <b/>
      <sz val="11"/>
      <color rgb="FFFF0000"/>
      <name val="Calibri"/>
      <family val="2"/>
      <scheme val="minor"/>
    </font>
    <font>
      <b/>
      <sz val="11"/>
      <name val="Calibri"/>
      <family val="2"/>
      <scheme val="minor"/>
    </font>
    <font>
      <b/>
      <i/>
      <sz val="11"/>
      <color theme="1"/>
      <name val="Calibri"/>
      <family val="2"/>
      <scheme val="minor"/>
    </font>
    <font>
      <strike/>
      <sz val="11"/>
      <color rgb="FFC00000"/>
      <name val="Calibri"/>
      <family val="2"/>
      <scheme val="minor"/>
    </font>
    <font>
      <b/>
      <sz val="12"/>
      <color theme="1"/>
      <name val="Calibri"/>
      <family val="2"/>
    </font>
    <font>
      <b/>
      <sz val="11"/>
      <color theme="1"/>
      <name val="Calibri"/>
      <family val="2"/>
    </font>
    <font>
      <b/>
      <sz val="16"/>
      <name val="Calibri"/>
      <family val="2"/>
      <scheme val="minor"/>
    </font>
    <font>
      <sz val="11"/>
      <color indexed="8"/>
      <name val="Calibri"/>
      <family val="2"/>
    </font>
    <font>
      <b/>
      <sz val="11"/>
      <color indexed="8"/>
      <name val="Calibri"/>
      <family val="2"/>
    </font>
    <font>
      <sz val="14"/>
      <color theme="1"/>
      <name val="Calibri"/>
      <family val="2"/>
      <scheme val="minor"/>
    </font>
    <font>
      <sz val="16"/>
      <color theme="1"/>
      <name val="Calibri"/>
      <family val="2"/>
      <scheme val="minor"/>
    </font>
    <font>
      <b/>
      <sz val="14"/>
      <color theme="1"/>
      <name val="Calibri"/>
      <family val="2"/>
      <scheme val="minor"/>
    </font>
    <font>
      <b/>
      <u/>
      <sz val="14"/>
      <color theme="1"/>
      <name val="Calibri"/>
      <family val="2"/>
      <scheme val="minor"/>
    </font>
    <font>
      <b/>
      <i/>
      <sz val="14"/>
      <color theme="1"/>
      <name val="Calibri"/>
      <family val="2"/>
      <scheme val="minor"/>
    </font>
    <font>
      <sz val="16"/>
      <name val="Calibri"/>
      <family val="2"/>
      <scheme val="minor"/>
    </font>
    <font>
      <sz val="1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
      <patternFill patternType="solid">
        <fgColor theme="2"/>
        <bgColor indexed="64"/>
      </patternFill>
    </fill>
    <fill>
      <patternFill patternType="solid">
        <fgColor theme="0"/>
        <bgColor indexed="64"/>
      </patternFill>
    </fill>
    <fill>
      <patternFill patternType="solid">
        <fgColor rgb="FFEDEDED"/>
        <bgColor indexed="64"/>
      </patternFill>
    </fill>
    <fill>
      <patternFill patternType="solid">
        <fgColor theme="5" tint="0.79998168889431442"/>
        <bgColor indexed="64"/>
      </patternFill>
    </fill>
    <fill>
      <patternFill patternType="solid">
        <fgColor theme="8" tint="0.7999816888943144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s>
  <cellStyleXfs count="1">
    <xf numFmtId="0" fontId="0" fillId="0" borderId="0"/>
  </cellStyleXfs>
  <cellXfs count="274">
    <xf numFmtId="0" fontId="0" fillId="0" borderId="0" xfId="0"/>
    <xf numFmtId="0" fontId="1" fillId="0" borderId="0" xfId="0" applyFont="1"/>
    <xf numFmtId="0" fontId="0" fillId="0" borderId="1" xfId="0" applyFill="1" applyBorder="1"/>
    <xf numFmtId="0" fontId="0" fillId="0" borderId="1" xfId="0" applyBorder="1"/>
    <xf numFmtId="0" fontId="0" fillId="0" borderId="0" xfId="0" applyAlignment="1">
      <alignment horizontal="right"/>
    </xf>
    <xf numFmtId="9" fontId="0" fillId="0" borderId="2" xfId="0" applyNumberFormat="1" applyBorder="1"/>
    <xf numFmtId="164" fontId="0" fillId="2" borderId="1" xfId="0" applyNumberFormat="1" applyFill="1" applyBorder="1"/>
    <xf numFmtId="0" fontId="0" fillId="2" borderId="1" xfId="0" applyFill="1" applyBorder="1"/>
    <xf numFmtId="0" fontId="0" fillId="2" borderId="5" xfId="0" applyFill="1" applyBorder="1"/>
    <xf numFmtId="164" fontId="1" fillId="2" borderId="4" xfId="0" applyNumberFormat="1" applyFont="1" applyFill="1" applyBorder="1"/>
    <xf numFmtId="2" fontId="0" fillId="2" borderId="1" xfId="0" applyNumberFormat="1" applyFill="1" applyBorder="1"/>
    <xf numFmtId="2" fontId="0" fillId="2" borderId="5" xfId="0" applyNumberFormat="1" applyFill="1" applyBorder="1"/>
    <xf numFmtId="0" fontId="2" fillId="0" borderId="0" xfId="0" applyFont="1"/>
    <xf numFmtId="2" fontId="1" fillId="2" borderId="1" xfId="0" applyNumberFormat="1" applyFont="1" applyFill="1" applyBorder="1"/>
    <xf numFmtId="0" fontId="0" fillId="0" borderId="0" xfId="0" applyBorder="1"/>
    <xf numFmtId="2" fontId="0" fillId="0" borderId="1" xfId="0" applyNumberFormat="1" applyBorder="1"/>
    <xf numFmtId="165" fontId="0" fillId="0" borderId="0" xfId="0" applyNumberFormat="1"/>
    <xf numFmtId="166" fontId="0" fillId="0" borderId="1" xfId="0" applyNumberFormat="1" applyBorder="1"/>
    <xf numFmtId="167" fontId="0" fillId="0" borderId="0" xfId="0" applyNumberFormat="1"/>
    <xf numFmtId="167" fontId="0" fillId="0" borderId="1" xfId="0" applyNumberFormat="1" applyBorder="1"/>
    <xf numFmtId="0" fontId="0" fillId="0" borderId="0" xfId="0" applyAlignment="1">
      <alignment horizontal="left"/>
    </xf>
    <xf numFmtId="0" fontId="0" fillId="0" borderId="0" xfId="0" applyAlignment="1"/>
    <xf numFmtId="2" fontId="0" fillId="0" borderId="1" xfId="0" applyNumberFormat="1" applyFill="1" applyBorder="1"/>
    <xf numFmtId="0" fontId="5" fillId="2" borderId="1" xfId="0" applyFont="1" applyFill="1" applyBorder="1"/>
    <xf numFmtId="2" fontId="5" fillId="2" borderId="4" xfId="0" applyNumberFormat="1" applyFont="1" applyFill="1" applyBorder="1"/>
    <xf numFmtId="0" fontId="0" fillId="0" borderId="7" xfId="0" applyBorder="1"/>
    <xf numFmtId="2" fontId="0" fillId="0" borderId="0" xfId="0" applyNumberFormat="1"/>
    <xf numFmtId="0" fontId="7" fillId="0" borderId="0" xfId="0" applyFont="1"/>
    <xf numFmtId="2" fontId="0" fillId="2" borderId="3" xfId="0" applyNumberFormat="1" applyFill="1" applyBorder="1"/>
    <xf numFmtId="2" fontId="6" fillId="2" borderId="4" xfId="0" applyNumberFormat="1" applyFont="1" applyFill="1" applyBorder="1"/>
    <xf numFmtId="0" fontId="6" fillId="2" borderId="4" xfId="0" applyFont="1" applyFill="1" applyBorder="1"/>
    <xf numFmtId="0" fontId="9" fillId="0" borderId="0" xfId="0" applyFont="1"/>
    <xf numFmtId="2" fontId="10" fillId="2" borderId="1" xfId="0" applyNumberFormat="1" applyFont="1" applyFill="1" applyBorder="1"/>
    <xf numFmtId="164" fontId="0" fillId="2" borderId="5" xfId="0" applyNumberFormat="1" applyFill="1" applyBorder="1"/>
    <xf numFmtId="0" fontId="0" fillId="0" borderId="6" xfId="0" applyFill="1" applyBorder="1"/>
    <xf numFmtId="0" fontId="11" fillId="0" borderId="0" xfId="0" applyFont="1"/>
    <xf numFmtId="0" fontId="0" fillId="0" borderId="0" xfId="0" applyFont="1" applyFill="1" applyBorder="1" applyAlignment="1">
      <alignment horizontal="left"/>
    </xf>
    <xf numFmtId="2" fontId="5" fillId="2" borderId="1" xfId="0" applyNumberFormat="1" applyFont="1" applyFill="1" applyBorder="1"/>
    <xf numFmtId="2" fontId="0" fillId="0" borderId="5" xfId="0" applyNumberFormat="1" applyFill="1" applyBorder="1"/>
    <xf numFmtId="0" fontId="0" fillId="0" borderId="0" xfId="0" applyFill="1" applyBorder="1"/>
    <xf numFmtId="0" fontId="0" fillId="0" borderId="5" xfId="0" applyFill="1" applyBorder="1"/>
    <xf numFmtId="0" fontId="0" fillId="2" borderId="6" xfId="0" applyFont="1" applyFill="1" applyBorder="1"/>
    <xf numFmtId="11" fontId="0" fillId="0" borderId="0" xfId="0" applyNumberFormat="1"/>
    <xf numFmtId="166" fontId="0" fillId="0" borderId="0" xfId="0" applyNumberFormat="1"/>
    <xf numFmtId="168" fontId="0" fillId="0" borderId="0" xfId="0" applyNumberFormat="1"/>
    <xf numFmtId="169" fontId="0" fillId="0" borderId="0" xfId="0" applyNumberFormat="1"/>
    <xf numFmtId="0" fontId="3" fillId="0" borderId="0" xfId="0" applyFont="1" applyAlignment="1">
      <alignment horizontal="right"/>
    </xf>
    <xf numFmtId="0" fontId="0" fillId="0" borderId="0" xfId="0" applyFill="1" applyBorder="1" applyAlignment="1">
      <alignment horizontal="left"/>
    </xf>
    <xf numFmtId="0" fontId="8" fillId="0" borderId="0" xfId="0" applyFont="1" applyAlignment="1">
      <alignment horizontal="right"/>
    </xf>
    <xf numFmtId="0" fontId="2" fillId="0" borderId="0" xfId="0" applyFont="1" applyFill="1" applyBorder="1"/>
    <xf numFmtId="0" fontId="0" fillId="0" borderId="0" xfId="0" applyAlignment="1">
      <alignment horizontal="center"/>
    </xf>
    <xf numFmtId="0" fontId="0" fillId="0" borderId="0" xfId="0" applyAlignment="1">
      <alignment wrapText="1"/>
    </xf>
    <xf numFmtId="0" fontId="0" fillId="2" borderId="1" xfId="0" applyFont="1" applyFill="1" applyBorder="1"/>
    <xf numFmtId="166" fontId="0" fillId="2" borderId="1" xfId="0" applyNumberFormat="1" applyFill="1" applyBorder="1"/>
    <xf numFmtId="2" fontId="6" fillId="0" borderId="0" xfId="0" applyNumberFormat="1" applyFont="1" applyFill="1" applyBorder="1"/>
    <xf numFmtId="0" fontId="0" fillId="0" borderId="0" xfId="0" quotePrefix="1"/>
    <xf numFmtId="0" fontId="0" fillId="0" borderId="8" xfId="0" applyBorder="1" applyAlignment="1">
      <alignment vertical="center" wrapText="1"/>
    </xf>
    <xf numFmtId="0" fontId="0" fillId="0" borderId="0" xfId="0" applyBorder="1" applyAlignment="1">
      <alignment vertical="center" wrapText="1"/>
    </xf>
    <xf numFmtId="0" fontId="0" fillId="0" borderId="0" xfId="0" applyAlignment="1">
      <alignment vertical="center" wrapText="1"/>
    </xf>
    <xf numFmtId="2" fontId="5" fillId="2" borderId="4" xfId="0" applyNumberFormat="1" applyFont="1" applyFill="1" applyBorder="1" applyAlignment="1">
      <alignment horizontal="center"/>
    </xf>
    <xf numFmtId="2" fontId="0" fillId="2" borderId="1" xfId="0" applyNumberFormat="1" applyFill="1" applyBorder="1" applyAlignment="1">
      <alignment horizontal="center"/>
    </xf>
    <xf numFmtId="2" fontId="5" fillId="2" borderId="4" xfId="0" applyNumberFormat="1" applyFont="1" applyFill="1" applyBorder="1" applyAlignment="1">
      <alignment horizontal="center" vertical="center"/>
    </xf>
    <xf numFmtId="170" fontId="0" fillId="2" borderId="4" xfId="0" applyNumberFormat="1" applyFont="1" applyFill="1" applyBorder="1" applyAlignment="1">
      <alignment horizontal="center" vertical="center"/>
    </xf>
    <xf numFmtId="0" fontId="13" fillId="0" borderId="0" xfId="0" applyFont="1" applyAlignment="1">
      <alignment horizontal="right"/>
    </xf>
    <xf numFmtId="3" fontId="0" fillId="0" borderId="1" xfId="0" applyNumberFormat="1" applyFill="1" applyBorder="1"/>
    <xf numFmtId="3" fontId="0" fillId="0" borderId="1" xfId="0" applyNumberFormat="1" applyBorder="1"/>
    <xf numFmtId="2" fontId="0" fillId="0" borderId="0" xfId="0" applyNumberFormat="1" applyAlignment="1">
      <alignment horizontal="right"/>
    </xf>
    <xf numFmtId="0" fontId="14" fillId="0" borderId="0" xfId="0" applyFont="1"/>
    <xf numFmtId="0" fontId="0" fillId="0" borderId="0" xfId="0" applyAlignment="1">
      <alignment horizontal="center" vertical="center" wrapText="1"/>
    </xf>
    <xf numFmtId="0" fontId="0" fillId="0" borderId="0" xfId="0" applyBorder="1" applyAlignment="1">
      <alignment vertical="center" wrapText="1"/>
    </xf>
    <xf numFmtId="0" fontId="13" fillId="0" borderId="1" xfId="0" applyFont="1" applyBorder="1"/>
    <xf numFmtId="166" fontId="5" fillId="2" borderId="1" xfId="0" applyNumberFormat="1" applyFont="1" applyFill="1" applyBorder="1"/>
    <xf numFmtId="2" fontId="17" fillId="2" borderId="1" xfId="0" applyNumberFormat="1" applyFont="1" applyFill="1" applyBorder="1" applyAlignment="1">
      <alignment horizontal="center"/>
    </xf>
    <xf numFmtId="2" fontId="16" fillId="0" borderId="0" xfId="0" applyNumberFormat="1" applyFont="1" applyFill="1" applyBorder="1" applyAlignment="1">
      <alignment horizontal="center"/>
    </xf>
    <xf numFmtId="2" fontId="17" fillId="0" borderId="0" xfId="0" applyNumberFormat="1" applyFont="1" applyFill="1" applyBorder="1" applyAlignment="1">
      <alignment horizontal="center"/>
    </xf>
    <xf numFmtId="0" fontId="16" fillId="0" borderId="0" xfId="0" applyFont="1"/>
    <xf numFmtId="2" fontId="0" fillId="3" borderId="1" xfId="0" applyNumberFormat="1" applyFill="1" applyBorder="1"/>
    <xf numFmtId="0" fontId="0" fillId="3" borderId="1" xfId="0" applyFill="1" applyBorder="1"/>
    <xf numFmtId="171" fontId="0" fillId="3" borderId="4" xfId="0" applyNumberFormat="1" applyFill="1" applyBorder="1"/>
    <xf numFmtId="2" fontId="6" fillId="2" borderId="3" xfId="0" applyNumberFormat="1" applyFont="1" applyFill="1" applyBorder="1"/>
    <xf numFmtId="2" fontId="6" fillId="2" borderId="5" xfId="0" applyNumberFormat="1" applyFont="1" applyFill="1" applyBorder="1"/>
    <xf numFmtId="2" fontId="19" fillId="2" borderId="4" xfId="0" applyNumberFormat="1" applyFont="1" applyFill="1" applyBorder="1"/>
    <xf numFmtId="2" fontId="5" fillId="3" borderId="4" xfId="0" quotePrefix="1" applyNumberFormat="1" applyFont="1" applyFill="1" applyBorder="1"/>
    <xf numFmtId="0" fontId="0" fillId="0" borderId="0" xfId="0" applyFill="1" applyBorder="1" applyAlignment="1">
      <alignment horizontal="right"/>
    </xf>
    <xf numFmtId="9" fontId="0" fillId="0" borderId="9" xfId="0" applyNumberFormat="1" applyBorder="1"/>
    <xf numFmtId="0" fontId="0" fillId="5" borderId="1" xfId="0" applyFill="1" applyBorder="1"/>
    <xf numFmtId="0" fontId="5" fillId="0" borderId="1" xfId="0" applyFont="1" applyBorder="1"/>
    <xf numFmtId="0" fontId="0" fillId="0" borderId="11" xfId="0" applyBorder="1"/>
    <xf numFmtId="0" fontId="11" fillId="0" borderId="12" xfId="0" applyFont="1" applyBorder="1"/>
    <xf numFmtId="0" fontId="0" fillId="0" borderId="13" xfId="0" applyBorder="1"/>
    <xf numFmtId="0" fontId="0" fillId="0" borderId="14" xfId="0" applyBorder="1"/>
    <xf numFmtId="0" fontId="0" fillId="0" borderId="15" xfId="0" applyBorder="1"/>
    <xf numFmtId="0" fontId="0" fillId="0" borderId="16" xfId="0" applyBorder="1"/>
    <xf numFmtId="11" fontId="0" fillId="0" borderId="16" xfId="0" applyNumberFormat="1" applyBorder="1"/>
    <xf numFmtId="166" fontId="0" fillId="0" borderId="16" xfId="0" applyNumberFormat="1" applyBorder="1"/>
    <xf numFmtId="0" fontId="2" fillId="0" borderId="0" xfId="0" applyFont="1" applyBorder="1"/>
    <xf numFmtId="0" fontId="11" fillId="0" borderId="15" xfId="0" applyFont="1" applyBorder="1"/>
    <xf numFmtId="0" fontId="0" fillId="0" borderId="15" xfId="0" applyBorder="1" applyAlignment="1">
      <alignment horizontal="right"/>
    </xf>
    <xf numFmtId="0" fontId="3" fillId="0" borderId="15" xfId="0" applyFont="1" applyBorder="1" applyAlignment="1">
      <alignment horizontal="right"/>
    </xf>
    <xf numFmtId="2" fontId="0" fillId="0" borderId="0" xfId="0" applyNumberFormat="1" applyBorder="1"/>
    <xf numFmtId="0" fontId="0" fillId="0" borderId="0" xfId="0" applyBorder="1" applyAlignment="1">
      <alignment horizontal="right"/>
    </xf>
    <xf numFmtId="0" fontId="0" fillId="0" borderId="16" xfId="0" applyBorder="1" applyAlignment="1">
      <alignment horizontal="right"/>
    </xf>
    <xf numFmtId="0" fontId="8" fillId="0" borderId="15" xfId="0" applyFont="1" applyBorder="1" applyAlignment="1">
      <alignment horizontal="right"/>
    </xf>
    <xf numFmtId="0" fontId="8" fillId="0" borderId="16" xfId="0" applyFont="1" applyBorder="1" applyAlignment="1">
      <alignment horizontal="right"/>
    </xf>
    <xf numFmtId="0" fontId="0" fillId="0" borderId="0" xfId="0" quotePrefix="1" applyBorder="1"/>
    <xf numFmtId="0" fontId="0" fillId="0" borderId="0" xfId="0" applyFill="1" applyBorder="1" applyAlignment="1">
      <alignment horizontal="center"/>
    </xf>
    <xf numFmtId="0" fontId="15" fillId="0" borderId="0" xfId="0" applyFont="1" applyFill="1" applyBorder="1" applyAlignment="1">
      <alignment horizontal="center"/>
    </xf>
    <xf numFmtId="0" fontId="11" fillId="0" borderId="15" xfId="0" applyFont="1" applyBorder="1" applyAlignment="1">
      <alignment horizontal="right"/>
    </xf>
    <xf numFmtId="0" fontId="13" fillId="0" borderId="15" xfId="0" applyFont="1" applyBorder="1" applyAlignment="1">
      <alignment horizontal="right"/>
    </xf>
    <xf numFmtId="0" fontId="9" fillId="0" borderId="0" xfId="0" applyFont="1" applyBorder="1"/>
    <xf numFmtId="0" fontId="0" fillId="0" borderId="0" xfId="0" applyBorder="1" applyAlignment="1"/>
    <xf numFmtId="0" fontId="0" fillId="0" borderId="9" xfId="0" applyBorder="1"/>
    <xf numFmtId="0" fontId="0" fillId="0" borderId="8" xfId="0" applyBorder="1"/>
    <xf numFmtId="0" fontId="0" fillId="0" borderId="17" xfId="0" applyBorder="1"/>
    <xf numFmtId="11" fontId="0" fillId="0" borderId="0" xfId="0" applyNumberFormat="1" applyBorder="1"/>
    <xf numFmtId="167" fontId="0" fillId="0" borderId="0" xfId="0" applyNumberFormat="1" applyBorder="1"/>
    <xf numFmtId="166" fontId="0" fillId="0" borderId="0" xfId="0" applyNumberFormat="1" applyBorder="1"/>
    <xf numFmtId="169" fontId="0" fillId="0" borderId="0" xfId="0" applyNumberFormat="1" applyBorder="1"/>
    <xf numFmtId="0" fontId="8" fillId="0" borderId="0" xfId="0" applyFont="1" applyBorder="1" applyAlignment="1">
      <alignment horizontal="right"/>
    </xf>
    <xf numFmtId="2" fontId="1" fillId="3" borderId="1" xfId="0" applyNumberFormat="1" applyFont="1" applyFill="1" applyBorder="1"/>
    <xf numFmtId="0" fontId="0" fillId="0" borderId="15" xfId="0" applyFill="1" applyBorder="1"/>
    <xf numFmtId="0" fontId="1" fillId="3" borderId="1" xfId="0" applyFont="1" applyFill="1" applyBorder="1"/>
    <xf numFmtId="0" fontId="1" fillId="3" borderId="11" xfId="0" applyFont="1" applyFill="1" applyBorder="1"/>
    <xf numFmtId="0" fontId="20" fillId="0" borderId="15" xfId="0" applyFont="1" applyBorder="1" applyAlignment="1">
      <alignment horizontal="right"/>
    </xf>
    <xf numFmtId="0" fontId="20" fillId="0" borderId="16" xfId="0" applyFont="1" applyBorder="1" applyAlignment="1">
      <alignment horizontal="right"/>
    </xf>
    <xf numFmtId="0" fontId="20" fillId="0" borderId="0" xfId="0" applyFont="1" applyBorder="1" applyAlignment="1">
      <alignment horizontal="right"/>
    </xf>
    <xf numFmtId="0" fontId="21" fillId="0" borderId="0" xfId="0" applyFont="1" applyBorder="1"/>
    <xf numFmtId="0" fontId="0" fillId="0" borderId="3" xfId="0" applyBorder="1" applyAlignment="1">
      <alignment horizontal="right"/>
    </xf>
    <xf numFmtId="0" fontId="3" fillId="0" borderId="0" xfId="0" applyFont="1" applyBorder="1" applyAlignment="1">
      <alignment horizontal="right"/>
    </xf>
    <xf numFmtId="164" fontId="0" fillId="3" borderId="1" xfId="0" applyNumberFormat="1" applyFill="1" applyBorder="1"/>
    <xf numFmtId="0" fontId="0" fillId="0" borderId="0" xfId="0" applyFont="1" applyBorder="1"/>
    <xf numFmtId="2" fontId="22" fillId="2" borderId="1" xfId="0" applyNumberFormat="1" applyFont="1" applyFill="1" applyBorder="1"/>
    <xf numFmtId="0" fontId="0" fillId="0" borderId="0" xfId="0"/>
    <xf numFmtId="2" fontId="23" fillId="0" borderId="0" xfId="0" applyNumberFormat="1" applyFont="1" applyFill="1" applyBorder="1" applyAlignment="1" applyProtection="1">
      <alignment wrapText="1"/>
    </xf>
    <xf numFmtId="167" fontId="23" fillId="0" borderId="0" xfId="0" applyNumberFormat="1" applyFont="1" applyFill="1" applyBorder="1" applyAlignment="1" applyProtection="1">
      <alignment wrapText="1"/>
    </xf>
    <xf numFmtId="2" fontId="24" fillId="0" borderId="0" xfId="0" applyNumberFormat="1" applyFont="1" applyFill="1" applyBorder="1" applyAlignment="1" applyProtection="1">
      <alignment wrapText="1"/>
    </xf>
    <xf numFmtId="0" fontId="23" fillId="0" borderId="0" xfId="0" applyNumberFormat="1" applyFont="1" applyFill="1" applyBorder="1" applyAlignment="1" applyProtection="1">
      <alignment wrapText="1"/>
    </xf>
    <xf numFmtId="167" fontId="23" fillId="6" borderId="0" xfId="0" applyNumberFormat="1" applyFont="1" applyFill="1" applyBorder="1" applyAlignment="1" applyProtection="1">
      <alignment wrapText="1"/>
    </xf>
    <xf numFmtId="2" fontId="23" fillId="6" borderId="0" xfId="0" applyNumberFormat="1" applyFont="1" applyFill="1" applyBorder="1" applyAlignment="1" applyProtection="1">
      <alignment wrapText="1"/>
    </xf>
    <xf numFmtId="164" fontId="1" fillId="5" borderId="4" xfId="0" applyNumberFormat="1" applyFont="1" applyFill="1" applyBorder="1"/>
    <xf numFmtId="164" fontId="0" fillId="0" borderId="1" xfId="0" applyNumberFormat="1" applyBorder="1"/>
    <xf numFmtId="0" fontId="0" fillId="0" borderId="1" xfId="0" applyFont="1" applyBorder="1"/>
    <xf numFmtId="2" fontId="0" fillId="0" borderId="1" xfId="0" applyNumberFormat="1" applyFont="1" applyBorder="1"/>
    <xf numFmtId="0" fontId="2" fillId="0" borderId="3" xfId="0" applyFont="1" applyBorder="1"/>
    <xf numFmtId="0" fontId="0" fillId="0" borderId="3" xfId="0" applyBorder="1"/>
    <xf numFmtId="0" fontId="0" fillId="0" borderId="24" xfId="0" applyBorder="1" applyAlignment="1">
      <alignment horizontal="right"/>
    </xf>
    <xf numFmtId="0" fontId="2" fillId="0" borderId="25" xfId="0" applyFont="1" applyBorder="1"/>
    <xf numFmtId="0" fontId="0" fillId="0" borderId="25" xfId="0" applyBorder="1"/>
    <xf numFmtId="0" fontId="7" fillId="0" borderId="24" xfId="0" applyFont="1" applyBorder="1" applyAlignment="1">
      <alignment horizontal="right"/>
    </xf>
    <xf numFmtId="0" fontId="27" fillId="0" borderId="26" xfId="0" applyFont="1" applyBorder="1" applyAlignment="1">
      <alignment horizontal="right"/>
    </xf>
    <xf numFmtId="0" fontId="9" fillId="0" borderId="27" xfId="0" applyFont="1" applyBorder="1"/>
    <xf numFmtId="2" fontId="0" fillId="0" borderId="21" xfId="0" applyNumberFormat="1" applyBorder="1"/>
    <xf numFmtId="0" fontId="0" fillId="0" borderId="21" xfId="0" applyBorder="1"/>
    <xf numFmtId="0" fontId="9" fillId="0" borderId="31" xfId="0" applyFont="1" applyBorder="1"/>
    <xf numFmtId="0" fontId="26" fillId="0" borderId="7" xfId="0" applyFont="1" applyBorder="1"/>
    <xf numFmtId="0" fontId="25" fillId="0" borderId="24" xfId="0" applyFont="1" applyBorder="1"/>
    <xf numFmtId="0" fontId="0" fillId="0" borderId="35" xfId="0" applyBorder="1"/>
    <xf numFmtId="0" fontId="0" fillId="0" borderId="26" xfId="0" applyBorder="1" applyAlignment="1">
      <alignment horizontal="right"/>
    </xf>
    <xf numFmtId="0" fontId="0" fillId="0" borderId="36" xfId="0" applyBorder="1"/>
    <xf numFmtId="0" fontId="2" fillId="0" borderId="7" xfId="0" applyFont="1" applyBorder="1"/>
    <xf numFmtId="0" fontId="0" fillId="0" borderId="27" xfId="0" applyBorder="1"/>
    <xf numFmtId="2" fontId="26" fillId="7" borderId="4" xfId="0" applyNumberFormat="1" applyFont="1" applyFill="1" applyBorder="1"/>
    <xf numFmtId="2" fontId="26" fillId="8" borderId="4" xfId="0" applyNumberFormat="1" applyFont="1" applyFill="1" applyBorder="1"/>
    <xf numFmtId="2" fontId="7" fillId="0" borderId="5" xfId="0" applyNumberFormat="1" applyFont="1" applyBorder="1"/>
    <xf numFmtId="0" fontId="20" fillId="0" borderId="25" xfId="0" applyFont="1" applyBorder="1"/>
    <xf numFmtId="0" fontId="7" fillId="0" borderId="30" xfId="0" applyFont="1" applyBorder="1"/>
    <xf numFmtId="0" fontId="20" fillId="0" borderId="3" xfId="0" applyFont="1" applyBorder="1"/>
    <xf numFmtId="0" fontId="7" fillId="0" borderId="0" xfId="0" applyFont="1" applyBorder="1"/>
    <xf numFmtId="0" fontId="7" fillId="0" borderId="5" xfId="0" applyFont="1" applyBorder="1"/>
    <xf numFmtId="0" fontId="13" fillId="0" borderId="24" xfId="0" applyFont="1" applyBorder="1" applyAlignment="1">
      <alignment horizontal="right"/>
    </xf>
    <xf numFmtId="0" fontId="7" fillId="0" borderId="6" xfId="0" applyFont="1" applyBorder="1"/>
    <xf numFmtId="0" fontId="7" fillId="0" borderId="23" xfId="0" applyFont="1" applyBorder="1"/>
    <xf numFmtId="0" fontId="20" fillId="0" borderId="5" xfId="0" applyFont="1" applyBorder="1"/>
    <xf numFmtId="0" fontId="20" fillId="0" borderId="29" xfId="0" applyFont="1" applyBorder="1"/>
    <xf numFmtId="0" fontId="1" fillId="0" borderId="23" xfId="0" applyFont="1" applyBorder="1" applyAlignment="1">
      <alignment horizontal="right" vertical="center"/>
    </xf>
    <xf numFmtId="0" fontId="1" fillId="0" borderId="6" xfId="0" applyFont="1" applyBorder="1" applyAlignment="1">
      <alignment horizontal="center" vertical="center" wrapText="1"/>
    </xf>
    <xf numFmtId="0" fontId="1" fillId="0" borderId="22" xfId="0" applyFont="1" applyBorder="1" applyAlignment="1">
      <alignment horizontal="center" vertical="center"/>
    </xf>
    <xf numFmtId="0" fontId="1" fillId="0" borderId="21" xfId="0" applyFont="1" applyBorder="1" applyAlignment="1">
      <alignment horizontal="right" vertical="center"/>
    </xf>
    <xf numFmtId="0" fontId="1" fillId="0" borderId="1" xfId="0" applyFont="1" applyBorder="1" applyAlignment="1">
      <alignment horizontal="center" vertical="center" wrapText="1"/>
    </xf>
    <xf numFmtId="0" fontId="0" fillId="0" borderId="13" xfId="0" applyFont="1" applyFill="1" applyBorder="1" applyAlignment="1">
      <alignment horizontal="left"/>
    </xf>
    <xf numFmtId="0" fontId="0" fillId="0" borderId="0" xfId="0" applyFont="1" applyBorder="1" applyAlignment="1">
      <alignment horizontal="right"/>
    </xf>
    <xf numFmtId="0" fontId="0" fillId="0" borderId="0" xfId="0" applyBorder="1" applyAlignment="1">
      <alignment horizontal="center" vertical="center"/>
    </xf>
    <xf numFmtId="0" fontId="1" fillId="0" borderId="0" xfId="0" applyFont="1" applyBorder="1"/>
    <xf numFmtId="0" fontId="16" fillId="0" borderId="1" xfId="0" applyFont="1" applyBorder="1"/>
    <xf numFmtId="0" fontId="14" fillId="8" borderId="32" xfId="0" applyFont="1" applyFill="1" applyBorder="1"/>
    <xf numFmtId="0" fontId="0" fillId="8" borderId="33" xfId="0" applyFill="1" applyBorder="1"/>
    <xf numFmtId="0" fontId="0" fillId="8" borderId="34" xfId="0" applyFill="1" applyBorder="1"/>
    <xf numFmtId="0" fontId="1" fillId="0" borderId="18" xfId="0" applyFont="1" applyBorder="1"/>
    <xf numFmtId="0" fontId="0" fillId="0" borderId="19" xfId="0" applyBorder="1"/>
    <xf numFmtId="0" fontId="1" fillId="0" borderId="19" xfId="0" applyFont="1" applyBorder="1" applyAlignment="1">
      <alignment horizontal="center"/>
    </xf>
    <xf numFmtId="0" fontId="0" fillId="0" borderId="20" xfId="0" applyBorder="1"/>
    <xf numFmtId="0" fontId="0" fillId="0" borderId="24" xfId="0" applyBorder="1"/>
    <xf numFmtId="0" fontId="0" fillId="0" borderId="38" xfId="0" applyBorder="1"/>
    <xf numFmtId="0" fontId="0" fillId="0" borderId="39" xfId="0" applyBorder="1"/>
    <xf numFmtId="0" fontId="1" fillId="0" borderId="40" xfId="0" applyFont="1" applyBorder="1"/>
    <xf numFmtId="0" fontId="0" fillId="0" borderId="41" xfId="0" applyBorder="1"/>
    <xf numFmtId="0" fontId="0" fillId="0" borderId="26" xfId="0" applyBorder="1"/>
    <xf numFmtId="167" fontId="0" fillId="0" borderId="36" xfId="0" applyNumberFormat="1" applyBorder="1"/>
    <xf numFmtId="166" fontId="0" fillId="0" borderId="36" xfId="0" applyNumberFormat="1" applyBorder="1"/>
    <xf numFmtId="0" fontId="11" fillId="0" borderId="40" xfId="0" applyFont="1" applyBorder="1"/>
    <xf numFmtId="0" fontId="3" fillId="0" borderId="24" xfId="0" applyFont="1" applyBorder="1" applyAlignment="1">
      <alignment horizontal="right"/>
    </xf>
    <xf numFmtId="0" fontId="0" fillId="0" borderId="24" xfId="0" applyFill="1" applyBorder="1" applyAlignment="1">
      <alignment horizontal="left"/>
    </xf>
    <xf numFmtId="0" fontId="2" fillId="0" borderId="35" xfId="0" applyFont="1" applyBorder="1"/>
    <xf numFmtId="0" fontId="20" fillId="0" borderId="24" xfId="0" applyFont="1" applyBorder="1" applyAlignment="1">
      <alignment horizontal="right"/>
    </xf>
    <xf numFmtId="0" fontId="21" fillId="0" borderId="35" xfId="0" applyFont="1" applyBorder="1"/>
    <xf numFmtId="0" fontId="3" fillId="0" borderId="38" xfId="0" applyFont="1" applyBorder="1" applyAlignment="1">
      <alignment horizontal="right"/>
    </xf>
    <xf numFmtId="0" fontId="11" fillId="0" borderId="24" xfId="0" applyFont="1" applyBorder="1"/>
    <xf numFmtId="0" fontId="0" fillId="0" borderId="24" xfId="0" applyBorder="1" applyAlignment="1">
      <alignment vertical="center" wrapText="1"/>
    </xf>
    <xf numFmtId="0" fontId="0" fillId="0" borderId="24" xfId="0" applyBorder="1" applyAlignment="1">
      <alignment wrapText="1"/>
    </xf>
    <xf numFmtId="0" fontId="0" fillId="0" borderId="24" xfId="0" applyBorder="1" applyAlignment="1">
      <alignment horizontal="left"/>
    </xf>
    <xf numFmtId="0" fontId="11" fillId="0" borderId="24" xfId="0" applyFont="1" applyBorder="1" applyAlignment="1">
      <alignment horizontal="right"/>
    </xf>
    <xf numFmtId="0" fontId="0" fillId="0" borderId="24" xfId="0" applyBorder="1" applyAlignment="1">
      <alignment horizontal="right" wrapText="1"/>
    </xf>
    <xf numFmtId="0" fontId="0" fillId="0" borderId="31" xfId="0" applyBorder="1"/>
    <xf numFmtId="0" fontId="0" fillId="0" borderId="47" xfId="0" applyBorder="1"/>
    <xf numFmtId="2" fontId="0" fillId="4" borderId="1" xfId="0" applyNumberFormat="1" applyFill="1" applyBorder="1"/>
    <xf numFmtId="2" fontId="0" fillId="4" borderId="2" xfId="0" applyNumberFormat="1" applyFill="1" applyBorder="1"/>
    <xf numFmtId="0" fontId="0" fillId="4" borderId="1" xfId="0" applyFill="1" applyBorder="1"/>
    <xf numFmtId="170" fontId="0" fillId="0" borderId="0" xfId="0" applyNumberFormat="1"/>
    <xf numFmtId="0" fontId="27" fillId="0" borderId="0" xfId="0" applyFont="1"/>
    <xf numFmtId="164" fontId="0" fillId="4" borderId="1" xfId="0" applyNumberFormat="1" applyFill="1" applyBorder="1"/>
    <xf numFmtId="164" fontId="0" fillId="0" borderId="1" xfId="0" applyNumberFormat="1" applyFill="1" applyBorder="1"/>
    <xf numFmtId="0" fontId="1" fillId="0" borderId="0" xfId="0" applyFont="1" applyAlignment="1">
      <alignment horizontal="right"/>
    </xf>
    <xf numFmtId="0" fontId="0" fillId="0" borderId="0" xfId="0" applyAlignment="1"/>
    <xf numFmtId="2" fontId="22" fillId="0" borderId="0" xfId="0" applyNumberFormat="1" applyFont="1" applyFill="1" applyBorder="1"/>
    <xf numFmtId="0" fontId="9" fillId="0" borderId="0" xfId="0" applyFont="1" applyFill="1" applyBorder="1"/>
    <xf numFmtId="0" fontId="13" fillId="0" borderId="15" xfId="0" applyFont="1" applyFill="1" applyBorder="1" applyAlignment="1">
      <alignment horizontal="right"/>
    </xf>
    <xf numFmtId="0" fontId="0" fillId="0" borderId="0" xfId="0" applyAlignment="1">
      <alignment horizontal="left" vertical="top" wrapText="1"/>
    </xf>
    <xf numFmtId="0" fontId="0" fillId="0" borderId="0" xfId="0" applyAlignment="1"/>
    <xf numFmtId="0" fontId="1" fillId="0" borderId="21" xfId="0" applyFont="1" applyBorder="1" applyAlignment="1">
      <alignment horizontal="center" vertical="center" wrapText="1"/>
    </xf>
    <xf numFmtId="0" fontId="1" fillId="0" borderId="1" xfId="0" applyFont="1" applyBorder="1" applyAlignment="1">
      <alignment horizontal="center" vertical="center" wrapText="1"/>
    </xf>
    <xf numFmtId="0" fontId="14" fillId="8" borderId="32" xfId="0" applyFont="1" applyFill="1" applyBorder="1" applyAlignment="1">
      <alignment horizontal="center" vertical="center"/>
    </xf>
    <xf numFmtId="0" fontId="14" fillId="8" borderId="33" xfId="0" applyFont="1" applyFill="1" applyBorder="1" applyAlignment="1">
      <alignment horizontal="center" vertical="center"/>
    </xf>
    <xf numFmtId="0" fontId="14" fillId="8" borderId="34" xfId="0" applyFont="1" applyFill="1" applyBorder="1" applyAlignment="1">
      <alignment horizontal="center" vertical="center"/>
    </xf>
    <xf numFmtId="0" fontId="0" fillId="0" borderId="0" xfId="0" applyBorder="1" applyAlignment="1">
      <alignment horizontal="right"/>
    </xf>
    <xf numFmtId="0" fontId="0" fillId="0" borderId="0" xfId="0" applyBorder="1" applyAlignment="1"/>
    <xf numFmtId="0" fontId="0" fillId="0" borderId="7" xfId="0" applyBorder="1" applyAlignment="1">
      <alignment horizontal="right"/>
    </xf>
    <xf numFmtId="0" fontId="0" fillId="0" borderId="7" xfId="0" applyBorder="1" applyAlignment="1"/>
    <xf numFmtId="0" fontId="1" fillId="0" borderId="18" xfId="0" applyFont="1" applyBorder="1" applyAlignment="1">
      <alignment horizontal="center" vertical="center"/>
    </xf>
    <xf numFmtId="0" fontId="0" fillId="0" borderId="19" xfId="0" applyBorder="1" applyAlignment="1"/>
    <xf numFmtId="0" fontId="0" fillId="0" borderId="20" xfId="0" applyBorder="1" applyAlignment="1"/>
    <xf numFmtId="0" fontId="1" fillId="0" borderId="23" xfId="0" applyFont="1" applyBorder="1" applyAlignment="1">
      <alignment horizontal="center" vertical="center" wrapText="1"/>
    </xf>
    <xf numFmtId="0" fontId="1" fillId="0" borderId="6" xfId="0" applyFont="1" applyBorder="1" applyAlignment="1">
      <alignment horizontal="center" vertical="center"/>
    </xf>
    <xf numFmtId="0" fontId="1" fillId="0" borderId="28" xfId="0" applyFont="1" applyBorder="1" applyAlignment="1">
      <alignment horizontal="center" vertical="center"/>
    </xf>
    <xf numFmtId="0" fontId="1" fillId="0" borderId="22" xfId="0" applyFont="1" applyBorder="1" applyAlignment="1">
      <alignment horizontal="center" vertical="center"/>
    </xf>
    <xf numFmtId="0" fontId="25" fillId="8" borderId="10" xfId="0" applyFont="1" applyFill="1" applyBorder="1" applyAlignment="1"/>
    <xf numFmtId="0" fontId="0" fillId="0" borderId="37" xfId="0" applyBorder="1" applyAlignment="1"/>
    <xf numFmtId="0" fontId="1" fillId="0" borderId="22" xfId="0" applyFont="1" applyBorder="1" applyAlignment="1">
      <alignment horizontal="center" vertical="center" wrapText="1"/>
    </xf>
    <xf numFmtId="0" fontId="28" fillId="0" borderId="0" xfId="0" applyFont="1" applyBorder="1" applyAlignment="1">
      <alignment horizontal="center"/>
    </xf>
    <xf numFmtId="0" fontId="25" fillId="0" borderId="0" xfId="0" applyFont="1" applyBorder="1" applyAlignment="1">
      <alignment horizontal="center"/>
    </xf>
    <xf numFmtId="0" fontId="25" fillId="0" borderId="35" xfId="0" applyFont="1" applyBorder="1" applyAlignment="1">
      <alignment horizontal="center"/>
    </xf>
    <xf numFmtId="0" fontId="28" fillId="0" borderId="24" xfId="0" applyFont="1" applyBorder="1" applyAlignment="1">
      <alignment horizontal="center"/>
    </xf>
    <xf numFmtId="0" fontId="11" fillId="0" borderId="0" xfId="0" applyFont="1" applyBorder="1" applyAlignment="1">
      <alignment horizontal="center" vertical="center"/>
    </xf>
    <xf numFmtId="0" fontId="0" fillId="0" borderId="0" xfId="0" applyBorder="1" applyAlignment="1">
      <alignment horizontal="center" vertical="center"/>
    </xf>
    <xf numFmtId="0" fontId="11" fillId="8" borderId="42" xfId="0" applyFont="1" applyFill="1" applyBorder="1" applyAlignment="1">
      <alignment horizontal="center" vertical="center"/>
    </xf>
    <xf numFmtId="0" fontId="1" fillId="8" borderId="43" xfId="0" applyFont="1" applyFill="1" applyBorder="1" applyAlignment="1">
      <alignment horizontal="center" vertical="center"/>
    </xf>
    <xf numFmtId="0" fontId="1" fillId="8" borderId="44" xfId="0" applyFont="1" applyFill="1" applyBorder="1" applyAlignment="1">
      <alignment horizontal="center" vertical="center"/>
    </xf>
    <xf numFmtId="0" fontId="11" fillId="8" borderId="45" xfId="0" applyFont="1" applyFill="1" applyBorder="1" applyAlignment="1">
      <alignment horizontal="center" vertical="center"/>
    </xf>
    <xf numFmtId="0" fontId="1" fillId="8" borderId="46" xfId="0" applyFont="1" applyFill="1" applyBorder="1" applyAlignment="1">
      <alignment horizontal="center" vertical="center"/>
    </xf>
    <xf numFmtId="0" fontId="0" fillId="0" borderId="24" xfId="0" applyBorder="1" applyAlignment="1">
      <alignment vertical="center" wrapText="1"/>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0" xfId="0" applyBorder="1" applyAlignment="1">
      <alignment horizontal="left" vertical="top" wrapText="1"/>
    </xf>
    <xf numFmtId="0" fontId="0" fillId="0" borderId="0" xfId="0" applyAlignment="1">
      <alignment horizontal="center" vertical="center" wrapText="1"/>
    </xf>
    <xf numFmtId="0" fontId="0" fillId="0" borderId="0" xfId="0" applyAlignment="1">
      <alignment vertical="center" wrapText="1"/>
    </xf>
    <xf numFmtId="0" fontId="14" fillId="0" borderId="0" xfId="0" applyFont="1" applyAlignment="1"/>
    <xf numFmtId="2" fontId="24" fillId="0" borderId="0" xfId="0" applyNumberFormat="1" applyFont="1" applyFill="1" applyBorder="1" applyAlignment="1" applyProtection="1">
      <alignment wrapText="1"/>
    </xf>
    <xf numFmtId="2" fontId="30" fillId="2" borderId="1" xfId="0" applyNumberFormat="1" applyFont="1" applyFill="1" applyBorder="1"/>
    <xf numFmtId="2" fontId="31" fillId="2" borderId="4" xfId="0" applyNumberFormat="1" applyFont="1" applyFill="1" applyBorder="1" applyAlignment="1">
      <alignment horizontal="center"/>
    </xf>
    <xf numFmtId="2" fontId="31" fillId="2" borderId="1" xfId="0" applyNumberFormat="1" applyFont="1" applyFill="1" applyBorder="1" applyAlignment="1">
      <alignment horizontal="center"/>
    </xf>
    <xf numFmtId="0" fontId="0" fillId="0" borderId="0" xfId="0" applyFont="1"/>
    <xf numFmtId="0" fontId="2" fillId="0" borderId="15" xfId="0" applyFont="1" applyBorder="1" applyAlignment="1">
      <alignment horizontal="right"/>
    </xf>
    <xf numFmtId="164" fontId="0" fillId="0" borderId="0" xfId="0" applyNumberFormat="1"/>
    <xf numFmtId="2" fontId="30" fillId="4" borderId="1" xfId="0" applyNumberFormat="1" applyFont="1" applyFill="1" applyBorder="1"/>
    <xf numFmtId="0" fontId="16" fillId="0" borderId="6"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5</xdr:col>
      <xdr:colOff>1270</xdr:colOff>
      <xdr:row>7</xdr:row>
      <xdr:rowOff>11430</xdr:rowOff>
    </xdr:from>
    <xdr:ext cx="613373" cy="172227"/>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5802630" y="1393190"/>
              <a:ext cx="613373"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d>
                      <m:dPr>
                        <m:ctrlPr>
                          <a:rPr lang="en-US" sz="1100" i="1">
                            <a:latin typeface="Cambria Math" panose="02040503050406030204" pitchFamily="18" charset="0"/>
                          </a:rPr>
                        </m:ctrlPr>
                      </m:dPr>
                      <m:e>
                        <m:r>
                          <a:rPr lang="en-US" sz="1100" i="1">
                            <a:latin typeface="Cambria Math" panose="02040503050406030204" pitchFamily="18" charset="0"/>
                          </a:rPr>
                          <m:t>𝐿</m:t>
                        </m:r>
                        <m:r>
                          <a:rPr lang="en-US" sz="1100" i="0">
                            <a:latin typeface="Cambria Math" panose="02040503050406030204" pitchFamily="18" charset="0"/>
                          </a:rPr>
                          <m:t>∗2</m:t>
                        </m:r>
                        <m:r>
                          <a:rPr lang="en-US" sz="1100" i="1">
                            <a:latin typeface="Cambria Math" panose="02040503050406030204" pitchFamily="18" charset="0"/>
                          </a:rPr>
                          <m:t>𝜋</m:t>
                        </m:r>
                        <m:r>
                          <a:rPr lang="en-US" sz="1100" i="1">
                            <a:latin typeface="Cambria Math" panose="02040503050406030204" pitchFamily="18" charset="0"/>
                          </a:rPr>
                          <m:t>𝑅</m:t>
                        </m:r>
                      </m:e>
                    </m:d>
                  </m:oMath>
                </m:oMathPara>
              </a14:m>
              <a:endParaRPr lang="en-US" sz="1100"/>
            </a:p>
          </xdr:txBody>
        </xdr:sp>
      </mc:Choice>
      <mc:Fallback xmlns="">
        <xdr:sp macro="" textlink="">
          <xdr:nvSpPr>
            <xdr:cNvPr id="2" name="TextBox 1"/>
            <xdr:cNvSpPr txBox="1"/>
          </xdr:nvSpPr>
          <xdr:spPr>
            <a:xfrm>
              <a:off x="5802630" y="1393190"/>
              <a:ext cx="613373"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(𝐿∗2𝜋𝑅)</a:t>
              </a:r>
              <a:endParaRPr lang="en-US" sz="1100"/>
            </a:p>
          </xdr:txBody>
        </xdr:sp>
      </mc:Fallback>
    </mc:AlternateContent>
    <xdr:clientData/>
  </xdr:oneCellAnchor>
  <xdr:twoCellAnchor>
    <xdr:from>
      <xdr:col>6</xdr:col>
      <xdr:colOff>505461</xdr:colOff>
      <xdr:row>12</xdr:row>
      <xdr:rowOff>172720</xdr:rowOff>
    </xdr:from>
    <xdr:to>
      <xdr:col>9</xdr:col>
      <xdr:colOff>441960</xdr:colOff>
      <xdr:row>15</xdr:row>
      <xdr:rowOff>137160</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7129781" y="2519680"/>
          <a:ext cx="3655059" cy="543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 1: See seperate bulkhead</a:t>
          </a:r>
          <a:r>
            <a:rPr lang="en-US" sz="1100" baseline="0"/>
            <a:t> </a:t>
          </a:r>
          <a:r>
            <a:rPr lang="en-US" sz="1100"/>
            <a:t>heatsink area worksheet.</a:t>
          </a:r>
          <a:r>
            <a:rPr lang="en-US" sz="1100" baseline="0"/>
            <a:t> </a:t>
          </a:r>
          <a:endParaRPr lang="en-US" sz="1100"/>
        </a:p>
        <a:p>
          <a:endParaRPr lang="en-US" sz="1100"/>
        </a:p>
      </xdr:txBody>
    </xdr:sp>
    <xdr:clientData/>
  </xdr:twoCellAnchor>
  <xdr:oneCellAnchor>
    <xdr:from>
      <xdr:col>5</xdr:col>
      <xdr:colOff>41910</xdr:colOff>
      <xdr:row>12</xdr:row>
      <xdr:rowOff>26670</xdr:rowOff>
    </xdr:from>
    <xdr:ext cx="613373" cy="172227"/>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5843270" y="2373630"/>
              <a:ext cx="613373"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d>
                      <m:dPr>
                        <m:ctrlPr>
                          <a:rPr lang="en-US" sz="1100" i="1">
                            <a:latin typeface="Cambria Math" panose="02040503050406030204" pitchFamily="18" charset="0"/>
                          </a:rPr>
                        </m:ctrlPr>
                      </m:dPr>
                      <m:e>
                        <m:r>
                          <a:rPr lang="en-US" sz="1100" i="1">
                            <a:latin typeface="Cambria Math" panose="02040503050406030204" pitchFamily="18" charset="0"/>
                          </a:rPr>
                          <m:t>𝐿</m:t>
                        </m:r>
                        <m:r>
                          <a:rPr lang="en-US" sz="1100" i="0">
                            <a:latin typeface="Cambria Math" panose="02040503050406030204" pitchFamily="18" charset="0"/>
                          </a:rPr>
                          <m:t>∗2</m:t>
                        </m:r>
                        <m:r>
                          <a:rPr lang="en-US" sz="1100" i="1">
                            <a:latin typeface="Cambria Math" panose="02040503050406030204" pitchFamily="18" charset="0"/>
                          </a:rPr>
                          <m:t>𝜋</m:t>
                        </m:r>
                        <m:r>
                          <a:rPr lang="en-US" sz="1100" i="1">
                            <a:latin typeface="Cambria Math" panose="02040503050406030204" pitchFamily="18" charset="0"/>
                          </a:rPr>
                          <m:t>𝑅</m:t>
                        </m:r>
                      </m:e>
                    </m:d>
                  </m:oMath>
                </m:oMathPara>
              </a14:m>
              <a:endParaRPr lang="en-US" sz="1100"/>
            </a:p>
          </xdr:txBody>
        </xdr:sp>
      </mc:Choice>
      <mc:Fallback xmlns="">
        <xdr:sp macro="" textlink="">
          <xdr:nvSpPr>
            <xdr:cNvPr id="4" name="TextBox 3"/>
            <xdr:cNvSpPr txBox="1"/>
          </xdr:nvSpPr>
          <xdr:spPr>
            <a:xfrm>
              <a:off x="5843270" y="2373630"/>
              <a:ext cx="613373"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(𝐿∗2𝜋𝑅)</a:t>
              </a:r>
              <a:endParaRPr lang="en-US" sz="1100"/>
            </a:p>
          </xdr:txBody>
        </xdr:sp>
      </mc:Fallback>
    </mc:AlternateContent>
    <xdr:clientData/>
  </xdr:oneCellAnchor>
  <xdr:oneCellAnchor>
    <xdr:from>
      <xdr:col>0</xdr:col>
      <xdr:colOff>805180</xdr:colOff>
      <xdr:row>37</xdr:row>
      <xdr:rowOff>92710</xdr:rowOff>
    </xdr:from>
    <xdr:ext cx="616387" cy="316882"/>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805180" y="10745470"/>
              <a:ext cx="616387" cy="3168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f>
                      <m:fPr>
                        <m:ctrlPr>
                          <a:rPr lang="en-US" sz="110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𝑄𝐿</m:t>
                        </m:r>
                      </m:num>
                      <m:den>
                        <m:r>
                          <a:rPr lang="en-US" sz="1100" b="0" i="1">
                            <a:latin typeface="Cambria Math" panose="02040503050406030204" pitchFamily="18" charset="0"/>
                            <a:ea typeface="Cambria Math" panose="02040503050406030204" pitchFamily="18" charset="0"/>
                          </a:rPr>
                          <m:t>𝐾𝐴</m:t>
                        </m:r>
                      </m:den>
                    </m:f>
                  </m:oMath>
                </m:oMathPara>
              </a14:m>
              <a:endParaRPr lang="en-US" sz="1100"/>
            </a:p>
          </xdr:txBody>
        </xdr:sp>
      </mc:Choice>
      <mc:Fallback xmlns="">
        <xdr:sp macro="" textlink="">
          <xdr:nvSpPr>
            <xdr:cNvPr id="5" name="TextBox 4"/>
            <xdr:cNvSpPr txBox="1"/>
          </xdr:nvSpPr>
          <xdr:spPr>
            <a:xfrm>
              <a:off x="805180" y="10745470"/>
              <a:ext cx="616387" cy="3168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𝑄𝐿/𝐾𝐴</a:t>
              </a:r>
              <a:endParaRPr lang="en-US" sz="1100"/>
            </a:p>
          </xdr:txBody>
        </xdr:sp>
      </mc:Fallback>
    </mc:AlternateContent>
    <xdr:clientData/>
  </xdr:oneCellAnchor>
  <xdr:oneCellAnchor>
    <xdr:from>
      <xdr:col>0</xdr:col>
      <xdr:colOff>297180</xdr:colOff>
      <xdr:row>27</xdr:row>
      <xdr:rowOff>57150</xdr:rowOff>
    </xdr:from>
    <xdr:ext cx="1194750" cy="454483"/>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00000000-0008-0000-0100-000006000000}"/>
                </a:ext>
              </a:extLst>
            </xdr:cNvPr>
            <xdr:cNvSpPr txBox="1"/>
          </xdr:nvSpPr>
          <xdr:spPr>
            <a:xfrm>
              <a:off x="297180" y="8850630"/>
              <a:ext cx="1194750" cy="4544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latin typeface="Cambria Math" panose="02040503050406030204" pitchFamily="18" charset="0"/>
                      </a:rPr>
                      <m:t>𝐴𝑙𝑚</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𝐴𝑜𝑢𝑡</m:t>
                        </m:r>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𝐴𝑖𝑛</m:t>
                        </m:r>
                      </m:num>
                      <m:den>
                        <m:func>
                          <m:funcPr>
                            <m:ctrlPr>
                              <a:rPr lang="en-US" sz="1100" b="0" i="1">
                                <a:latin typeface="Cambria Math" panose="02040503050406030204" pitchFamily="18" charset="0"/>
                                <a:ea typeface="Cambria Math" panose="02040503050406030204" pitchFamily="18" charset="0"/>
                              </a:rPr>
                            </m:ctrlPr>
                          </m:funcPr>
                          <m:fName>
                            <m:r>
                              <m:rPr>
                                <m:sty m:val="p"/>
                              </m:rPr>
                              <a:rPr lang="en-US" sz="1100" b="0" i="0">
                                <a:latin typeface="Cambria Math" panose="02040503050406030204" pitchFamily="18" charset="0"/>
                                <a:ea typeface="Cambria Math" panose="02040503050406030204" pitchFamily="18" charset="0"/>
                              </a:rPr>
                              <m:t>log</m:t>
                            </m:r>
                          </m:fName>
                          <m:e>
                            <m:r>
                              <a:rPr lang="en-US" sz="1100" b="0" i="1">
                                <a:latin typeface="Cambria Math" panose="02040503050406030204" pitchFamily="18" charset="0"/>
                                <a:ea typeface="Cambria Math" panose="02040503050406030204" pitchFamily="18" charset="0"/>
                              </a:rPr>
                              <m:t>𝑒</m:t>
                            </m:r>
                          </m:e>
                        </m:func>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𝐴𝑜𝑢𝑡</m:t>
                            </m:r>
                          </m:num>
                          <m:den>
                            <m:r>
                              <a:rPr lang="en-US" sz="1100" b="0" i="1">
                                <a:latin typeface="Cambria Math" panose="02040503050406030204" pitchFamily="18" charset="0"/>
                                <a:ea typeface="Cambria Math" panose="02040503050406030204" pitchFamily="18" charset="0"/>
                              </a:rPr>
                              <m:t>𝐴𝑖𝑛</m:t>
                            </m:r>
                          </m:den>
                        </m:f>
                        <m:r>
                          <a:rPr lang="en-US" sz="1100" b="0" i="1">
                            <a:latin typeface="Cambria Math" panose="02040503050406030204" pitchFamily="18" charset="0"/>
                            <a:ea typeface="Cambria Math" panose="02040503050406030204" pitchFamily="18" charset="0"/>
                          </a:rPr>
                          <m:t>)</m:t>
                        </m:r>
                      </m:den>
                    </m:f>
                  </m:oMath>
                </m:oMathPara>
              </a14:m>
              <a:endParaRPr lang="en-US" sz="1100"/>
            </a:p>
          </xdr:txBody>
        </xdr:sp>
      </mc:Choice>
      <mc:Fallback xmlns="">
        <xdr:sp macro="" textlink="">
          <xdr:nvSpPr>
            <xdr:cNvPr id="6" name="TextBox 5"/>
            <xdr:cNvSpPr txBox="1"/>
          </xdr:nvSpPr>
          <xdr:spPr>
            <a:xfrm>
              <a:off x="297180" y="8850630"/>
              <a:ext cx="1194750" cy="4544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𝐴𝑙𝑚</a:t>
              </a:r>
              <a:r>
                <a:rPr lang="en-US" sz="1100" b="0" i="0">
                  <a:latin typeface="Cambria Math" panose="02040503050406030204" pitchFamily="18" charset="0"/>
                  <a:ea typeface="Cambria Math" panose="02040503050406030204" pitchFamily="18" charset="0"/>
                </a:rPr>
                <a:t>=(𝐴𝑜𝑢𝑡−𝐴𝑖𝑛)/(log⁡𝑒 (𝐴𝑜𝑢𝑡/𝐴𝑖𝑛))</a:t>
              </a:r>
              <a:endParaRPr lang="en-US" sz="1100"/>
            </a:p>
          </xdr:txBody>
        </xdr:sp>
      </mc:Fallback>
    </mc:AlternateContent>
    <xdr:clientData/>
  </xdr:oneCellAnchor>
  <xdr:oneCellAnchor>
    <xdr:from>
      <xdr:col>0</xdr:col>
      <xdr:colOff>708660</xdr:colOff>
      <xdr:row>42</xdr:row>
      <xdr:rowOff>17780</xdr:rowOff>
    </xdr:from>
    <xdr:ext cx="1704340" cy="172227"/>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100-000007000000}"/>
                </a:ext>
              </a:extLst>
            </xdr:cNvPr>
            <xdr:cNvSpPr txBox="1"/>
          </xdr:nvSpPr>
          <xdr:spPr>
            <a:xfrm>
              <a:off x="708660" y="12141200"/>
              <a:ext cx="170434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 </m:t>
                    </m:r>
                    <m:r>
                      <a:rPr lang="en-US" sz="1100" b="0" i="1">
                        <a:latin typeface="Cambria Math" panose="02040503050406030204" pitchFamily="18" charset="0"/>
                        <a:ea typeface="Cambria Math" panose="02040503050406030204" pitchFamily="18" charset="0"/>
                      </a:rPr>
                      <m:t>𝑎𝑐𝑟𝑜𝑠𝑠</m:t>
                    </m:r>
                    <m:r>
                      <a:rPr lang="en-US" sz="1100" b="0" i="1">
                        <a:latin typeface="Cambria Math" panose="02040503050406030204" pitchFamily="18" charset="0"/>
                        <a:ea typeface="Cambria Math" panose="02040503050406030204" pitchFamily="18" charset="0"/>
                      </a:rPr>
                      <m:t> </m:t>
                    </m:r>
                    <m:r>
                      <a:rPr lang="en-US" sz="1100" b="0" i="1">
                        <a:latin typeface="Cambria Math" panose="02040503050406030204" pitchFamily="18" charset="0"/>
                        <a:ea typeface="Cambria Math" panose="02040503050406030204" pitchFamily="18" charset="0"/>
                      </a:rPr>
                      <m:t>h𝑜𝑢𝑠𝑖𝑛𝑔</m:t>
                    </m:r>
                    <m:r>
                      <a:rPr lang="en-US" sz="1100" b="0" i="1">
                        <a:latin typeface="Cambria Math" panose="02040503050406030204" pitchFamily="18" charset="0"/>
                        <a:ea typeface="Cambria Math" panose="02040503050406030204" pitchFamily="18" charset="0"/>
                      </a:rPr>
                      <m:t> </m:t>
                    </m:r>
                    <m:r>
                      <a:rPr lang="en-US" sz="1100" b="0" i="1">
                        <a:latin typeface="Cambria Math" panose="02040503050406030204" pitchFamily="18" charset="0"/>
                        <a:ea typeface="Cambria Math" panose="02040503050406030204" pitchFamily="18" charset="0"/>
                      </a:rPr>
                      <m:t>𝑤𝑎𝑙𝑙</m:t>
                    </m:r>
                    <m:r>
                      <a:rPr lang="en-US" sz="110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7" name="TextBox 6"/>
            <xdr:cNvSpPr txBox="1"/>
          </xdr:nvSpPr>
          <xdr:spPr>
            <a:xfrm>
              <a:off x="708660" y="12141200"/>
              <a:ext cx="170434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 𝑎𝑐𝑟𝑜𝑠𝑠 ℎ𝑜𝑢𝑠𝑖𝑛𝑔 𝑤𝑎𝑙𝑙</a:t>
              </a:r>
              <a:r>
                <a:rPr lang="en-US" sz="1100" i="0">
                  <a:latin typeface="Cambria Math" panose="02040503050406030204" pitchFamily="18" charset="0"/>
                  <a:ea typeface="Cambria Math" panose="02040503050406030204" pitchFamily="18" charset="0"/>
                </a:rPr>
                <a:t>=</a:t>
              </a:r>
              <a:endParaRPr lang="en-US" sz="1100"/>
            </a:p>
          </xdr:txBody>
        </xdr:sp>
      </mc:Fallback>
    </mc:AlternateContent>
    <xdr:clientData/>
  </xdr:oneCellAnchor>
  <xdr:oneCellAnchor>
    <xdr:from>
      <xdr:col>0</xdr:col>
      <xdr:colOff>297180</xdr:colOff>
      <xdr:row>47</xdr:row>
      <xdr:rowOff>153670</xdr:rowOff>
    </xdr:from>
    <xdr:ext cx="661015" cy="318036"/>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297180" y="12650470"/>
              <a:ext cx="661015" cy="318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f>
                      <m:fPr>
                        <m:ctrlPr>
                          <a:rPr lang="en-US" sz="110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𝑄</m:t>
                        </m:r>
                      </m:num>
                      <m:den>
                        <m:r>
                          <a:rPr lang="en-US" sz="1100" b="0" i="1">
                            <a:latin typeface="Cambria Math" panose="02040503050406030204" pitchFamily="18" charset="0"/>
                            <a:ea typeface="Cambria Math" panose="02040503050406030204" pitchFamily="18" charset="0"/>
                          </a:rPr>
                          <m:t>h𝑐𝐴</m:t>
                        </m:r>
                      </m:den>
                    </m:f>
                  </m:oMath>
                </m:oMathPara>
              </a14:m>
              <a:endParaRPr lang="en-US" sz="1100"/>
            </a:p>
          </xdr:txBody>
        </xdr:sp>
      </mc:Choice>
      <mc:Fallback xmlns="">
        <xdr:sp macro="" textlink="">
          <xdr:nvSpPr>
            <xdr:cNvPr id="8" name="TextBox 7"/>
            <xdr:cNvSpPr txBox="1"/>
          </xdr:nvSpPr>
          <xdr:spPr>
            <a:xfrm>
              <a:off x="297180" y="12650470"/>
              <a:ext cx="661015" cy="318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𝑄/ℎ𝑐𝐴</a:t>
              </a:r>
              <a:endParaRPr lang="en-US" sz="1100"/>
            </a:p>
          </xdr:txBody>
        </xdr:sp>
      </mc:Fallback>
    </mc:AlternateContent>
    <xdr:clientData/>
  </xdr:oneCellAnchor>
  <xdr:oneCellAnchor>
    <xdr:from>
      <xdr:col>0</xdr:col>
      <xdr:colOff>769620</xdr:colOff>
      <xdr:row>79</xdr:row>
      <xdr:rowOff>138430</xdr:rowOff>
    </xdr:from>
    <xdr:ext cx="659411" cy="346505"/>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100-000009000000}"/>
                </a:ext>
              </a:extLst>
            </xdr:cNvPr>
            <xdr:cNvSpPr txBox="1"/>
          </xdr:nvSpPr>
          <xdr:spPr>
            <a:xfrm>
              <a:off x="769620" y="18517870"/>
              <a:ext cx="659411" cy="3465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latin typeface="Cambria Math" panose="02040503050406030204" pitchFamily="18" charset="0"/>
                      </a:rPr>
                      <m:t>𝑊</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𝑄</m:t>
                        </m:r>
                      </m:num>
                      <m:den>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𝑡𝐶𝑝</m:t>
                        </m:r>
                      </m:den>
                    </m:f>
                  </m:oMath>
                </m:oMathPara>
              </a14:m>
              <a:endParaRPr lang="en-US" sz="1100"/>
            </a:p>
          </xdr:txBody>
        </xdr:sp>
      </mc:Choice>
      <mc:Fallback xmlns="">
        <xdr:sp macro="" textlink="">
          <xdr:nvSpPr>
            <xdr:cNvPr id="9" name="TextBox 8"/>
            <xdr:cNvSpPr txBox="1"/>
          </xdr:nvSpPr>
          <xdr:spPr>
            <a:xfrm>
              <a:off x="769620" y="18517870"/>
              <a:ext cx="659411" cy="3465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𝑊=𝑄/</a:t>
              </a:r>
              <a:r>
                <a:rPr lang="en-US" sz="1100" b="0" i="0">
                  <a:latin typeface="Cambria Math" panose="02040503050406030204" pitchFamily="18" charset="0"/>
                  <a:ea typeface="Cambria Math" panose="02040503050406030204" pitchFamily="18" charset="0"/>
                </a:rPr>
                <a:t>∆𝑡𝐶𝑝</a:t>
              </a:r>
              <a:endParaRPr lang="en-US" sz="1100"/>
            </a:p>
          </xdr:txBody>
        </xdr:sp>
      </mc:Fallback>
    </mc:AlternateContent>
    <xdr:clientData/>
  </xdr:oneCellAnchor>
  <xdr:oneCellAnchor>
    <xdr:from>
      <xdr:col>6</xdr:col>
      <xdr:colOff>571500</xdr:colOff>
      <xdr:row>24</xdr:row>
      <xdr:rowOff>156210</xdr:rowOff>
    </xdr:from>
    <xdr:ext cx="65" cy="172227"/>
    <xdr:sp macro="" textlink="">
      <xdr:nvSpPr>
        <xdr:cNvPr id="10" name="TextBox 9">
          <a:extLst>
            <a:ext uri="{FF2B5EF4-FFF2-40B4-BE49-F238E27FC236}">
              <a16:creationId xmlns:a16="http://schemas.microsoft.com/office/drawing/2014/main" id="{00000000-0008-0000-0100-00000A000000}"/>
            </a:ext>
          </a:extLst>
        </xdr:cNvPr>
        <xdr:cNvSpPr txBox="1"/>
      </xdr:nvSpPr>
      <xdr:spPr>
        <a:xfrm>
          <a:off x="6576060" y="8401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599440</xdr:colOff>
      <xdr:row>90</xdr:row>
      <xdr:rowOff>128270</xdr:rowOff>
    </xdr:from>
    <xdr:ext cx="485646" cy="345416"/>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100-00000B000000}"/>
                </a:ext>
              </a:extLst>
            </xdr:cNvPr>
            <xdr:cNvSpPr txBox="1"/>
          </xdr:nvSpPr>
          <xdr:spPr>
            <a:xfrm>
              <a:off x="599440" y="20534630"/>
              <a:ext cx="485646" cy="3454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latin typeface="Cambria Math" panose="02040503050406030204" pitchFamily="18" charset="0"/>
                      </a:rPr>
                      <m:t>𝑄</m:t>
                    </m:r>
                    <m:r>
                      <a:rPr lang="en-US" sz="1100" b="0" i="1">
                        <a:latin typeface="Cambria Math" panose="02040503050406030204" pitchFamily="18" charset="0"/>
                      </a:rPr>
                      <m:t>= </m:t>
                    </m:r>
                    <m:f>
                      <m:fPr>
                        <m:ctrlPr>
                          <a:rPr lang="en-US" sz="1100" b="0" i="1">
                            <a:latin typeface="Cambria Math" panose="02040503050406030204" pitchFamily="18" charset="0"/>
                          </a:rPr>
                        </m:ctrlPr>
                      </m:fPr>
                      <m:num>
                        <m:r>
                          <a:rPr lang="en-US" sz="1100" b="0" i="1">
                            <a:latin typeface="Cambria Math" panose="02040503050406030204" pitchFamily="18" charset="0"/>
                          </a:rPr>
                          <m:t>𝑊</m:t>
                        </m:r>
                      </m:num>
                      <m:den>
                        <m:r>
                          <a:rPr lang="en-US" sz="1100" b="0" i="1">
                            <a:latin typeface="Cambria Math" panose="02040503050406030204" pitchFamily="18" charset="0"/>
                          </a:rPr>
                          <m:t>𝑝</m:t>
                        </m:r>
                      </m:den>
                    </m:f>
                  </m:oMath>
                </m:oMathPara>
              </a14:m>
              <a:endParaRPr lang="en-US" sz="1100"/>
            </a:p>
          </xdr:txBody>
        </xdr:sp>
      </mc:Choice>
      <mc:Fallback xmlns="">
        <xdr:sp macro="" textlink="">
          <xdr:nvSpPr>
            <xdr:cNvPr id="11" name="TextBox 10"/>
            <xdr:cNvSpPr txBox="1"/>
          </xdr:nvSpPr>
          <xdr:spPr>
            <a:xfrm>
              <a:off x="599440" y="20534630"/>
              <a:ext cx="485646" cy="3454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𝑄=  𝑊/𝑝</a:t>
              </a:r>
              <a:endParaRPr lang="en-US" sz="1100"/>
            </a:p>
          </xdr:txBody>
        </xdr:sp>
      </mc:Fallback>
    </mc:AlternateContent>
    <xdr:clientData/>
  </xdr:oneCellAnchor>
  <xdr:oneCellAnchor>
    <xdr:from>
      <xdr:col>0</xdr:col>
      <xdr:colOff>952500</xdr:colOff>
      <xdr:row>100</xdr:row>
      <xdr:rowOff>137160</xdr:rowOff>
    </xdr:from>
    <xdr:ext cx="661015" cy="318036"/>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100-00000C000000}"/>
                </a:ext>
              </a:extLst>
            </xdr:cNvPr>
            <xdr:cNvSpPr txBox="1"/>
          </xdr:nvSpPr>
          <xdr:spPr>
            <a:xfrm>
              <a:off x="952500" y="22372320"/>
              <a:ext cx="661015" cy="318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f>
                      <m:fPr>
                        <m:ctrlPr>
                          <a:rPr lang="en-US" sz="110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𝑄</m:t>
                        </m:r>
                      </m:num>
                      <m:den>
                        <m:r>
                          <a:rPr lang="en-US" sz="1100" b="0" i="1">
                            <a:latin typeface="Cambria Math" panose="02040503050406030204" pitchFamily="18" charset="0"/>
                            <a:ea typeface="Cambria Math" panose="02040503050406030204" pitchFamily="18" charset="0"/>
                          </a:rPr>
                          <m:t>h𝑐𝐴</m:t>
                        </m:r>
                      </m:den>
                    </m:f>
                  </m:oMath>
                </m:oMathPara>
              </a14:m>
              <a:endParaRPr lang="en-US" sz="1100"/>
            </a:p>
          </xdr:txBody>
        </xdr:sp>
      </mc:Choice>
      <mc:Fallback xmlns="">
        <xdr:sp macro="" textlink="">
          <xdr:nvSpPr>
            <xdr:cNvPr id="12" name="TextBox 11"/>
            <xdr:cNvSpPr txBox="1"/>
          </xdr:nvSpPr>
          <xdr:spPr>
            <a:xfrm>
              <a:off x="952500" y="22372320"/>
              <a:ext cx="661015" cy="318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𝑄/ℎ𝑐𝐴</a:t>
              </a:r>
              <a:endParaRPr lang="en-US" sz="1100"/>
            </a:p>
          </xdr:txBody>
        </xdr:sp>
      </mc:Fallback>
    </mc:AlternateContent>
    <xdr:clientData/>
  </xdr:oneCellAnchor>
  <xdr:oneCellAnchor>
    <xdr:from>
      <xdr:col>0</xdr:col>
      <xdr:colOff>594360</xdr:colOff>
      <xdr:row>124</xdr:row>
      <xdr:rowOff>41910</xdr:rowOff>
    </xdr:from>
    <xdr:ext cx="610745" cy="344518"/>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100-00000D000000}"/>
                </a:ext>
              </a:extLst>
            </xdr:cNvPr>
            <xdr:cNvSpPr txBox="1"/>
          </xdr:nvSpPr>
          <xdr:spPr>
            <a:xfrm>
              <a:off x="594360" y="26681430"/>
              <a:ext cx="610745" cy="344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latin typeface="Cambria Math" panose="02040503050406030204" pitchFamily="18" charset="0"/>
                      </a:rPr>
                      <m:t>𝑁𝑟</m:t>
                    </m:r>
                    <m:r>
                      <a:rPr lang="en-US" sz="1100" b="0" i="1">
                        <a:latin typeface="Cambria Math" panose="02040503050406030204" pitchFamily="18" charset="0"/>
                        <a:ea typeface="Cambria Math" panose="02040503050406030204" pitchFamily="18" charset="0"/>
                      </a:rPr>
                      <m:t>= </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𝐺𝐷</m:t>
                        </m:r>
                      </m:num>
                      <m:den>
                        <m:r>
                          <a:rPr lang="en-US" sz="1100" b="0" i="1">
                            <a:latin typeface="Cambria Math" panose="02040503050406030204" pitchFamily="18" charset="0"/>
                            <a:ea typeface="Cambria Math" panose="02040503050406030204" pitchFamily="18" charset="0"/>
                          </a:rPr>
                          <m:t>𝜇</m:t>
                        </m:r>
                      </m:den>
                    </m:f>
                  </m:oMath>
                </m:oMathPara>
              </a14:m>
              <a:endParaRPr lang="en-US" sz="1100"/>
            </a:p>
          </xdr:txBody>
        </xdr:sp>
      </mc:Choice>
      <mc:Fallback xmlns="">
        <xdr:sp macro="" textlink="">
          <xdr:nvSpPr>
            <xdr:cNvPr id="13" name="TextBox 12"/>
            <xdr:cNvSpPr txBox="1"/>
          </xdr:nvSpPr>
          <xdr:spPr>
            <a:xfrm>
              <a:off x="594360" y="26681430"/>
              <a:ext cx="610745" cy="344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𝑁𝑟</a:t>
              </a:r>
              <a:r>
                <a:rPr lang="en-US" sz="1100" b="0" i="0">
                  <a:latin typeface="Cambria Math" panose="02040503050406030204" pitchFamily="18" charset="0"/>
                  <a:ea typeface="Cambria Math" panose="02040503050406030204" pitchFamily="18" charset="0"/>
                </a:rPr>
                <a:t>=  𝐺𝐷/𝜇</a:t>
              </a:r>
              <a:endParaRPr lang="en-US" sz="1100"/>
            </a:p>
          </xdr:txBody>
        </xdr:sp>
      </mc:Fallback>
    </mc:AlternateContent>
    <xdr:clientData/>
  </xdr:oneCellAnchor>
  <xdr:oneCellAnchor>
    <xdr:from>
      <xdr:col>2</xdr:col>
      <xdr:colOff>594360</xdr:colOff>
      <xdr:row>122</xdr:row>
      <xdr:rowOff>125730</xdr:rowOff>
    </xdr:from>
    <xdr:ext cx="853440" cy="345929"/>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0000000-0008-0000-0100-00000E000000}"/>
                </a:ext>
              </a:extLst>
            </xdr:cNvPr>
            <xdr:cNvSpPr txBox="1"/>
          </xdr:nvSpPr>
          <xdr:spPr>
            <a:xfrm>
              <a:off x="3741420" y="26399490"/>
              <a:ext cx="853440" cy="3459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en-US" sz="1100" i="1">
                            <a:latin typeface="Cambria Math" panose="02040503050406030204" pitchFamily="18" charset="0"/>
                          </a:rPr>
                        </m:ctrlPr>
                      </m:fPr>
                      <m:num>
                        <m:r>
                          <a:rPr lang="en-US" sz="1100" b="0" i="1">
                            <a:latin typeface="Cambria Math" panose="02040503050406030204" pitchFamily="18" charset="0"/>
                          </a:rPr>
                          <m:t>4</m:t>
                        </m:r>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𝑎𝑟𝑒𝑎</m:t>
                        </m:r>
                      </m:num>
                      <m:den>
                        <m:r>
                          <a:rPr lang="en-US" sz="1100" b="0" i="1">
                            <a:latin typeface="Cambria Math" panose="02040503050406030204" pitchFamily="18" charset="0"/>
                          </a:rPr>
                          <m:t>𝑝𝑒𝑟𝑖𝑚𝑒𝑡𝑒𝑟</m:t>
                        </m:r>
                      </m:den>
                    </m:f>
                  </m:oMath>
                </m:oMathPara>
              </a14:m>
              <a:endParaRPr lang="en-US" sz="1100"/>
            </a:p>
          </xdr:txBody>
        </xdr:sp>
      </mc:Choice>
      <mc:Fallback xmlns="">
        <xdr:sp macro="" textlink="">
          <xdr:nvSpPr>
            <xdr:cNvPr id="14" name="TextBox 13"/>
            <xdr:cNvSpPr txBox="1"/>
          </xdr:nvSpPr>
          <xdr:spPr>
            <a:xfrm>
              <a:off x="3741420" y="26399490"/>
              <a:ext cx="853440" cy="3459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4</a:t>
              </a:r>
              <a:r>
                <a:rPr lang="en-US" sz="1100" b="0" i="0">
                  <a:latin typeface="Cambria Math" panose="02040503050406030204" pitchFamily="18" charset="0"/>
                  <a:ea typeface="Cambria Math" panose="02040503050406030204" pitchFamily="18" charset="0"/>
                </a:rPr>
                <a:t>×𝑎𝑟𝑒𝑎)/</a:t>
              </a:r>
              <a:r>
                <a:rPr lang="en-US" sz="1100" b="0" i="0">
                  <a:latin typeface="Cambria Math" panose="02040503050406030204" pitchFamily="18" charset="0"/>
                </a:rPr>
                <a:t>𝑝𝑒𝑟𝑖𝑚𝑒𝑡𝑒𝑟</a:t>
              </a:r>
              <a:endParaRPr lang="en-US" sz="1100"/>
            </a:p>
          </xdr:txBody>
        </xdr:sp>
      </mc:Fallback>
    </mc:AlternateContent>
    <xdr:clientData/>
  </xdr:oneCellAnchor>
  <xdr:twoCellAnchor>
    <xdr:from>
      <xdr:col>3</xdr:col>
      <xdr:colOff>76200</xdr:colOff>
      <xdr:row>105</xdr:row>
      <xdr:rowOff>121920</xdr:rowOff>
    </xdr:from>
    <xdr:to>
      <xdr:col>4</xdr:col>
      <xdr:colOff>190500</xdr:colOff>
      <xdr:row>110</xdr:row>
      <xdr:rowOff>114300</xdr:rowOff>
    </xdr:to>
    <xdr:grpSp>
      <xdr:nvGrpSpPr>
        <xdr:cNvPr id="15" name="Group 14">
          <a:extLst>
            <a:ext uri="{FF2B5EF4-FFF2-40B4-BE49-F238E27FC236}">
              <a16:creationId xmlns:a16="http://schemas.microsoft.com/office/drawing/2014/main" id="{00000000-0008-0000-0100-00000F000000}"/>
            </a:ext>
          </a:extLst>
        </xdr:cNvPr>
        <xdr:cNvGrpSpPr/>
      </xdr:nvGrpSpPr>
      <xdr:grpSpPr>
        <a:xfrm>
          <a:off x="4660900" y="19210020"/>
          <a:ext cx="952500" cy="881380"/>
          <a:chOff x="5265420" y="23172420"/>
          <a:chExt cx="990600" cy="906780"/>
        </a:xfrm>
      </xdr:grpSpPr>
      <xdr:sp macro="" textlink="">
        <xdr:nvSpPr>
          <xdr:cNvPr id="16" name="Oval 15">
            <a:extLst>
              <a:ext uri="{FF2B5EF4-FFF2-40B4-BE49-F238E27FC236}">
                <a16:creationId xmlns:a16="http://schemas.microsoft.com/office/drawing/2014/main" id="{00000000-0008-0000-0100-000010000000}"/>
              </a:ext>
            </a:extLst>
          </xdr:cNvPr>
          <xdr:cNvSpPr/>
        </xdr:nvSpPr>
        <xdr:spPr>
          <a:xfrm>
            <a:off x="5265420" y="23172420"/>
            <a:ext cx="990600" cy="906780"/>
          </a:xfrm>
          <a:prstGeom prst="ellipse">
            <a:avLst/>
          </a:prstGeom>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7" name="Flowchart: Connector 16">
            <a:extLst>
              <a:ext uri="{FF2B5EF4-FFF2-40B4-BE49-F238E27FC236}">
                <a16:creationId xmlns:a16="http://schemas.microsoft.com/office/drawing/2014/main" id="{00000000-0008-0000-0100-000011000000}"/>
              </a:ext>
            </a:extLst>
          </xdr:cNvPr>
          <xdr:cNvSpPr/>
        </xdr:nvSpPr>
        <xdr:spPr>
          <a:xfrm>
            <a:off x="5394960" y="23294340"/>
            <a:ext cx="716280" cy="655320"/>
          </a:xfrm>
          <a:prstGeom prst="flowChartConnector">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oneCellAnchor>
    <xdr:from>
      <xdr:col>0</xdr:col>
      <xdr:colOff>800100</xdr:colOff>
      <xdr:row>116</xdr:row>
      <xdr:rowOff>87630</xdr:rowOff>
    </xdr:from>
    <xdr:ext cx="481222" cy="315792"/>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00000000-0008-0000-0100-000012000000}"/>
                </a:ext>
              </a:extLst>
            </xdr:cNvPr>
            <xdr:cNvSpPr txBox="1"/>
          </xdr:nvSpPr>
          <xdr:spPr>
            <a:xfrm>
              <a:off x="800100" y="25248870"/>
              <a:ext cx="481222" cy="3157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latin typeface="Cambria Math" panose="02040503050406030204" pitchFamily="18" charset="0"/>
                      </a:rPr>
                      <m:t>𝐺</m:t>
                    </m:r>
                    <m:r>
                      <a:rPr lang="en-US" sz="1100" b="0" i="1">
                        <a:latin typeface="Cambria Math" panose="02040503050406030204" pitchFamily="18" charset="0"/>
                        <a:ea typeface="Cambria Math" panose="02040503050406030204" pitchFamily="18" charset="0"/>
                      </a:rPr>
                      <m:t>= </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𝑊</m:t>
                        </m:r>
                      </m:num>
                      <m:den>
                        <m:r>
                          <a:rPr lang="en-US" sz="1100" b="0" i="1">
                            <a:latin typeface="Cambria Math" panose="02040503050406030204" pitchFamily="18" charset="0"/>
                            <a:ea typeface="Cambria Math" panose="02040503050406030204" pitchFamily="18" charset="0"/>
                          </a:rPr>
                          <m:t>𝐴</m:t>
                        </m:r>
                      </m:den>
                    </m:f>
                  </m:oMath>
                </m:oMathPara>
              </a14:m>
              <a:endParaRPr lang="en-US" sz="1100"/>
            </a:p>
          </xdr:txBody>
        </xdr:sp>
      </mc:Choice>
      <mc:Fallback xmlns="">
        <xdr:sp macro="" textlink="">
          <xdr:nvSpPr>
            <xdr:cNvPr id="18" name="TextBox 17"/>
            <xdr:cNvSpPr txBox="1"/>
          </xdr:nvSpPr>
          <xdr:spPr>
            <a:xfrm>
              <a:off x="800100" y="25248870"/>
              <a:ext cx="481222" cy="3157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𝐺</a:t>
              </a:r>
              <a:r>
                <a:rPr lang="en-US" sz="1100" b="0" i="0">
                  <a:latin typeface="Cambria Math" panose="02040503050406030204" pitchFamily="18" charset="0"/>
                  <a:ea typeface="Cambria Math" panose="02040503050406030204" pitchFamily="18" charset="0"/>
                </a:rPr>
                <a:t>=  𝑊/𝐴</a:t>
              </a:r>
              <a:endParaRPr lang="en-US" sz="1100"/>
            </a:p>
          </xdr:txBody>
        </xdr:sp>
      </mc:Fallback>
    </mc:AlternateContent>
    <xdr:clientData/>
  </xdr:oneCellAnchor>
  <xdr:oneCellAnchor>
    <xdr:from>
      <xdr:col>6</xdr:col>
      <xdr:colOff>571500</xdr:colOff>
      <xdr:row>111</xdr:row>
      <xdr:rowOff>156210</xdr:rowOff>
    </xdr:from>
    <xdr:ext cx="65" cy="172227"/>
    <xdr:sp macro="" textlink="">
      <xdr:nvSpPr>
        <xdr:cNvPr id="19" name="TextBox 18">
          <a:extLst>
            <a:ext uri="{FF2B5EF4-FFF2-40B4-BE49-F238E27FC236}">
              <a16:creationId xmlns:a16="http://schemas.microsoft.com/office/drawing/2014/main" id="{00000000-0008-0000-0100-000013000000}"/>
            </a:ext>
          </a:extLst>
        </xdr:cNvPr>
        <xdr:cNvSpPr txBox="1"/>
      </xdr:nvSpPr>
      <xdr:spPr>
        <a:xfrm>
          <a:off x="6576060" y="24403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xdr:col>
      <xdr:colOff>15240</xdr:colOff>
      <xdr:row>134</xdr:row>
      <xdr:rowOff>68580</xdr:rowOff>
    </xdr:from>
    <xdr:ext cx="796628" cy="348044"/>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100-000014000000}"/>
                </a:ext>
              </a:extLst>
            </xdr:cNvPr>
            <xdr:cNvSpPr txBox="1"/>
          </xdr:nvSpPr>
          <xdr:spPr>
            <a:xfrm>
              <a:off x="2339340" y="28552140"/>
              <a:ext cx="796628" cy="348044"/>
            </a:xfrm>
            <a:prstGeom prst="rect">
              <a:avLst/>
            </a:prstGeom>
            <a:noFill/>
            <a:ln>
              <a:noFill/>
            </a:ln>
            <a:effectLst/>
          </xdr:spPr>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mn-ea"/>
                        <a:cs typeface="+mn-cs"/>
                      </a:rPr>
                      <m:t>𝐽</m:t>
                    </m:r>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f>
                      <m:fPr>
                        <m:ctrlP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fPr>
                      <m:num>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6</m:t>
                        </m:r>
                      </m:num>
                      <m:den>
                        <m:sSup>
                          <m:sSupPr>
                            <m:ctrlP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pPr>
                          <m:e>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𝑁𝑟</m:t>
                            </m:r>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e>
                          <m:sup>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0.98</m:t>
                            </m:r>
                          </m:sup>
                        </m:sSup>
                      </m:den>
                    </m:f>
                  </m:oMath>
                </m:oMathPara>
              </a14:m>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20" name="TextBox 19"/>
            <xdr:cNvSpPr txBox="1"/>
          </xdr:nvSpPr>
          <xdr:spPr>
            <a:xfrm>
              <a:off x="2339340" y="28552140"/>
              <a:ext cx="796628" cy="348044"/>
            </a:xfrm>
            <a:prstGeom prst="rect">
              <a:avLst/>
            </a:prstGeom>
            <a:noFill/>
            <a:ln>
              <a:noFill/>
            </a:ln>
            <a:effectLst/>
          </xdr:spPr>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smtClean="0">
                  <a:ln>
                    <a:noFill/>
                  </a:ln>
                  <a:solidFill>
                    <a:sysClr val="windowText" lastClr="000000"/>
                  </a:solidFill>
                  <a:effectLst/>
                  <a:uLnTx/>
                  <a:uFillTx/>
                  <a:latin typeface="Cambria Math" panose="02040503050406030204" pitchFamily="18" charset="0"/>
                  <a:ea typeface="+mn-ea"/>
                  <a:cs typeface="+mn-cs"/>
                </a:rPr>
                <a:t>𝐽</a:t>
              </a:r>
              <a:r>
                <a:rPr kumimoji="0" lang="en-US" sz="1100" b="0" i="0"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  6/〖(𝑁𝑟)〗^0.98 </a:t>
              </a:r>
              <a:endParaRPr kumimoji="0" lang="en-US" sz="1100" b="0" i="0" u="none" strike="noStrike" kern="0" cap="none" spc="0" normalizeH="0" baseline="0" noProof="0" smtClean="0">
                <a:ln>
                  <a:noFill/>
                </a:ln>
                <a:solidFill>
                  <a:sysClr val="windowText" lastClr="000000"/>
                </a:solidFill>
                <a:effectLst/>
                <a:uLnTx/>
                <a:uFillTx/>
                <a:latin typeface="Calibri" panose="020F0502020204030204"/>
                <a:ea typeface="+mn-ea"/>
                <a:cs typeface="+mn-cs"/>
              </a:endParaRPr>
            </a:p>
          </xdr:txBody>
        </xdr:sp>
      </mc:Fallback>
    </mc:AlternateContent>
    <xdr:clientData/>
  </xdr:oneCellAnchor>
  <xdr:oneCellAnchor>
    <xdr:from>
      <xdr:col>0</xdr:col>
      <xdr:colOff>365760</xdr:colOff>
      <xdr:row>141</xdr:row>
      <xdr:rowOff>7620</xdr:rowOff>
    </xdr:from>
    <xdr:ext cx="1722120" cy="240387"/>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00000000-0008-0000-0100-000015000000}"/>
                </a:ext>
              </a:extLst>
            </xdr:cNvPr>
            <xdr:cNvSpPr txBox="1"/>
          </xdr:nvSpPr>
          <xdr:spPr>
            <a:xfrm>
              <a:off x="365760" y="29771340"/>
              <a:ext cx="1722120" cy="2403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US" sz="1100" i="1">
                  <a:latin typeface="Cambria Math" panose="02040503050406030204" pitchFamily="18" charset="0"/>
                  <a:ea typeface="Cambria Math" panose="02040503050406030204" pitchFamily="18" charset="0"/>
                </a:rPr>
                <a:t>hc</a:t>
              </a:r>
              <a:r>
                <a:rPr lang="en-US" sz="1100" i="1" baseline="0">
                  <a:latin typeface="Cambria Math" panose="02040503050406030204" pitchFamily="18" charset="0"/>
                  <a:ea typeface="Cambria Math" panose="02040503050406030204" pitchFamily="18" charset="0"/>
                </a:rPr>
                <a:t> = JCpG( </a:t>
              </a:r>
              <a14:m>
                <m:oMath xmlns:m="http://schemas.openxmlformats.org/officeDocument/2006/math">
                  <m:f>
                    <m:fPr>
                      <m:ctrlPr>
                        <a:rPr lang="en-US" sz="1100" i="1" baseline="0">
                          <a:latin typeface="Cambria Math" panose="02040503050406030204" pitchFamily="18" charset="0"/>
                          <a:ea typeface="Cambria Math" panose="02040503050406030204" pitchFamily="18" charset="0"/>
                        </a:rPr>
                      </m:ctrlPr>
                    </m:fPr>
                    <m:num>
                      <m:r>
                        <a:rPr lang="en-US" sz="1100" b="0" i="1" baseline="0">
                          <a:latin typeface="Cambria Math" panose="02040503050406030204" pitchFamily="18" charset="0"/>
                          <a:ea typeface="Cambria Math" panose="02040503050406030204" pitchFamily="18" charset="0"/>
                        </a:rPr>
                        <m:t>𝐶𝑝</m:t>
                      </m:r>
                      <m:r>
                        <a:rPr lang="en-US" sz="1100" b="0" i="1" baseline="0">
                          <a:latin typeface="Cambria Math" panose="02040503050406030204" pitchFamily="18" charset="0"/>
                          <a:ea typeface="Cambria Math" panose="02040503050406030204" pitchFamily="18" charset="0"/>
                        </a:rPr>
                        <m:t>𝜇</m:t>
                      </m:r>
                    </m:num>
                    <m:den>
                      <m:r>
                        <a:rPr lang="en-US" sz="1100" b="0" i="1" baseline="0">
                          <a:latin typeface="Cambria Math" panose="02040503050406030204" pitchFamily="18" charset="0"/>
                          <a:ea typeface="Cambria Math" panose="02040503050406030204" pitchFamily="18" charset="0"/>
                        </a:rPr>
                        <m:t>𝐾</m:t>
                      </m:r>
                    </m:den>
                  </m:f>
                  <m:sSup>
                    <m:sSupPr>
                      <m:ctrlPr>
                        <a:rPr lang="en-US" sz="1100" i="1" baseline="0">
                          <a:latin typeface="Cambria Math" panose="02040503050406030204" pitchFamily="18" charset="0"/>
                          <a:ea typeface="Cambria Math" panose="02040503050406030204" pitchFamily="18" charset="0"/>
                        </a:rPr>
                      </m:ctrlPr>
                    </m:sSupPr>
                    <m:e>
                      <m:r>
                        <a:rPr lang="en-US" sz="1100" b="0" i="1" baseline="0">
                          <a:latin typeface="Cambria Math" panose="02040503050406030204" pitchFamily="18" charset="0"/>
                          <a:ea typeface="Cambria Math" panose="02040503050406030204" pitchFamily="18" charset="0"/>
                        </a:rPr>
                        <m:t> )</m:t>
                      </m:r>
                    </m:e>
                    <m:sup>
                      <m:r>
                        <a:rPr lang="en-US" sz="1100" b="0" i="1" baseline="0">
                          <a:latin typeface="Cambria Math" panose="02040503050406030204" pitchFamily="18" charset="0"/>
                          <a:ea typeface="Cambria Math" panose="02040503050406030204" pitchFamily="18" charset="0"/>
                        </a:rPr>
                        <m:t>−2/3</m:t>
                      </m:r>
                    </m:sup>
                  </m:sSup>
                </m:oMath>
              </a14:m>
              <a:endParaRPr lang="en-US" sz="1100">
                <a:latin typeface="Cambria Math" panose="02040503050406030204" pitchFamily="18" charset="0"/>
                <a:ea typeface="Cambria Math" panose="02040503050406030204" pitchFamily="18" charset="0"/>
              </a:endParaRPr>
            </a:p>
          </xdr:txBody>
        </xdr:sp>
      </mc:Choice>
      <mc:Fallback xmlns="">
        <xdr:sp macro="" textlink="">
          <xdr:nvSpPr>
            <xdr:cNvPr id="21" name="TextBox 20"/>
            <xdr:cNvSpPr txBox="1"/>
          </xdr:nvSpPr>
          <xdr:spPr>
            <a:xfrm>
              <a:off x="365760" y="29771340"/>
              <a:ext cx="1722120" cy="2403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US" sz="1100" i="1">
                  <a:latin typeface="Cambria Math" panose="02040503050406030204" pitchFamily="18" charset="0"/>
                  <a:ea typeface="Cambria Math" panose="02040503050406030204" pitchFamily="18" charset="0"/>
                </a:rPr>
                <a:t>hc</a:t>
              </a:r>
              <a:r>
                <a:rPr lang="en-US" sz="1100" i="1" baseline="0">
                  <a:latin typeface="Cambria Math" panose="02040503050406030204" pitchFamily="18" charset="0"/>
                  <a:ea typeface="Cambria Math" panose="02040503050406030204" pitchFamily="18" charset="0"/>
                </a:rPr>
                <a:t> = JCpG( </a:t>
              </a:r>
              <a:r>
                <a:rPr lang="en-US" sz="1100" b="0" i="0" baseline="0">
                  <a:latin typeface="Cambria Math" panose="02040503050406030204" pitchFamily="18" charset="0"/>
                  <a:ea typeface="Cambria Math" panose="02040503050406030204" pitchFamily="18" charset="0"/>
                </a:rPr>
                <a:t>𝐶𝑝𝜇/𝐾 </a:t>
              </a:r>
              <a:r>
                <a:rPr lang="en-US" sz="1100" i="0" baseline="0">
                  <a:latin typeface="Cambria Math" panose="02040503050406030204" pitchFamily="18" charset="0"/>
                  <a:ea typeface="Cambria Math" panose="02040503050406030204" pitchFamily="18" charset="0"/>
                </a:rPr>
                <a:t>〖</a:t>
              </a:r>
              <a:r>
                <a:rPr lang="en-US" sz="1100" b="0" i="0" baseline="0">
                  <a:latin typeface="Cambria Math" panose="02040503050406030204" pitchFamily="18" charset="0"/>
                  <a:ea typeface="Cambria Math" panose="02040503050406030204" pitchFamily="18" charset="0"/>
                </a:rPr>
                <a:t> )〗^(−2/3)</a:t>
              </a:r>
              <a:endParaRPr lang="en-US" sz="1100">
                <a:latin typeface="Cambria Math" panose="02040503050406030204" pitchFamily="18" charset="0"/>
                <a:ea typeface="Cambria Math" panose="02040503050406030204" pitchFamily="18" charset="0"/>
              </a:endParaRPr>
            </a:p>
          </xdr:txBody>
        </xdr:sp>
      </mc:Fallback>
    </mc:AlternateContent>
    <xdr:clientData/>
  </xdr:oneCellAnchor>
  <xdr:oneCellAnchor>
    <xdr:from>
      <xdr:col>0</xdr:col>
      <xdr:colOff>604520</xdr:colOff>
      <xdr:row>147</xdr:row>
      <xdr:rowOff>116840</xdr:rowOff>
    </xdr:from>
    <xdr:ext cx="661015" cy="318036"/>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0000000-0008-0000-0100-000016000000}"/>
                </a:ext>
              </a:extLst>
            </xdr:cNvPr>
            <xdr:cNvSpPr txBox="1"/>
          </xdr:nvSpPr>
          <xdr:spPr>
            <a:xfrm>
              <a:off x="604520" y="31351220"/>
              <a:ext cx="661015" cy="318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f>
                      <m:fPr>
                        <m:ctrlPr>
                          <a:rPr lang="en-US" sz="110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𝑄</m:t>
                        </m:r>
                      </m:num>
                      <m:den>
                        <m:r>
                          <a:rPr lang="en-US" sz="1100" b="0" i="1">
                            <a:latin typeface="Cambria Math" panose="02040503050406030204" pitchFamily="18" charset="0"/>
                            <a:ea typeface="Cambria Math" panose="02040503050406030204" pitchFamily="18" charset="0"/>
                          </a:rPr>
                          <m:t>h𝑐𝐴</m:t>
                        </m:r>
                      </m:den>
                    </m:f>
                  </m:oMath>
                </m:oMathPara>
              </a14:m>
              <a:endParaRPr lang="en-US" sz="1100"/>
            </a:p>
          </xdr:txBody>
        </xdr:sp>
      </mc:Choice>
      <mc:Fallback xmlns="">
        <xdr:sp macro="" textlink="">
          <xdr:nvSpPr>
            <xdr:cNvPr id="22" name="TextBox 21"/>
            <xdr:cNvSpPr txBox="1"/>
          </xdr:nvSpPr>
          <xdr:spPr>
            <a:xfrm>
              <a:off x="604520" y="31351220"/>
              <a:ext cx="661015" cy="318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𝑄/ℎ𝑐𝐴</a:t>
              </a:r>
              <a:endParaRPr lang="en-US" sz="1100"/>
            </a:p>
          </xdr:txBody>
        </xdr:sp>
      </mc:Fallback>
    </mc:AlternateContent>
    <xdr:clientData/>
  </xdr:oneCellAnchor>
  <xdr:oneCellAnchor>
    <xdr:from>
      <xdr:col>0</xdr:col>
      <xdr:colOff>2049780</xdr:colOff>
      <xdr:row>151</xdr:row>
      <xdr:rowOff>7620</xdr:rowOff>
    </xdr:from>
    <xdr:ext cx="388055" cy="172227"/>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100-000017000000}"/>
                </a:ext>
              </a:extLst>
            </xdr:cNvPr>
            <xdr:cNvSpPr txBox="1"/>
          </xdr:nvSpPr>
          <xdr:spPr>
            <a:xfrm>
              <a:off x="2049780" y="32164020"/>
              <a:ext cx="38805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23" name="TextBox 22"/>
            <xdr:cNvSpPr txBox="1"/>
          </xdr:nvSpPr>
          <xdr:spPr>
            <a:xfrm>
              <a:off x="2049780" y="32164020"/>
              <a:ext cx="38805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ea typeface="Cambria Math" panose="02040503050406030204" pitchFamily="18" charset="0"/>
                </a:rPr>
                <a:t>∆℃=</a:t>
              </a:r>
              <a:endParaRPr lang="en-US" sz="1100"/>
            </a:p>
          </xdr:txBody>
        </xdr:sp>
      </mc:Fallback>
    </mc:AlternateContent>
    <xdr:clientData/>
  </xdr:oneCellAnchor>
  <xdr:oneCellAnchor>
    <xdr:from>
      <xdr:col>0</xdr:col>
      <xdr:colOff>899160</xdr:colOff>
      <xdr:row>54</xdr:row>
      <xdr:rowOff>130810</xdr:rowOff>
    </xdr:from>
    <xdr:ext cx="610745" cy="344518"/>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100-000018000000}"/>
                </a:ext>
              </a:extLst>
            </xdr:cNvPr>
            <xdr:cNvSpPr txBox="1"/>
          </xdr:nvSpPr>
          <xdr:spPr>
            <a:xfrm>
              <a:off x="899160" y="13907770"/>
              <a:ext cx="610745" cy="344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latin typeface="Cambria Math" panose="02040503050406030204" pitchFamily="18" charset="0"/>
                      </a:rPr>
                      <m:t>𝑁𝑟</m:t>
                    </m:r>
                    <m:r>
                      <a:rPr lang="en-US" sz="1100" b="0" i="1">
                        <a:latin typeface="Cambria Math" panose="02040503050406030204" pitchFamily="18" charset="0"/>
                        <a:ea typeface="Cambria Math" panose="02040503050406030204" pitchFamily="18" charset="0"/>
                      </a:rPr>
                      <m:t>= </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𝐺𝐷</m:t>
                        </m:r>
                      </m:num>
                      <m:den>
                        <m:r>
                          <a:rPr lang="en-US" sz="1100" b="0" i="1">
                            <a:latin typeface="Cambria Math" panose="02040503050406030204" pitchFamily="18" charset="0"/>
                            <a:ea typeface="Cambria Math" panose="02040503050406030204" pitchFamily="18" charset="0"/>
                          </a:rPr>
                          <m:t>𝜇</m:t>
                        </m:r>
                      </m:den>
                    </m:f>
                  </m:oMath>
                </m:oMathPara>
              </a14:m>
              <a:endParaRPr lang="en-US" sz="1100"/>
            </a:p>
          </xdr:txBody>
        </xdr:sp>
      </mc:Choice>
      <mc:Fallback xmlns="">
        <xdr:sp macro="" textlink="">
          <xdr:nvSpPr>
            <xdr:cNvPr id="24" name="TextBox 23"/>
            <xdr:cNvSpPr txBox="1"/>
          </xdr:nvSpPr>
          <xdr:spPr>
            <a:xfrm>
              <a:off x="899160" y="13907770"/>
              <a:ext cx="610745" cy="344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𝑁𝑟</a:t>
              </a:r>
              <a:r>
                <a:rPr lang="en-US" sz="1100" b="0" i="0">
                  <a:latin typeface="Cambria Math" panose="02040503050406030204" pitchFamily="18" charset="0"/>
                  <a:ea typeface="Cambria Math" panose="02040503050406030204" pitchFamily="18" charset="0"/>
                </a:rPr>
                <a:t>=  𝐺𝐷/𝜇</a:t>
              </a:r>
              <a:endParaRPr lang="en-US" sz="1100"/>
            </a:p>
          </xdr:txBody>
        </xdr:sp>
      </mc:Fallback>
    </mc:AlternateContent>
    <xdr:clientData/>
  </xdr:oneCellAnchor>
  <xdr:oneCellAnchor>
    <xdr:from>
      <xdr:col>3</xdr:col>
      <xdr:colOff>7620</xdr:colOff>
      <xdr:row>53</xdr:row>
      <xdr:rowOff>113030</xdr:rowOff>
    </xdr:from>
    <xdr:ext cx="676211" cy="345929"/>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100-000019000000}"/>
                </a:ext>
              </a:extLst>
            </xdr:cNvPr>
            <xdr:cNvSpPr txBox="1"/>
          </xdr:nvSpPr>
          <xdr:spPr>
            <a:xfrm>
              <a:off x="3794760" y="13707110"/>
              <a:ext cx="676211" cy="3459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en-US" sz="1100" i="1">
                            <a:latin typeface="Cambria Math" panose="02040503050406030204" pitchFamily="18" charset="0"/>
                          </a:rPr>
                        </m:ctrlPr>
                      </m:fPr>
                      <m:num>
                        <m:r>
                          <a:rPr lang="en-US" sz="1100" b="0" i="1">
                            <a:latin typeface="Cambria Math" panose="02040503050406030204" pitchFamily="18" charset="0"/>
                          </a:rPr>
                          <m:t>4</m:t>
                        </m:r>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𝑎𝑟𝑒𝑎</m:t>
                        </m:r>
                      </m:num>
                      <m:den>
                        <m:r>
                          <a:rPr lang="en-US" sz="1100" b="0" i="1">
                            <a:latin typeface="Cambria Math" panose="02040503050406030204" pitchFamily="18" charset="0"/>
                          </a:rPr>
                          <m:t>𝑝𝑒𝑟𝑖𝑚𝑒𝑡𝑒𝑟</m:t>
                        </m:r>
                      </m:den>
                    </m:f>
                  </m:oMath>
                </m:oMathPara>
              </a14:m>
              <a:endParaRPr lang="en-US" sz="1100"/>
            </a:p>
          </xdr:txBody>
        </xdr:sp>
      </mc:Choice>
      <mc:Fallback xmlns="">
        <xdr:sp macro="" textlink="">
          <xdr:nvSpPr>
            <xdr:cNvPr id="25" name="TextBox 24"/>
            <xdr:cNvSpPr txBox="1"/>
          </xdr:nvSpPr>
          <xdr:spPr>
            <a:xfrm>
              <a:off x="3794760" y="13707110"/>
              <a:ext cx="676211" cy="3459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4</a:t>
              </a:r>
              <a:r>
                <a:rPr lang="en-US" sz="1100" b="0" i="0">
                  <a:latin typeface="Cambria Math" panose="02040503050406030204" pitchFamily="18" charset="0"/>
                  <a:ea typeface="Cambria Math" panose="02040503050406030204" pitchFamily="18" charset="0"/>
                </a:rPr>
                <a:t>×𝑎𝑟𝑒𝑎)/</a:t>
              </a:r>
              <a:r>
                <a:rPr lang="en-US" sz="1100" b="0" i="0">
                  <a:latin typeface="Cambria Math" panose="02040503050406030204" pitchFamily="18" charset="0"/>
                </a:rPr>
                <a:t>𝑝𝑒𝑟𝑖𝑚𝑒𝑡𝑒𝑟</a:t>
              </a:r>
              <a:endParaRPr lang="en-US" sz="1100"/>
            </a:p>
          </xdr:txBody>
        </xdr:sp>
      </mc:Fallback>
    </mc:AlternateContent>
    <xdr:clientData/>
  </xdr:oneCellAnchor>
  <xdr:oneCellAnchor>
    <xdr:from>
      <xdr:col>0</xdr:col>
      <xdr:colOff>513080</xdr:colOff>
      <xdr:row>69</xdr:row>
      <xdr:rowOff>40640</xdr:rowOff>
    </xdr:from>
    <xdr:ext cx="1179490" cy="380361"/>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100-00001A000000}"/>
                </a:ext>
              </a:extLst>
            </xdr:cNvPr>
            <xdr:cNvSpPr txBox="1"/>
          </xdr:nvSpPr>
          <xdr:spPr>
            <a:xfrm>
              <a:off x="513080" y="16926560"/>
              <a:ext cx="1179490"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latin typeface="Cambria Math" panose="02040503050406030204" pitchFamily="18" charset="0"/>
                      </a:rPr>
                      <m:t>h𝑐</m:t>
                    </m:r>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𝑏</m:t>
                    </m:r>
                    <m:r>
                      <a:rPr lang="en-US" sz="1100" b="0" i="1">
                        <a:latin typeface="Cambria Math" panose="02040503050406030204" pitchFamily="18" charset="0"/>
                        <a:ea typeface="Cambria Math" panose="02040503050406030204" pitchFamily="18" charset="0"/>
                      </a:rPr>
                      <m:t> </m:t>
                    </m:r>
                    <m:d>
                      <m:dPr>
                        <m:ctrlPr>
                          <a:rPr lang="en-US" sz="1100" b="0" i="1">
                            <a:latin typeface="Cambria Math" panose="02040503050406030204" pitchFamily="18" charset="0"/>
                            <a:ea typeface="Cambria Math" panose="02040503050406030204" pitchFamily="18" charset="0"/>
                          </a:rPr>
                        </m:ctrlPr>
                      </m:dPr>
                      <m:e>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𝐾</m:t>
                            </m:r>
                          </m:num>
                          <m:den>
                            <m:r>
                              <a:rPr lang="en-US" sz="1100" b="0" i="1">
                                <a:latin typeface="Cambria Math" panose="02040503050406030204" pitchFamily="18" charset="0"/>
                                <a:ea typeface="Cambria Math" panose="02040503050406030204" pitchFamily="18" charset="0"/>
                              </a:rPr>
                              <m:t>𝐷</m:t>
                            </m:r>
                          </m:den>
                        </m:f>
                      </m:e>
                    </m:d>
                    <m:r>
                      <a:rPr lang="en-US" sz="1100" b="0" i="1">
                        <a:latin typeface="Cambria Math" panose="02040503050406030204" pitchFamily="18" charset="0"/>
                        <a:ea typeface="Cambria Math" panose="02040503050406030204" pitchFamily="18" charset="0"/>
                      </a:rPr>
                      <m:t>(</m:t>
                    </m:r>
                    <m:sSup>
                      <m:sSupPr>
                        <m:ctrlPr>
                          <a:rPr lang="en-US" sz="1100" b="0" i="1">
                            <a:latin typeface="Cambria Math" panose="02040503050406030204" pitchFamily="18" charset="0"/>
                            <a:ea typeface="Cambria Math" panose="02040503050406030204" pitchFamily="18" charset="0"/>
                          </a:rPr>
                        </m:ctrlPr>
                      </m:sSupPr>
                      <m:e>
                        <m:d>
                          <m:dPr>
                            <m:begChr m:val=""/>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𝑁𝑟</m:t>
                            </m:r>
                          </m:e>
                        </m:d>
                      </m:e>
                      <m:sup>
                        <m:r>
                          <a:rPr lang="en-US" sz="1100" b="0" i="1">
                            <a:latin typeface="Cambria Math" panose="02040503050406030204" pitchFamily="18" charset="0"/>
                            <a:ea typeface="Cambria Math" panose="02040503050406030204" pitchFamily="18" charset="0"/>
                          </a:rPr>
                          <m:t>𝑚</m:t>
                        </m:r>
                      </m:sup>
                    </m:sSup>
                  </m:oMath>
                </m:oMathPara>
              </a14:m>
              <a:endParaRPr lang="en-US" sz="1100"/>
            </a:p>
          </xdr:txBody>
        </xdr:sp>
      </mc:Choice>
      <mc:Fallback xmlns="">
        <xdr:sp macro="" textlink="">
          <xdr:nvSpPr>
            <xdr:cNvPr id="26" name="TextBox 25"/>
            <xdr:cNvSpPr txBox="1"/>
          </xdr:nvSpPr>
          <xdr:spPr>
            <a:xfrm>
              <a:off x="513080" y="16926560"/>
              <a:ext cx="1179490"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ℎ𝑐</a:t>
              </a:r>
              <a:r>
                <a:rPr lang="en-US" sz="1100" b="0" i="0">
                  <a:latin typeface="Cambria Math" panose="02040503050406030204" pitchFamily="18" charset="0"/>
                  <a:ea typeface="Cambria Math" panose="02040503050406030204" pitchFamily="18" charset="0"/>
                </a:rPr>
                <a:t>=𝑏 (𝐾/𝐷)(├ 𝑁𝑟)^𝑚</a:t>
              </a:r>
              <a:endParaRPr lang="en-US" sz="1100"/>
            </a:p>
          </xdr:txBody>
        </xdr:sp>
      </mc:Fallback>
    </mc:AlternateContent>
    <xdr:clientData/>
  </xdr:oneCellAnchor>
  <xdr:oneCellAnchor>
    <xdr:from>
      <xdr:col>0</xdr:col>
      <xdr:colOff>660400</xdr:colOff>
      <xdr:row>74</xdr:row>
      <xdr:rowOff>43180</xdr:rowOff>
    </xdr:from>
    <xdr:ext cx="661015" cy="318036"/>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00000000-0008-0000-0100-00001B000000}"/>
                </a:ext>
              </a:extLst>
            </xdr:cNvPr>
            <xdr:cNvSpPr txBox="1"/>
          </xdr:nvSpPr>
          <xdr:spPr>
            <a:xfrm>
              <a:off x="660400" y="17843500"/>
              <a:ext cx="661015" cy="318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f>
                      <m:fPr>
                        <m:ctrlPr>
                          <a:rPr lang="en-US" sz="110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𝑄</m:t>
                        </m:r>
                      </m:num>
                      <m:den>
                        <m:r>
                          <a:rPr lang="en-US" sz="1100" b="0" i="1">
                            <a:latin typeface="Cambria Math" panose="02040503050406030204" pitchFamily="18" charset="0"/>
                            <a:ea typeface="Cambria Math" panose="02040503050406030204" pitchFamily="18" charset="0"/>
                          </a:rPr>
                          <m:t>h𝑐𝐴</m:t>
                        </m:r>
                      </m:den>
                    </m:f>
                  </m:oMath>
                </m:oMathPara>
              </a14:m>
              <a:endParaRPr lang="en-US" sz="1100"/>
            </a:p>
          </xdr:txBody>
        </xdr:sp>
      </mc:Choice>
      <mc:Fallback xmlns="">
        <xdr:sp macro="" textlink="">
          <xdr:nvSpPr>
            <xdr:cNvPr id="27" name="TextBox 26"/>
            <xdr:cNvSpPr txBox="1"/>
          </xdr:nvSpPr>
          <xdr:spPr>
            <a:xfrm>
              <a:off x="660400" y="17843500"/>
              <a:ext cx="661015" cy="318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𝑄/ℎ𝑐𝐴</a:t>
              </a:r>
              <a:endParaRPr lang="en-US" sz="1100"/>
            </a:p>
          </xdr:txBody>
        </xdr:sp>
      </mc:Fallback>
    </mc:AlternateContent>
    <xdr:clientData/>
  </xdr:oneCellAnchor>
  <xdr:oneCellAnchor>
    <xdr:from>
      <xdr:col>2</xdr:col>
      <xdr:colOff>624840</xdr:colOff>
      <xdr:row>134</xdr:row>
      <xdr:rowOff>60960</xdr:rowOff>
    </xdr:from>
    <xdr:ext cx="796628" cy="348044"/>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00000000-0008-0000-0100-00001C000000}"/>
                </a:ext>
              </a:extLst>
            </xdr:cNvPr>
            <xdr:cNvSpPr txBox="1"/>
          </xdr:nvSpPr>
          <xdr:spPr>
            <a:xfrm>
              <a:off x="3771900" y="28544520"/>
              <a:ext cx="796628" cy="348044"/>
            </a:xfrm>
            <a:prstGeom prst="rect">
              <a:avLst/>
            </a:prstGeom>
            <a:noFill/>
            <a:ln>
              <a:noFill/>
            </a:ln>
            <a:effectLst/>
          </xdr:spPr>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mn-ea"/>
                        <a:cs typeface="+mn-cs"/>
                      </a:rPr>
                      <m:t>𝐽</m:t>
                    </m:r>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f>
                      <m:fPr>
                        <m:ctrlP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fPr>
                      <m:num>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2.7</m:t>
                        </m:r>
                      </m:num>
                      <m:den>
                        <m:sSup>
                          <m:sSupPr>
                            <m:ctrlP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pPr>
                          <m:e>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𝑁𝑟</m:t>
                            </m:r>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e>
                          <m:sup>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0.95</m:t>
                            </m:r>
                          </m:sup>
                        </m:sSup>
                      </m:den>
                    </m:f>
                  </m:oMath>
                </m:oMathPara>
              </a14:m>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28" name="TextBox 27"/>
            <xdr:cNvSpPr txBox="1"/>
          </xdr:nvSpPr>
          <xdr:spPr>
            <a:xfrm>
              <a:off x="3771900" y="28544520"/>
              <a:ext cx="796628" cy="348044"/>
            </a:xfrm>
            <a:prstGeom prst="rect">
              <a:avLst/>
            </a:prstGeom>
            <a:noFill/>
            <a:ln>
              <a:noFill/>
            </a:ln>
            <a:effectLst/>
          </xdr:spPr>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smtClean="0">
                  <a:ln>
                    <a:noFill/>
                  </a:ln>
                  <a:solidFill>
                    <a:sysClr val="windowText" lastClr="000000"/>
                  </a:solidFill>
                  <a:effectLst/>
                  <a:uLnTx/>
                  <a:uFillTx/>
                  <a:latin typeface="Cambria Math" panose="02040503050406030204" pitchFamily="18" charset="0"/>
                  <a:ea typeface="+mn-ea"/>
                  <a:cs typeface="+mn-cs"/>
                </a:rPr>
                <a:t>𝐽</a:t>
              </a:r>
              <a:r>
                <a:rPr kumimoji="0" lang="en-US" sz="1100" b="0" i="0"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  2.7/〖(𝑁𝑟)〗^0.95 </a:t>
              </a:r>
              <a:endParaRPr kumimoji="0" lang="en-US" sz="1100" b="0" i="0" u="none" strike="noStrike" kern="0" cap="none" spc="0" normalizeH="0" baseline="0" noProof="0" smtClean="0">
                <a:ln>
                  <a:noFill/>
                </a:ln>
                <a:solidFill>
                  <a:sysClr val="windowText" lastClr="000000"/>
                </a:solidFill>
                <a:effectLst/>
                <a:uLnTx/>
                <a:uFillTx/>
                <a:latin typeface="Calibri" panose="020F0502020204030204"/>
                <a:ea typeface="+mn-ea"/>
                <a:cs typeface="+mn-cs"/>
              </a:endParaRPr>
            </a:p>
          </xdr:txBody>
        </xdr:sp>
      </mc:Fallback>
    </mc:AlternateContent>
    <xdr:clientData/>
  </xdr:oneCellAnchor>
  <xdr:oneCellAnchor>
    <xdr:from>
      <xdr:col>5</xdr:col>
      <xdr:colOff>7620</xdr:colOff>
      <xdr:row>134</xdr:row>
      <xdr:rowOff>76200</xdr:rowOff>
    </xdr:from>
    <xdr:ext cx="739883" cy="348044"/>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00000000-0008-0000-0100-00001D000000}"/>
                </a:ext>
              </a:extLst>
            </xdr:cNvPr>
            <xdr:cNvSpPr txBox="1"/>
          </xdr:nvSpPr>
          <xdr:spPr>
            <a:xfrm>
              <a:off x="5189220" y="28559760"/>
              <a:ext cx="739883" cy="348044"/>
            </a:xfrm>
            <a:prstGeom prst="rect">
              <a:avLst/>
            </a:prstGeom>
            <a:noFill/>
            <a:ln>
              <a:noFill/>
            </a:ln>
            <a:effectLst/>
          </xdr:spPr>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mn-ea"/>
                        <a:cs typeface="+mn-cs"/>
                      </a:rPr>
                      <m:t>𝐽</m:t>
                    </m:r>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f>
                      <m:fPr>
                        <m:ctrlP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fPr>
                      <m:num>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0.023</m:t>
                        </m:r>
                      </m:num>
                      <m:den>
                        <m:sSup>
                          <m:sSupPr>
                            <m:ctrlP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pPr>
                          <m:e>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𝑁𝑟</m:t>
                            </m:r>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e>
                          <m:sup>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0.2</m:t>
                            </m:r>
                          </m:sup>
                        </m:sSup>
                      </m:den>
                    </m:f>
                  </m:oMath>
                </m:oMathPara>
              </a14:m>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29" name="TextBox 28"/>
            <xdr:cNvSpPr txBox="1"/>
          </xdr:nvSpPr>
          <xdr:spPr>
            <a:xfrm>
              <a:off x="5189220" y="28559760"/>
              <a:ext cx="739883" cy="348044"/>
            </a:xfrm>
            <a:prstGeom prst="rect">
              <a:avLst/>
            </a:prstGeom>
            <a:noFill/>
            <a:ln>
              <a:noFill/>
            </a:ln>
            <a:effectLst/>
          </xdr:spPr>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smtClean="0">
                  <a:ln>
                    <a:noFill/>
                  </a:ln>
                  <a:solidFill>
                    <a:sysClr val="windowText" lastClr="000000"/>
                  </a:solidFill>
                  <a:effectLst/>
                  <a:uLnTx/>
                  <a:uFillTx/>
                  <a:latin typeface="Cambria Math" panose="02040503050406030204" pitchFamily="18" charset="0"/>
                  <a:ea typeface="+mn-ea"/>
                  <a:cs typeface="+mn-cs"/>
                </a:rPr>
                <a:t>𝐽</a:t>
              </a:r>
              <a:r>
                <a:rPr kumimoji="0" lang="en-US" sz="1100" b="0" i="0"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  0.023/〖(𝑁𝑟)〗^0.2 </a:t>
              </a:r>
              <a:endParaRPr kumimoji="0" lang="en-US" sz="1100" b="0" i="0" u="none" strike="noStrike" kern="0" cap="none" spc="0" normalizeH="0" baseline="0" noProof="0" smtClean="0">
                <a:ln>
                  <a:noFill/>
                </a:ln>
                <a:solidFill>
                  <a:sysClr val="windowText" lastClr="000000"/>
                </a:solidFill>
                <a:effectLst/>
                <a:uLnTx/>
                <a:uFillTx/>
                <a:latin typeface="Calibri" panose="020F0502020204030204"/>
                <a:ea typeface="+mn-ea"/>
                <a:cs typeface="+mn-cs"/>
              </a:endParaRPr>
            </a:p>
          </xdr:txBody>
        </xdr:sp>
      </mc:Fallback>
    </mc:AlternateContent>
    <xdr:clientData/>
  </xdr:oneCellAnchor>
</xdr:wsDr>
</file>

<file path=xl/drawings/drawing2.xml><?xml version="1.0" encoding="utf-8"?>
<xdr:wsDr xmlns:xdr="http://schemas.openxmlformats.org/drawingml/2006/spreadsheetDrawing" xmlns:a="http://schemas.openxmlformats.org/drawingml/2006/main">
  <xdr:oneCellAnchor>
    <xdr:from>
      <xdr:col>4</xdr:col>
      <xdr:colOff>407670</xdr:colOff>
      <xdr:row>7</xdr:row>
      <xdr:rowOff>11430</xdr:rowOff>
    </xdr:from>
    <xdr:ext cx="613373" cy="172227"/>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00000000-0008-0000-0300-000006000000}"/>
                </a:ext>
              </a:extLst>
            </xdr:cNvPr>
            <xdr:cNvSpPr txBox="1"/>
          </xdr:nvSpPr>
          <xdr:spPr>
            <a:xfrm>
              <a:off x="4133850" y="1108710"/>
              <a:ext cx="613373"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d>
                      <m:dPr>
                        <m:ctrlPr>
                          <a:rPr lang="en-US" sz="1100" i="1">
                            <a:latin typeface="Cambria Math" panose="02040503050406030204" pitchFamily="18" charset="0"/>
                          </a:rPr>
                        </m:ctrlPr>
                      </m:dPr>
                      <m:e>
                        <m:r>
                          <a:rPr lang="en-US" sz="1100" i="1">
                            <a:latin typeface="Cambria Math" panose="02040503050406030204" pitchFamily="18" charset="0"/>
                          </a:rPr>
                          <m:t>𝐿</m:t>
                        </m:r>
                        <m:r>
                          <a:rPr lang="en-US" sz="1100" i="0">
                            <a:latin typeface="Cambria Math" panose="02040503050406030204" pitchFamily="18" charset="0"/>
                          </a:rPr>
                          <m:t>∗2</m:t>
                        </m:r>
                        <m:r>
                          <a:rPr lang="en-US" sz="1100" i="1">
                            <a:latin typeface="Cambria Math" panose="02040503050406030204" pitchFamily="18" charset="0"/>
                          </a:rPr>
                          <m:t>𝜋</m:t>
                        </m:r>
                        <m:r>
                          <a:rPr lang="en-US" sz="1100" i="1">
                            <a:latin typeface="Cambria Math" panose="02040503050406030204" pitchFamily="18" charset="0"/>
                          </a:rPr>
                          <m:t>𝑅</m:t>
                        </m:r>
                      </m:e>
                    </m:d>
                  </m:oMath>
                </m:oMathPara>
              </a14:m>
              <a:endParaRPr lang="en-US" sz="1100"/>
            </a:p>
          </xdr:txBody>
        </xdr:sp>
      </mc:Choice>
      <mc:Fallback xmlns="">
        <xdr:sp macro="" textlink="">
          <xdr:nvSpPr>
            <xdr:cNvPr id="6" name="TextBox 5"/>
            <xdr:cNvSpPr txBox="1"/>
          </xdr:nvSpPr>
          <xdr:spPr>
            <a:xfrm>
              <a:off x="4133850" y="1108710"/>
              <a:ext cx="613373"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(𝐿∗2𝜋𝑅)</a:t>
              </a:r>
              <a:endParaRPr lang="en-US" sz="1100"/>
            </a:p>
          </xdr:txBody>
        </xdr:sp>
      </mc:Fallback>
    </mc:AlternateContent>
    <xdr:clientData/>
  </xdr:oneCellAnchor>
  <xdr:twoCellAnchor>
    <xdr:from>
      <xdr:col>6</xdr:col>
      <xdr:colOff>246381</xdr:colOff>
      <xdr:row>12</xdr:row>
      <xdr:rowOff>162560</xdr:rowOff>
    </xdr:from>
    <xdr:to>
      <xdr:col>9</xdr:col>
      <xdr:colOff>182880</xdr:colOff>
      <xdr:row>15</xdr:row>
      <xdr:rowOff>129540</xdr:rowOff>
    </xdr:to>
    <xdr:sp macro="" textlink="">
      <xdr:nvSpPr>
        <xdr:cNvPr id="7" name="TextBox 6">
          <a:extLst>
            <a:ext uri="{FF2B5EF4-FFF2-40B4-BE49-F238E27FC236}">
              <a16:creationId xmlns:a16="http://schemas.microsoft.com/office/drawing/2014/main" id="{00000000-0008-0000-0300-000007000000}"/>
            </a:ext>
          </a:extLst>
        </xdr:cNvPr>
        <xdr:cNvSpPr txBox="1"/>
      </xdr:nvSpPr>
      <xdr:spPr>
        <a:xfrm>
          <a:off x="6250941" y="2402840"/>
          <a:ext cx="2268219" cy="5384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 1: See seperate bulkhead</a:t>
          </a:r>
          <a:r>
            <a:rPr lang="en-US" sz="1100" baseline="0"/>
            <a:t> </a:t>
          </a:r>
          <a:r>
            <a:rPr lang="en-US" sz="1100"/>
            <a:t>heatsink area worksheet.</a:t>
          </a:r>
          <a:r>
            <a:rPr lang="en-US" sz="1100" baseline="0"/>
            <a:t> </a:t>
          </a:r>
          <a:endParaRPr lang="en-US" sz="1100"/>
        </a:p>
        <a:p>
          <a:endParaRPr lang="en-US" sz="1100"/>
        </a:p>
      </xdr:txBody>
    </xdr:sp>
    <xdr:clientData/>
  </xdr:twoCellAnchor>
  <xdr:oneCellAnchor>
    <xdr:from>
      <xdr:col>4</xdr:col>
      <xdr:colOff>407670</xdr:colOff>
      <xdr:row>12</xdr:row>
      <xdr:rowOff>26670</xdr:rowOff>
    </xdr:from>
    <xdr:ext cx="613373" cy="172227"/>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300-000008000000}"/>
                </a:ext>
              </a:extLst>
            </xdr:cNvPr>
            <xdr:cNvSpPr txBox="1"/>
          </xdr:nvSpPr>
          <xdr:spPr>
            <a:xfrm>
              <a:off x="4133850" y="1489710"/>
              <a:ext cx="613373"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d>
                      <m:dPr>
                        <m:ctrlPr>
                          <a:rPr lang="en-US" sz="1100" i="1">
                            <a:latin typeface="Cambria Math" panose="02040503050406030204" pitchFamily="18" charset="0"/>
                          </a:rPr>
                        </m:ctrlPr>
                      </m:dPr>
                      <m:e>
                        <m:r>
                          <a:rPr lang="en-US" sz="1100" i="1">
                            <a:latin typeface="Cambria Math" panose="02040503050406030204" pitchFamily="18" charset="0"/>
                          </a:rPr>
                          <m:t>𝐿</m:t>
                        </m:r>
                        <m:r>
                          <a:rPr lang="en-US" sz="1100" i="0">
                            <a:latin typeface="Cambria Math" panose="02040503050406030204" pitchFamily="18" charset="0"/>
                          </a:rPr>
                          <m:t>∗2</m:t>
                        </m:r>
                        <m:r>
                          <a:rPr lang="en-US" sz="1100" i="1">
                            <a:latin typeface="Cambria Math" panose="02040503050406030204" pitchFamily="18" charset="0"/>
                          </a:rPr>
                          <m:t>𝜋</m:t>
                        </m:r>
                        <m:r>
                          <a:rPr lang="en-US" sz="1100" i="1">
                            <a:latin typeface="Cambria Math" panose="02040503050406030204" pitchFamily="18" charset="0"/>
                          </a:rPr>
                          <m:t>𝑅</m:t>
                        </m:r>
                      </m:e>
                    </m:d>
                  </m:oMath>
                </m:oMathPara>
              </a14:m>
              <a:endParaRPr lang="en-US" sz="1100"/>
            </a:p>
          </xdr:txBody>
        </xdr:sp>
      </mc:Choice>
      <mc:Fallback xmlns="">
        <xdr:sp macro="" textlink="">
          <xdr:nvSpPr>
            <xdr:cNvPr id="8" name="TextBox 7"/>
            <xdr:cNvSpPr txBox="1"/>
          </xdr:nvSpPr>
          <xdr:spPr>
            <a:xfrm>
              <a:off x="4133850" y="1489710"/>
              <a:ext cx="613373"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(𝐿∗2𝜋𝑅)</a:t>
              </a:r>
              <a:endParaRPr lang="en-US" sz="1100"/>
            </a:p>
          </xdr:txBody>
        </xdr:sp>
      </mc:Fallback>
    </mc:AlternateContent>
    <xdr:clientData/>
  </xdr:oneCellAnchor>
  <xdr:oneCellAnchor>
    <xdr:from>
      <xdr:col>0</xdr:col>
      <xdr:colOff>805180</xdr:colOff>
      <xdr:row>57</xdr:row>
      <xdr:rowOff>92710</xdr:rowOff>
    </xdr:from>
    <xdr:ext cx="616387" cy="316882"/>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300-00000A000000}"/>
                </a:ext>
              </a:extLst>
            </xdr:cNvPr>
            <xdr:cNvSpPr txBox="1"/>
          </xdr:nvSpPr>
          <xdr:spPr>
            <a:xfrm>
              <a:off x="805180" y="10781030"/>
              <a:ext cx="616387" cy="3168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f>
                      <m:fPr>
                        <m:ctrlPr>
                          <a:rPr lang="en-US" sz="110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𝑄𝐿</m:t>
                        </m:r>
                      </m:num>
                      <m:den>
                        <m:r>
                          <a:rPr lang="en-US" sz="1100" b="0" i="1">
                            <a:latin typeface="Cambria Math" panose="02040503050406030204" pitchFamily="18" charset="0"/>
                            <a:ea typeface="Cambria Math" panose="02040503050406030204" pitchFamily="18" charset="0"/>
                          </a:rPr>
                          <m:t>𝐾𝐴</m:t>
                        </m:r>
                      </m:den>
                    </m:f>
                  </m:oMath>
                </m:oMathPara>
              </a14:m>
              <a:endParaRPr lang="en-US" sz="1100"/>
            </a:p>
          </xdr:txBody>
        </xdr:sp>
      </mc:Choice>
      <mc:Fallback xmlns="">
        <xdr:sp macro="" textlink="">
          <xdr:nvSpPr>
            <xdr:cNvPr id="10" name="TextBox 9"/>
            <xdr:cNvSpPr txBox="1"/>
          </xdr:nvSpPr>
          <xdr:spPr>
            <a:xfrm>
              <a:off x="805180" y="10781030"/>
              <a:ext cx="616387" cy="3168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𝑄𝐿/𝐾𝐴</a:t>
              </a:r>
              <a:endParaRPr lang="en-US" sz="1100"/>
            </a:p>
          </xdr:txBody>
        </xdr:sp>
      </mc:Fallback>
    </mc:AlternateContent>
    <xdr:clientData/>
  </xdr:oneCellAnchor>
  <xdr:oneCellAnchor>
    <xdr:from>
      <xdr:col>0</xdr:col>
      <xdr:colOff>297180</xdr:colOff>
      <xdr:row>47</xdr:row>
      <xdr:rowOff>57150</xdr:rowOff>
    </xdr:from>
    <xdr:ext cx="1194750" cy="454483"/>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300-00000B000000}"/>
                </a:ext>
              </a:extLst>
            </xdr:cNvPr>
            <xdr:cNvSpPr txBox="1"/>
          </xdr:nvSpPr>
          <xdr:spPr>
            <a:xfrm>
              <a:off x="297180" y="7966710"/>
              <a:ext cx="1194750" cy="4544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latin typeface="Cambria Math" panose="02040503050406030204" pitchFamily="18" charset="0"/>
                      </a:rPr>
                      <m:t>𝐴𝑙𝑚</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𝐴𝑜𝑢𝑡</m:t>
                        </m:r>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𝐴𝑖𝑛</m:t>
                        </m:r>
                      </m:num>
                      <m:den>
                        <m:func>
                          <m:funcPr>
                            <m:ctrlPr>
                              <a:rPr lang="en-US" sz="1100" b="0" i="1">
                                <a:latin typeface="Cambria Math" panose="02040503050406030204" pitchFamily="18" charset="0"/>
                                <a:ea typeface="Cambria Math" panose="02040503050406030204" pitchFamily="18" charset="0"/>
                              </a:rPr>
                            </m:ctrlPr>
                          </m:funcPr>
                          <m:fName>
                            <m:r>
                              <m:rPr>
                                <m:sty m:val="p"/>
                              </m:rPr>
                              <a:rPr lang="en-US" sz="1100" b="0" i="0">
                                <a:latin typeface="Cambria Math" panose="02040503050406030204" pitchFamily="18" charset="0"/>
                                <a:ea typeface="Cambria Math" panose="02040503050406030204" pitchFamily="18" charset="0"/>
                              </a:rPr>
                              <m:t>log</m:t>
                            </m:r>
                          </m:fName>
                          <m:e>
                            <m:r>
                              <a:rPr lang="en-US" sz="1100" b="0" i="1">
                                <a:latin typeface="Cambria Math" panose="02040503050406030204" pitchFamily="18" charset="0"/>
                                <a:ea typeface="Cambria Math" panose="02040503050406030204" pitchFamily="18" charset="0"/>
                              </a:rPr>
                              <m:t>𝑒</m:t>
                            </m:r>
                          </m:e>
                        </m:func>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𝐴𝑜𝑢𝑡</m:t>
                            </m:r>
                          </m:num>
                          <m:den>
                            <m:r>
                              <a:rPr lang="en-US" sz="1100" b="0" i="1">
                                <a:latin typeface="Cambria Math" panose="02040503050406030204" pitchFamily="18" charset="0"/>
                                <a:ea typeface="Cambria Math" panose="02040503050406030204" pitchFamily="18" charset="0"/>
                              </a:rPr>
                              <m:t>𝐴𝑖𝑛</m:t>
                            </m:r>
                          </m:den>
                        </m:f>
                        <m:r>
                          <a:rPr lang="en-US" sz="1100" b="0" i="1">
                            <a:latin typeface="Cambria Math" panose="02040503050406030204" pitchFamily="18" charset="0"/>
                            <a:ea typeface="Cambria Math" panose="02040503050406030204" pitchFamily="18" charset="0"/>
                          </a:rPr>
                          <m:t>)</m:t>
                        </m:r>
                      </m:den>
                    </m:f>
                  </m:oMath>
                </m:oMathPara>
              </a14:m>
              <a:endParaRPr lang="en-US" sz="1100"/>
            </a:p>
          </xdr:txBody>
        </xdr:sp>
      </mc:Choice>
      <mc:Fallback xmlns="">
        <xdr:sp macro="" textlink="">
          <xdr:nvSpPr>
            <xdr:cNvPr id="11" name="TextBox 10"/>
            <xdr:cNvSpPr txBox="1"/>
          </xdr:nvSpPr>
          <xdr:spPr>
            <a:xfrm>
              <a:off x="297180" y="7966710"/>
              <a:ext cx="1194750" cy="4544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b="0" i="0">
                  <a:latin typeface="Cambria Math" panose="02040503050406030204" pitchFamily="18" charset="0"/>
                </a:rPr>
                <a:t>𝐴𝑙𝑚</a:t>
              </a:r>
              <a:r>
                <a:rPr lang="en-US" sz="1100" b="0" i="0">
                  <a:latin typeface="Cambria Math" panose="02040503050406030204" pitchFamily="18" charset="0"/>
                  <a:ea typeface="Cambria Math" panose="02040503050406030204" pitchFamily="18" charset="0"/>
                </a:rPr>
                <a:t>=(𝐴𝑜𝑢𝑡−𝐴𝑖𝑛)/(log⁡𝑒 (𝐴𝑜𝑢𝑡/𝐴𝑖𝑛))</a:t>
              </a:r>
              <a:endParaRPr lang="en-US" sz="1100"/>
            </a:p>
          </xdr:txBody>
        </xdr:sp>
      </mc:Fallback>
    </mc:AlternateContent>
    <xdr:clientData/>
  </xdr:oneCellAnchor>
  <xdr:oneCellAnchor>
    <xdr:from>
      <xdr:col>0</xdr:col>
      <xdr:colOff>510540</xdr:colOff>
      <xdr:row>62</xdr:row>
      <xdr:rowOff>10160</xdr:rowOff>
    </xdr:from>
    <xdr:ext cx="1704340" cy="172227"/>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0000000-0008-0000-0300-00000E000000}"/>
                </a:ext>
              </a:extLst>
            </xdr:cNvPr>
            <xdr:cNvSpPr txBox="1"/>
          </xdr:nvSpPr>
          <xdr:spPr>
            <a:xfrm>
              <a:off x="510540" y="11805920"/>
              <a:ext cx="170434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 </m:t>
                    </m:r>
                    <m:r>
                      <a:rPr lang="en-US" sz="1100" b="0" i="1">
                        <a:latin typeface="Cambria Math" panose="02040503050406030204" pitchFamily="18" charset="0"/>
                        <a:ea typeface="Cambria Math" panose="02040503050406030204" pitchFamily="18" charset="0"/>
                      </a:rPr>
                      <m:t>𝑎𝑐𝑟𝑜𝑠𝑠</m:t>
                    </m:r>
                    <m:r>
                      <a:rPr lang="en-US" sz="1100" b="0" i="1">
                        <a:latin typeface="Cambria Math" panose="02040503050406030204" pitchFamily="18" charset="0"/>
                        <a:ea typeface="Cambria Math" panose="02040503050406030204" pitchFamily="18" charset="0"/>
                      </a:rPr>
                      <m:t> </m:t>
                    </m:r>
                    <m:r>
                      <a:rPr lang="en-US" sz="1100" b="0" i="1">
                        <a:latin typeface="Cambria Math" panose="02040503050406030204" pitchFamily="18" charset="0"/>
                        <a:ea typeface="Cambria Math" panose="02040503050406030204" pitchFamily="18" charset="0"/>
                      </a:rPr>
                      <m:t>h𝑜𝑢𝑠𝑖𝑛𝑔</m:t>
                    </m:r>
                    <m:r>
                      <a:rPr lang="en-US" sz="1100" b="0" i="1">
                        <a:latin typeface="Cambria Math" panose="02040503050406030204" pitchFamily="18" charset="0"/>
                        <a:ea typeface="Cambria Math" panose="02040503050406030204" pitchFamily="18" charset="0"/>
                      </a:rPr>
                      <m:t> </m:t>
                    </m:r>
                    <m:r>
                      <a:rPr lang="en-US" sz="1100" b="0" i="1">
                        <a:latin typeface="Cambria Math" panose="02040503050406030204" pitchFamily="18" charset="0"/>
                        <a:ea typeface="Cambria Math" panose="02040503050406030204" pitchFamily="18" charset="0"/>
                      </a:rPr>
                      <m:t>𝑤𝑎𝑙𝑙</m:t>
                    </m:r>
                    <m:r>
                      <a:rPr lang="en-US" sz="110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14" name="TextBox 13"/>
            <xdr:cNvSpPr txBox="1"/>
          </xdr:nvSpPr>
          <xdr:spPr>
            <a:xfrm>
              <a:off x="510540" y="11805920"/>
              <a:ext cx="170434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 𝑎𝑐𝑟𝑜𝑠𝑠 ℎ𝑜𝑢𝑠𝑖𝑛𝑔 𝑤𝑎𝑙𝑙</a:t>
              </a:r>
              <a:r>
                <a:rPr lang="en-US" sz="1100" i="0">
                  <a:latin typeface="Cambria Math" panose="02040503050406030204" pitchFamily="18" charset="0"/>
                  <a:ea typeface="Cambria Math" panose="02040503050406030204" pitchFamily="18" charset="0"/>
                </a:rPr>
                <a:t>=</a:t>
              </a:r>
              <a:endParaRPr lang="en-US" sz="1100"/>
            </a:p>
          </xdr:txBody>
        </xdr:sp>
      </mc:Fallback>
    </mc:AlternateContent>
    <xdr:clientData/>
  </xdr:oneCellAnchor>
  <xdr:oneCellAnchor>
    <xdr:from>
      <xdr:col>0</xdr:col>
      <xdr:colOff>297180</xdr:colOff>
      <xdr:row>67</xdr:row>
      <xdr:rowOff>153670</xdr:rowOff>
    </xdr:from>
    <xdr:ext cx="661015" cy="318036"/>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00000000-0008-0000-0300-00000F000000}"/>
                </a:ext>
              </a:extLst>
            </xdr:cNvPr>
            <xdr:cNvSpPr txBox="1"/>
          </xdr:nvSpPr>
          <xdr:spPr>
            <a:xfrm>
              <a:off x="6962140" y="3140710"/>
              <a:ext cx="661015" cy="318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f>
                      <m:fPr>
                        <m:ctrlPr>
                          <a:rPr lang="en-US" sz="110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𝑄</m:t>
                        </m:r>
                      </m:num>
                      <m:den>
                        <m:r>
                          <a:rPr lang="en-US" sz="1100" b="0" i="1">
                            <a:latin typeface="Cambria Math" panose="02040503050406030204" pitchFamily="18" charset="0"/>
                            <a:ea typeface="Cambria Math" panose="02040503050406030204" pitchFamily="18" charset="0"/>
                          </a:rPr>
                          <m:t>h𝑐𝐴</m:t>
                        </m:r>
                      </m:den>
                    </m:f>
                  </m:oMath>
                </m:oMathPara>
              </a14:m>
              <a:endParaRPr lang="en-US" sz="1100"/>
            </a:p>
          </xdr:txBody>
        </xdr:sp>
      </mc:Choice>
      <mc:Fallback xmlns="">
        <xdr:sp macro="" textlink="">
          <xdr:nvSpPr>
            <xdr:cNvPr id="15" name="TextBox 14"/>
            <xdr:cNvSpPr txBox="1"/>
          </xdr:nvSpPr>
          <xdr:spPr>
            <a:xfrm>
              <a:off x="6962140" y="3140710"/>
              <a:ext cx="661015" cy="318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𝑄/ℎ𝑐𝐴</a:t>
              </a:r>
              <a:endParaRPr lang="en-US" sz="1100"/>
            </a:p>
          </xdr:txBody>
        </xdr:sp>
      </mc:Fallback>
    </mc:AlternateContent>
    <xdr:clientData/>
  </xdr:oneCellAnchor>
  <xdr:oneCellAnchor>
    <xdr:from>
      <xdr:col>0</xdr:col>
      <xdr:colOff>769620</xdr:colOff>
      <xdr:row>99</xdr:row>
      <xdr:rowOff>138430</xdr:rowOff>
    </xdr:from>
    <xdr:ext cx="659411" cy="346505"/>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00000000-0008-0000-0300-000011000000}"/>
                </a:ext>
              </a:extLst>
            </xdr:cNvPr>
            <xdr:cNvSpPr txBox="1"/>
          </xdr:nvSpPr>
          <xdr:spPr>
            <a:xfrm>
              <a:off x="769620" y="17247870"/>
              <a:ext cx="659411" cy="3465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latin typeface="Cambria Math" panose="02040503050406030204" pitchFamily="18" charset="0"/>
                      </a:rPr>
                      <m:t>𝑊</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𝑄</m:t>
                        </m:r>
                      </m:num>
                      <m:den>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𝑡𝐶𝑝</m:t>
                        </m:r>
                      </m:den>
                    </m:f>
                  </m:oMath>
                </m:oMathPara>
              </a14:m>
              <a:endParaRPr lang="en-US" sz="1100"/>
            </a:p>
          </xdr:txBody>
        </xdr:sp>
      </mc:Choice>
      <mc:Fallback xmlns="">
        <xdr:sp macro="" textlink="">
          <xdr:nvSpPr>
            <xdr:cNvPr id="17" name="TextBox 16"/>
            <xdr:cNvSpPr txBox="1"/>
          </xdr:nvSpPr>
          <xdr:spPr>
            <a:xfrm>
              <a:off x="769620" y="17247870"/>
              <a:ext cx="659411" cy="3465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𝑊=𝑄/</a:t>
              </a:r>
              <a:r>
                <a:rPr lang="en-US" sz="1100" b="0" i="0">
                  <a:latin typeface="Cambria Math" panose="02040503050406030204" pitchFamily="18" charset="0"/>
                  <a:ea typeface="Cambria Math" panose="02040503050406030204" pitchFamily="18" charset="0"/>
                </a:rPr>
                <a:t>∆𝑡𝐶𝑝</a:t>
              </a:r>
              <a:endParaRPr lang="en-US" sz="1100"/>
            </a:p>
          </xdr:txBody>
        </xdr:sp>
      </mc:Fallback>
    </mc:AlternateContent>
    <xdr:clientData/>
  </xdr:oneCellAnchor>
  <xdr:oneCellAnchor>
    <xdr:from>
      <xdr:col>6</xdr:col>
      <xdr:colOff>571500</xdr:colOff>
      <xdr:row>44</xdr:row>
      <xdr:rowOff>156210</xdr:rowOff>
    </xdr:from>
    <xdr:ext cx="65" cy="172227"/>
    <xdr:sp macro="" textlink="">
      <xdr:nvSpPr>
        <xdr:cNvPr id="18" name="TextBox 17">
          <a:extLst>
            <a:ext uri="{FF2B5EF4-FFF2-40B4-BE49-F238E27FC236}">
              <a16:creationId xmlns:a16="http://schemas.microsoft.com/office/drawing/2014/main" id="{00000000-0008-0000-0300-000012000000}"/>
            </a:ext>
          </a:extLst>
        </xdr:cNvPr>
        <xdr:cNvSpPr txBox="1"/>
      </xdr:nvSpPr>
      <xdr:spPr>
        <a:xfrm>
          <a:off x="5402580" y="73494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599440</xdr:colOff>
      <xdr:row>110</xdr:row>
      <xdr:rowOff>128270</xdr:rowOff>
    </xdr:from>
    <xdr:ext cx="485646" cy="345416"/>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300-000013000000}"/>
                </a:ext>
              </a:extLst>
            </xdr:cNvPr>
            <xdr:cNvSpPr txBox="1"/>
          </xdr:nvSpPr>
          <xdr:spPr>
            <a:xfrm>
              <a:off x="599440" y="19269710"/>
              <a:ext cx="485646" cy="3454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latin typeface="Cambria Math" panose="02040503050406030204" pitchFamily="18" charset="0"/>
                      </a:rPr>
                      <m:t>𝑄</m:t>
                    </m:r>
                    <m:r>
                      <a:rPr lang="en-US" sz="1100" b="0" i="1">
                        <a:latin typeface="Cambria Math" panose="02040503050406030204" pitchFamily="18" charset="0"/>
                      </a:rPr>
                      <m:t>= </m:t>
                    </m:r>
                    <m:f>
                      <m:fPr>
                        <m:ctrlPr>
                          <a:rPr lang="en-US" sz="1100" b="0" i="1">
                            <a:latin typeface="Cambria Math" panose="02040503050406030204" pitchFamily="18" charset="0"/>
                          </a:rPr>
                        </m:ctrlPr>
                      </m:fPr>
                      <m:num>
                        <m:r>
                          <a:rPr lang="en-US" sz="1100" b="0" i="1">
                            <a:latin typeface="Cambria Math" panose="02040503050406030204" pitchFamily="18" charset="0"/>
                          </a:rPr>
                          <m:t>𝑊</m:t>
                        </m:r>
                      </m:num>
                      <m:den>
                        <m:r>
                          <a:rPr lang="en-US" sz="1100" b="0" i="1">
                            <a:latin typeface="Cambria Math" panose="02040503050406030204" pitchFamily="18" charset="0"/>
                          </a:rPr>
                          <m:t>𝑝</m:t>
                        </m:r>
                      </m:den>
                    </m:f>
                  </m:oMath>
                </m:oMathPara>
              </a14:m>
              <a:endParaRPr lang="en-US" sz="1100"/>
            </a:p>
          </xdr:txBody>
        </xdr:sp>
      </mc:Choice>
      <mc:Fallback xmlns="">
        <xdr:sp macro="" textlink="">
          <xdr:nvSpPr>
            <xdr:cNvPr id="19" name="TextBox 18"/>
            <xdr:cNvSpPr txBox="1"/>
          </xdr:nvSpPr>
          <xdr:spPr>
            <a:xfrm>
              <a:off x="599440" y="19269710"/>
              <a:ext cx="485646" cy="3454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𝑄=  𝑊/𝑝</a:t>
              </a:r>
              <a:endParaRPr lang="en-US" sz="1100"/>
            </a:p>
          </xdr:txBody>
        </xdr:sp>
      </mc:Fallback>
    </mc:AlternateContent>
    <xdr:clientData/>
  </xdr:oneCellAnchor>
  <xdr:oneCellAnchor>
    <xdr:from>
      <xdr:col>0</xdr:col>
      <xdr:colOff>952500</xdr:colOff>
      <xdr:row>120</xdr:row>
      <xdr:rowOff>137160</xdr:rowOff>
    </xdr:from>
    <xdr:ext cx="661015" cy="318036"/>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300-000014000000}"/>
                </a:ext>
              </a:extLst>
            </xdr:cNvPr>
            <xdr:cNvSpPr txBox="1"/>
          </xdr:nvSpPr>
          <xdr:spPr>
            <a:xfrm>
              <a:off x="952500" y="22730460"/>
              <a:ext cx="661015" cy="318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f>
                      <m:fPr>
                        <m:ctrlPr>
                          <a:rPr lang="en-US" sz="110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𝑄</m:t>
                        </m:r>
                      </m:num>
                      <m:den>
                        <m:r>
                          <a:rPr lang="en-US" sz="1100" b="0" i="1">
                            <a:latin typeface="Cambria Math" panose="02040503050406030204" pitchFamily="18" charset="0"/>
                            <a:ea typeface="Cambria Math" panose="02040503050406030204" pitchFamily="18" charset="0"/>
                          </a:rPr>
                          <m:t>h𝑐𝐴</m:t>
                        </m:r>
                      </m:den>
                    </m:f>
                  </m:oMath>
                </m:oMathPara>
              </a14:m>
              <a:endParaRPr lang="en-US" sz="1100"/>
            </a:p>
          </xdr:txBody>
        </xdr:sp>
      </mc:Choice>
      <mc:Fallback xmlns="">
        <xdr:sp macro="" textlink="">
          <xdr:nvSpPr>
            <xdr:cNvPr id="20" name="TextBox 19"/>
            <xdr:cNvSpPr txBox="1"/>
          </xdr:nvSpPr>
          <xdr:spPr>
            <a:xfrm>
              <a:off x="952500" y="22730460"/>
              <a:ext cx="661015" cy="318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𝑄/ℎ𝑐𝐴</a:t>
              </a:r>
              <a:endParaRPr lang="en-US" sz="1100"/>
            </a:p>
          </xdr:txBody>
        </xdr:sp>
      </mc:Fallback>
    </mc:AlternateContent>
    <xdr:clientData/>
  </xdr:oneCellAnchor>
  <xdr:oneCellAnchor>
    <xdr:from>
      <xdr:col>0</xdr:col>
      <xdr:colOff>594360</xdr:colOff>
      <xdr:row>144</xdr:row>
      <xdr:rowOff>41910</xdr:rowOff>
    </xdr:from>
    <xdr:ext cx="610745" cy="344518"/>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300-000019000000}"/>
                </a:ext>
              </a:extLst>
            </xdr:cNvPr>
            <xdr:cNvSpPr txBox="1"/>
          </xdr:nvSpPr>
          <xdr:spPr>
            <a:xfrm>
              <a:off x="594360" y="29234130"/>
              <a:ext cx="610745" cy="344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latin typeface="Cambria Math" panose="02040503050406030204" pitchFamily="18" charset="0"/>
                      </a:rPr>
                      <m:t>𝑁𝑟</m:t>
                    </m:r>
                    <m:r>
                      <a:rPr lang="en-US" sz="1100" b="0" i="1">
                        <a:latin typeface="Cambria Math" panose="02040503050406030204" pitchFamily="18" charset="0"/>
                        <a:ea typeface="Cambria Math" panose="02040503050406030204" pitchFamily="18" charset="0"/>
                      </a:rPr>
                      <m:t>= </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𝐺𝐷</m:t>
                        </m:r>
                      </m:num>
                      <m:den>
                        <m:r>
                          <a:rPr lang="en-US" sz="1100" b="0" i="1">
                            <a:latin typeface="Cambria Math" panose="02040503050406030204" pitchFamily="18" charset="0"/>
                            <a:ea typeface="Cambria Math" panose="02040503050406030204" pitchFamily="18" charset="0"/>
                          </a:rPr>
                          <m:t>𝜇</m:t>
                        </m:r>
                      </m:den>
                    </m:f>
                  </m:oMath>
                </m:oMathPara>
              </a14:m>
              <a:endParaRPr lang="en-US" sz="1100"/>
            </a:p>
          </xdr:txBody>
        </xdr:sp>
      </mc:Choice>
      <mc:Fallback xmlns="">
        <xdr:sp macro="" textlink="">
          <xdr:nvSpPr>
            <xdr:cNvPr id="25" name="TextBox 24"/>
            <xdr:cNvSpPr txBox="1"/>
          </xdr:nvSpPr>
          <xdr:spPr>
            <a:xfrm>
              <a:off x="594360" y="29234130"/>
              <a:ext cx="610745" cy="344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𝑁𝑟</a:t>
              </a:r>
              <a:r>
                <a:rPr lang="en-US" sz="1100" b="0" i="0">
                  <a:latin typeface="Cambria Math" panose="02040503050406030204" pitchFamily="18" charset="0"/>
                  <a:ea typeface="Cambria Math" panose="02040503050406030204" pitchFamily="18" charset="0"/>
                </a:rPr>
                <a:t>=  𝐺𝐷/𝜇</a:t>
              </a:r>
              <a:endParaRPr lang="en-US" sz="1100"/>
            </a:p>
          </xdr:txBody>
        </xdr:sp>
      </mc:Fallback>
    </mc:AlternateContent>
    <xdr:clientData/>
  </xdr:oneCellAnchor>
  <xdr:oneCellAnchor>
    <xdr:from>
      <xdr:col>2</xdr:col>
      <xdr:colOff>594360</xdr:colOff>
      <xdr:row>142</xdr:row>
      <xdr:rowOff>125730</xdr:rowOff>
    </xdr:from>
    <xdr:ext cx="853440" cy="345929"/>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300-00001A000000}"/>
                </a:ext>
              </a:extLst>
            </xdr:cNvPr>
            <xdr:cNvSpPr txBox="1"/>
          </xdr:nvSpPr>
          <xdr:spPr>
            <a:xfrm>
              <a:off x="3741420" y="27489150"/>
              <a:ext cx="853440" cy="3459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en-US" sz="1100" i="1">
                            <a:latin typeface="Cambria Math" panose="02040503050406030204" pitchFamily="18" charset="0"/>
                          </a:rPr>
                        </m:ctrlPr>
                      </m:fPr>
                      <m:num>
                        <m:r>
                          <a:rPr lang="en-US" sz="1100" b="0" i="1">
                            <a:latin typeface="Cambria Math" panose="02040503050406030204" pitchFamily="18" charset="0"/>
                          </a:rPr>
                          <m:t>4</m:t>
                        </m:r>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𝑎𝑟𝑒𝑎</m:t>
                        </m:r>
                      </m:num>
                      <m:den>
                        <m:r>
                          <a:rPr lang="en-US" sz="1100" b="0" i="1">
                            <a:latin typeface="Cambria Math" panose="02040503050406030204" pitchFamily="18" charset="0"/>
                          </a:rPr>
                          <m:t>𝑝𝑒𝑟𝑖𝑚𝑒𝑡𝑒𝑟</m:t>
                        </m:r>
                      </m:den>
                    </m:f>
                  </m:oMath>
                </m:oMathPara>
              </a14:m>
              <a:endParaRPr lang="en-US" sz="1100"/>
            </a:p>
          </xdr:txBody>
        </xdr:sp>
      </mc:Choice>
      <mc:Fallback xmlns="">
        <xdr:sp macro="" textlink="">
          <xdr:nvSpPr>
            <xdr:cNvPr id="26" name="TextBox 25"/>
            <xdr:cNvSpPr txBox="1"/>
          </xdr:nvSpPr>
          <xdr:spPr>
            <a:xfrm>
              <a:off x="3741420" y="27489150"/>
              <a:ext cx="853440" cy="3459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4</a:t>
              </a:r>
              <a:r>
                <a:rPr lang="en-US" sz="1100" b="0" i="0">
                  <a:latin typeface="Cambria Math" panose="02040503050406030204" pitchFamily="18" charset="0"/>
                  <a:ea typeface="Cambria Math" panose="02040503050406030204" pitchFamily="18" charset="0"/>
                </a:rPr>
                <a:t>×𝑎𝑟𝑒𝑎)/</a:t>
              </a:r>
              <a:r>
                <a:rPr lang="en-US" sz="1100" b="0" i="0">
                  <a:latin typeface="Cambria Math" panose="02040503050406030204" pitchFamily="18" charset="0"/>
                </a:rPr>
                <a:t>𝑝𝑒𝑟𝑖𝑚𝑒𝑡𝑒𝑟</a:t>
              </a:r>
              <a:endParaRPr lang="en-US" sz="1100"/>
            </a:p>
          </xdr:txBody>
        </xdr:sp>
      </mc:Fallback>
    </mc:AlternateContent>
    <xdr:clientData/>
  </xdr:oneCellAnchor>
  <xdr:twoCellAnchor>
    <xdr:from>
      <xdr:col>3</xdr:col>
      <xdr:colOff>76200</xdr:colOff>
      <xdr:row>125</xdr:row>
      <xdr:rowOff>121920</xdr:rowOff>
    </xdr:from>
    <xdr:to>
      <xdr:col>4</xdr:col>
      <xdr:colOff>190500</xdr:colOff>
      <xdr:row>130</xdr:row>
      <xdr:rowOff>114300</xdr:rowOff>
    </xdr:to>
    <xdr:grpSp>
      <xdr:nvGrpSpPr>
        <xdr:cNvPr id="29" name="Group 28">
          <a:extLst>
            <a:ext uri="{FF2B5EF4-FFF2-40B4-BE49-F238E27FC236}">
              <a16:creationId xmlns:a16="http://schemas.microsoft.com/office/drawing/2014/main" id="{00000000-0008-0000-0300-00001D000000}"/>
            </a:ext>
          </a:extLst>
        </xdr:cNvPr>
        <xdr:cNvGrpSpPr/>
      </xdr:nvGrpSpPr>
      <xdr:grpSpPr>
        <a:xfrm>
          <a:off x="3752850" y="24258270"/>
          <a:ext cx="895350" cy="944880"/>
          <a:chOff x="5265420" y="23172420"/>
          <a:chExt cx="990600" cy="906780"/>
        </a:xfrm>
      </xdr:grpSpPr>
      <xdr:sp macro="" textlink="">
        <xdr:nvSpPr>
          <xdr:cNvPr id="28" name="Oval 27">
            <a:extLst>
              <a:ext uri="{FF2B5EF4-FFF2-40B4-BE49-F238E27FC236}">
                <a16:creationId xmlns:a16="http://schemas.microsoft.com/office/drawing/2014/main" id="{00000000-0008-0000-0300-00001C000000}"/>
              </a:ext>
            </a:extLst>
          </xdr:cNvPr>
          <xdr:cNvSpPr/>
        </xdr:nvSpPr>
        <xdr:spPr>
          <a:xfrm>
            <a:off x="5265420" y="23172420"/>
            <a:ext cx="990600" cy="906780"/>
          </a:xfrm>
          <a:prstGeom prst="ellipse">
            <a:avLst/>
          </a:prstGeom>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7" name="Flowchart: Connector 26">
            <a:extLst>
              <a:ext uri="{FF2B5EF4-FFF2-40B4-BE49-F238E27FC236}">
                <a16:creationId xmlns:a16="http://schemas.microsoft.com/office/drawing/2014/main" id="{00000000-0008-0000-0300-00001B000000}"/>
              </a:ext>
            </a:extLst>
          </xdr:cNvPr>
          <xdr:cNvSpPr/>
        </xdr:nvSpPr>
        <xdr:spPr>
          <a:xfrm>
            <a:off x="5394960" y="23294340"/>
            <a:ext cx="716280" cy="655320"/>
          </a:xfrm>
          <a:prstGeom prst="flowChartConnector">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oneCellAnchor>
    <xdr:from>
      <xdr:col>0</xdr:col>
      <xdr:colOff>800100</xdr:colOff>
      <xdr:row>136</xdr:row>
      <xdr:rowOff>87630</xdr:rowOff>
    </xdr:from>
    <xdr:ext cx="481222" cy="315792"/>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00000000-0008-0000-0300-00001E000000}"/>
                </a:ext>
              </a:extLst>
            </xdr:cNvPr>
            <xdr:cNvSpPr txBox="1"/>
          </xdr:nvSpPr>
          <xdr:spPr>
            <a:xfrm>
              <a:off x="800100" y="25241250"/>
              <a:ext cx="481222" cy="3157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latin typeface="Cambria Math" panose="02040503050406030204" pitchFamily="18" charset="0"/>
                      </a:rPr>
                      <m:t>𝐺</m:t>
                    </m:r>
                    <m:r>
                      <a:rPr lang="en-US" sz="1100" b="0" i="1">
                        <a:latin typeface="Cambria Math" panose="02040503050406030204" pitchFamily="18" charset="0"/>
                        <a:ea typeface="Cambria Math" panose="02040503050406030204" pitchFamily="18" charset="0"/>
                      </a:rPr>
                      <m:t>= </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𝑊</m:t>
                        </m:r>
                      </m:num>
                      <m:den>
                        <m:r>
                          <a:rPr lang="en-US" sz="1100" b="0" i="1">
                            <a:latin typeface="Cambria Math" panose="02040503050406030204" pitchFamily="18" charset="0"/>
                            <a:ea typeface="Cambria Math" panose="02040503050406030204" pitchFamily="18" charset="0"/>
                          </a:rPr>
                          <m:t>𝐴</m:t>
                        </m:r>
                      </m:den>
                    </m:f>
                  </m:oMath>
                </m:oMathPara>
              </a14:m>
              <a:endParaRPr lang="en-US" sz="1100"/>
            </a:p>
          </xdr:txBody>
        </xdr:sp>
      </mc:Choice>
      <mc:Fallback xmlns="">
        <xdr:sp macro="" textlink="">
          <xdr:nvSpPr>
            <xdr:cNvPr id="30" name="TextBox 29"/>
            <xdr:cNvSpPr txBox="1"/>
          </xdr:nvSpPr>
          <xdr:spPr>
            <a:xfrm>
              <a:off x="800100" y="25241250"/>
              <a:ext cx="481222" cy="3157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𝐺</a:t>
              </a:r>
              <a:r>
                <a:rPr lang="en-US" sz="1100" b="0" i="0">
                  <a:latin typeface="Cambria Math" panose="02040503050406030204" pitchFamily="18" charset="0"/>
                  <a:ea typeface="Cambria Math" panose="02040503050406030204" pitchFamily="18" charset="0"/>
                </a:rPr>
                <a:t>=  𝑊/𝐴</a:t>
              </a:r>
              <a:endParaRPr lang="en-US" sz="1100"/>
            </a:p>
          </xdr:txBody>
        </xdr:sp>
      </mc:Fallback>
    </mc:AlternateContent>
    <xdr:clientData/>
  </xdr:oneCellAnchor>
  <xdr:oneCellAnchor>
    <xdr:from>
      <xdr:col>6</xdr:col>
      <xdr:colOff>571500</xdr:colOff>
      <xdr:row>131</xdr:row>
      <xdr:rowOff>156210</xdr:rowOff>
    </xdr:from>
    <xdr:ext cx="65" cy="172227"/>
    <xdr:sp macro="" textlink="">
      <xdr:nvSpPr>
        <xdr:cNvPr id="31" name="TextBox 30">
          <a:extLst>
            <a:ext uri="{FF2B5EF4-FFF2-40B4-BE49-F238E27FC236}">
              <a16:creationId xmlns:a16="http://schemas.microsoft.com/office/drawing/2014/main" id="{00000000-0008-0000-0300-00001F000000}"/>
            </a:ext>
          </a:extLst>
        </xdr:cNvPr>
        <xdr:cNvSpPr txBox="1"/>
      </xdr:nvSpPr>
      <xdr:spPr>
        <a:xfrm>
          <a:off x="5402580" y="245859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xdr:col>
      <xdr:colOff>15240</xdr:colOff>
      <xdr:row>154</xdr:row>
      <xdr:rowOff>68580</xdr:rowOff>
    </xdr:from>
    <xdr:ext cx="796628" cy="348044"/>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00000000-0008-0000-0300-000027000000}"/>
                </a:ext>
              </a:extLst>
            </xdr:cNvPr>
            <xdr:cNvSpPr txBox="1"/>
          </xdr:nvSpPr>
          <xdr:spPr>
            <a:xfrm>
              <a:off x="2339340" y="29641800"/>
              <a:ext cx="796628" cy="348044"/>
            </a:xfrm>
            <a:prstGeom prst="rect">
              <a:avLst/>
            </a:prstGeom>
            <a:noFill/>
            <a:ln>
              <a:noFill/>
            </a:ln>
            <a:effectLst/>
          </xdr:spPr>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mn-ea"/>
                        <a:cs typeface="+mn-cs"/>
                      </a:rPr>
                      <m:t>𝐽</m:t>
                    </m:r>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f>
                      <m:fPr>
                        <m:ctrlP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fPr>
                      <m:num>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6</m:t>
                        </m:r>
                      </m:num>
                      <m:den>
                        <m:sSup>
                          <m:sSupPr>
                            <m:ctrlP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pPr>
                          <m:e>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𝑁𝑟</m:t>
                            </m:r>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e>
                          <m:sup>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0.98</m:t>
                            </m:r>
                          </m:sup>
                        </m:sSup>
                      </m:den>
                    </m:f>
                  </m:oMath>
                </m:oMathPara>
              </a14:m>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39" name="TextBox 38"/>
            <xdr:cNvSpPr txBox="1"/>
          </xdr:nvSpPr>
          <xdr:spPr>
            <a:xfrm>
              <a:off x="2339340" y="29641800"/>
              <a:ext cx="796628" cy="348044"/>
            </a:xfrm>
            <a:prstGeom prst="rect">
              <a:avLst/>
            </a:prstGeom>
            <a:noFill/>
            <a:ln>
              <a:noFill/>
            </a:ln>
            <a:effectLst/>
          </xdr:spPr>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smtClean="0">
                  <a:ln>
                    <a:noFill/>
                  </a:ln>
                  <a:solidFill>
                    <a:sysClr val="windowText" lastClr="000000"/>
                  </a:solidFill>
                  <a:effectLst/>
                  <a:uLnTx/>
                  <a:uFillTx/>
                  <a:latin typeface="Cambria Math" panose="02040503050406030204" pitchFamily="18" charset="0"/>
                  <a:ea typeface="+mn-ea"/>
                  <a:cs typeface="+mn-cs"/>
                </a:rPr>
                <a:t>𝐽</a:t>
              </a:r>
              <a:r>
                <a:rPr kumimoji="0" lang="en-US" sz="1100" b="0" i="0"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  6/〖(𝑁𝑟)〗^0.98 </a:t>
              </a:r>
              <a:endParaRPr kumimoji="0" lang="en-US" sz="1100" b="0" i="0" u="none" strike="noStrike" kern="0" cap="none" spc="0" normalizeH="0" baseline="0" noProof="0" smtClean="0">
                <a:ln>
                  <a:noFill/>
                </a:ln>
                <a:solidFill>
                  <a:sysClr val="windowText" lastClr="000000"/>
                </a:solidFill>
                <a:effectLst/>
                <a:uLnTx/>
                <a:uFillTx/>
                <a:latin typeface="Calibri" panose="020F0502020204030204"/>
                <a:ea typeface="+mn-ea"/>
                <a:cs typeface="+mn-cs"/>
              </a:endParaRPr>
            </a:p>
          </xdr:txBody>
        </xdr:sp>
      </mc:Fallback>
    </mc:AlternateContent>
    <xdr:clientData/>
  </xdr:oneCellAnchor>
  <xdr:oneCellAnchor>
    <xdr:from>
      <xdr:col>0</xdr:col>
      <xdr:colOff>365760</xdr:colOff>
      <xdr:row>161</xdr:row>
      <xdr:rowOff>7620</xdr:rowOff>
    </xdr:from>
    <xdr:ext cx="1722120" cy="240387"/>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00000000-0008-0000-0300-000028000000}"/>
                </a:ext>
              </a:extLst>
            </xdr:cNvPr>
            <xdr:cNvSpPr txBox="1"/>
          </xdr:nvSpPr>
          <xdr:spPr>
            <a:xfrm>
              <a:off x="365760" y="30861000"/>
              <a:ext cx="1722120" cy="2403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US" sz="1100" i="1">
                  <a:latin typeface="Cambria Math" panose="02040503050406030204" pitchFamily="18" charset="0"/>
                  <a:ea typeface="Cambria Math" panose="02040503050406030204" pitchFamily="18" charset="0"/>
                </a:rPr>
                <a:t>hc</a:t>
              </a:r>
              <a:r>
                <a:rPr lang="en-US" sz="1100" i="1" baseline="0">
                  <a:latin typeface="Cambria Math" panose="02040503050406030204" pitchFamily="18" charset="0"/>
                  <a:ea typeface="Cambria Math" panose="02040503050406030204" pitchFamily="18" charset="0"/>
                </a:rPr>
                <a:t> = JCpG( </a:t>
              </a:r>
              <a14:m>
                <m:oMath xmlns:m="http://schemas.openxmlformats.org/officeDocument/2006/math">
                  <m:f>
                    <m:fPr>
                      <m:ctrlPr>
                        <a:rPr lang="en-US" sz="1100" i="1" baseline="0">
                          <a:latin typeface="Cambria Math" panose="02040503050406030204" pitchFamily="18" charset="0"/>
                          <a:ea typeface="Cambria Math" panose="02040503050406030204" pitchFamily="18" charset="0"/>
                        </a:rPr>
                      </m:ctrlPr>
                    </m:fPr>
                    <m:num>
                      <m:r>
                        <a:rPr lang="en-US" sz="1100" b="0" i="1" baseline="0">
                          <a:latin typeface="Cambria Math" panose="02040503050406030204" pitchFamily="18" charset="0"/>
                          <a:ea typeface="Cambria Math" panose="02040503050406030204" pitchFamily="18" charset="0"/>
                        </a:rPr>
                        <m:t>𝐶𝑝</m:t>
                      </m:r>
                      <m:r>
                        <a:rPr lang="en-US" sz="1100" b="0" i="1" baseline="0">
                          <a:latin typeface="Cambria Math" panose="02040503050406030204" pitchFamily="18" charset="0"/>
                          <a:ea typeface="Cambria Math" panose="02040503050406030204" pitchFamily="18" charset="0"/>
                        </a:rPr>
                        <m:t>𝜇</m:t>
                      </m:r>
                    </m:num>
                    <m:den>
                      <m:r>
                        <a:rPr lang="en-US" sz="1100" b="0" i="1" baseline="0">
                          <a:latin typeface="Cambria Math" panose="02040503050406030204" pitchFamily="18" charset="0"/>
                          <a:ea typeface="Cambria Math" panose="02040503050406030204" pitchFamily="18" charset="0"/>
                        </a:rPr>
                        <m:t>𝐾</m:t>
                      </m:r>
                    </m:den>
                  </m:f>
                  <m:sSup>
                    <m:sSupPr>
                      <m:ctrlPr>
                        <a:rPr lang="en-US" sz="1100" i="1" baseline="0">
                          <a:latin typeface="Cambria Math" panose="02040503050406030204" pitchFamily="18" charset="0"/>
                          <a:ea typeface="Cambria Math" panose="02040503050406030204" pitchFamily="18" charset="0"/>
                        </a:rPr>
                      </m:ctrlPr>
                    </m:sSupPr>
                    <m:e>
                      <m:r>
                        <a:rPr lang="en-US" sz="1100" b="0" i="1" baseline="0">
                          <a:latin typeface="Cambria Math" panose="02040503050406030204" pitchFamily="18" charset="0"/>
                          <a:ea typeface="Cambria Math" panose="02040503050406030204" pitchFamily="18" charset="0"/>
                        </a:rPr>
                        <m:t> )</m:t>
                      </m:r>
                    </m:e>
                    <m:sup>
                      <m:r>
                        <a:rPr lang="en-US" sz="1100" b="0" i="1" baseline="0">
                          <a:latin typeface="Cambria Math" panose="02040503050406030204" pitchFamily="18" charset="0"/>
                          <a:ea typeface="Cambria Math" panose="02040503050406030204" pitchFamily="18" charset="0"/>
                        </a:rPr>
                        <m:t>−2/3</m:t>
                      </m:r>
                    </m:sup>
                  </m:sSup>
                </m:oMath>
              </a14:m>
              <a:endParaRPr lang="en-US" sz="1100">
                <a:latin typeface="Cambria Math" panose="02040503050406030204" pitchFamily="18" charset="0"/>
                <a:ea typeface="Cambria Math" panose="02040503050406030204" pitchFamily="18" charset="0"/>
              </a:endParaRPr>
            </a:p>
          </xdr:txBody>
        </xdr:sp>
      </mc:Choice>
      <mc:Fallback xmlns="">
        <xdr:sp macro="" textlink="">
          <xdr:nvSpPr>
            <xdr:cNvPr id="40" name="TextBox 39"/>
            <xdr:cNvSpPr txBox="1"/>
          </xdr:nvSpPr>
          <xdr:spPr>
            <a:xfrm>
              <a:off x="365760" y="30861000"/>
              <a:ext cx="1722120" cy="2403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US" sz="1100" i="1">
                  <a:latin typeface="Cambria Math" panose="02040503050406030204" pitchFamily="18" charset="0"/>
                  <a:ea typeface="Cambria Math" panose="02040503050406030204" pitchFamily="18" charset="0"/>
                </a:rPr>
                <a:t>hc</a:t>
              </a:r>
              <a:r>
                <a:rPr lang="en-US" sz="1100" i="1" baseline="0">
                  <a:latin typeface="Cambria Math" panose="02040503050406030204" pitchFamily="18" charset="0"/>
                  <a:ea typeface="Cambria Math" panose="02040503050406030204" pitchFamily="18" charset="0"/>
                </a:rPr>
                <a:t> = JCpG( </a:t>
              </a:r>
              <a:r>
                <a:rPr lang="en-US" sz="1100" b="0" i="0" baseline="0">
                  <a:latin typeface="Cambria Math" panose="02040503050406030204" pitchFamily="18" charset="0"/>
                  <a:ea typeface="Cambria Math" panose="02040503050406030204" pitchFamily="18" charset="0"/>
                </a:rPr>
                <a:t>𝐶𝑝𝜇/𝐾 </a:t>
              </a:r>
              <a:r>
                <a:rPr lang="en-US" sz="1100" i="0" baseline="0">
                  <a:latin typeface="Cambria Math" panose="02040503050406030204" pitchFamily="18" charset="0"/>
                  <a:ea typeface="Cambria Math" panose="02040503050406030204" pitchFamily="18" charset="0"/>
                </a:rPr>
                <a:t>〖</a:t>
              </a:r>
              <a:r>
                <a:rPr lang="en-US" sz="1100" b="0" i="0" baseline="0">
                  <a:latin typeface="Cambria Math" panose="02040503050406030204" pitchFamily="18" charset="0"/>
                  <a:ea typeface="Cambria Math" panose="02040503050406030204" pitchFamily="18" charset="0"/>
                </a:rPr>
                <a:t> )〗^(−2/3)</a:t>
              </a:r>
              <a:endParaRPr lang="en-US" sz="1100">
                <a:latin typeface="Cambria Math" panose="02040503050406030204" pitchFamily="18" charset="0"/>
                <a:ea typeface="Cambria Math" panose="02040503050406030204" pitchFamily="18" charset="0"/>
              </a:endParaRPr>
            </a:p>
          </xdr:txBody>
        </xdr:sp>
      </mc:Fallback>
    </mc:AlternateContent>
    <xdr:clientData/>
  </xdr:oneCellAnchor>
  <xdr:oneCellAnchor>
    <xdr:from>
      <xdr:col>0</xdr:col>
      <xdr:colOff>665480</xdr:colOff>
      <xdr:row>168</xdr:row>
      <xdr:rowOff>132080</xdr:rowOff>
    </xdr:from>
    <xdr:ext cx="661015" cy="318036"/>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00000000-0008-0000-0300-00002A000000}"/>
                </a:ext>
              </a:extLst>
            </xdr:cNvPr>
            <xdr:cNvSpPr txBox="1"/>
          </xdr:nvSpPr>
          <xdr:spPr>
            <a:xfrm>
              <a:off x="665480" y="31183580"/>
              <a:ext cx="661015" cy="318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f>
                      <m:fPr>
                        <m:ctrlPr>
                          <a:rPr lang="en-US" sz="110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𝑄</m:t>
                        </m:r>
                      </m:num>
                      <m:den>
                        <m:r>
                          <a:rPr lang="en-US" sz="1100" b="0" i="1">
                            <a:latin typeface="Cambria Math" panose="02040503050406030204" pitchFamily="18" charset="0"/>
                            <a:ea typeface="Cambria Math" panose="02040503050406030204" pitchFamily="18" charset="0"/>
                          </a:rPr>
                          <m:t>h𝑐𝐴</m:t>
                        </m:r>
                      </m:den>
                    </m:f>
                  </m:oMath>
                </m:oMathPara>
              </a14:m>
              <a:endParaRPr lang="en-US" sz="1100"/>
            </a:p>
          </xdr:txBody>
        </xdr:sp>
      </mc:Choice>
      <mc:Fallback xmlns="">
        <xdr:sp macro="" textlink="">
          <xdr:nvSpPr>
            <xdr:cNvPr id="42" name="TextBox 41"/>
            <xdr:cNvSpPr txBox="1"/>
          </xdr:nvSpPr>
          <xdr:spPr>
            <a:xfrm>
              <a:off x="665480" y="31183580"/>
              <a:ext cx="661015" cy="318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𝑄/ℎ𝑐𝐴</a:t>
              </a:r>
              <a:endParaRPr lang="en-US" sz="1100"/>
            </a:p>
          </xdr:txBody>
        </xdr:sp>
      </mc:Fallback>
    </mc:AlternateContent>
    <xdr:clientData/>
  </xdr:oneCellAnchor>
  <xdr:oneCellAnchor>
    <xdr:from>
      <xdr:col>0</xdr:col>
      <xdr:colOff>1821180</xdr:colOff>
      <xdr:row>167</xdr:row>
      <xdr:rowOff>15240</xdr:rowOff>
    </xdr:from>
    <xdr:ext cx="388055" cy="172227"/>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00000000-0008-0000-0300-00002B000000}"/>
                </a:ext>
              </a:extLst>
            </xdr:cNvPr>
            <xdr:cNvSpPr txBox="1"/>
          </xdr:nvSpPr>
          <xdr:spPr>
            <a:xfrm>
              <a:off x="1821180" y="31694120"/>
              <a:ext cx="38805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43" name="TextBox 42"/>
            <xdr:cNvSpPr txBox="1"/>
          </xdr:nvSpPr>
          <xdr:spPr>
            <a:xfrm>
              <a:off x="1821180" y="31694120"/>
              <a:ext cx="38805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ea typeface="Cambria Math" panose="02040503050406030204" pitchFamily="18" charset="0"/>
                </a:rPr>
                <a:t>∆℃=</a:t>
              </a:r>
              <a:endParaRPr lang="en-US" sz="1100"/>
            </a:p>
          </xdr:txBody>
        </xdr:sp>
      </mc:Fallback>
    </mc:AlternateContent>
    <xdr:clientData/>
  </xdr:oneCellAnchor>
  <xdr:oneCellAnchor>
    <xdr:from>
      <xdr:col>0</xdr:col>
      <xdr:colOff>899160</xdr:colOff>
      <xdr:row>74</xdr:row>
      <xdr:rowOff>130810</xdr:rowOff>
    </xdr:from>
    <xdr:ext cx="610745" cy="344518"/>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00000000-0008-0000-0300-000022000000}"/>
                </a:ext>
              </a:extLst>
            </xdr:cNvPr>
            <xdr:cNvSpPr txBox="1"/>
          </xdr:nvSpPr>
          <xdr:spPr>
            <a:xfrm>
              <a:off x="899160" y="14131290"/>
              <a:ext cx="610745" cy="344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latin typeface="Cambria Math" panose="02040503050406030204" pitchFamily="18" charset="0"/>
                      </a:rPr>
                      <m:t>𝑁𝑟</m:t>
                    </m:r>
                    <m:r>
                      <a:rPr lang="en-US" sz="1100" b="0" i="1">
                        <a:latin typeface="Cambria Math" panose="02040503050406030204" pitchFamily="18" charset="0"/>
                        <a:ea typeface="Cambria Math" panose="02040503050406030204" pitchFamily="18" charset="0"/>
                      </a:rPr>
                      <m:t>= </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𝐺𝐷</m:t>
                        </m:r>
                      </m:num>
                      <m:den>
                        <m:r>
                          <a:rPr lang="en-US" sz="1100" b="0" i="1">
                            <a:latin typeface="Cambria Math" panose="02040503050406030204" pitchFamily="18" charset="0"/>
                            <a:ea typeface="Cambria Math" panose="02040503050406030204" pitchFamily="18" charset="0"/>
                          </a:rPr>
                          <m:t>𝜇</m:t>
                        </m:r>
                      </m:den>
                    </m:f>
                  </m:oMath>
                </m:oMathPara>
              </a14:m>
              <a:endParaRPr lang="en-US" sz="1100"/>
            </a:p>
          </xdr:txBody>
        </xdr:sp>
      </mc:Choice>
      <mc:Fallback xmlns="">
        <xdr:sp macro="" textlink="">
          <xdr:nvSpPr>
            <xdr:cNvPr id="34" name="TextBox 33"/>
            <xdr:cNvSpPr txBox="1"/>
          </xdr:nvSpPr>
          <xdr:spPr>
            <a:xfrm>
              <a:off x="899160" y="14131290"/>
              <a:ext cx="610745" cy="344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𝑁𝑟</a:t>
              </a:r>
              <a:r>
                <a:rPr lang="en-US" sz="1100" b="0" i="0">
                  <a:latin typeface="Cambria Math" panose="02040503050406030204" pitchFamily="18" charset="0"/>
                  <a:ea typeface="Cambria Math" panose="02040503050406030204" pitchFamily="18" charset="0"/>
                </a:rPr>
                <a:t>=  𝐺𝐷/𝜇</a:t>
              </a:r>
              <a:endParaRPr lang="en-US" sz="1100"/>
            </a:p>
          </xdr:txBody>
        </xdr:sp>
      </mc:Fallback>
    </mc:AlternateContent>
    <xdr:clientData/>
  </xdr:oneCellAnchor>
  <xdr:oneCellAnchor>
    <xdr:from>
      <xdr:col>3</xdr:col>
      <xdr:colOff>7620</xdr:colOff>
      <xdr:row>73</xdr:row>
      <xdr:rowOff>113030</xdr:rowOff>
    </xdr:from>
    <xdr:ext cx="676211" cy="345929"/>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00000000-0008-0000-0300-000023000000}"/>
                </a:ext>
              </a:extLst>
            </xdr:cNvPr>
            <xdr:cNvSpPr txBox="1"/>
          </xdr:nvSpPr>
          <xdr:spPr>
            <a:xfrm>
              <a:off x="3794760" y="13882370"/>
              <a:ext cx="676211" cy="3459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en-US" sz="1100" i="1">
                            <a:latin typeface="Cambria Math" panose="02040503050406030204" pitchFamily="18" charset="0"/>
                          </a:rPr>
                        </m:ctrlPr>
                      </m:fPr>
                      <m:num>
                        <m:r>
                          <a:rPr lang="en-US" sz="1100" b="0" i="1">
                            <a:latin typeface="Cambria Math" panose="02040503050406030204" pitchFamily="18" charset="0"/>
                          </a:rPr>
                          <m:t>4</m:t>
                        </m:r>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𝑎𝑟𝑒𝑎</m:t>
                        </m:r>
                      </m:num>
                      <m:den>
                        <m:r>
                          <a:rPr lang="en-US" sz="1100" b="0" i="1">
                            <a:latin typeface="Cambria Math" panose="02040503050406030204" pitchFamily="18" charset="0"/>
                          </a:rPr>
                          <m:t>𝑝𝑒𝑟𝑖𝑚𝑒𝑡𝑒𝑟</m:t>
                        </m:r>
                      </m:den>
                    </m:f>
                  </m:oMath>
                </m:oMathPara>
              </a14:m>
              <a:endParaRPr lang="en-US" sz="1100"/>
            </a:p>
          </xdr:txBody>
        </xdr:sp>
      </mc:Choice>
      <mc:Fallback xmlns="">
        <xdr:sp macro="" textlink="">
          <xdr:nvSpPr>
            <xdr:cNvPr id="35" name="TextBox 34"/>
            <xdr:cNvSpPr txBox="1"/>
          </xdr:nvSpPr>
          <xdr:spPr>
            <a:xfrm>
              <a:off x="3794760" y="13882370"/>
              <a:ext cx="676211" cy="3459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4</a:t>
              </a:r>
              <a:r>
                <a:rPr lang="en-US" sz="1100" b="0" i="0">
                  <a:latin typeface="Cambria Math" panose="02040503050406030204" pitchFamily="18" charset="0"/>
                  <a:ea typeface="Cambria Math" panose="02040503050406030204" pitchFamily="18" charset="0"/>
                </a:rPr>
                <a:t>×𝑎𝑟𝑒𝑎)/</a:t>
              </a:r>
              <a:r>
                <a:rPr lang="en-US" sz="1100" b="0" i="0">
                  <a:latin typeface="Cambria Math" panose="02040503050406030204" pitchFamily="18" charset="0"/>
                </a:rPr>
                <a:t>𝑝𝑒𝑟𝑖𝑚𝑒𝑡𝑒𝑟</a:t>
              </a:r>
              <a:endParaRPr lang="en-US" sz="1100"/>
            </a:p>
          </xdr:txBody>
        </xdr:sp>
      </mc:Fallback>
    </mc:AlternateContent>
    <xdr:clientData/>
  </xdr:oneCellAnchor>
  <xdr:oneCellAnchor>
    <xdr:from>
      <xdr:col>0</xdr:col>
      <xdr:colOff>513080</xdr:colOff>
      <xdr:row>89</xdr:row>
      <xdr:rowOff>40640</xdr:rowOff>
    </xdr:from>
    <xdr:ext cx="1109150" cy="380361"/>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513080" y="16418560"/>
              <a:ext cx="1109150"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latin typeface="Cambria Math" panose="02040503050406030204" pitchFamily="18" charset="0"/>
                      </a:rPr>
                      <m:t>h</m:t>
                    </m:r>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𝑏</m:t>
                    </m:r>
                    <m:r>
                      <a:rPr lang="en-US" sz="1100" b="0" i="1">
                        <a:latin typeface="Cambria Math" panose="02040503050406030204" pitchFamily="18" charset="0"/>
                        <a:ea typeface="Cambria Math" panose="02040503050406030204" pitchFamily="18" charset="0"/>
                      </a:rPr>
                      <m:t> </m:t>
                    </m:r>
                    <m:d>
                      <m:dPr>
                        <m:ctrlPr>
                          <a:rPr lang="en-US" sz="1100" b="0" i="1">
                            <a:latin typeface="Cambria Math" panose="02040503050406030204" pitchFamily="18" charset="0"/>
                            <a:ea typeface="Cambria Math" panose="02040503050406030204" pitchFamily="18" charset="0"/>
                          </a:rPr>
                        </m:ctrlPr>
                      </m:dPr>
                      <m:e>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𝐾</m:t>
                            </m:r>
                          </m:num>
                          <m:den>
                            <m:r>
                              <a:rPr lang="en-US" sz="1100" b="0" i="1">
                                <a:latin typeface="Cambria Math" panose="02040503050406030204" pitchFamily="18" charset="0"/>
                                <a:ea typeface="Cambria Math" panose="02040503050406030204" pitchFamily="18" charset="0"/>
                              </a:rPr>
                              <m:t>𝐷</m:t>
                            </m:r>
                          </m:den>
                        </m:f>
                      </m:e>
                    </m:d>
                    <m:r>
                      <a:rPr lang="en-US" sz="1100" b="0" i="1">
                        <a:latin typeface="Cambria Math" panose="02040503050406030204" pitchFamily="18" charset="0"/>
                        <a:ea typeface="Cambria Math" panose="02040503050406030204" pitchFamily="18" charset="0"/>
                      </a:rPr>
                      <m:t>(</m:t>
                    </m:r>
                    <m:sSup>
                      <m:sSupPr>
                        <m:ctrlPr>
                          <a:rPr lang="en-US" sz="1100" b="0" i="1">
                            <a:latin typeface="Cambria Math" panose="02040503050406030204" pitchFamily="18" charset="0"/>
                            <a:ea typeface="Cambria Math" panose="02040503050406030204" pitchFamily="18" charset="0"/>
                          </a:rPr>
                        </m:ctrlPr>
                      </m:sSupPr>
                      <m:e>
                        <m:d>
                          <m:dPr>
                            <m:begChr m:val=""/>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𝑁𝑟</m:t>
                            </m:r>
                          </m:e>
                        </m:d>
                      </m:e>
                      <m:sup>
                        <m:r>
                          <a:rPr lang="en-US" sz="1100" b="0" i="1">
                            <a:latin typeface="Cambria Math" panose="02040503050406030204" pitchFamily="18" charset="0"/>
                            <a:ea typeface="Cambria Math" panose="02040503050406030204" pitchFamily="18" charset="0"/>
                          </a:rPr>
                          <m:t>𝑚</m:t>
                        </m:r>
                      </m:sup>
                    </m:sSup>
                  </m:oMath>
                </m:oMathPara>
              </a14:m>
              <a:endParaRPr lang="en-US" sz="1100"/>
            </a:p>
          </xdr:txBody>
        </xdr:sp>
      </mc:Choice>
      <mc:Fallback xmlns="">
        <xdr:sp macro="" textlink="">
          <xdr:nvSpPr>
            <xdr:cNvPr id="2" name="TextBox 1"/>
            <xdr:cNvSpPr txBox="1"/>
          </xdr:nvSpPr>
          <xdr:spPr>
            <a:xfrm>
              <a:off x="513080" y="16418560"/>
              <a:ext cx="1109150"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b="0" i="0">
                  <a:latin typeface="Cambria Math" panose="02040503050406030204" pitchFamily="18" charset="0"/>
                </a:rPr>
                <a:t>ℎ</a:t>
              </a:r>
              <a:r>
                <a:rPr lang="en-US" sz="1100" b="0" i="0">
                  <a:latin typeface="Cambria Math" panose="02040503050406030204" pitchFamily="18" charset="0"/>
                  <a:ea typeface="Cambria Math" panose="02040503050406030204" pitchFamily="18" charset="0"/>
                </a:rPr>
                <a:t>=𝑏 (𝐾/𝐷)(├ 𝑁𝑟)^𝑚</a:t>
              </a:r>
              <a:endParaRPr lang="en-US" sz="1100"/>
            </a:p>
          </xdr:txBody>
        </xdr:sp>
      </mc:Fallback>
    </mc:AlternateContent>
    <xdr:clientData/>
  </xdr:oneCellAnchor>
  <xdr:oneCellAnchor>
    <xdr:from>
      <xdr:col>0</xdr:col>
      <xdr:colOff>660400</xdr:colOff>
      <xdr:row>94</xdr:row>
      <xdr:rowOff>43180</xdr:rowOff>
    </xdr:from>
    <xdr:ext cx="596124" cy="317972"/>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00000000-0008-0000-0300-000024000000}"/>
                </a:ext>
              </a:extLst>
            </xdr:cNvPr>
            <xdr:cNvSpPr txBox="1"/>
          </xdr:nvSpPr>
          <xdr:spPr>
            <a:xfrm>
              <a:off x="660400" y="17470120"/>
              <a:ext cx="596124" cy="317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f>
                      <m:fPr>
                        <m:ctrlPr>
                          <a:rPr lang="en-US" sz="110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𝑄</m:t>
                        </m:r>
                      </m:num>
                      <m:den>
                        <m:r>
                          <a:rPr lang="en-US" sz="1100" b="0" i="1">
                            <a:latin typeface="Cambria Math" panose="02040503050406030204" pitchFamily="18" charset="0"/>
                            <a:ea typeface="Cambria Math" panose="02040503050406030204" pitchFamily="18" charset="0"/>
                          </a:rPr>
                          <m:t>h𝐴</m:t>
                        </m:r>
                      </m:den>
                    </m:f>
                  </m:oMath>
                </m:oMathPara>
              </a14:m>
              <a:endParaRPr lang="en-US" sz="1100"/>
            </a:p>
          </xdr:txBody>
        </xdr:sp>
      </mc:Choice>
      <mc:Fallback xmlns="">
        <xdr:sp macro="" textlink="">
          <xdr:nvSpPr>
            <xdr:cNvPr id="36" name="TextBox 35"/>
            <xdr:cNvSpPr txBox="1"/>
          </xdr:nvSpPr>
          <xdr:spPr>
            <a:xfrm>
              <a:off x="660400" y="17470120"/>
              <a:ext cx="596124" cy="317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𝑄/ℎ𝐴</a:t>
              </a:r>
              <a:endParaRPr lang="en-US" sz="1100"/>
            </a:p>
          </xdr:txBody>
        </xdr:sp>
      </mc:Fallback>
    </mc:AlternateContent>
    <xdr:clientData/>
  </xdr:oneCellAnchor>
  <xdr:oneCellAnchor>
    <xdr:from>
      <xdr:col>2</xdr:col>
      <xdr:colOff>624840</xdr:colOff>
      <xdr:row>154</xdr:row>
      <xdr:rowOff>60960</xdr:rowOff>
    </xdr:from>
    <xdr:ext cx="796628" cy="348044"/>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00000000-0008-0000-0300-000025000000}"/>
                </a:ext>
              </a:extLst>
            </xdr:cNvPr>
            <xdr:cNvSpPr txBox="1"/>
          </xdr:nvSpPr>
          <xdr:spPr>
            <a:xfrm>
              <a:off x="3771900" y="29634180"/>
              <a:ext cx="796628" cy="348044"/>
            </a:xfrm>
            <a:prstGeom prst="rect">
              <a:avLst/>
            </a:prstGeom>
            <a:noFill/>
            <a:ln>
              <a:noFill/>
            </a:ln>
            <a:effectLst/>
          </xdr:spPr>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mn-ea"/>
                        <a:cs typeface="+mn-cs"/>
                      </a:rPr>
                      <m:t>𝐽</m:t>
                    </m:r>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f>
                      <m:fPr>
                        <m:ctrlP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fPr>
                      <m:num>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2.7</m:t>
                        </m:r>
                      </m:num>
                      <m:den>
                        <m:sSup>
                          <m:sSupPr>
                            <m:ctrlP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pPr>
                          <m:e>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𝑁𝑟</m:t>
                            </m:r>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e>
                          <m:sup>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0.95</m:t>
                            </m:r>
                          </m:sup>
                        </m:sSup>
                      </m:den>
                    </m:f>
                  </m:oMath>
                </m:oMathPara>
              </a14:m>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37" name="TextBox 36"/>
            <xdr:cNvSpPr txBox="1"/>
          </xdr:nvSpPr>
          <xdr:spPr>
            <a:xfrm>
              <a:off x="3771900" y="29634180"/>
              <a:ext cx="796628" cy="348044"/>
            </a:xfrm>
            <a:prstGeom prst="rect">
              <a:avLst/>
            </a:prstGeom>
            <a:noFill/>
            <a:ln>
              <a:noFill/>
            </a:ln>
            <a:effectLst/>
          </xdr:spPr>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smtClean="0">
                  <a:ln>
                    <a:noFill/>
                  </a:ln>
                  <a:solidFill>
                    <a:sysClr val="windowText" lastClr="000000"/>
                  </a:solidFill>
                  <a:effectLst/>
                  <a:uLnTx/>
                  <a:uFillTx/>
                  <a:latin typeface="Cambria Math" panose="02040503050406030204" pitchFamily="18" charset="0"/>
                  <a:ea typeface="+mn-ea"/>
                  <a:cs typeface="+mn-cs"/>
                </a:rPr>
                <a:t>𝐽</a:t>
              </a:r>
              <a:r>
                <a:rPr kumimoji="0" lang="en-US" sz="1100" b="0" i="0"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  2.7/〖(𝑁𝑟)〗^0.95 </a:t>
              </a:r>
              <a:endParaRPr kumimoji="0" lang="en-US" sz="1100" b="0" i="0" u="none" strike="noStrike" kern="0" cap="none" spc="0" normalizeH="0" baseline="0" noProof="0" smtClean="0">
                <a:ln>
                  <a:noFill/>
                </a:ln>
                <a:solidFill>
                  <a:sysClr val="windowText" lastClr="000000"/>
                </a:solidFill>
                <a:effectLst/>
                <a:uLnTx/>
                <a:uFillTx/>
                <a:latin typeface="Calibri" panose="020F0502020204030204"/>
                <a:ea typeface="+mn-ea"/>
                <a:cs typeface="+mn-cs"/>
              </a:endParaRPr>
            </a:p>
          </xdr:txBody>
        </xdr:sp>
      </mc:Fallback>
    </mc:AlternateContent>
    <xdr:clientData/>
  </xdr:oneCellAnchor>
  <xdr:oneCellAnchor>
    <xdr:from>
      <xdr:col>5</xdr:col>
      <xdr:colOff>7620</xdr:colOff>
      <xdr:row>154</xdr:row>
      <xdr:rowOff>76200</xdr:rowOff>
    </xdr:from>
    <xdr:ext cx="739883" cy="348044"/>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00000000-0008-0000-0300-000026000000}"/>
                </a:ext>
              </a:extLst>
            </xdr:cNvPr>
            <xdr:cNvSpPr txBox="1"/>
          </xdr:nvSpPr>
          <xdr:spPr>
            <a:xfrm>
              <a:off x="5189220" y="29649420"/>
              <a:ext cx="739883" cy="348044"/>
            </a:xfrm>
            <a:prstGeom prst="rect">
              <a:avLst/>
            </a:prstGeom>
            <a:noFill/>
            <a:ln>
              <a:noFill/>
            </a:ln>
            <a:effectLst/>
          </xdr:spPr>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mn-ea"/>
                        <a:cs typeface="+mn-cs"/>
                      </a:rPr>
                      <m:t>𝐽</m:t>
                    </m:r>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f>
                      <m:fPr>
                        <m:ctrlP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fPr>
                      <m:num>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0.023</m:t>
                        </m:r>
                      </m:num>
                      <m:den>
                        <m:sSup>
                          <m:sSupPr>
                            <m:ctrlP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pPr>
                          <m:e>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𝑁𝑟</m:t>
                            </m:r>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e>
                          <m:sup>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0.2</m:t>
                            </m:r>
                          </m:sup>
                        </m:sSup>
                      </m:den>
                    </m:f>
                  </m:oMath>
                </m:oMathPara>
              </a14:m>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38" name="TextBox 37"/>
            <xdr:cNvSpPr txBox="1"/>
          </xdr:nvSpPr>
          <xdr:spPr>
            <a:xfrm>
              <a:off x="5189220" y="29649420"/>
              <a:ext cx="739883" cy="348044"/>
            </a:xfrm>
            <a:prstGeom prst="rect">
              <a:avLst/>
            </a:prstGeom>
            <a:noFill/>
            <a:ln>
              <a:noFill/>
            </a:ln>
            <a:effectLst/>
          </xdr:spPr>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smtClean="0">
                  <a:ln>
                    <a:noFill/>
                  </a:ln>
                  <a:solidFill>
                    <a:sysClr val="windowText" lastClr="000000"/>
                  </a:solidFill>
                  <a:effectLst/>
                  <a:uLnTx/>
                  <a:uFillTx/>
                  <a:latin typeface="Cambria Math" panose="02040503050406030204" pitchFamily="18" charset="0"/>
                  <a:ea typeface="+mn-ea"/>
                  <a:cs typeface="+mn-cs"/>
                </a:rPr>
                <a:t>𝐽</a:t>
              </a:r>
              <a:r>
                <a:rPr kumimoji="0" lang="en-US" sz="1100" b="0" i="0"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  0.023/〖(𝑁𝑟)〗^0.2 </a:t>
              </a:r>
              <a:endParaRPr kumimoji="0" lang="en-US" sz="1100" b="0" i="0" u="none" strike="noStrike" kern="0" cap="none" spc="0" normalizeH="0" baseline="0" noProof="0" smtClean="0">
                <a:ln>
                  <a:noFill/>
                </a:ln>
                <a:solidFill>
                  <a:sysClr val="windowText" lastClr="000000"/>
                </a:solidFill>
                <a:effectLst/>
                <a:uLnTx/>
                <a:uFillTx/>
                <a:latin typeface="Calibri" panose="020F0502020204030204"/>
                <a:ea typeface="+mn-ea"/>
                <a:cs typeface="+mn-cs"/>
              </a:endParaRPr>
            </a:p>
          </xdr:txBody>
        </xdr:sp>
      </mc:Fallback>
    </mc:AlternateContent>
    <xdr:clientData/>
  </xdr:oneCellAnchor>
</xdr:wsDr>
</file>

<file path=xl/drawings/drawing3.xml><?xml version="1.0" encoding="utf-8"?>
<xdr:wsDr xmlns:xdr="http://schemas.openxmlformats.org/drawingml/2006/spreadsheetDrawing" xmlns:a="http://schemas.openxmlformats.org/drawingml/2006/main">
  <xdr:oneCellAnchor>
    <xdr:from>
      <xdr:col>4</xdr:col>
      <xdr:colOff>407670</xdr:colOff>
      <xdr:row>7</xdr:row>
      <xdr:rowOff>11430</xdr:rowOff>
    </xdr:from>
    <xdr:ext cx="613373" cy="172227"/>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4994910" y="1390650"/>
              <a:ext cx="613373"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d>
                      <m:dPr>
                        <m:ctrlPr>
                          <a:rPr lang="en-US" sz="1100" i="1">
                            <a:latin typeface="Cambria Math" panose="02040503050406030204" pitchFamily="18" charset="0"/>
                          </a:rPr>
                        </m:ctrlPr>
                      </m:dPr>
                      <m:e>
                        <m:r>
                          <a:rPr lang="en-US" sz="1100" i="1">
                            <a:latin typeface="Cambria Math" panose="02040503050406030204" pitchFamily="18" charset="0"/>
                          </a:rPr>
                          <m:t>𝐿</m:t>
                        </m:r>
                        <m:r>
                          <a:rPr lang="en-US" sz="1100" i="0">
                            <a:latin typeface="Cambria Math" panose="02040503050406030204" pitchFamily="18" charset="0"/>
                          </a:rPr>
                          <m:t>∗2</m:t>
                        </m:r>
                        <m:r>
                          <a:rPr lang="en-US" sz="1100" i="1">
                            <a:latin typeface="Cambria Math" panose="02040503050406030204" pitchFamily="18" charset="0"/>
                          </a:rPr>
                          <m:t>𝜋</m:t>
                        </m:r>
                        <m:r>
                          <a:rPr lang="en-US" sz="1100" i="1">
                            <a:latin typeface="Cambria Math" panose="02040503050406030204" pitchFamily="18" charset="0"/>
                          </a:rPr>
                          <m:t>𝑅</m:t>
                        </m:r>
                      </m:e>
                    </m:d>
                  </m:oMath>
                </m:oMathPara>
              </a14:m>
              <a:endParaRPr lang="en-US" sz="1100"/>
            </a:p>
          </xdr:txBody>
        </xdr:sp>
      </mc:Choice>
      <mc:Fallback xmlns="">
        <xdr:sp macro="" textlink="">
          <xdr:nvSpPr>
            <xdr:cNvPr id="2" name="TextBox 1"/>
            <xdr:cNvSpPr txBox="1"/>
          </xdr:nvSpPr>
          <xdr:spPr>
            <a:xfrm>
              <a:off x="4994910" y="1390650"/>
              <a:ext cx="613373"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(𝐿∗2𝜋𝑅)</a:t>
              </a:r>
              <a:endParaRPr lang="en-US" sz="1100"/>
            </a:p>
          </xdr:txBody>
        </xdr:sp>
      </mc:Fallback>
    </mc:AlternateContent>
    <xdr:clientData/>
  </xdr:oneCellAnchor>
  <xdr:twoCellAnchor>
    <xdr:from>
      <xdr:col>6</xdr:col>
      <xdr:colOff>246381</xdr:colOff>
      <xdr:row>12</xdr:row>
      <xdr:rowOff>162560</xdr:rowOff>
    </xdr:from>
    <xdr:to>
      <xdr:col>9</xdr:col>
      <xdr:colOff>182880</xdr:colOff>
      <xdr:row>15</xdr:row>
      <xdr:rowOff>129540</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6250941" y="2486660"/>
          <a:ext cx="2268219" cy="5384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 1: See seperate bulkhead</a:t>
          </a:r>
          <a:r>
            <a:rPr lang="en-US" sz="1100" baseline="0"/>
            <a:t> </a:t>
          </a:r>
          <a:r>
            <a:rPr lang="en-US" sz="1100"/>
            <a:t>heatsink area worksheet.</a:t>
          </a:r>
          <a:r>
            <a:rPr lang="en-US" sz="1100" baseline="0"/>
            <a:t> </a:t>
          </a:r>
          <a:endParaRPr lang="en-US" sz="1100"/>
        </a:p>
        <a:p>
          <a:endParaRPr lang="en-US" sz="1100"/>
        </a:p>
      </xdr:txBody>
    </xdr:sp>
    <xdr:clientData/>
  </xdr:twoCellAnchor>
  <xdr:oneCellAnchor>
    <xdr:from>
      <xdr:col>4</xdr:col>
      <xdr:colOff>407670</xdr:colOff>
      <xdr:row>12</xdr:row>
      <xdr:rowOff>26670</xdr:rowOff>
    </xdr:from>
    <xdr:ext cx="613373" cy="172227"/>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00000000-0008-0000-0400-000004000000}"/>
                </a:ext>
              </a:extLst>
            </xdr:cNvPr>
            <xdr:cNvSpPr txBox="1"/>
          </xdr:nvSpPr>
          <xdr:spPr>
            <a:xfrm>
              <a:off x="4994910" y="2350770"/>
              <a:ext cx="613373"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d>
                      <m:dPr>
                        <m:ctrlPr>
                          <a:rPr lang="en-US" sz="1100" i="1">
                            <a:latin typeface="Cambria Math" panose="02040503050406030204" pitchFamily="18" charset="0"/>
                          </a:rPr>
                        </m:ctrlPr>
                      </m:dPr>
                      <m:e>
                        <m:r>
                          <a:rPr lang="en-US" sz="1100" i="1">
                            <a:latin typeface="Cambria Math" panose="02040503050406030204" pitchFamily="18" charset="0"/>
                          </a:rPr>
                          <m:t>𝐿</m:t>
                        </m:r>
                        <m:r>
                          <a:rPr lang="en-US" sz="1100" i="0">
                            <a:latin typeface="Cambria Math" panose="02040503050406030204" pitchFamily="18" charset="0"/>
                          </a:rPr>
                          <m:t>∗2</m:t>
                        </m:r>
                        <m:r>
                          <a:rPr lang="en-US" sz="1100" i="1">
                            <a:latin typeface="Cambria Math" panose="02040503050406030204" pitchFamily="18" charset="0"/>
                          </a:rPr>
                          <m:t>𝜋</m:t>
                        </m:r>
                        <m:r>
                          <a:rPr lang="en-US" sz="1100" i="1">
                            <a:latin typeface="Cambria Math" panose="02040503050406030204" pitchFamily="18" charset="0"/>
                          </a:rPr>
                          <m:t>𝑅</m:t>
                        </m:r>
                      </m:e>
                    </m:d>
                  </m:oMath>
                </m:oMathPara>
              </a14:m>
              <a:endParaRPr lang="en-US" sz="1100"/>
            </a:p>
          </xdr:txBody>
        </xdr:sp>
      </mc:Choice>
      <mc:Fallback xmlns="">
        <xdr:sp macro="" textlink="">
          <xdr:nvSpPr>
            <xdr:cNvPr id="4" name="TextBox 3"/>
            <xdr:cNvSpPr txBox="1"/>
          </xdr:nvSpPr>
          <xdr:spPr>
            <a:xfrm>
              <a:off x="4994910" y="2350770"/>
              <a:ext cx="613373"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(𝐿∗2𝜋𝑅)</a:t>
              </a:r>
              <a:endParaRPr lang="en-US" sz="1100"/>
            </a:p>
          </xdr:txBody>
        </xdr:sp>
      </mc:Fallback>
    </mc:AlternateContent>
    <xdr:clientData/>
  </xdr:oneCellAnchor>
  <xdr:oneCellAnchor>
    <xdr:from>
      <xdr:col>0</xdr:col>
      <xdr:colOff>805180</xdr:colOff>
      <xdr:row>50</xdr:row>
      <xdr:rowOff>92710</xdr:rowOff>
    </xdr:from>
    <xdr:ext cx="616387" cy="316882"/>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00000000-0008-0000-0400-000005000000}"/>
                </a:ext>
              </a:extLst>
            </xdr:cNvPr>
            <xdr:cNvSpPr txBox="1"/>
          </xdr:nvSpPr>
          <xdr:spPr>
            <a:xfrm>
              <a:off x="805180" y="10745470"/>
              <a:ext cx="616387" cy="3168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f>
                      <m:fPr>
                        <m:ctrlPr>
                          <a:rPr lang="en-US" sz="110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𝑄𝐿</m:t>
                        </m:r>
                      </m:num>
                      <m:den>
                        <m:r>
                          <a:rPr lang="en-US" sz="1100" b="0" i="1">
                            <a:latin typeface="Cambria Math" panose="02040503050406030204" pitchFamily="18" charset="0"/>
                            <a:ea typeface="Cambria Math" panose="02040503050406030204" pitchFamily="18" charset="0"/>
                          </a:rPr>
                          <m:t>𝐾𝐴</m:t>
                        </m:r>
                      </m:den>
                    </m:f>
                  </m:oMath>
                </m:oMathPara>
              </a14:m>
              <a:endParaRPr lang="en-US" sz="1100"/>
            </a:p>
          </xdr:txBody>
        </xdr:sp>
      </mc:Choice>
      <mc:Fallback xmlns="">
        <xdr:sp macro="" textlink="">
          <xdr:nvSpPr>
            <xdr:cNvPr id="5" name="TextBox 4"/>
            <xdr:cNvSpPr txBox="1"/>
          </xdr:nvSpPr>
          <xdr:spPr>
            <a:xfrm>
              <a:off x="805180" y="10745470"/>
              <a:ext cx="616387" cy="3168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𝑄𝐿/𝐾𝐴</a:t>
              </a:r>
              <a:endParaRPr lang="en-US" sz="1100"/>
            </a:p>
          </xdr:txBody>
        </xdr:sp>
      </mc:Fallback>
    </mc:AlternateContent>
    <xdr:clientData/>
  </xdr:oneCellAnchor>
  <xdr:oneCellAnchor>
    <xdr:from>
      <xdr:col>0</xdr:col>
      <xdr:colOff>297180</xdr:colOff>
      <xdr:row>40</xdr:row>
      <xdr:rowOff>57150</xdr:rowOff>
    </xdr:from>
    <xdr:ext cx="1194750" cy="454483"/>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00000000-0008-0000-0400-000006000000}"/>
                </a:ext>
              </a:extLst>
            </xdr:cNvPr>
            <xdr:cNvSpPr txBox="1"/>
          </xdr:nvSpPr>
          <xdr:spPr>
            <a:xfrm>
              <a:off x="297180" y="8850630"/>
              <a:ext cx="1194750" cy="4544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latin typeface="Cambria Math" panose="02040503050406030204" pitchFamily="18" charset="0"/>
                      </a:rPr>
                      <m:t>𝐴𝑙𝑚</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𝐴𝑜𝑢𝑡</m:t>
                        </m:r>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𝐴𝑖𝑛</m:t>
                        </m:r>
                      </m:num>
                      <m:den>
                        <m:func>
                          <m:funcPr>
                            <m:ctrlPr>
                              <a:rPr lang="en-US" sz="1100" b="0" i="1">
                                <a:latin typeface="Cambria Math" panose="02040503050406030204" pitchFamily="18" charset="0"/>
                                <a:ea typeface="Cambria Math" panose="02040503050406030204" pitchFamily="18" charset="0"/>
                              </a:rPr>
                            </m:ctrlPr>
                          </m:funcPr>
                          <m:fName>
                            <m:r>
                              <m:rPr>
                                <m:sty m:val="p"/>
                              </m:rPr>
                              <a:rPr lang="en-US" sz="1100" b="0" i="0">
                                <a:latin typeface="Cambria Math" panose="02040503050406030204" pitchFamily="18" charset="0"/>
                                <a:ea typeface="Cambria Math" panose="02040503050406030204" pitchFamily="18" charset="0"/>
                              </a:rPr>
                              <m:t>log</m:t>
                            </m:r>
                          </m:fName>
                          <m:e>
                            <m:r>
                              <a:rPr lang="en-US" sz="1100" b="0" i="1">
                                <a:latin typeface="Cambria Math" panose="02040503050406030204" pitchFamily="18" charset="0"/>
                                <a:ea typeface="Cambria Math" panose="02040503050406030204" pitchFamily="18" charset="0"/>
                              </a:rPr>
                              <m:t>𝑒</m:t>
                            </m:r>
                          </m:e>
                        </m:func>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𝐴𝑜𝑢𝑡</m:t>
                            </m:r>
                          </m:num>
                          <m:den>
                            <m:r>
                              <a:rPr lang="en-US" sz="1100" b="0" i="1">
                                <a:latin typeface="Cambria Math" panose="02040503050406030204" pitchFamily="18" charset="0"/>
                                <a:ea typeface="Cambria Math" panose="02040503050406030204" pitchFamily="18" charset="0"/>
                              </a:rPr>
                              <m:t>𝐴𝑖𝑛</m:t>
                            </m:r>
                          </m:den>
                        </m:f>
                        <m:r>
                          <a:rPr lang="en-US" sz="1100" b="0" i="1">
                            <a:latin typeface="Cambria Math" panose="02040503050406030204" pitchFamily="18" charset="0"/>
                            <a:ea typeface="Cambria Math" panose="02040503050406030204" pitchFamily="18" charset="0"/>
                          </a:rPr>
                          <m:t>)</m:t>
                        </m:r>
                      </m:den>
                    </m:f>
                  </m:oMath>
                </m:oMathPara>
              </a14:m>
              <a:endParaRPr lang="en-US" sz="1100"/>
            </a:p>
          </xdr:txBody>
        </xdr:sp>
      </mc:Choice>
      <mc:Fallback xmlns="">
        <xdr:sp macro="" textlink="">
          <xdr:nvSpPr>
            <xdr:cNvPr id="6" name="TextBox 5"/>
            <xdr:cNvSpPr txBox="1"/>
          </xdr:nvSpPr>
          <xdr:spPr>
            <a:xfrm>
              <a:off x="297180" y="8850630"/>
              <a:ext cx="1194750" cy="4544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𝐴𝑙𝑚</a:t>
              </a:r>
              <a:r>
                <a:rPr lang="en-US" sz="1100" b="0" i="0">
                  <a:latin typeface="Cambria Math" panose="02040503050406030204" pitchFamily="18" charset="0"/>
                  <a:ea typeface="Cambria Math" panose="02040503050406030204" pitchFamily="18" charset="0"/>
                </a:rPr>
                <a:t>=(𝐴𝑜𝑢𝑡−𝐴𝑖𝑛)/(log⁡𝑒 (𝐴𝑜𝑢𝑡/𝐴𝑖𝑛))</a:t>
              </a:r>
              <a:endParaRPr lang="en-US" sz="1100"/>
            </a:p>
          </xdr:txBody>
        </xdr:sp>
      </mc:Fallback>
    </mc:AlternateContent>
    <xdr:clientData/>
  </xdr:oneCellAnchor>
  <xdr:oneCellAnchor>
    <xdr:from>
      <xdr:col>0</xdr:col>
      <xdr:colOff>510540</xdr:colOff>
      <xdr:row>55</xdr:row>
      <xdr:rowOff>10160</xdr:rowOff>
    </xdr:from>
    <xdr:ext cx="1704340" cy="172227"/>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400-000007000000}"/>
                </a:ext>
              </a:extLst>
            </xdr:cNvPr>
            <xdr:cNvSpPr txBox="1"/>
          </xdr:nvSpPr>
          <xdr:spPr>
            <a:xfrm>
              <a:off x="510540" y="11584940"/>
              <a:ext cx="170434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 </m:t>
                    </m:r>
                    <m:r>
                      <a:rPr lang="en-US" sz="1100" b="0" i="1">
                        <a:latin typeface="Cambria Math" panose="02040503050406030204" pitchFamily="18" charset="0"/>
                        <a:ea typeface="Cambria Math" panose="02040503050406030204" pitchFamily="18" charset="0"/>
                      </a:rPr>
                      <m:t>𝑎𝑐𝑟𝑜𝑠𝑠</m:t>
                    </m:r>
                    <m:r>
                      <a:rPr lang="en-US" sz="1100" b="0" i="1">
                        <a:latin typeface="Cambria Math" panose="02040503050406030204" pitchFamily="18" charset="0"/>
                        <a:ea typeface="Cambria Math" panose="02040503050406030204" pitchFamily="18" charset="0"/>
                      </a:rPr>
                      <m:t> </m:t>
                    </m:r>
                    <m:r>
                      <a:rPr lang="en-US" sz="1100" b="0" i="1">
                        <a:latin typeface="Cambria Math" panose="02040503050406030204" pitchFamily="18" charset="0"/>
                        <a:ea typeface="Cambria Math" panose="02040503050406030204" pitchFamily="18" charset="0"/>
                      </a:rPr>
                      <m:t>h𝑜𝑢𝑠𝑖𝑛𝑔</m:t>
                    </m:r>
                    <m:r>
                      <a:rPr lang="en-US" sz="1100" b="0" i="1">
                        <a:latin typeface="Cambria Math" panose="02040503050406030204" pitchFamily="18" charset="0"/>
                        <a:ea typeface="Cambria Math" panose="02040503050406030204" pitchFamily="18" charset="0"/>
                      </a:rPr>
                      <m:t> </m:t>
                    </m:r>
                    <m:r>
                      <a:rPr lang="en-US" sz="1100" b="0" i="1">
                        <a:latin typeface="Cambria Math" panose="02040503050406030204" pitchFamily="18" charset="0"/>
                        <a:ea typeface="Cambria Math" panose="02040503050406030204" pitchFamily="18" charset="0"/>
                      </a:rPr>
                      <m:t>𝑤𝑎𝑙𝑙</m:t>
                    </m:r>
                    <m:r>
                      <a:rPr lang="en-US" sz="110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7" name="TextBox 6"/>
            <xdr:cNvSpPr txBox="1"/>
          </xdr:nvSpPr>
          <xdr:spPr>
            <a:xfrm>
              <a:off x="510540" y="11584940"/>
              <a:ext cx="170434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 𝑎𝑐𝑟𝑜𝑠𝑠 ℎ𝑜𝑢𝑠𝑖𝑛𝑔 𝑤𝑎𝑙𝑙</a:t>
              </a:r>
              <a:r>
                <a:rPr lang="en-US" sz="1100" i="0">
                  <a:latin typeface="Cambria Math" panose="02040503050406030204" pitchFamily="18" charset="0"/>
                  <a:ea typeface="Cambria Math" panose="02040503050406030204" pitchFamily="18" charset="0"/>
                </a:rPr>
                <a:t>=</a:t>
              </a:r>
              <a:endParaRPr lang="en-US" sz="1100"/>
            </a:p>
          </xdr:txBody>
        </xdr:sp>
      </mc:Fallback>
    </mc:AlternateContent>
    <xdr:clientData/>
  </xdr:oneCellAnchor>
  <xdr:oneCellAnchor>
    <xdr:from>
      <xdr:col>0</xdr:col>
      <xdr:colOff>297180</xdr:colOff>
      <xdr:row>60</xdr:row>
      <xdr:rowOff>153670</xdr:rowOff>
    </xdr:from>
    <xdr:ext cx="661015" cy="318036"/>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400-000008000000}"/>
                </a:ext>
              </a:extLst>
            </xdr:cNvPr>
            <xdr:cNvSpPr txBox="1"/>
          </xdr:nvSpPr>
          <xdr:spPr>
            <a:xfrm>
              <a:off x="297180" y="12650470"/>
              <a:ext cx="661015" cy="318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f>
                      <m:fPr>
                        <m:ctrlPr>
                          <a:rPr lang="en-US" sz="110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𝑄</m:t>
                        </m:r>
                      </m:num>
                      <m:den>
                        <m:r>
                          <a:rPr lang="en-US" sz="1100" b="0" i="1">
                            <a:latin typeface="Cambria Math" panose="02040503050406030204" pitchFamily="18" charset="0"/>
                            <a:ea typeface="Cambria Math" panose="02040503050406030204" pitchFamily="18" charset="0"/>
                          </a:rPr>
                          <m:t>h𝑐𝐴</m:t>
                        </m:r>
                      </m:den>
                    </m:f>
                  </m:oMath>
                </m:oMathPara>
              </a14:m>
              <a:endParaRPr lang="en-US" sz="1100"/>
            </a:p>
          </xdr:txBody>
        </xdr:sp>
      </mc:Choice>
      <mc:Fallback xmlns="">
        <xdr:sp macro="" textlink="">
          <xdr:nvSpPr>
            <xdr:cNvPr id="8" name="TextBox 7"/>
            <xdr:cNvSpPr txBox="1"/>
          </xdr:nvSpPr>
          <xdr:spPr>
            <a:xfrm>
              <a:off x="297180" y="12650470"/>
              <a:ext cx="661015" cy="318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𝑄/ℎ𝑐𝐴</a:t>
              </a:r>
              <a:endParaRPr lang="en-US" sz="1100"/>
            </a:p>
          </xdr:txBody>
        </xdr:sp>
      </mc:Fallback>
    </mc:AlternateContent>
    <xdr:clientData/>
  </xdr:oneCellAnchor>
  <xdr:oneCellAnchor>
    <xdr:from>
      <xdr:col>0</xdr:col>
      <xdr:colOff>769620</xdr:colOff>
      <xdr:row>92</xdr:row>
      <xdr:rowOff>138430</xdr:rowOff>
    </xdr:from>
    <xdr:ext cx="659411" cy="346505"/>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400-000009000000}"/>
                </a:ext>
              </a:extLst>
            </xdr:cNvPr>
            <xdr:cNvSpPr txBox="1"/>
          </xdr:nvSpPr>
          <xdr:spPr>
            <a:xfrm>
              <a:off x="769620" y="18517870"/>
              <a:ext cx="659411" cy="3465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latin typeface="Cambria Math" panose="02040503050406030204" pitchFamily="18" charset="0"/>
                      </a:rPr>
                      <m:t>𝑊</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𝑄</m:t>
                        </m:r>
                      </m:num>
                      <m:den>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𝑡𝐶𝑝</m:t>
                        </m:r>
                      </m:den>
                    </m:f>
                  </m:oMath>
                </m:oMathPara>
              </a14:m>
              <a:endParaRPr lang="en-US" sz="1100"/>
            </a:p>
          </xdr:txBody>
        </xdr:sp>
      </mc:Choice>
      <mc:Fallback xmlns="">
        <xdr:sp macro="" textlink="">
          <xdr:nvSpPr>
            <xdr:cNvPr id="9" name="TextBox 8"/>
            <xdr:cNvSpPr txBox="1"/>
          </xdr:nvSpPr>
          <xdr:spPr>
            <a:xfrm>
              <a:off x="769620" y="18517870"/>
              <a:ext cx="659411" cy="3465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𝑊=𝑄/</a:t>
              </a:r>
              <a:r>
                <a:rPr lang="en-US" sz="1100" b="0" i="0">
                  <a:latin typeface="Cambria Math" panose="02040503050406030204" pitchFamily="18" charset="0"/>
                  <a:ea typeface="Cambria Math" panose="02040503050406030204" pitchFamily="18" charset="0"/>
                </a:rPr>
                <a:t>∆𝑡𝐶𝑝</a:t>
              </a:r>
              <a:endParaRPr lang="en-US" sz="1100"/>
            </a:p>
          </xdr:txBody>
        </xdr:sp>
      </mc:Fallback>
    </mc:AlternateContent>
    <xdr:clientData/>
  </xdr:oneCellAnchor>
  <xdr:oneCellAnchor>
    <xdr:from>
      <xdr:col>6</xdr:col>
      <xdr:colOff>571500</xdr:colOff>
      <xdr:row>37</xdr:row>
      <xdr:rowOff>156210</xdr:rowOff>
    </xdr:from>
    <xdr:ext cx="65" cy="172227"/>
    <xdr:sp macro="" textlink="">
      <xdr:nvSpPr>
        <xdr:cNvPr id="10" name="TextBox 9">
          <a:extLst>
            <a:ext uri="{FF2B5EF4-FFF2-40B4-BE49-F238E27FC236}">
              <a16:creationId xmlns:a16="http://schemas.microsoft.com/office/drawing/2014/main" id="{00000000-0008-0000-0400-00000A000000}"/>
            </a:ext>
          </a:extLst>
        </xdr:cNvPr>
        <xdr:cNvSpPr txBox="1"/>
      </xdr:nvSpPr>
      <xdr:spPr>
        <a:xfrm>
          <a:off x="6576060" y="8401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599440</xdr:colOff>
      <xdr:row>103</xdr:row>
      <xdr:rowOff>128270</xdr:rowOff>
    </xdr:from>
    <xdr:ext cx="485646" cy="345416"/>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400-00000B000000}"/>
                </a:ext>
              </a:extLst>
            </xdr:cNvPr>
            <xdr:cNvSpPr txBox="1"/>
          </xdr:nvSpPr>
          <xdr:spPr>
            <a:xfrm>
              <a:off x="599440" y="20534630"/>
              <a:ext cx="485646" cy="3454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latin typeface="Cambria Math" panose="02040503050406030204" pitchFamily="18" charset="0"/>
                      </a:rPr>
                      <m:t>𝑄</m:t>
                    </m:r>
                    <m:r>
                      <a:rPr lang="en-US" sz="1100" b="0" i="1">
                        <a:latin typeface="Cambria Math" panose="02040503050406030204" pitchFamily="18" charset="0"/>
                      </a:rPr>
                      <m:t>= </m:t>
                    </m:r>
                    <m:f>
                      <m:fPr>
                        <m:ctrlPr>
                          <a:rPr lang="en-US" sz="1100" b="0" i="1">
                            <a:latin typeface="Cambria Math" panose="02040503050406030204" pitchFamily="18" charset="0"/>
                          </a:rPr>
                        </m:ctrlPr>
                      </m:fPr>
                      <m:num>
                        <m:r>
                          <a:rPr lang="en-US" sz="1100" b="0" i="1">
                            <a:latin typeface="Cambria Math" panose="02040503050406030204" pitchFamily="18" charset="0"/>
                          </a:rPr>
                          <m:t>𝑊</m:t>
                        </m:r>
                      </m:num>
                      <m:den>
                        <m:r>
                          <a:rPr lang="en-US" sz="1100" b="0" i="1">
                            <a:latin typeface="Cambria Math" panose="02040503050406030204" pitchFamily="18" charset="0"/>
                          </a:rPr>
                          <m:t>𝑝</m:t>
                        </m:r>
                      </m:den>
                    </m:f>
                  </m:oMath>
                </m:oMathPara>
              </a14:m>
              <a:endParaRPr lang="en-US" sz="1100"/>
            </a:p>
          </xdr:txBody>
        </xdr:sp>
      </mc:Choice>
      <mc:Fallback xmlns="">
        <xdr:sp macro="" textlink="">
          <xdr:nvSpPr>
            <xdr:cNvPr id="11" name="TextBox 10"/>
            <xdr:cNvSpPr txBox="1"/>
          </xdr:nvSpPr>
          <xdr:spPr>
            <a:xfrm>
              <a:off x="599440" y="20534630"/>
              <a:ext cx="485646" cy="3454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𝑄=  𝑊/𝑝</a:t>
              </a:r>
              <a:endParaRPr lang="en-US" sz="1100"/>
            </a:p>
          </xdr:txBody>
        </xdr:sp>
      </mc:Fallback>
    </mc:AlternateContent>
    <xdr:clientData/>
  </xdr:oneCellAnchor>
  <xdr:oneCellAnchor>
    <xdr:from>
      <xdr:col>0</xdr:col>
      <xdr:colOff>952500</xdr:colOff>
      <xdr:row>113</xdr:row>
      <xdr:rowOff>137160</xdr:rowOff>
    </xdr:from>
    <xdr:ext cx="661015" cy="318036"/>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400-00000C000000}"/>
                </a:ext>
              </a:extLst>
            </xdr:cNvPr>
            <xdr:cNvSpPr txBox="1"/>
          </xdr:nvSpPr>
          <xdr:spPr>
            <a:xfrm>
              <a:off x="952500" y="22372320"/>
              <a:ext cx="661015" cy="318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f>
                      <m:fPr>
                        <m:ctrlPr>
                          <a:rPr lang="en-US" sz="110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𝑄</m:t>
                        </m:r>
                      </m:num>
                      <m:den>
                        <m:r>
                          <a:rPr lang="en-US" sz="1100" b="0" i="1">
                            <a:latin typeface="Cambria Math" panose="02040503050406030204" pitchFamily="18" charset="0"/>
                            <a:ea typeface="Cambria Math" panose="02040503050406030204" pitchFamily="18" charset="0"/>
                          </a:rPr>
                          <m:t>h𝑐𝐴</m:t>
                        </m:r>
                      </m:den>
                    </m:f>
                  </m:oMath>
                </m:oMathPara>
              </a14:m>
              <a:endParaRPr lang="en-US" sz="1100"/>
            </a:p>
          </xdr:txBody>
        </xdr:sp>
      </mc:Choice>
      <mc:Fallback xmlns="">
        <xdr:sp macro="" textlink="">
          <xdr:nvSpPr>
            <xdr:cNvPr id="12" name="TextBox 11"/>
            <xdr:cNvSpPr txBox="1"/>
          </xdr:nvSpPr>
          <xdr:spPr>
            <a:xfrm>
              <a:off x="952500" y="22372320"/>
              <a:ext cx="661015" cy="318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𝑄/ℎ𝑐𝐴</a:t>
              </a:r>
              <a:endParaRPr lang="en-US" sz="1100"/>
            </a:p>
          </xdr:txBody>
        </xdr:sp>
      </mc:Fallback>
    </mc:AlternateContent>
    <xdr:clientData/>
  </xdr:oneCellAnchor>
  <xdr:oneCellAnchor>
    <xdr:from>
      <xdr:col>0</xdr:col>
      <xdr:colOff>594360</xdr:colOff>
      <xdr:row>137</xdr:row>
      <xdr:rowOff>41910</xdr:rowOff>
    </xdr:from>
    <xdr:ext cx="610745" cy="344518"/>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594360" y="26681430"/>
              <a:ext cx="610745" cy="344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latin typeface="Cambria Math" panose="02040503050406030204" pitchFamily="18" charset="0"/>
                      </a:rPr>
                      <m:t>𝑁𝑟</m:t>
                    </m:r>
                    <m:r>
                      <a:rPr lang="en-US" sz="1100" b="0" i="1">
                        <a:latin typeface="Cambria Math" panose="02040503050406030204" pitchFamily="18" charset="0"/>
                        <a:ea typeface="Cambria Math" panose="02040503050406030204" pitchFamily="18" charset="0"/>
                      </a:rPr>
                      <m:t>= </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𝐺𝐷</m:t>
                        </m:r>
                      </m:num>
                      <m:den>
                        <m:r>
                          <a:rPr lang="en-US" sz="1100" b="0" i="1">
                            <a:latin typeface="Cambria Math" panose="02040503050406030204" pitchFamily="18" charset="0"/>
                            <a:ea typeface="Cambria Math" panose="02040503050406030204" pitchFamily="18" charset="0"/>
                          </a:rPr>
                          <m:t>𝜇</m:t>
                        </m:r>
                      </m:den>
                    </m:f>
                  </m:oMath>
                </m:oMathPara>
              </a14:m>
              <a:endParaRPr lang="en-US" sz="1100"/>
            </a:p>
          </xdr:txBody>
        </xdr:sp>
      </mc:Choice>
      <mc:Fallback xmlns="">
        <xdr:sp macro="" textlink="">
          <xdr:nvSpPr>
            <xdr:cNvPr id="13" name="TextBox 12"/>
            <xdr:cNvSpPr txBox="1"/>
          </xdr:nvSpPr>
          <xdr:spPr>
            <a:xfrm>
              <a:off x="594360" y="26681430"/>
              <a:ext cx="610745" cy="344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𝑁𝑟</a:t>
              </a:r>
              <a:r>
                <a:rPr lang="en-US" sz="1100" b="0" i="0">
                  <a:latin typeface="Cambria Math" panose="02040503050406030204" pitchFamily="18" charset="0"/>
                  <a:ea typeface="Cambria Math" panose="02040503050406030204" pitchFamily="18" charset="0"/>
                </a:rPr>
                <a:t>=  𝐺𝐷/𝜇</a:t>
              </a:r>
              <a:endParaRPr lang="en-US" sz="1100"/>
            </a:p>
          </xdr:txBody>
        </xdr:sp>
      </mc:Fallback>
    </mc:AlternateContent>
    <xdr:clientData/>
  </xdr:oneCellAnchor>
  <xdr:oneCellAnchor>
    <xdr:from>
      <xdr:col>2</xdr:col>
      <xdr:colOff>594360</xdr:colOff>
      <xdr:row>135</xdr:row>
      <xdr:rowOff>125730</xdr:rowOff>
    </xdr:from>
    <xdr:ext cx="853440" cy="345929"/>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0000000-0008-0000-0400-00000E000000}"/>
                </a:ext>
              </a:extLst>
            </xdr:cNvPr>
            <xdr:cNvSpPr txBox="1"/>
          </xdr:nvSpPr>
          <xdr:spPr>
            <a:xfrm>
              <a:off x="3741420" y="26399490"/>
              <a:ext cx="853440" cy="3459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en-US" sz="1100" i="1">
                            <a:latin typeface="Cambria Math" panose="02040503050406030204" pitchFamily="18" charset="0"/>
                          </a:rPr>
                        </m:ctrlPr>
                      </m:fPr>
                      <m:num>
                        <m:r>
                          <a:rPr lang="en-US" sz="1100" b="0" i="1">
                            <a:latin typeface="Cambria Math" panose="02040503050406030204" pitchFamily="18" charset="0"/>
                          </a:rPr>
                          <m:t>4</m:t>
                        </m:r>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𝑎𝑟𝑒𝑎</m:t>
                        </m:r>
                      </m:num>
                      <m:den>
                        <m:r>
                          <a:rPr lang="en-US" sz="1100" b="0" i="1">
                            <a:latin typeface="Cambria Math" panose="02040503050406030204" pitchFamily="18" charset="0"/>
                          </a:rPr>
                          <m:t>𝑝𝑒𝑟𝑖𝑚𝑒𝑡𝑒𝑟</m:t>
                        </m:r>
                      </m:den>
                    </m:f>
                  </m:oMath>
                </m:oMathPara>
              </a14:m>
              <a:endParaRPr lang="en-US" sz="1100"/>
            </a:p>
          </xdr:txBody>
        </xdr:sp>
      </mc:Choice>
      <mc:Fallback xmlns="">
        <xdr:sp macro="" textlink="">
          <xdr:nvSpPr>
            <xdr:cNvPr id="14" name="TextBox 13"/>
            <xdr:cNvSpPr txBox="1"/>
          </xdr:nvSpPr>
          <xdr:spPr>
            <a:xfrm>
              <a:off x="3741420" y="26399490"/>
              <a:ext cx="853440" cy="3459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4</a:t>
              </a:r>
              <a:r>
                <a:rPr lang="en-US" sz="1100" b="0" i="0">
                  <a:latin typeface="Cambria Math" panose="02040503050406030204" pitchFamily="18" charset="0"/>
                  <a:ea typeface="Cambria Math" panose="02040503050406030204" pitchFamily="18" charset="0"/>
                </a:rPr>
                <a:t>×𝑎𝑟𝑒𝑎)/</a:t>
              </a:r>
              <a:r>
                <a:rPr lang="en-US" sz="1100" b="0" i="0">
                  <a:latin typeface="Cambria Math" panose="02040503050406030204" pitchFamily="18" charset="0"/>
                </a:rPr>
                <a:t>𝑝𝑒𝑟𝑖𝑚𝑒𝑡𝑒𝑟</a:t>
              </a:r>
              <a:endParaRPr lang="en-US" sz="1100"/>
            </a:p>
          </xdr:txBody>
        </xdr:sp>
      </mc:Fallback>
    </mc:AlternateContent>
    <xdr:clientData/>
  </xdr:oneCellAnchor>
  <xdr:twoCellAnchor>
    <xdr:from>
      <xdr:col>3</xdr:col>
      <xdr:colOff>76200</xdr:colOff>
      <xdr:row>118</xdr:row>
      <xdr:rowOff>121920</xdr:rowOff>
    </xdr:from>
    <xdr:to>
      <xdr:col>4</xdr:col>
      <xdr:colOff>190500</xdr:colOff>
      <xdr:row>123</xdr:row>
      <xdr:rowOff>114300</xdr:rowOff>
    </xdr:to>
    <xdr:grpSp>
      <xdr:nvGrpSpPr>
        <xdr:cNvPr id="15" name="Group 14">
          <a:extLst>
            <a:ext uri="{FF2B5EF4-FFF2-40B4-BE49-F238E27FC236}">
              <a16:creationId xmlns:a16="http://schemas.microsoft.com/office/drawing/2014/main" id="{00000000-0008-0000-0400-00000F000000}"/>
            </a:ext>
          </a:extLst>
        </xdr:cNvPr>
        <xdr:cNvGrpSpPr/>
      </xdr:nvGrpSpPr>
      <xdr:grpSpPr>
        <a:xfrm>
          <a:off x="4695825" y="21700808"/>
          <a:ext cx="952500" cy="897255"/>
          <a:chOff x="5265420" y="23172420"/>
          <a:chExt cx="990600" cy="906780"/>
        </a:xfrm>
      </xdr:grpSpPr>
      <xdr:sp macro="" textlink="">
        <xdr:nvSpPr>
          <xdr:cNvPr id="16" name="Oval 15">
            <a:extLst>
              <a:ext uri="{FF2B5EF4-FFF2-40B4-BE49-F238E27FC236}">
                <a16:creationId xmlns:a16="http://schemas.microsoft.com/office/drawing/2014/main" id="{00000000-0008-0000-0400-000010000000}"/>
              </a:ext>
            </a:extLst>
          </xdr:cNvPr>
          <xdr:cNvSpPr/>
        </xdr:nvSpPr>
        <xdr:spPr>
          <a:xfrm>
            <a:off x="5265420" y="23172420"/>
            <a:ext cx="990600" cy="906780"/>
          </a:xfrm>
          <a:prstGeom prst="ellipse">
            <a:avLst/>
          </a:prstGeom>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7" name="Flowchart: Connector 16">
            <a:extLst>
              <a:ext uri="{FF2B5EF4-FFF2-40B4-BE49-F238E27FC236}">
                <a16:creationId xmlns:a16="http://schemas.microsoft.com/office/drawing/2014/main" id="{00000000-0008-0000-0400-000011000000}"/>
              </a:ext>
            </a:extLst>
          </xdr:cNvPr>
          <xdr:cNvSpPr/>
        </xdr:nvSpPr>
        <xdr:spPr>
          <a:xfrm>
            <a:off x="5394960" y="23294340"/>
            <a:ext cx="716280" cy="655320"/>
          </a:xfrm>
          <a:prstGeom prst="flowChartConnector">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oneCellAnchor>
    <xdr:from>
      <xdr:col>0</xdr:col>
      <xdr:colOff>800100</xdr:colOff>
      <xdr:row>129</xdr:row>
      <xdr:rowOff>87630</xdr:rowOff>
    </xdr:from>
    <xdr:ext cx="481222" cy="315792"/>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00000000-0008-0000-0400-000012000000}"/>
                </a:ext>
              </a:extLst>
            </xdr:cNvPr>
            <xdr:cNvSpPr txBox="1"/>
          </xdr:nvSpPr>
          <xdr:spPr>
            <a:xfrm>
              <a:off x="800100" y="25248870"/>
              <a:ext cx="481222" cy="3157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latin typeface="Cambria Math" panose="02040503050406030204" pitchFamily="18" charset="0"/>
                      </a:rPr>
                      <m:t>𝐺</m:t>
                    </m:r>
                    <m:r>
                      <a:rPr lang="en-US" sz="1100" b="0" i="1">
                        <a:latin typeface="Cambria Math" panose="02040503050406030204" pitchFamily="18" charset="0"/>
                        <a:ea typeface="Cambria Math" panose="02040503050406030204" pitchFamily="18" charset="0"/>
                      </a:rPr>
                      <m:t>= </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𝑊</m:t>
                        </m:r>
                      </m:num>
                      <m:den>
                        <m:r>
                          <a:rPr lang="en-US" sz="1100" b="0" i="1">
                            <a:latin typeface="Cambria Math" panose="02040503050406030204" pitchFamily="18" charset="0"/>
                            <a:ea typeface="Cambria Math" panose="02040503050406030204" pitchFamily="18" charset="0"/>
                          </a:rPr>
                          <m:t>𝐴</m:t>
                        </m:r>
                      </m:den>
                    </m:f>
                  </m:oMath>
                </m:oMathPara>
              </a14:m>
              <a:endParaRPr lang="en-US" sz="1100"/>
            </a:p>
          </xdr:txBody>
        </xdr:sp>
      </mc:Choice>
      <mc:Fallback xmlns="">
        <xdr:sp macro="" textlink="">
          <xdr:nvSpPr>
            <xdr:cNvPr id="18" name="TextBox 17"/>
            <xdr:cNvSpPr txBox="1"/>
          </xdr:nvSpPr>
          <xdr:spPr>
            <a:xfrm>
              <a:off x="800100" y="25248870"/>
              <a:ext cx="481222" cy="3157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𝐺</a:t>
              </a:r>
              <a:r>
                <a:rPr lang="en-US" sz="1100" b="0" i="0">
                  <a:latin typeface="Cambria Math" panose="02040503050406030204" pitchFamily="18" charset="0"/>
                  <a:ea typeface="Cambria Math" panose="02040503050406030204" pitchFamily="18" charset="0"/>
                </a:rPr>
                <a:t>=  𝑊/𝐴</a:t>
              </a:r>
              <a:endParaRPr lang="en-US" sz="1100"/>
            </a:p>
          </xdr:txBody>
        </xdr:sp>
      </mc:Fallback>
    </mc:AlternateContent>
    <xdr:clientData/>
  </xdr:oneCellAnchor>
  <xdr:oneCellAnchor>
    <xdr:from>
      <xdr:col>6</xdr:col>
      <xdr:colOff>571500</xdr:colOff>
      <xdr:row>124</xdr:row>
      <xdr:rowOff>156210</xdr:rowOff>
    </xdr:from>
    <xdr:ext cx="65" cy="172227"/>
    <xdr:sp macro="" textlink="">
      <xdr:nvSpPr>
        <xdr:cNvPr id="19" name="TextBox 18">
          <a:extLst>
            <a:ext uri="{FF2B5EF4-FFF2-40B4-BE49-F238E27FC236}">
              <a16:creationId xmlns:a16="http://schemas.microsoft.com/office/drawing/2014/main" id="{00000000-0008-0000-0400-000013000000}"/>
            </a:ext>
          </a:extLst>
        </xdr:cNvPr>
        <xdr:cNvSpPr txBox="1"/>
      </xdr:nvSpPr>
      <xdr:spPr>
        <a:xfrm>
          <a:off x="6576060" y="24403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xdr:col>
      <xdr:colOff>15240</xdr:colOff>
      <xdr:row>147</xdr:row>
      <xdr:rowOff>68580</xdr:rowOff>
    </xdr:from>
    <xdr:ext cx="796628" cy="348044"/>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400-000014000000}"/>
                </a:ext>
              </a:extLst>
            </xdr:cNvPr>
            <xdr:cNvSpPr txBox="1"/>
          </xdr:nvSpPr>
          <xdr:spPr>
            <a:xfrm>
              <a:off x="2339340" y="28552140"/>
              <a:ext cx="796628" cy="348044"/>
            </a:xfrm>
            <a:prstGeom prst="rect">
              <a:avLst/>
            </a:prstGeom>
            <a:noFill/>
            <a:ln>
              <a:noFill/>
            </a:ln>
            <a:effectLst/>
          </xdr:spPr>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mn-ea"/>
                        <a:cs typeface="+mn-cs"/>
                      </a:rPr>
                      <m:t>𝐽</m:t>
                    </m:r>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f>
                      <m:fPr>
                        <m:ctrlP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fPr>
                      <m:num>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6</m:t>
                        </m:r>
                      </m:num>
                      <m:den>
                        <m:sSup>
                          <m:sSupPr>
                            <m:ctrlP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pPr>
                          <m:e>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𝑁𝑟</m:t>
                            </m:r>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e>
                          <m:sup>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0.98</m:t>
                            </m:r>
                          </m:sup>
                        </m:sSup>
                      </m:den>
                    </m:f>
                  </m:oMath>
                </m:oMathPara>
              </a14:m>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20" name="TextBox 19"/>
            <xdr:cNvSpPr txBox="1"/>
          </xdr:nvSpPr>
          <xdr:spPr>
            <a:xfrm>
              <a:off x="2339340" y="28552140"/>
              <a:ext cx="796628" cy="348044"/>
            </a:xfrm>
            <a:prstGeom prst="rect">
              <a:avLst/>
            </a:prstGeom>
            <a:noFill/>
            <a:ln>
              <a:noFill/>
            </a:ln>
            <a:effectLst/>
          </xdr:spPr>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smtClean="0">
                  <a:ln>
                    <a:noFill/>
                  </a:ln>
                  <a:solidFill>
                    <a:sysClr val="windowText" lastClr="000000"/>
                  </a:solidFill>
                  <a:effectLst/>
                  <a:uLnTx/>
                  <a:uFillTx/>
                  <a:latin typeface="Cambria Math" panose="02040503050406030204" pitchFamily="18" charset="0"/>
                  <a:ea typeface="+mn-ea"/>
                  <a:cs typeface="+mn-cs"/>
                </a:rPr>
                <a:t>𝐽</a:t>
              </a:r>
              <a:r>
                <a:rPr kumimoji="0" lang="en-US" sz="1100" b="0" i="0"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  6/〖(𝑁𝑟)〗^0.98 </a:t>
              </a:r>
              <a:endParaRPr kumimoji="0" lang="en-US" sz="1100" b="0" i="0" u="none" strike="noStrike" kern="0" cap="none" spc="0" normalizeH="0" baseline="0" noProof="0" smtClean="0">
                <a:ln>
                  <a:noFill/>
                </a:ln>
                <a:solidFill>
                  <a:sysClr val="windowText" lastClr="000000"/>
                </a:solidFill>
                <a:effectLst/>
                <a:uLnTx/>
                <a:uFillTx/>
                <a:latin typeface="Calibri" panose="020F0502020204030204"/>
                <a:ea typeface="+mn-ea"/>
                <a:cs typeface="+mn-cs"/>
              </a:endParaRPr>
            </a:p>
          </xdr:txBody>
        </xdr:sp>
      </mc:Fallback>
    </mc:AlternateContent>
    <xdr:clientData/>
  </xdr:oneCellAnchor>
  <xdr:oneCellAnchor>
    <xdr:from>
      <xdr:col>0</xdr:col>
      <xdr:colOff>365760</xdr:colOff>
      <xdr:row>154</xdr:row>
      <xdr:rowOff>7620</xdr:rowOff>
    </xdr:from>
    <xdr:ext cx="1722120" cy="240387"/>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00000000-0008-0000-0400-000015000000}"/>
                </a:ext>
              </a:extLst>
            </xdr:cNvPr>
            <xdr:cNvSpPr txBox="1"/>
          </xdr:nvSpPr>
          <xdr:spPr>
            <a:xfrm>
              <a:off x="365760" y="29771340"/>
              <a:ext cx="1722120" cy="2403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US" sz="1100" i="1">
                  <a:latin typeface="Cambria Math" panose="02040503050406030204" pitchFamily="18" charset="0"/>
                  <a:ea typeface="Cambria Math" panose="02040503050406030204" pitchFamily="18" charset="0"/>
                </a:rPr>
                <a:t>hc</a:t>
              </a:r>
              <a:r>
                <a:rPr lang="en-US" sz="1100" i="1" baseline="0">
                  <a:latin typeface="Cambria Math" panose="02040503050406030204" pitchFamily="18" charset="0"/>
                  <a:ea typeface="Cambria Math" panose="02040503050406030204" pitchFamily="18" charset="0"/>
                </a:rPr>
                <a:t> = JCpG( </a:t>
              </a:r>
              <a14:m>
                <m:oMath xmlns:m="http://schemas.openxmlformats.org/officeDocument/2006/math">
                  <m:f>
                    <m:fPr>
                      <m:ctrlPr>
                        <a:rPr lang="en-US" sz="1100" i="1" baseline="0">
                          <a:latin typeface="Cambria Math" panose="02040503050406030204" pitchFamily="18" charset="0"/>
                          <a:ea typeface="Cambria Math" panose="02040503050406030204" pitchFamily="18" charset="0"/>
                        </a:rPr>
                      </m:ctrlPr>
                    </m:fPr>
                    <m:num>
                      <m:r>
                        <a:rPr lang="en-US" sz="1100" b="0" i="1" baseline="0">
                          <a:latin typeface="Cambria Math" panose="02040503050406030204" pitchFamily="18" charset="0"/>
                          <a:ea typeface="Cambria Math" panose="02040503050406030204" pitchFamily="18" charset="0"/>
                        </a:rPr>
                        <m:t>𝐶𝑝</m:t>
                      </m:r>
                      <m:r>
                        <a:rPr lang="en-US" sz="1100" b="0" i="1" baseline="0">
                          <a:latin typeface="Cambria Math" panose="02040503050406030204" pitchFamily="18" charset="0"/>
                          <a:ea typeface="Cambria Math" panose="02040503050406030204" pitchFamily="18" charset="0"/>
                        </a:rPr>
                        <m:t>𝜇</m:t>
                      </m:r>
                    </m:num>
                    <m:den>
                      <m:r>
                        <a:rPr lang="en-US" sz="1100" b="0" i="1" baseline="0">
                          <a:latin typeface="Cambria Math" panose="02040503050406030204" pitchFamily="18" charset="0"/>
                          <a:ea typeface="Cambria Math" panose="02040503050406030204" pitchFamily="18" charset="0"/>
                        </a:rPr>
                        <m:t>𝐾</m:t>
                      </m:r>
                    </m:den>
                  </m:f>
                  <m:sSup>
                    <m:sSupPr>
                      <m:ctrlPr>
                        <a:rPr lang="en-US" sz="1100" i="1" baseline="0">
                          <a:latin typeface="Cambria Math" panose="02040503050406030204" pitchFamily="18" charset="0"/>
                          <a:ea typeface="Cambria Math" panose="02040503050406030204" pitchFamily="18" charset="0"/>
                        </a:rPr>
                      </m:ctrlPr>
                    </m:sSupPr>
                    <m:e>
                      <m:r>
                        <a:rPr lang="en-US" sz="1100" b="0" i="1" baseline="0">
                          <a:latin typeface="Cambria Math" panose="02040503050406030204" pitchFamily="18" charset="0"/>
                          <a:ea typeface="Cambria Math" panose="02040503050406030204" pitchFamily="18" charset="0"/>
                        </a:rPr>
                        <m:t> )</m:t>
                      </m:r>
                    </m:e>
                    <m:sup>
                      <m:r>
                        <a:rPr lang="en-US" sz="1100" b="0" i="1" baseline="0">
                          <a:latin typeface="Cambria Math" panose="02040503050406030204" pitchFamily="18" charset="0"/>
                          <a:ea typeface="Cambria Math" panose="02040503050406030204" pitchFamily="18" charset="0"/>
                        </a:rPr>
                        <m:t>−2/3</m:t>
                      </m:r>
                    </m:sup>
                  </m:sSup>
                </m:oMath>
              </a14:m>
              <a:endParaRPr lang="en-US" sz="1100">
                <a:latin typeface="Cambria Math" panose="02040503050406030204" pitchFamily="18" charset="0"/>
                <a:ea typeface="Cambria Math" panose="02040503050406030204" pitchFamily="18" charset="0"/>
              </a:endParaRPr>
            </a:p>
          </xdr:txBody>
        </xdr:sp>
      </mc:Choice>
      <mc:Fallback xmlns="">
        <xdr:sp macro="" textlink="">
          <xdr:nvSpPr>
            <xdr:cNvPr id="21" name="TextBox 20"/>
            <xdr:cNvSpPr txBox="1"/>
          </xdr:nvSpPr>
          <xdr:spPr>
            <a:xfrm>
              <a:off x="365760" y="29771340"/>
              <a:ext cx="1722120" cy="2403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US" sz="1100" i="1">
                  <a:latin typeface="Cambria Math" panose="02040503050406030204" pitchFamily="18" charset="0"/>
                  <a:ea typeface="Cambria Math" panose="02040503050406030204" pitchFamily="18" charset="0"/>
                </a:rPr>
                <a:t>hc</a:t>
              </a:r>
              <a:r>
                <a:rPr lang="en-US" sz="1100" i="1" baseline="0">
                  <a:latin typeface="Cambria Math" panose="02040503050406030204" pitchFamily="18" charset="0"/>
                  <a:ea typeface="Cambria Math" panose="02040503050406030204" pitchFamily="18" charset="0"/>
                </a:rPr>
                <a:t> = JCpG( </a:t>
              </a:r>
              <a:r>
                <a:rPr lang="en-US" sz="1100" b="0" i="0" baseline="0">
                  <a:latin typeface="Cambria Math" panose="02040503050406030204" pitchFamily="18" charset="0"/>
                  <a:ea typeface="Cambria Math" panose="02040503050406030204" pitchFamily="18" charset="0"/>
                </a:rPr>
                <a:t>𝐶𝑝𝜇/𝐾 </a:t>
              </a:r>
              <a:r>
                <a:rPr lang="en-US" sz="1100" i="0" baseline="0">
                  <a:latin typeface="Cambria Math" panose="02040503050406030204" pitchFamily="18" charset="0"/>
                  <a:ea typeface="Cambria Math" panose="02040503050406030204" pitchFamily="18" charset="0"/>
                </a:rPr>
                <a:t>〖</a:t>
              </a:r>
              <a:r>
                <a:rPr lang="en-US" sz="1100" b="0" i="0" baseline="0">
                  <a:latin typeface="Cambria Math" panose="02040503050406030204" pitchFamily="18" charset="0"/>
                  <a:ea typeface="Cambria Math" panose="02040503050406030204" pitchFamily="18" charset="0"/>
                </a:rPr>
                <a:t> )〗^(−2/3)</a:t>
              </a:r>
              <a:endParaRPr lang="en-US" sz="1100">
                <a:latin typeface="Cambria Math" panose="02040503050406030204" pitchFamily="18" charset="0"/>
                <a:ea typeface="Cambria Math" panose="02040503050406030204" pitchFamily="18" charset="0"/>
              </a:endParaRPr>
            </a:p>
          </xdr:txBody>
        </xdr:sp>
      </mc:Fallback>
    </mc:AlternateContent>
    <xdr:clientData/>
  </xdr:oneCellAnchor>
  <xdr:oneCellAnchor>
    <xdr:from>
      <xdr:col>0</xdr:col>
      <xdr:colOff>665480</xdr:colOff>
      <xdr:row>161</xdr:row>
      <xdr:rowOff>132080</xdr:rowOff>
    </xdr:from>
    <xdr:ext cx="661015" cy="318036"/>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0000000-0008-0000-0400-000016000000}"/>
                </a:ext>
              </a:extLst>
            </xdr:cNvPr>
            <xdr:cNvSpPr txBox="1"/>
          </xdr:nvSpPr>
          <xdr:spPr>
            <a:xfrm>
              <a:off x="665480" y="31191200"/>
              <a:ext cx="661015" cy="318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f>
                      <m:fPr>
                        <m:ctrlPr>
                          <a:rPr lang="en-US" sz="110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𝑄</m:t>
                        </m:r>
                      </m:num>
                      <m:den>
                        <m:r>
                          <a:rPr lang="en-US" sz="1100" b="0" i="1">
                            <a:latin typeface="Cambria Math" panose="02040503050406030204" pitchFamily="18" charset="0"/>
                            <a:ea typeface="Cambria Math" panose="02040503050406030204" pitchFamily="18" charset="0"/>
                          </a:rPr>
                          <m:t>h𝑐𝐴</m:t>
                        </m:r>
                      </m:den>
                    </m:f>
                  </m:oMath>
                </m:oMathPara>
              </a14:m>
              <a:endParaRPr lang="en-US" sz="1100"/>
            </a:p>
          </xdr:txBody>
        </xdr:sp>
      </mc:Choice>
      <mc:Fallback xmlns="">
        <xdr:sp macro="" textlink="">
          <xdr:nvSpPr>
            <xdr:cNvPr id="22" name="TextBox 21"/>
            <xdr:cNvSpPr txBox="1"/>
          </xdr:nvSpPr>
          <xdr:spPr>
            <a:xfrm>
              <a:off x="665480" y="31191200"/>
              <a:ext cx="661015" cy="318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𝑄/ℎ𝑐𝐴</a:t>
              </a:r>
              <a:endParaRPr lang="en-US" sz="1100"/>
            </a:p>
          </xdr:txBody>
        </xdr:sp>
      </mc:Fallback>
    </mc:AlternateContent>
    <xdr:clientData/>
  </xdr:oneCellAnchor>
  <xdr:oneCellAnchor>
    <xdr:from>
      <xdr:col>0</xdr:col>
      <xdr:colOff>1821180</xdr:colOff>
      <xdr:row>160</xdr:row>
      <xdr:rowOff>15240</xdr:rowOff>
    </xdr:from>
    <xdr:ext cx="388055" cy="172227"/>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400-000017000000}"/>
                </a:ext>
              </a:extLst>
            </xdr:cNvPr>
            <xdr:cNvSpPr txBox="1"/>
          </xdr:nvSpPr>
          <xdr:spPr>
            <a:xfrm>
              <a:off x="1821180" y="30883860"/>
              <a:ext cx="38805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23" name="TextBox 22"/>
            <xdr:cNvSpPr txBox="1"/>
          </xdr:nvSpPr>
          <xdr:spPr>
            <a:xfrm>
              <a:off x="1821180" y="30883860"/>
              <a:ext cx="38805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ea typeface="Cambria Math" panose="02040503050406030204" pitchFamily="18" charset="0"/>
                </a:rPr>
                <a:t>∆℃=</a:t>
              </a:r>
              <a:endParaRPr lang="en-US" sz="1100"/>
            </a:p>
          </xdr:txBody>
        </xdr:sp>
      </mc:Fallback>
    </mc:AlternateContent>
    <xdr:clientData/>
  </xdr:oneCellAnchor>
  <xdr:oneCellAnchor>
    <xdr:from>
      <xdr:col>0</xdr:col>
      <xdr:colOff>899160</xdr:colOff>
      <xdr:row>67</xdr:row>
      <xdr:rowOff>130810</xdr:rowOff>
    </xdr:from>
    <xdr:ext cx="610745" cy="344518"/>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400-000018000000}"/>
                </a:ext>
              </a:extLst>
            </xdr:cNvPr>
            <xdr:cNvSpPr txBox="1"/>
          </xdr:nvSpPr>
          <xdr:spPr>
            <a:xfrm>
              <a:off x="899160" y="13907770"/>
              <a:ext cx="610745" cy="344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latin typeface="Cambria Math" panose="02040503050406030204" pitchFamily="18" charset="0"/>
                      </a:rPr>
                      <m:t>𝑁𝑟</m:t>
                    </m:r>
                    <m:r>
                      <a:rPr lang="en-US" sz="1100" b="0" i="1">
                        <a:latin typeface="Cambria Math" panose="02040503050406030204" pitchFamily="18" charset="0"/>
                        <a:ea typeface="Cambria Math" panose="02040503050406030204" pitchFamily="18" charset="0"/>
                      </a:rPr>
                      <m:t>= </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𝐺𝐷</m:t>
                        </m:r>
                      </m:num>
                      <m:den>
                        <m:r>
                          <a:rPr lang="en-US" sz="1100" b="0" i="1">
                            <a:latin typeface="Cambria Math" panose="02040503050406030204" pitchFamily="18" charset="0"/>
                            <a:ea typeface="Cambria Math" panose="02040503050406030204" pitchFamily="18" charset="0"/>
                          </a:rPr>
                          <m:t>𝜇</m:t>
                        </m:r>
                      </m:den>
                    </m:f>
                  </m:oMath>
                </m:oMathPara>
              </a14:m>
              <a:endParaRPr lang="en-US" sz="1100"/>
            </a:p>
          </xdr:txBody>
        </xdr:sp>
      </mc:Choice>
      <mc:Fallback xmlns="">
        <xdr:sp macro="" textlink="">
          <xdr:nvSpPr>
            <xdr:cNvPr id="24" name="TextBox 23"/>
            <xdr:cNvSpPr txBox="1"/>
          </xdr:nvSpPr>
          <xdr:spPr>
            <a:xfrm>
              <a:off x="899160" y="13907770"/>
              <a:ext cx="610745" cy="344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𝑁𝑟</a:t>
              </a:r>
              <a:r>
                <a:rPr lang="en-US" sz="1100" b="0" i="0">
                  <a:latin typeface="Cambria Math" panose="02040503050406030204" pitchFamily="18" charset="0"/>
                  <a:ea typeface="Cambria Math" panose="02040503050406030204" pitchFamily="18" charset="0"/>
                </a:rPr>
                <a:t>=  𝐺𝐷/𝜇</a:t>
              </a:r>
              <a:endParaRPr lang="en-US" sz="1100"/>
            </a:p>
          </xdr:txBody>
        </xdr:sp>
      </mc:Fallback>
    </mc:AlternateContent>
    <xdr:clientData/>
  </xdr:oneCellAnchor>
  <xdr:oneCellAnchor>
    <xdr:from>
      <xdr:col>3</xdr:col>
      <xdr:colOff>7620</xdr:colOff>
      <xdr:row>66</xdr:row>
      <xdr:rowOff>113030</xdr:rowOff>
    </xdr:from>
    <xdr:ext cx="676211" cy="345929"/>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400-000019000000}"/>
                </a:ext>
              </a:extLst>
            </xdr:cNvPr>
            <xdr:cNvSpPr txBox="1"/>
          </xdr:nvSpPr>
          <xdr:spPr>
            <a:xfrm>
              <a:off x="3794760" y="13707110"/>
              <a:ext cx="676211" cy="3459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en-US" sz="1100" i="1">
                            <a:latin typeface="Cambria Math" panose="02040503050406030204" pitchFamily="18" charset="0"/>
                          </a:rPr>
                        </m:ctrlPr>
                      </m:fPr>
                      <m:num>
                        <m:r>
                          <a:rPr lang="en-US" sz="1100" b="0" i="1">
                            <a:latin typeface="Cambria Math" panose="02040503050406030204" pitchFamily="18" charset="0"/>
                          </a:rPr>
                          <m:t>4</m:t>
                        </m:r>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𝑎𝑟𝑒𝑎</m:t>
                        </m:r>
                      </m:num>
                      <m:den>
                        <m:r>
                          <a:rPr lang="en-US" sz="1100" b="0" i="1">
                            <a:latin typeface="Cambria Math" panose="02040503050406030204" pitchFamily="18" charset="0"/>
                          </a:rPr>
                          <m:t>𝑝𝑒𝑟𝑖𝑚𝑒𝑡𝑒𝑟</m:t>
                        </m:r>
                      </m:den>
                    </m:f>
                  </m:oMath>
                </m:oMathPara>
              </a14:m>
              <a:endParaRPr lang="en-US" sz="1100"/>
            </a:p>
          </xdr:txBody>
        </xdr:sp>
      </mc:Choice>
      <mc:Fallback xmlns="">
        <xdr:sp macro="" textlink="">
          <xdr:nvSpPr>
            <xdr:cNvPr id="25" name="TextBox 24"/>
            <xdr:cNvSpPr txBox="1"/>
          </xdr:nvSpPr>
          <xdr:spPr>
            <a:xfrm>
              <a:off x="3794760" y="13707110"/>
              <a:ext cx="676211" cy="3459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4</a:t>
              </a:r>
              <a:r>
                <a:rPr lang="en-US" sz="1100" b="0" i="0">
                  <a:latin typeface="Cambria Math" panose="02040503050406030204" pitchFamily="18" charset="0"/>
                  <a:ea typeface="Cambria Math" panose="02040503050406030204" pitchFamily="18" charset="0"/>
                </a:rPr>
                <a:t>×𝑎𝑟𝑒𝑎)/</a:t>
              </a:r>
              <a:r>
                <a:rPr lang="en-US" sz="1100" b="0" i="0">
                  <a:latin typeface="Cambria Math" panose="02040503050406030204" pitchFamily="18" charset="0"/>
                </a:rPr>
                <a:t>𝑝𝑒𝑟𝑖𝑚𝑒𝑡𝑒𝑟</a:t>
              </a:r>
              <a:endParaRPr lang="en-US" sz="1100"/>
            </a:p>
          </xdr:txBody>
        </xdr:sp>
      </mc:Fallback>
    </mc:AlternateContent>
    <xdr:clientData/>
  </xdr:oneCellAnchor>
  <xdr:oneCellAnchor>
    <xdr:from>
      <xdr:col>0</xdr:col>
      <xdr:colOff>513080</xdr:colOff>
      <xdr:row>82</xdr:row>
      <xdr:rowOff>40640</xdr:rowOff>
    </xdr:from>
    <xdr:ext cx="1109150" cy="380361"/>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400-00001A000000}"/>
                </a:ext>
              </a:extLst>
            </xdr:cNvPr>
            <xdr:cNvSpPr txBox="1"/>
          </xdr:nvSpPr>
          <xdr:spPr>
            <a:xfrm>
              <a:off x="513080" y="16560800"/>
              <a:ext cx="1109150"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latin typeface="Cambria Math" panose="02040503050406030204" pitchFamily="18" charset="0"/>
                      </a:rPr>
                      <m:t>h</m:t>
                    </m:r>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𝑏</m:t>
                    </m:r>
                    <m:r>
                      <a:rPr lang="en-US" sz="1100" b="0" i="1">
                        <a:latin typeface="Cambria Math" panose="02040503050406030204" pitchFamily="18" charset="0"/>
                        <a:ea typeface="Cambria Math" panose="02040503050406030204" pitchFamily="18" charset="0"/>
                      </a:rPr>
                      <m:t> </m:t>
                    </m:r>
                    <m:d>
                      <m:dPr>
                        <m:ctrlPr>
                          <a:rPr lang="en-US" sz="1100" b="0" i="1">
                            <a:latin typeface="Cambria Math" panose="02040503050406030204" pitchFamily="18" charset="0"/>
                            <a:ea typeface="Cambria Math" panose="02040503050406030204" pitchFamily="18" charset="0"/>
                          </a:rPr>
                        </m:ctrlPr>
                      </m:dPr>
                      <m:e>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𝐾</m:t>
                            </m:r>
                          </m:num>
                          <m:den>
                            <m:r>
                              <a:rPr lang="en-US" sz="1100" b="0" i="1">
                                <a:latin typeface="Cambria Math" panose="02040503050406030204" pitchFamily="18" charset="0"/>
                                <a:ea typeface="Cambria Math" panose="02040503050406030204" pitchFamily="18" charset="0"/>
                              </a:rPr>
                              <m:t>𝐷</m:t>
                            </m:r>
                          </m:den>
                        </m:f>
                      </m:e>
                    </m:d>
                    <m:r>
                      <a:rPr lang="en-US" sz="1100" b="0" i="1">
                        <a:latin typeface="Cambria Math" panose="02040503050406030204" pitchFamily="18" charset="0"/>
                        <a:ea typeface="Cambria Math" panose="02040503050406030204" pitchFamily="18" charset="0"/>
                      </a:rPr>
                      <m:t>(</m:t>
                    </m:r>
                    <m:sSup>
                      <m:sSupPr>
                        <m:ctrlPr>
                          <a:rPr lang="en-US" sz="1100" b="0" i="1">
                            <a:latin typeface="Cambria Math" panose="02040503050406030204" pitchFamily="18" charset="0"/>
                            <a:ea typeface="Cambria Math" panose="02040503050406030204" pitchFamily="18" charset="0"/>
                          </a:rPr>
                        </m:ctrlPr>
                      </m:sSupPr>
                      <m:e>
                        <m:d>
                          <m:dPr>
                            <m:begChr m:val=""/>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𝑁𝑟</m:t>
                            </m:r>
                          </m:e>
                        </m:d>
                      </m:e>
                      <m:sup>
                        <m:r>
                          <a:rPr lang="en-US" sz="1100" b="0" i="1">
                            <a:latin typeface="Cambria Math" panose="02040503050406030204" pitchFamily="18" charset="0"/>
                            <a:ea typeface="Cambria Math" panose="02040503050406030204" pitchFamily="18" charset="0"/>
                          </a:rPr>
                          <m:t>𝑚</m:t>
                        </m:r>
                      </m:sup>
                    </m:sSup>
                  </m:oMath>
                </m:oMathPara>
              </a14:m>
              <a:endParaRPr lang="en-US" sz="1100"/>
            </a:p>
          </xdr:txBody>
        </xdr:sp>
      </mc:Choice>
      <mc:Fallback xmlns="">
        <xdr:sp macro="" textlink="">
          <xdr:nvSpPr>
            <xdr:cNvPr id="26" name="TextBox 25"/>
            <xdr:cNvSpPr txBox="1"/>
          </xdr:nvSpPr>
          <xdr:spPr>
            <a:xfrm>
              <a:off x="513080" y="16560800"/>
              <a:ext cx="1109150"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ℎ</a:t>
              </a:r>
              <a:r>
                <a:rPr lang="en-US" sz="1100" b="0" i="0">
                  <a:latin typeface="Cambria Math" panose="02040503050406030204" pitchFamily="18" charset="0"/>
                  <a:ea typeface="Cambria Math" panose="02040503050406030204" pitchFamily="18" charset="0"/>
                </a:rPr>
                <a:t>=𝑏 (𝐾/𝐷)(├ 𝑁𝑟)^𝑚</a:t>
              </a:r>
              <a:endParaRPr lang="en-US" sz="1100"/>
            </a:p>
          </xdr:txBody>
        </xdr:sp>
      </mc:Fallback>
    </mc:AlternateContent>
    <xdr:clientData/>
  </xdr:oneCellAnchor>
  <xdr:oneCellAnchor>
    <xdr:from>
      <xdr:col>0</xdr:col>
      <xdr:colOff>660400</xdr:colOff>
      <xdr:row>87</xdr:row>
      <xdr:rowOff>43180</xdr:rowOff>
    </xdr:from>
    <xdr:ext cx="596124" cy="317972"/>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00000000-0008-0000-0400-00001B000000}"/>
                </a:ext>
              </a:extLst>
            </xdr:cNvPr>
            <xdr:cNvSpPr txBox="1"/>
          </xdr:nvSpPr>
          <xdr:spPr>
            <a:xfrm>
              <a:off x="660400" y="17477740"/>
              <a:ext cx="596124" cy="317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f>
                      <m:fPr>
                        <m:ctrlPr>
                          <a:rPr lang="en-US" sz="110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𝑄</m:t>
                        </m:r>
                      </m:num>
                      <m:den>
                        <m:r>
                          <a:rPr lang="en-US" sz="1100" b="0" i="1">
                            <a:latin typeface="Cambria Math" panose="02040503050406030204" pitchFamily="18" charset="0"/>
                            <a:ea typeface="Cambria Math" panose="02040503050406030204" pitchFamily="18" charset="0"/>
                          </a:rPr>
                          <m:t>h𝐴</m:t>
                        </m:r>
                      </m:den>
                    </m:f>
                  </m:oMath>
                </m:oMathPara>
              </a14:m>
              <a:endParaRPr lang="en-US" sz="1100"/>
            </a:p>
          </xdr:txBody>
        </xdr:sp>
      </mc:Choice>
      <mc:Fallback xmlns="">
        <xdr:sp macro="" textlink="">
          <xdr:nvSpPr>
            <xdr:cNvPr id="27" name="TextBox 26"/>
            <xdr:cNvSpPr txBox="1"/>
          </xdr:nvSpPr>
          <xdr:spPr>
            <a:xfrm>
              <a:off x="660400" y="17477740"/>
              <a:ext cx="596124" cy="317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𝑄/ℎ𝐴</a:t>
              </a:r>
              <a:endParaRPr lang="en-US" sz="1100"/>
            </a:p>
          </xdr:txBody>
        </xdr:sp>
      </mc:Fallback>
    </mc:AlternateContent>
    <xdr:clientData/>
  </xdr:oneCellAnchor>
  <xdr:oneCellAnchor>
    <xdr:from>
      <xdr:col>2</xdr:col>
      <xdr:colOff>624840</xdr:colOff>
      <xdr:row>147</xdr:row>
      <xdr:rowOff>60960</xdr:rowOff>
    </xdr:from>
    <xdr:ext cx="796628" cy="348044"/>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00000000-0008-0000-0400-00001C000000}"/>
                </a:ext>
              </a:extLst>
            </xdr:cNvPr>
            <xdr:cNvSpPr txBox="1"/>
          </xdr:nvSpPr>
          <xdr:spPr>
            <a:xfrm>
              <a:off x="3771900" y="28544520"/>
              <a:ext cx="796628" cy="348044"/>
            </a:xfrm>
            <a:prstGeom prst="rect">
              <a:avLst/>
            </a:prstGeom>
            <a:noFill/>
            <a:ln>
              <a:noFill/>
            </a:ln>
            <a:effectLst/>
          </xdr:spPr>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mn-ea"/>
                        <a:cs typeface="+mn-cs"/>
                      </a:rPr>
                      <m:t>𝐽</m:t>
                    </m:r>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f>
                      <m:fPr>
                        <m:ctrlP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fPr>
                      <m:num>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2.7</m:t>
                        </m:r>
                      </m:num>
                      <m:den>
                        <m:sSup>
                          <m:sSupPr>
                            <m:ctrlP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pPr>
                          <m:e>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𝑁𝑟</m:t>
                            </m:r>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e>
                          <m:sup>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0.95</m:t>
                            </m:r>
                          </m:sup>
                        </m:sSup>
                      </m:den>
                    </m:f>
                  </m:oMath>
                </m:oMathPara>
              </a14:m>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28" name="TextBox 27"/>
            <xdr:cNvSpPr txBox="1"/>
          </xdr:nvSpPr>
          <xdr:spPr>
            <a:xfrm>
              <a:off x="3771900" y="28544520"/>
              <a:ext cx="796628" cy="348044"/>
            </a:xfrm>
            <a:prstGeom prst="rect">
              <a:avLst/>
            </a:prstGeom>
            <a:noFill/>
            <a:ln>
              <a:noFill/>
            </a:ln>
            <a:effectLst/>
          </xdr:spPr>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smtClean="0">
                  <a:ln>
                    <a:noFill/>
                  </a:ln>
                  <a:solidFill>
                    <a:sysClr val="windowText" lastClr="000000"/>
                  </a:solidFill>
                  <a:effectLst/>
                  <a:uLnTx/>
                  <a:uFillTx/>
                  <a:latin typeface="Cambria Math" panose="02040503050406030204" pitchFamily="18" charset="0"/>
                  <a:ea typeface="+mn-ea"/>
                  <a:cs typeface="+mn-cs"/>
                </a:rPr>
                <a:t>𝐽</a:t>
              </a:r>
              <a:r>
                <a:rPr kumimoji="0" lang="en-US" sz="1100" b="0" i="0"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  2.7/〖(𝑁𝑟)〗^0.95 </a:t>
              </a:r>
              <a:endParaRPr kumimoji="0" lang="en-US" sz="1100" b="0" i="0" u="none" strike="noStrike" kern="0" cap="none" spc="0" normalizeH="0" baseline="0" noProof="0" smtClean="0">
                <a:ln>
                  <a:noFill/>
                </a:ln>
                <a:solidFill>
                  <a:sysClr val="windowText" lastClr="000000"/>
                </a:solidFill>
                <a:effectLst/>
                <a:uLnTx/>
                <a:uFillTx/>
                <a:latin typeface="Calibri" panose="020F0502020204030204"/>
                <a:ea typeface="+mn-ea"/>
                <a:cs typeface="+mn-cs"/>
              </a:endParaRPr>
            </a:p>
          </xdr:txBody>
        </xdr:sp>
      </mc:Fallback>
    </mc:AlternateContent>
    <xdr:clientData/>
  </xdr:oneCellAnchor>
  <xdr:oneCellAnchor>
    <xdr:from>
      <xdr:col>5</xdr:col>
      <xdr:colOff>7620</xdr:colOff>
      <xdr:row>147</xdr:row>
      <xdr:rowOff>76200</xdr:rowOff>
    </xdr:from>
    <xdr:ext cx="739883" cy="348044"/>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00000000-0008-0000-0400-00001D000000}"/>
                </a:ext>
              </a:extLst>
            </xdr:cNvPr>
            <xdr:cNvSpPr txBox="1"/>
          </xdr:nvSpPr>
          <xdr:spPr>
            <a:xfrm>
              <a:off x="5189220" y="28559760"/>
              <a:ext cx="739883" cy="348044"/>
            </a:xfrm>
            <a:prstGeom prst="rect">
              <a:avLst/>
            </a:prstGeom>
            <a:noFill/>
            <a:ln>
              <a:noFill/>
            </a:ln>
            <a:effectLst/>
          </xdr:spPr>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mn-ea"/>
                        <a:cs typeface="+mn-cs"/>
                      </a:rPr>
                      <m:t>𝐽</m:t>
                    </m:r>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f>
                      <m:fPr>
                        <m:ctrlP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fPr>
                      <m:num>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0.023</m:t>
                        </m:r>
                      </m:num>
                      <m:den>
                        <m:sSup>
                          <m:sSupPr>
                            <m:ctrlP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pPr>
                          <m:e>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𝑁𝑟</m:t>
                            </m:r>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e>
                          <m:sup>
                            <m:r>
                              <a:rPr kumimoji="0" lang="en-US" sz="1100" b="0" i="1"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0.2</m:t>
                            </m:r>
                          </m:sup>
                        </m:sSup>
                      </m:den>
                    </m:f>
                  </m:oMath>
                </m:oMathPara>
              </a14:m>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29" name="TextBox 28"/>
            <xdr:cNvSpPr txBox="1"/>
          </xdr:nvSpPr>
          <xdr:spPr>
            <a:xfrm>
              <a:off x="5189220" y="28559760"/>
              <a:ext cx="739883" cy="348044"/>
            </a:xfrm>
            <a:prstGeom prst="rect">
              <a:avLst/>
            </a:prstGeom>
            <a:noFill/>
            <a:ln>
              <a:noFill/>
            </a:ln>
            <a:effectLst/>
          </xdr:spPr>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smtClean="0">
                  <a:ln>
                    <a:noFill/>
                  </a:ln>
                  <a:solidFill>
                    <a:sysClr val="windowText" lastClr="000000"/>
                  </a:solidFill>
                  <a:effectLst/>
                  <a:uLnTx/>
                  <a:uFillTx/>
                  <a:latin typeface="Cambria Math" panose="02040503050406030204" pitchFamily="18" charset="0"/>
                  <a:ea typeface="+mn-ea"/>
                  <a:cs typeface="+mn-cs"/>
                </a:rPr>
                <a:t>𝐽</a:t>
              </a:r>
              <a:r>
                <a:rPr kumimoji="0" lang="en-US" sz="1100" b="0" i="0" u="none" strike="noStrike" kern="0" cap="none" spc="0" normalizeH="0" baseline="0" noProof="0" smtClean="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  0.023/〖(𝑁𝑟)〗^0.2 </a:t>
              </a:r>
              <a:endParaRPr kumimoji="0" lang="en-US" sz="1100" b="0" i="0" u="none" strike="noStrike" kern="0" cap="none" spc="0" normalizeH="0" baseline="0" noProof="0" smtClean="0">
                <a:ln>
                  <a:noFill/>
                </a:ln>
                <a:solidFill>
                  <a:sysClr val="windowText" lastClr="000000"/>
                </a:solidFill>
                <a:effectLst/>
                <a:uLnTx/>
                <a:uFillTx/>
                <a:latin typeface="Calibri" panose="020F0502020204030204"/>
                <a:ea typeface="+mn-ea"/>
                <a:cs typeface="+mn-cs"/>
              </a:endParaRPr>
            </a:p>
          </xdr:txBody>
        </xdr:sp>
      </mc:Fallback>
    </mc:AlternateContent>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9"/>
  <sheetViews>
    <sheetView workbookViewId="0">
      <selection activeCell="G23" sqref="G23"/>
    </sheetView>
  </sheetViews>
  <sheetFormatPr defaultRowHeight="14.25" x14ac:dyDescent="0.45"/>
  <cols>
    <col min="1" max="1" width="43.3984375" customWidth="1"/>
    <col min="2" max="2" width="11.73046875" customWidth="1"/>
    <col min="3" max="3" width="10.265625" customWidth="1"/>
    <col min="5" max="5" width="1.86328125" customWidth="1"/>
    <col min="6" max="6" width="9.3984375" customWidth="1"/>
    <col min="8" max="8" width="2.1328125" customWidth="1"/>
    <col min="9" max="9" width="9.86328125" customWidth="1"/>
    <col min="10" max="10" width="9.1328125" customWidth="1"/>
    <col min="11" max="11" width="1.265625" customWidth="1"/>
    <col min="12" max="12" width="10.265625" customWidth="1"/>
  </cols>
  <sheetData>
    <row r="1" spans="1:14" ht="29.45" customHeight="1" thickBot="1" x14ac:dyDescent="0.5">
      <c r="A1" s="230" t="s">
        <v>282</v>
      </c>
      <c r="B1" s="231"/>
      <c r="C1" s="231"/>
      <c r="D1" s="231"/>
      <c r="E1" s="231"/>
      <c r="F1" s="231"/>
      <c r="G1" s="231"/>
      <c r="H1" s="231"/>
      <c r="I1" s="231"/>
      <c r="J1" s="231"/>
      <c r="K1" s="231"/>
      <c r="L1" s="231"/>
      <c r="M1" s="232"/>
    </row>
    <row r="2" spans="1:14" s="132" customFormat="1" x14ac:dyDescent="0.45">
      <c r="A2" s="237" t="s">
        <v>283</v>
      </c>
      <c r="B2" s="238"/>
      <c r="C2" s="238"/>
      <c r="D2" s="238"/>
      <c r="E2" s="238"/>
      <c r="F2" s="238"/>
      <c r="G2" s="238"/>
      <c r="H2" s="238"/>
      <c r="I2" s="238"/>
      <c r="J2" s="238"/>
      <c r="K2" s="238"/>
      <c r="L2" s="238"/>
      <c r="M2" s="239"/>
    </row>
    <row r="3" spans="1:14" s="132" customFormat="1" x14ac:dyDescent="0.45">
      <c r="A3" s="145" t="s">
        <v>262</v>
      </c>
      <c r="B3" s="3">
        <f>ThermalCaculationBaseline!Q11</f>
        <v>46</v>
      </c>
      <c r="C3" s="95" t="s">
        <v>277</v>
      </c>
      <c r="D3" s="233" t="s">
        <v>264</v>
      </c>
      <c r="E3" s="234"/>
      <c r="F3" s="234"/>
      <c r="G3" s="234"/>
      <c r="H3" s="14"/>
      <c r="I3" s="140">
        <f>ThermalCaculationBaseline!L12</f>
        <v>61.622222222222234</v>
      </c>
      <c r="J3" s="14" t="s">
        <v>10</v>
      </c>
      <c r="K3" s="14"/>
      <c r="L3" s="14"/>
      <c r="M3" s="156"/>
    </row>
    <row r="4" spans="1:14" s="132" customFormat="1" ht="14.65" thickBot="1" x14ac:dyDescent="0.5">
      <c r="A4" s="157" t="s">
        <v>263</v>
      </c>
      <c r="B4" s="158">
        <f>ThermalCaculationBaseline!L15</f>
        <v>25</v>
      </c>
      <c r="C4" s="159" t="s">
        <v>87</v>
      </c>
      <c r="D4" s="235" t="s">
        <v>279</v>
      </c>
      <c r="E4" s="236"/>
      <c r="F4" s="236"/>
      <c r="G4" s="236"/>
      <c r="H4" s="25"/>
      <c r="I4" s="158">
        <v>2.5000000000000001E-3</v>
      </c>
      <c r="J4" s="25" t="s">
        <v>280</v>
      </c>
      <c r="K4" s="25"/>
      <c r="L4" s="25"/>
      <c r="M4" s="160"/>
    </row>
    <row r="5" spans="1:14" ht="18" x14ac:dyDescent="0.55000000000000004">
      <c r="A5" s="155"/>
      <c r="B5" s="247" t="s">
        <v>216</v>
      </c>
      <c r="C5" s="248"/>
      <c r="D5" s="249"/>
      <c r="E5" s="244"/>
      <c r="F5" s="250" t="s">
        <v>206</v>
      </c>
      <c r="G5" s="248"/>
      <c r="H5" s="248"/>
      <c r="I5" s="248"/>
      <c r="J5" s="248"/>
      <c r="K5" s="248"/>
      <c r="L5" s="248"/>
      <c r="M5" s="249"/>
    </row>
    <row r="6" spans="1:14" ht="124.35" customHeight="1" x14ac:dyDescent="0.45">
      <c r="A6" s="177" t="s">
        <v>265</v>
      </c>
      <c r="B6" s="229" t="s">
        <v>286</v>
      </c>
      <c r="C6" s="229"/>
      <c r="D6" s="243"/>
      <c r="E6" s="245"/>
      <c r="F6" s="228" t="s">
        <v>287</v>
      </c>
      <c r="G6" s="229"/>
      <c r="H6" s="178"/>
      <c r="I6" s="229" t="s">
        <v>288</v>
      </c>
      <c r="J6" s="229"/>
      <c r="K6" s="178"/>
      <c r="L6" s="229" t="s">
        <v>289</v>
      </c>
      <c r="M6" s="246"/>
      <c r="N6" s="68"/>
    </row>
    <row r="7" spans="1:14" ht="57" x14ac:dyDescent="0.45">
      <c r="A7" s="174" t="s">
        <v>274</v>
      </c>
      <c r="B7" s="175" t="s">
        <v>272</v>
      </c>
      <c r="C7" s="175" t="s">
        <v>273</v>
      </c>
      <c r="D7" s="176"/>
      <c r="E7" s="245"/>
      <c r="F7" s="240" t="s">
        <v>281</v>
      </c>
      <c r="G7" s="241"/>
      <c r="H7" s="241"/>
      <c r="I7" s="241"/>
      <c r="J7" s="241"/>
      <c r="K7" s="241"/>
      <c r="L7" s="241"/>
      <c r="M7" s="242"/>
      <c r="N7" s="21"/>
    </row>
    <row r="8" spans="1:14" ht="15.75" x14ac:dyDescent="0.5">
      <c r="A8" s="148" t="s">
        <v>275</v>
      </c>
      <c r="B8" s="170">
        <f>ThermalCaculationBaseline!Q11</f>
        <v>46</v>
      </c>
      <c r="C8" s="170">
        <f>ThermalCaculationBaseline!Q11</f>
        <v>46</v>
      </c>
      <c r="D8" s="164" t="s">
        <v>277</v>
      </c>
      <c r="E8" s="245"/>
      <c r="F8" s="171">
        <f>ThermalCaculationBaseline!I150</f>
        <v>40.28</v>
      </c>
      <c r="G8" s="172" t="s">
        <v>276</v>
      </c>
      <c r="H8" s="167"/>
      <c r="I8" s="170">
        <f>ThermalCaculationBaseline!L150</f>
        <v>38.67</v>
      </c>
      <c r="J8" s="172" t="s">
        <v>276</v>
      </c>
      <c r="K8" s="167"/>
      <c r="L8" s="170">
        <f>ThermalCaculationBaseline!O150</f>
        <v>37.18</v>
      </c>
      <c r="M8" s="173" t="s">
        <v>276</v>
      </c>
    </row>
    <row r="9" spans="1:14" s="132" customFormat="1" x14ac:dyDescent="0.45">
      <c r="A9" s="145" t="s">
        <v>271</v>
      </c>
      <c r="B9" s="15">
        <f>ThermalCaculationBaseline!B97</f>
        <v>49.309008586465225</v>
      </c>
      <c r="C9" s="15">
        <f>ThermalCaculationBaseline!B97</f>
        <v>49.309008586465225</v>
      </c>
      <c r="D9" s="147" t="s">
        <v>270</v>
      </c>
      <c r="E9" s="245"/>
      <c r="F9" s="151">
        <f>ThermalCaculationBaseline!J97</f>
        <v>40.679999999999993</v>
      </c>
      <c r="G9" s="144" t="s">
        <v>270</v>
      </c>
      <c r="H9" s="14"/>
      <c r="I9" s="15">
        <f>ThermalCaculationBaseline!J97</f>
        <v>40.679999999999993</v>
      </c>
      <c r="J9" s="144" t="s">
        <v>270</v>
      </c>
      <c r="K9" s="14"/>
      <c r="L9" s="142">
        <f>ThermalCaculationBaseline!J97</f>
        <v>40.679999999999993</v>
      </c>
      <c r="M9" s="147" t="s">
        <v>270</v>
      </c>
    </row>
    <row r="10" spans="1:14" x14ac:dyDescent="0.45">
      <c r="A10" s="145" t="s">
        <v>268</v>
      </c>
      <c r="B10" s="15">
        <f>ThermalCaculationBaseline!B146</f>
        <v>11.427339206866776</v>
      </c>
      <c r="C10" s="15">
        <f>ThermalCaculationBaseline!F146</f>
        <v>22.14884954428647</v>
      </c>
      <c r="D10" s="147" t="s">
        <v>196</v>
      </c>
      <c r="E10" s="245"/>
      <c r="F10" s="151">
        <f>ThermalCaculationBaseline!I146</f>
        <v>14.41</v>
      </c>
      <c r="G10" s="144" t="s">
        <v>196</v>
      </c>
      <c r="H10" s="14"/>
      <c r="I10" s="15">
        <f>ThermalCaculationBaseline!L146</f>
        <v>16.36</v>
      </c>
      <c r="J10" s="144" t="s">
        <v>196</v>
      </c>
      <c r="K10" s="14"/>
      <c r="L10" s="142">
        <f>ThermalCaculationBaseline!O146</f>
        <v>19.02</v>
      </c>
      <c r="M10" s="147" t="s">
        <v>196</v>
      </c>
    </row>
    <row r="11" spans="1:14" x14ac:dyDescent="0.45">
      <c r="A11" s="145" t="s">
        <v>266</v>
      </c>
      <c r="B11" s="15">
        <f>ThermalCaculationBaseline!B43</f>
        <v>0.33941230512562914</v>
      </c>
      <c r="C11" s="15">
        <f>ThermalCaculationBaseline!B43</f>
        <v>0.33941230512562914</v>
      </c>
      <c r="D11" s="146" t="s">
        <v>87</v>
      </c>
      <c r="E11" s="245"/>
      <c r="F11" s="152">
        <f>ThermalCaculationBaseline!I43</f>
        <v>2.6499999999999986</v>
      </c>
      <c r="G11" s="143" t="s">
        <v>87</v>
      </c>
      <c r="H11" s="14"/>
      <c r="I11" s="3">
        <f>ThermalCaculationBaseline!L43</f>
        <v>2.2999999999999972</v>
      </c>
      <c r="J11" s="143" t="s">
        <v>87</v>
      </c>
      <c r="K11" s="14"/>
      <c r="L11" s="141">
        <f>ThermalCaculationBaseline!O43</f>
        <v>1.2200000000000024</v>
      </c>
      <c r="M11" s="146" t="s">
        <v>87</v>
      </c>
    </row>
    <row r="12" spans="1:14" x14ac:dyDescent="0.45">
      <c r="A12" s="145" t="s">
        <v>269</v>
      </c>
      <c r="B12" s="15">
        <f>ThermalCaculationBaseline!D75</f>
        <v>193.45895641176904</v>
      </c>
      <c r="C12" s="15">
        <f>ThermalCaculationBaseline!D75</f>
        <v>193.45895641176904</v>
      </c>
      <c r="D12" s="147" t="s">
        <v>196</v>
      </c>
      <c r="E12" s="245"/>
      <c r="F12" s="152">
        <f>ThermalCaculationBaseline!I74</f>
        <v>79.599999999999994</v>
      </c>
      <c r="G12" s="144" t="s">
        <v>196</v>
      </c>
      <c r="H12" s="14"/>
      <c r="I12" s="3">
        <f>ThermalCaculationBaseline!L74</f>
        <v>93.4</v>
      </c>
      <c r="J12" s="144" t="s">
        <v>196</v>
      </c>
      <c r="K12" s="14"/>
      <c r="L12" s="141">
        <f>ThermalCaculationBaseline!O74</f>
        <v>236.1</v>
      </c>
      <c r="M12" s="147" t="s">
        <v>196</v>
      </c>
    </row>
    <row r="13" spans="1:14" x14ac:dyDescent="0.45">
      <c r="A13" s="145" t="s">
        <v>267</v>
      </c>
      <c r="B13" s="15">
        <f>ThermalCaculationBaseline!B76</f>
        <v>0.92283427773649318</v>
      </c>
      <c r="C13" s="15">
        <f>ThermalCaculationBaseline!B76</f>
        <v>0.92283427773649318</v>
      </c>
      <c r="D13" s="146" t="s">
        <v>87</v>
      </c>
      <c r="E13" s="245"/>
      <c r="F13" s="152">
        <f>ThermalCaculationBaseline!I76</f>
        <v>3.3200000000000003</v>
      </c>
      <c r="G13" s="143" t="s">
        <v>87</v>
      </c>
      <c r="H13" s="14"/>
      <c r="I13" s="3">
        <f>ThermalCaculationBaseline!L76</f>
        <v>2.2600000000000016</v>
      </c>
      <c r="J13" s="143" t="s">
        <v>87</v>
      </c>
      <c r="K13" s="14"/>
      <c r="L13" s="141">
        <f>ThermalCaculationBaseline!O76</f>
        <v>1.8999999999999986</v>
      </c>
      <c r="M13" s="146" t="s">
        <v>87</v>
      </c>
    </row>
    <row r="14" spans="1:14" ht="16.149999999999999" thickBot="1" x14ac:dyDescent="0.55000000000000004">
      <c r="A14" s="148" t="s">
        <v>285</v>
      </c>
      <c r="B14" s="163">
        <f>ThermalCaculationBaseline!B152</f>
        <v>16.400336926522105</v>
      </c>
      <c r="C14" s="163">
        <f>ThermalCaculationBaseline!F152</f>
        <v>8.4614874822975157</v>
      </c>
      <c r="D14" s="164" t="s">
        <v>87</v>
      </c>
      <c r="E14" s="245"/>
      <c r="F14" s="165">
        <f>ThermalCaculationBaseline!I152</f>
        <v>9.3100000000000023</v>
      </c>
      <c r="G14" s="166" t="s">
        <v>87</v>
      </c>
      <c r="H14" s="167"/>
      <c r="I14" s="168">
        <f>ThermalCaculationBaseline!L152</f>
        <v>9.110000000000003</v>
      </c>
      <c r="J14" s="166" t="s">
        <v>87</v>
      </c>
      <c r="K14" s="167"/>
      <c r="L14" s="168">
        <f>ThermalCaculationBaseline!O152</f>
        <v>9.0599999999999987</v>
      </c>
      <c r="M14" s="164" t="s">
        <v>87</v>
      </c>
    </row>
    <row r="15" spans="1:14" ht="21.4" thickBot="1" x14ac:dyDescent="0.7">
      <c r="A15" s="149" t="s">
        <v>284</v>
      </c>
      <c r="B15" s="161">
        <f>ThermalCaculationBaseline!B156</f>
        <v>28.337416490615773</v>
      </c>
      <c r="C15" s="162">
        <f>ThermalCaculationBaseline!F156</f>
        <v>36.276265934840367</v>
      </c>
      <c r="D15" s="150" t="s">
        <v>87</v>
      </c>
      <c r="E15" s="245"/>
      <c r="F15" s="162">
        <f>ThermalCaculationBaseline!I156</f>
        <v>30.72</v>
      </c>
      <c r="G15" s="153" t="s">
        <v>87</v>
      </c>
      <c r="H15" s="154"/>
      <c r="I15" s="162">
        <f>ThermalCaculationBaseline!L156</f>
        <v>32.33</v>
      </c>
      <c r="J15" s="153" t="s">
        <v>87</v>
      </c>
      <c r="K15" s="154"/>
      <c r="L15" s="162">
        <f>ThermalCaculationBaseline!O156</f>
        <v>33.82</v>
      </c>
      <c r="M15" s="150" t="s">
        <v>87</v>
      </c>
    </row>
    <row r="16" spans="1:14" x14ac:dyDescent="0.45">
      <c r="A16" s="226" t="s">
        <v>290</v>
      </c>
      <c r="B16" s="226"/>
      <c r="C16" s="226"/>
      <c r="D16" s="226"/>
      <c r="E16" s="226"/>
      <c r="F16" s="226"/>
      <c r="G16" s="226"/>
      <c r="H16" s="226"/>
      <c r="I16" s="226"/>
      <c r="J16" s="226"/>
      <c r="K16" s="226"/>
      <c r="L16" s="227"/>
      <c r="M16" s="227"/>
    </row>
    <row r="17" spans="1:13" x14ac:dyDescent="0.45">
      <c r="A17" s="226"/>
      <c r="B17" s="226"/>
      <c r="C17" s="226"/>
      <c r="D17" s="226"/>
      <c r="E17" s="226"/>
      <c r="F17" s="226"/>
      <c r="G17" s="226"/>
      <c r="H17" s="226"/>
      <c r="I17" s="226"/>
      <c r="J17" s="226"/>
      <c r="K17" s="226"/>
      <c r="L17" s="227"/>
      <c r="M17" s="227"/>
    </row>
    <row r="18" spans="1:13" x14ac:dyDescent="0.45">
      <c r="A18" s="226"/>
      <c r="B18" s="226"/>
      <c r="C18" s="226"/>
      <c r="D18" s="226"/>
      <c r="E18" s="226"/>
      <c r="F18" s="226"/>
      <c r="G18" s="226"/>
      <c r="H18" s="226"/>
      <c r="I18" s="226"/>
      <c r="J18" s="226"/>
      <c r="K18" s="226"/>
      <c r="L18" s="227"/>
      <c r="M18" s="227"/>
    </row>
    <row r="19" spans="1:13" x14ac:dyDescent="0.45">
      <c r="A19" s="226"/>
      <c r="B19" s="226"/>
      <c r="C19" s="226"/>
      <c r="D19" s="226"/>
      <c r="E19" s="226"/>
      <c r="F19" s="226"/>
      <c r="G19" s="226"/>
      <c r="H19" s="226"/>
      <c r="I19" s="226"/>
      <c r="J19" s="226"/>
      <c r="K19" s="226"/>
      <c r="L19" s="227"/>
      <c r="M19" s="227"/>
    </row>
  </sheetData>
  <mergeCells count="13">
    <mergeCell ref="A16:M19"/>
    <mergeCell ref="F6:G6"/>
    <mergeCell ref="A1:M1"/>
    <mergeCell ref="D3:G3"/>
    <mergeCell ref="D4:G4"/>
    <mergeCell ref="A2:M2"/>
    <mergeCell ref="F7:M7"/>
    <mergeCell ref="B6:D6"/>
    <mergeCell ref="E5:E15"/>
    <mergeCell ref="I6:J6"/>
    <mergeCell ref="L6:M6"/>
    <mergeCell ref="B5:D5"/>
    <mergeCell ref="F5:M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180"/>
  <sheetViews>
    <sheetView tabSelected="1" topLeftCell="A35" zoomScale="75" zoomScaleNormal="75" zoomScaleSheetLayoutView="50" zoomScalePageLayoutView="50" workbookViewId="0">
      <selection activeCell="J143" sqref="J143"/>
    </sheetView>
  </sheetViews>
  <sheetFormatPr defaultRowHeight="14.25" x14ac:dyDescent="0.45"/>
  <cols>
    <col min="1" max="1" width="37.86328125" customWidth="1"/>
    <col min="2" max="2" width="12" customWidth="1"/>
    <col min="3" max="3" width="14.265625" customWidth="1"/>
    <col min="4" max="4" width="11.73046875" customWidth="1"/>
    <col min="5" max="5" width="8.73046875" customWidth="1"/>
    <col min="6" max="6" width="12" customWidth="1"/>
    <col min="7" max="7" width="13" customWidth="1"/>
    <col min="8" max="8" width="32" customWidth="1"/>
    <col min="9" max="9" width="11.86328125" customWidth="1"/>
    <col min="10" max="10" width="8.3984375" customWidth="1"/>
    <col min="11" max="11" width="8.265625" customWidth="1"/>
    <col min="12" max="12" width="11.265625" customWidth="1"/>
    <col min="13" max="13" width="9.86328125" customWidth="1"/>
    <col min="14" max="14" width="8.265625" customWidth="1"/>
    <col min="15" max="15" width="9.86328125" customWidth="1"/>
    <col min="16" max="16" width="8" customWidth="1"/>
    <col min="17" max="17" width="8.59765625" customWidth="1"/>
    <col min="18" max="18" width="11.265625" customWidth="1"/>
    <col min="19" max="19" width="14.73046875" customWidth="1"/>
  </cols>
  <sheetData>
    <row r="1" spans="1:19" ht="21.4" thickBot="1" x14ac:dyDescent="0.7">
      <c r="A1" s="184" t="s">
        <v>1</v>
      </c>
      <c r="B1" s="185" t="s">
        <v>179</v>
      </c>
      <c r="C1" s="185"/>
      <c r="D1" s="185"/>
      <c r="E1" s="185"/>
      <c r="F1" s="185"/>
      <c r="G1" s="185"/>
      <c r="H1" s="185"/>
      <c r="I1" s="185"/>
      <c r="J1" s="185"/>
      <c r="K1" s="185"/>
      <c r="L1" s="185"/>
      <c r="M1" s="185"/>
      <c r="N1" s="185"/>
      <c r="O1" s="185"/>
      <c r="P1" s="185"/>
      <c r="Q1" s="185"/>
      <c r="R1" s="185"/>
      <c r="S1" s="186"/>
    </row>
    <row r="2" spans="1:19" x14ac:dyDescent="0.45">
      <c r="A2" s="187" t="s">
        <v>2</v>
      </c>
      <c r="B2" s="188"/>
      <c r="C2" s="188" t="s">
        <v>9</v>
      </c>
      <c r="D2" s="188"/>
      <c r="E2" s="188" t="s">
        <v>9</v>
      </c>
      <c r="F2" s="189" t="s">
        <v>146</v>
      </c>
      <c r="G2" s="188"/>
      <c r="H2" s="188"/>
      <c r="I2" s="188"/>
      <c r="J2" s="188"/>
      <c r="K2" s="188"/>
      <c r="L2" s="188"/>
      <c r="M2" s="188"/>
      <c r="N2" s="188"/>
      <c r="O2" s="188"/>
      <c r="P2" s="188"/>
      <c r="Q2" s="188"/>
      <c r="R2" s="188"/>
      <c r="S2" s="190"/>
    </row>
    <row r="3" spans="1:19" x14ac:dyDescent="0.45">
      <c r="A3" s="191" t="s">
        <v>3</v>
      </c>
      <c r="B3" s="2">
        <v>180</v>
      </c>
      <c r="C3" s="14" t="s">
        <v>14</v>
      </c>
      <c r="D3" s="10">
        <f>B3/10</f>
        <v>18</v>
      </c>
      <c r="E3" s="14" t="s">
        <v>19</v>
      </c>
      <c r="F3" s="3"/>
      <c r="G3" s="182" t="s">
        <v>93</v>
      </c>
      <c r="H3" s="14"/>
      <c r="I3" s="14"/>
      <c r="J3" s="251" t="s">
        <v>7</v>
      </c>
      <c r="K3" s="252"/>
      <c r="L3" s="252"/>
      <c r="M3" s="252"/>
      <c r="N3" s="252"/>
      <c r="O3" s="252"/>
      <c r="P3" s="252"/>
      <c r="Q3" s="252"/>
      <c r="R3" s="14"/>
      <c r="S3" s="156"/>
    </row>
    <row r="4" spans="1:19" x14ac:dyDescent="0.45">
      <c r="A4" s="191" t="s">
        <v>4</v>
      </c>
      <c r="B4" s="2">
        <v>204</v>
      </c>
      <c r="C4" s="14" t="s">
        <v>14</v>
      </c>
      <c r="D4" s="10">
        <f t="shared" ref="D4:D6" si="0">B4/10</f>
        <v>20.399999999999999</v>
      </c>
      <c r="E4" s="14" t="s">
        <v>19</v>
      </c>
      <c r="F4" s="7">
        <v>11.111000000000001</v>
      </c>
      <c r="G4" s="182" t="s">
        <v>92</v>
      </c>
      <c r="H4" s="14"/>
      <c r="I4" s="14"/>
      <c r="J4" s="180" t="s">
        <v>204</v>
      </c>
      <c r="K4" s="3">
        <v>13.8</v>
      </c>
      <c r="L4" s="83" t="s">
        <v>205</v>
      </c>
      <c r="M4" s="14"/>
      <c r="N4" s="14"/>
      <c r="O4" s="14"/>
      <c r="P4" s="14"/>
      <c r="Q4" s="14"/>
      <c r="R4" s="14"/>
      <c r="S4" s="156"/>
    </row>
    <row r="5" spans="1:19" x14ac:dyDescent="0.45">
      <c r="A5" s="191" t="s">
        <v>181</v>
      </c>
      <c r="B5" s="2">
        <v>424</v>
      </c>
      <c r="C5" s="14" t="s">
        <v>14</v>
      </c>
      <c r="D5" s="10">
        <f t="shared" si="0"/>
        <v>42.4</v>
      </c>
      <c r="E5" s="14" t="s">
        <v>19</v>
      </c>
      <c r="F5" s="23">
        <v>11.111000000000001</v>
      </c>
      <c r="G5" s="182" t="s">
        <v>94</v>
      </c>
      <c r="H5" s="14"/>
      <c r="I5" s="14"/>
      <c r="J5" s="180"/>
      <c r="K5" s="181" t="s">
        <v>180</v>
      </c>
      <c r="L5" s="181" t="s">
        <v>10</v>
      </c>
      <c r="M5" s="14"/>
      <c r="N5" s="14"/>
      <c r="O5" s="14"/>
      <c r="P5" s="100" t="s">
        <v>28</v>
      </c>
      <c r="Q5" s="6">
        <f>L12</f>
        <v>61.622222222222234</v>
      </c>
      <c r="R5" s="14" t="s">
        <v>10</v>
      </c>
      <c r="S5" s="156"/>
    </row>
    <row r="6" spans="1:19" ht="14.65" thickBot="1" x14ac:dyDescent="0.5">
      <c r="A6" s="191" t="s">
        <v>5</v>
      </c>
      <c r="B6" s="2">
        <v>25.4</v>
      </c>
      <c r="C6" s="14" t="s">
        <v>14</v>
      </c>
      <c r="D6" s="11">
        <f t="shared" si="0"/>
        <v>2.54</v>
      </c>
      <c r="E6" s="14" t="s">
        <v>19</v>
      </c>
      <c r="F6" s="14"/>
      <c r="G6" s="14"/>
      <c r="H6" s="14"/>
      <c r="I6" s="14"/>
      <c r="J6" s="100" t="s">
        <v>22</v>
      </c>
      <c r="K6" s="3">
        <v>3.2</v>
      </c>
      <c r="L6" s="7">
        <f>K6*K4</f>
        <v>44.160000000000004</v>
      </c>
      <c r="M6" s="14"/>
      <c r="N6" s="14"/>
      <c r="O6" s="14"/>
      <c r="P6" s="100" t="s">
        <v>32</v>
      </c>
      <c r="Q6" s="33">
        <f>Q5*3.413</f>
        <v>210.31664444444448</v>
      </c>
      <c r="R6" s="14"/>
      <c r="S6" s="156"/>
    </row>
    <row r="7" spans="1:19" ht="14.65" thickBot="1" x14ac:dyDescent="0.5">
      <c r="A7" s="191"/>
      <c r="B7" s="39"/>
      <c r="C7" s="100" t="s">
        <v>119</v>
      </c>
      <c r="D7" s="29">
        <f>(D4-D3)/2</f>
        <v>1.1999999999999993</v>
      </c>
      <c r="E7" s="14" t="s">
        <v>19</v>
      </c>
      <c r="F7" s="14"/>
      <c r="G7" s="14"/>
      <c r="H7" s="14"/>
      <c r="I7" s="14"/>
      <c r="J7" s="100" t="s">
        <v>23</v>
      </c>
      <c r="K7" s="3">
        <v>0.3</v>
      </c>
      <c r="L7" s="7">
        <f t="shared" ref="L7:L10" si="1">K7*12</f>
        <v>3.5999999999999996</v>
      </c>
      <c r="M7" s="14"/>
      <c r="N7" s="14"/>
      <c r="O7" s="14"/>
      <c r="P7" s="100" t="s">
        <v>184</v>
      </c>
      <c r="Q7" s="24">
        <f>Q5*0.239</f>
        <v>14.727711111111113</v>
      </c>
      <c r="R7" s="14" t="s">
        <v>199</v>
      </c>
      <c r="S7" s="156"/>
    </row>
    <row r="8" spans="1:19" ht="14.65" thickBot="1" x14ac:dyDescent="0.5">
      <c r="A8" s="191"/>
      <c r="B8" s="14"/>
      <c r="C8" s="100" t="s">
        <v>118</v>
      </c>
      <c r="D8" s="28">
        <f>D5*(PI()*D3)</f>
        <v>2397.6635132197302</v>
      </c>
      <c r="E8" s="14" t="s">
        <v>291</v>
      </c>
      <c r="F8" s="14"/>
      <c r="G8" s="14"/>
      <c r="H8" s="14"/>
      <c r="I8" s="14"/>
      <c r="J8" s="100" t="s">
        <v>0</v>
      </c>
      <c r="K8" s="3">
        <v>0.3</v>
      </c>
      <c r="L8" s="7">
        <f t="shared" si="1"/>
        <v>3.5999999999999996</v>
      </c>
      <c r="M8" s="14"/>
      <c r="N8" s="14"/>
      <c r="O8" s="14"/>
      <c r="P8" s="100" t="s">
        <v>8</v>
      </c>
      <c r="Q8" s="273">
        <v>25</v>
      </c>
      <c r="R8" s="14" t="s">
        <v>11</v>
      </c>
      <c r="S8" s="156"/>
    </row>
    <row r="9" spans="1:19" ht="14.65" thickBot="1" x14ac:dyDescent="0.5">
      <c r="A9" s="191"/>
      <c r="B9" s="14"/>
      <c r="C9" s="100" t="s">
        <v>113</v>
      </c>
      <c r="D9" s="29">
        <f>1.25*(PI()*((D3/2)^2))</f>
        <v>318.08625617596653</v>
      </c>
      <c r="E9" s="14" t="s">
        <v>291</v>
      </c>
      <c r="F9" s="14" t="s">
        <v>244</v>
      </c>
      <c r="G9" s="14"/>
      <c r="H9" s="14"/>
      <c r="I9" s="14"/>
      <c r="J9" s="100" t="s">
        <v>27</v>
      </c>
      <c r="K9" s="3"/>
      <c r="L9" s="2">
        <v>1.7</v>
      </c>
      <c r="M9" s="14"/>
      <c r="N9" s="14"/>
      <c r="O9" s="14"/>
      <c r="P9" s="100" t="s">
        <v>51</v>
      </c>
      <c r="Q9" s="2">
        <v>44</v>
      </c>
      <c r="R9" s="14" t="s">
        <v>11</v>
      </c>
      <c r="S9" s="156"/>
    </row>
    <row r="10" spans="1:19" ht="14.65" thickBot="1" x14ac:dyDescent="0.5">
      <c r="A10" s="191"/>
      <c r="B10" s="14"/>
      <c r="C10" s="100" t="s">
        <v>114</v>
      </c>
      <c r="D10" s="79">
        <f>HeatSinkAreas!H31</f>
        <v>253.99421780232811</v>
      </c>
      <c r="E10" s="14" t="s">
        <v>291</v>
      </c>
      <c r="F10" s="14" t="s">
        <v>145</v>
      </c>
      <c r="G10" s="14"/>
      <c r="H10" s="14"/>
      <c r="I10" s="14"/>
      <c r="J10" s="100" t="s">
        <v>24</v>
      </c>
      <c r="K10" s="3">
        <v>0.2</v>
      </c>
      <c r="L10" s="7">
        <f t="shared" si="1"/>
        <v>2.4000000000000004</v>
      </c>
      <c r="M10" s="14"/>
      <c r="N10" s="14"/>
      <c r="O10" s="14"/>
      <c r="P10" s="100" t="s">
        <v>52</v>
      </c>
      <c r="Q10" s="40">
        <v>48</v>
      </c>
      <c r="R10" s="14" t="s">
        <v>11</v>
      </c>
      <c r="S10" s="156"/>
    </row>
    <row r="11" spans="1:19" ht="14.65" thickBot="1" x14ac:dyDescent="0.5">
      <c r="A11" s="191"/>
      <c r="B11" s="14"/>
      <c r="C11" s="100" t="s">
        <v>115</v>
      </c>
      <c r="D11" s="80">
        <f>HeatSinkAreas!D41</f>
        <v>636.25846349678523</v>
      </c>
      <c r="E11" s="14" t="s">
        <v>291</v>
      </c>
      <c r="F11" s="14" t="s">
        <v>145</v>
      </c>
      <c r="G11" s="14"/>
      <c r="H11" s="14"/>
      <c r="I11" s="14"/>
      <c r="J11" s="100"/>
      <c r="K11" s="3" t="s">
        <v>29</v>
      </c>
      <c r="L11" s="8">
        <f>SUM(L6:L10)</f>
        <v>55.460000000000008</v>
      </c>
      <c r="M11" s="14"/>
      <c r="N11" s="14"/>
      <c r="O11" s="14"/>
      <c r="P11" s="100" t="s">
        <v>242</v>
      </c>
      <c r="Q11" s="30">
        <f>(Q9+Q10)/2</f>
        <v>46</v>
      </c>
      <c r="R11" s="14" t="s">
        <v>11</v>
      </c>
      <c r="S11" s="156"/>
    </row>
    <row r="12" spans="1:19" ht="14.65" thickBot="1" x14ac:dyDescent="0.5">
      <c r="A12" s="191"/>
      <c r="B12" s="14"/>
      <c r="C12" s="100" t="s">
        <v>116</v>
      </c>
      <c r="D12" s="24">
        <f>SUM(D8,D10,D11)</f>
        <v>3287.9161945188434</v>
      </c>
      <c r="E12" s="14" t="s">
        <v>291</v>
      </c>
      <c r="F12" s="14"/>
      <c r="G12" s="14"/>
      <c r="H12" s="14"/>
      <c r="I12" s="14"/>
      <c r="J12" s="100" t="s">
        <v>26</v>
      </c>
      <c r="K12" s="84">
        <v>0.9</v>
      </c>
      <c r="L12" s="9">
        <f>1/K12*L11</f>
        <v>61.622222222222234</v>
      </c>
      <c r="M12" s="14" t="s">
        <v>10</v>
      </c>
      <c r="N12" s="14"/>
      <c r="O12" s="14"/>
      <c r="P12" s="100" t="s">
        <v>57</v>
      </c>
      <c r="Q12" s="41">
        <f>-273.15+Q11</f>
        <v>-227.14999999999998</v>
      </c>
      <c r="R12" s="14" t="s">
        <v>121</v>
      </c>
      <c r="S12" s="156"/>
    </row>
    <row r="13" spans="1:19" ht="14.65" thickBot="1" x14ac:dyDescent="0.5">
      <c r="A13" s="191"/>
      <c r="B13" s="14"/>
      <c r="C13" s="100" t="s">
        <v>200</v>
      </c>
      <c r="D13" s="24">
        <f>(D5+(2*D6))*(2*PI()*D4/2)</f>
        <v>3042.9215115258444</v>
      </c>
      <c r="E13" s="14" t="s">
        <v>291</v>
      </c>
      <c r="F13" s="14"/>
      <c r="G13" s="14"/>
      <c r="H13" s="14"/>
      <c r="I13" s="14"/>
      <c r="J13" s="14"/>
      <c r="K13" s="14"/>
      <c r="L13" s="14"/>
      <c r="M13" s="14"/>
      <c r="N13" s="14"/>
      <c r="O13" s="14"/>
      <c r="P13" s="100" t="s">
        <v>16</v>
      </c>
      <c r="Q13" s="34"/>
      <c r="R13" s="14" t="s">
        <v>292</v>
      </c>
      <c r="S13" s="156"/>
    </row>
    <row r="14" spans="1:19" ht="14.65" thickBot="1" x14ac:dyDescent="0.5">
      <c r="A14" s="191"/>
      <c r="B14" s="14"/>
      <c r="C14" s="100" t="s">
        <v>31</v>
      </c>
      <c r="D14" s="24">
        <f>1.25*(PI()*(D4/2)^2)</f>
        <v>408.56412459935257</v>
      </c>
      <c r="E14" s="14" t="s">
        <v>291</v>
      </c>
      <c r="F14" s="14"/>
      <c r="G14" s="14"/>
      <c r="H14" s="14"/>
      <c r="I14" s="14"/>
      <c r="J14" s="14"/>
      <c r="K14" s="14" t="s">
        <v>233</v>
      </c>
      <c r="L14" s="14"/>
      <c r="M14" s="14"/>
      <c r="N14" s="14"/>
      <c r="O14" s="14"/>
      <c r="P14" s="100" t="s">
        <v>17</v>
      </c>
      <c r="Q14" s="2"/>
      <c r="R14" s="14" t="s">
        <v>292</v>
      </c>
      <c r="S14" s="156"/>
    </row>
    <row r="15" spans="1:19" ht="14.65" thickBot="1" x14ac:dyDescent="0.5">
      <c r="A15" s="191"/>
      <c r="B15" s="14"/>
      <c r="C15" s="100" t="s">
        <v>30</v>
      </c>
      <c r="D15" s="24">
        <f>SUM(D13:D14)</f>
        <v>3451.4856361251968</v>
      </c>
      <c r="E15" s="14" t="s">
        <v>291</v>
      </c>
      <c r="F15" s="78">
        <f>D15/10000</f>
        <v>0.34514856361251967</v>
      </c>
      <c r="G15" s="14" t="s">
        <v>198</v>
      </c>
      <c r="H15" s="14"/>
      <c r="I15" s="14"/>
      <c r="J15" s="14"/>
      <c r="K15" s="100" t="s">
        <v>207</v>
      </c>
      <c r="L15" s="86">
        <v>25</v>
      </c>
      <c r="M15" s="95" t="s">
        <v>87</v>
      </c>
      <c r="N15" s="14"/>
      <c r="O15" s="14"/>
      <c r="P15" s="14"/>
      <c r="Q15" s="14"/>
      <c r="R15" s="14"/>
      <c r="S15" s="156"/>
    </row>
    <row r="16" spans="1:19" x14ac:dyDescent="0.45">
      <c r="A16" s="192"/>
      <c r="B16" s="112"/>
      <c r="C16" s="112"/>
      <c r="D16" s="112"/>
      <c r="E16" s="112"/>
      <c r="F16" s="112"/>
      <c r="G16" s="112"/>
      <c r="H16" s="112"/>
      <c r="I16" s="112"/>
      <c r="J16" s="112"/>
      <c r="K16" s="100" t="s">
        <v>210</v>
      </c>
      <c r="L16" s="183">
        <v>0.25</v>
      </c>
      <c r="M16" s="14" t="s">
        <v>212</v>
      </c>
      <c r="N16" s="14" t="s">
        <v>211</v>
      </c>
      <c r="O16" s="112"/>
      <c r="P16" s="112"/>
      <c r="Q16" s="112"/>
      <c r="R16" s="112"/>
      <c r="S16" s="193"/>
    </row>
    <row r="17" spans="1:19" x14ac:dyDescent="0.45">
      <c r="A17" s="194" t="s">
        <v>127</v>
      </c>
      <c r="B17" s="89"/>
      <c r="C17" s="89"/>
      <c r="D17" s="89"/>
      <c r="E17" s="89"/>
      <c r="F17" s="89"/>
      <c r="G17" s="89" t="s">
        <v>149</v>
      </c>
      <c r="H17" s="89"/>
      <c r="I17" s="89"/>
      <c r="J17" s="89"/>
      <c r="K17" s="89"/>
      <c r="L17" s="89"/>
      <c r="M17" s="89"/>
      <c r="N17" s="89"/>
      <c r="O17" s="89"/>
      <c r="P17" s="89"/>
      <c r="Q17" s="89"/>
      <c r="R17" s="89"/>
      <c r="S17" s="195"/>
    </row>
    <row r="18" spans="1:19" x14ac:dyDescent="0.45">
      <c r="A18" s="191"/>
      <c r="B18" s="14" t="s">
        <v>80</v>
      </c>
      <c r="C18" s="14"/>
      <c r="D18" s="14"/>
      <c r="E18" s="14" t="s">
        <v>81</v>
      </c>
      <c r="F18" s="14"/>
      <c r="G18" s="14" t="s">
        <v>126</v>
      </c>
      <c r="H18" s="14"/>
      <c r="I18" s="14" t="s">
        <v>122</v>
      </c>
      <c r="J18" s="14"/>
      <c r="K18" s="14"/>
      <c r="L18" s="14"/>
      <c r="M18" s="14"/>
      <c r="N18" s="14"/>
      <c r="O18" s="14"/>
      <c r="P18" s="14"/>
      <c r="Q18" s="14"/>
      <c r="R18" s="14"/>
      <c r="S18" s="156"/>
    </row>
    <row r="19" spans="1:19" x14ac:dyDescent="0.45">
      <c r="A19" s="191" t="s">
        <v>12</v>
      </c>
      <c r="B19" s="3">
        <v>0.37</v>
      </c>
      <c r="C19" s="14" t="s">
        <v>13</v>
      </c>
      <c r="D19" s="14"/>
      <c r="E19" s="14"/>
      <c r="F19" s="14"/>
      <c r="G19" s="14"/>
      <c r="H19" s="14"/>
      <c r="I19" s="14"/>
      <c r="J19" s="14"/>
      <c r="K19" s="14"/>
      <c r="L19" s="14"/>
      <c r="M19" s="14"/>
      <c r="N19" s="14"/>
      <c r="O19" s="14"/>
      <c r="P19" s="14"/>
      <c r="Q19" s="14"/>
      <c r="R19" s="14"/>
      <c r="S19" s="156"/>
    </row>
    <row r="20" spans="1:19" x14ac:dyDescent="0.45">
      <c r="A20" s="191" t="s">
        <v>15</v>
      </c>
      <c r="B20" s="3">
        <v>1.721E-2</v>
      </c>
      <c r="C20" s="14" t="s">
        <v>13</v>
      </c>
      <c r="D20" s="14"/>
      <c r="E20" s="14"/>
      <c r="F20" s="14"/>
      <c r="G20" s="14"/>
      <c r="H20" s="14"/>
      <c r="I20" s="14"/>
      <c r="J20" s="14"/>
      <c r="K20" s="14"/>
      <c r="L20" s="14"/>
      <c r="M20" s="14"/>
      <c r="N20" s="14"/>
      <c r="O20" s="14"/>
      <c r="P20" s="14"/>
      <c r="Q20" s="14"/>
      <c r="R20" s="14"/>
      <c r="S20" s="156"/>
    </row>
    <row r="21" spans="1:19" x14ac:dyDescent="0.45">
      <c r="A21" s="191" t="s">
        <v>128</v>
      </c>
      <c r="B21" s="3">
        <v>1.4630000000000001E-3</v>
      </c>
      <c r="C21" s="14" t="s">
        <v>13</v>
      </c>
      <c r="D21" s="14"/>
      <c r="E21" s="3">
        <v>0.97339799999999999</v>
      </c>
      <c r="F21" s="14" t="s">
        <v>54</v>
      </c>
      <c r="G21" s="3">
        <v>8.6840000000000007E-3</v>
      </c>
      <c r="H21" s="14" t="s">
        <v>76</v>
      </c>
      <c r="I21" s="3">
        <v>0.99658000000000002</v>
      </c>
      <c r="J21" s="14" t="s">
        <v>58</v>
      </c>
      <c r="K21" s="14"/>
      <c r="L21" s="14"/>
      <c r="M21" s="14"/>
      <c r="N21" s="14"/>
      <c r="O21" s="14"/>
      <c r="P21" s="14"/>
      <c r="Q21" s="14"/>
      <c r="R21" s="14"/>
      <c r="S21" s="156"/>
    </row>
    <row r="22" spans="1:19" x14ac:dyDescent="0.45">
      <c r="A22" s="191" t="s">
        <v>53</v>
      </c>
      <c r="B22" s="19">
        <v>6.5199999999999999E-5</v>
      </c>
      <c r="C22" s="14" t="s">
        <v>13</v>
      </c>
      <c r="D22" s="14"/>
      <c r="E22" s="3">
        <v>0.2407</v>
      </c>
      <c r="F22" s="14" t="s">
        <v>54</v>
      </c>
      <c r="G22" s="17">
        <v>1.9285999999999999E-4</v>
      </c>
      <c r="H22" s="14" t="s">
        <v>76</v>
      </c>
      <c r="I22" s="17">
        <v>1.1168E-3</v>
      </c>
      <c r="J22" s="14" t="s">
        <v>58</v>
      </c>
      <c r="K22" s="14"/>
      <c r="L22" s="14"/>
      <c r="M22" s="14"/>
      <c r="N22" s="14"/>
      <c r="O22" s="14"/>
      <c r="P22" s="14"/>
      <c r="Q22" s="14"/>
      <c r="R22" s="14"/>
      <c r="S22" s="156"/>
    </row>
    <row r="23" spans="1:19" ht="14.65" thickBot="1" x14ac:dyDescent="0.5">
      <c r="A23" s="196" t="s">
        <v>129</v>
      </c>
      <c r="B23" s="197">
        <v>3.702E-4</v>
      </c>
      <c r="C23" s="25" t="s">
        <v>13</v>
      </c>
      <c r="D23" s="25"/>
      <c r="E23" s="158">
        <v>1.2411799999999999</v>
      </c>
      <c r="F23" s="25" t="s">
        <v>54</v>
      </c>
      <c r="G23" s="198">
        <v>2.062E-4</v>
      </c>
      <c r="H23" s="25" t="s">
        <v>76</v>
      </c>
      <c r="I23" s="198">
        <v>1.5459999999999999E-4</v>
      </c>
      <c r="J23" s="25" t="s">
        <v>58</v>
      </c>
      <c r="K23" s="25"/>
      <c r="L23" s="25"/>
      <c r="M23" s="25"/>
      <c r="N23" s="25"/>
      <c r="O23" s="25"/>
      <c r="P23" s="25"/>
      <c r="Q23" s="25"/>
      <c r="R23" s="25"/>
      <c r="S23" s="160"/>
    </row>
    <row r="24" spans="1:19" x14ac:dyDescent="0.45">
      <c r="A24" s="253" t="s">
        <v>216</v>
      </c>
      <c r="B24" s="254"/>
      <c r="C24" s="254"/>
      <c r="D24" s="254"/>
      <c r="E24" s="254"/>
      <c r="F24" s="254"/>
      <c r="G24" s="255"/>
      <c r="H24" s="256" t="s">
        <v>206</v>
      </c>
      <c r="I24" s="254"/>
      <c r="J24" s="254"/>
      <c r="K24" s="254"/>
      <c r="L24" s="254"/>
      <c r="M24" s="254"/>
      <c r="N24" s="254"/>
      <c r="O24" s="254"/>
      <c r="P24" s="254"/>
      <c r="Q24" s="254"/>
      <c r="R24" s="254"/>
      <c r="S24" s="257"/>
    </row>
    <row r="25" spans="1:19" x14ac:dyDescent="0.45">
      <c r="A25" s="199" t="s">
        <v>35</v>
      </c>
      <c r="B25" s="89"/>
      <c r="C25" s="89"/>
      <c r="D25" s="89"/>
      <c r="E25" s="89"/>
      <c r="F25" s="89"/>
      <c r="G25" s="90"/>
      <c r="H25" s="88" t="s">
        <v>228</v>
      </c>
      <c r="I25" s="89"/>
      <c r="J25" s="89"/>
      <c r="K25" s="89"/>
      <c r="L25" s="89"/>
      <c r="M25" s="89"/>
      <c r="N25" s="89"/>
      <c r="O25" s="89"/>
      <c r="P25" s="89"/>
      <c r="Q25" s="89"/>
      <c r="R25" s="89"/>
      <c r="S25" s="195"/>
    </row>
    <row r="26" spans="1:19" x14ac:dyDescent="0.45">
      <c r="A26" s="191"/>
      <c r="B26" s="14"/>
      <c r="C26" s="14"/>
      <c r="D26" s="14"/>
      <c r="E26" s="14"/>
      <c r="F26" s="14"/>
      <c r="G26" s="92"/>
      <c r="H26" s="91"/>
      <c r="I26" s="14"/>
      <c r="J26" s="14"/>
      <c r="K26" s="14"/>
      <c r="L26" s="14"/>
      <c r="M26" s="14"/>
      <c r="N26" s="14"/>
      <c r="O26" s="14"/>
      <c r="P26" s="14"/>
      <c r="Q26" s="14"/>
      <c r="R26" s="14"/>
      <c r="S26" s="156"/>
    </row>
    <row r="27" spans="1:19" x14ac:dyDescent="0.45">
      <c r="A27" s="191" t="s">
        <v>36</v>
      </c>
      <c r="B27" s="14"/>
      <c r="C27" s="14"/>
      <c r="D27" s="14"/>
      <c r="E27" s="14"/>
      <c r="F27" s="14"/>
      <c r="G27" s="92"/>
      <c r="H27" s="91"/>
      <c r="I27" s="14"/>
      <c r="J27" s="114"/>
      <c r="K27" s="14"/>
      <c r="L27" s="114"/>
      <c r="M27" s="114"/>
      <c r="N27" s="114"/>
      <c r="O27" s="114"/>
      <c r="P27" s="115"/>
      <c r="Q27" s="14"/>
      <c r="R27" s="14"/>
      <c r="S27" s="156"/>
    </row>
    <row r="28" spans="1:19" ht="14.65" thickBot="1" x14ac:dyDescent="0.5">
      <c r="A28" s="191"/>
      <c r="B28" s="14"/>
      <c r="C28" s="14"/>
      <c r="D28" s="14"/>
      <c r="E28" s="14"/>
      <c r="F28" s="14"/>
      <c r="G28" s="93"/>
      <c r="H28" s="91"/>
      <c r="I28" s="14"/>
      <c r="J28" s="114"/>
      <c r="K28" s="14"/>
      <c r="L28" s="114"/>
      <c r="M28" s="114"/>
      <c r="N28" s="114"/>
      <c r="O28" s="114"/>
      <c r="P28" s="14"/>
      <c r="Q28" s="14"/>
      <c r="R28" s="14"/>
      <c r="S28" s="156"/>
    </row>
    <row r="29" spans="1:19" ht="14.65" thickBot="1" x14ac:dyDescent="0.5">
      <c r="A29" s="191"/>
      <c r="B29" s="24">
        <f>(D13-D8)/(LN(D13/D8))</f>
        <v>2707.4896230993413</v>
      </c>
      <c r="C29" s="14" t="s">
        <v>20</v>
      </c>
      <c r="D29" s="14"/>
      <c r="E29" s="14"/>
      <c r="F29" s="14"/>
      <c r="G29" s="94"/>
      <c r="H29" s="91"/>
      <c r="I29" s="14"/>
      <c r="J29" s="116"/>
      <c r="K29" s="14"/>
      <c r="L29" s="116"/>
      <c r="M29" s="116"/>
      <c r="N29" s="116"/>
      <c r="O29" s="116"/>
      <c r="P29" s="114"/>
      <c r="Q29" s="116"/>
      <c r="R29" s="14"/>
      <c r="S29" s="156"/>
    </row>
    <row r="30" spans="1:19" x14ac:dyDescent="0.45">
      <c r="A30" s="191"/>
      <c r="B30" s="14"/>
      <c r="C30" s="14"/>
      <c r="D30" s="14"/>
      <c r="E30" s="14"/>
      <c r="F30" s="14"/>
      <c r="G30" s="92"/>
      <c r="H30" s="14"/>
      <c r="I30" s="14"/>
      <c r="J30" s="14"/>
      <c r="K30" s="14"/>
      <c r="L30" s="14"/>
      <c r="M30" s="14"/>
      <c r="N30" s="14"/>
      <c r="O30" s="14"/>
      <c r="P30" s="117"/>
      <c r="Q30" s="14"/>
      <c r="R30" s="14"/>
      <c r="S30" s="156"/>
    </row>
    <row r="31" spans="1:19" x14ac:dyDescent="0.45">
      <c r="A31" s="191"/>
      <c r="B31" s="14"/>
      <c r="C31" s="14"/>
      <c r="D31" s="14"/>
      <c r="E31" s="14"/>
      <c r="F31" s="14"/>
      <c r="G31" s="92"/>
      <c r="H31" s="14"/>
      <c r="I31" s="14"/>
      <c r="J31" s="14"/>
      <c r="K31" s="14"/>
      <c r="L31" s="14"/>
      <c r="M31" s="14"/>
      <c r="N31" s="14"/>
      <c r="O31" s="14"/>
      <c r="P31" s="14"/>
      <c r="Q31" s="14"/>
      <c r="R31" s="14"/>
      <c r="S31" s="156"/>
    </row>
    <row r="32" spans="1:19" x14ac:dyDescent="0.45">
      <c r="A32" s="191" t="s">
        <v>124</v>
      </c>
      <c r="B32" s="14"/>
      <c r="C32" s="14"/>
      <c r="D32" s="14"/>
      <c r="E32" s="14"/>
      <c r="F32" s="14"/>
      <c r="G32" s="92"/>
      <c r="H32" s="14"/>
      <c r="I32" s="14"/>
      <c r="J32" s="14"/>
      <c r="K32" s="14"/>
      <c r="L32" s="14"/>
      <c r="M32" s="14"/>
      <c r="N32" s="14"/>
      <c r="O32" s="14"/>
      <c r="P32" s="14"/>
      <c r="Q32" s="14"/>
      <c r="R32" s="14"/>
      <c r="S32" s="156"/>
    </row>
    <row r="33" spans="1:19" ht="14.65" thickBot="1" x14ac:dyDescent="0.5">
      <c r="A33" s="191"/>
      <c r="B33" s="14"/>
      <c r="C33" s="14"/>
      <c r="D33" s="14"/>
      <c r="E33" s="14"/>
      <c r="F33" s="14"/>
      <c r="G33" s="92"/>
      <c r="H33" s="91"/>
      <c r="I33" s="14"/>
      <c r="J33" s="14"/>
      <c r="K33" s="14"/>
      <c r="L33" s="14"/>
      <c r="M33" s="14"/>
      <c r="N33" s="14"/>
      <c r="O33" s="14"/>
      <c r="P33" s="14"/>
      <c r="Q33" s="14"/>
      <c r="R33" s="14"/>
      <c r="S33" s="156"/>
    </row>
    <row r="34" spans="1:19" ht="14.65" thickBot="1" x14ac:dyDescent="0.5">
      <c r="A34" s="191" t="s">
        <v>65</v>
      </c>
      <c r="B34" s="24">
        <f>D9+B29</f>
        <v>3025.5758792753077</v>
      </c>
      <c r="C34" s="14" t="s">
        <v>20</v>
      </c>
      <c r="D34" s="14"/>
      <c r="E34" s="77">
        <f>B34/10000</f>
        <v>0.30255758792753079</v>
      </c>
      <c r="F34" s="14" t="s">
        <v>198</v>
      </c>
      <c r="G34" s="92"/>
      <c r="H34" s="91"/>
      <c r="I34" s="14" t="s">
        <v>237</v>
      </c>
      <c r="J34" s="14"/>
      <c r="K34" s="14"/>
      <c r="L34" s="14" t="s">
        <v>237</v>
      </c>
      <c r="M34" s="14"/>
      <c r="N34" s="14"/>
      <c r="O34" s="14" t="s">
        <v>237</v>
      </c>
      <c r="P34" s="14"/>
      <c r="Q34" s="14"/>
      <c r="R34" s="14"/>
      <c r="S34" s="156"/>
    </row>
    <row r="35" spans="1:19" x14ac:dyDescent="0.45">
      <c r="A35" s="191"/>
      <c r="B35" s="14"/>
      <c r="C35" s="14"/>
      <c r="D35" s="14"/>
      <c r="E35" s="14"/>
      <c r="F35" s="14"/>
      <c r="G35" s="92"/>
      <c r="H35" s="91"/>
      <c r="I35" s="14" t="s">
        <v>239</v>
      </c>
      <c r="J35" s="14"/>
      <c r="K35" s="14"/>
      <c r="L35" s="14" t="s">
        <v>241</v>
      </c>
      <c r="M35" s="14"/>
      <c r="N35" s="14"/>
      <c r="O35" s="14" t="s">
        <v>241</v>
      </c>
      <c r="P35" s="14"/>
      <c r="Q35" s="14"/>
      <c r="R35" s="14"/>
      <c r="S35" s="156"/>
    </row>
    <row r="36" spans="1:19" x14ac:dyDescent="0.45">
      <c r="A36" s="191" t="s">
        <v>37</v>
      </c>
      <c r="B36" s="14"/>
      <c r="C36" s="14"/>
      <c r="D36" s="14"/>
      <c r="E36" s="14"/>
      <c r="F36" s="14"/>
      <c r="G36" s="92"/>
      <c r="H36" s="91"/>
      <c r="I36" s="130" t="s">
        <v>238</v>
      </c>
      <c r="J36" s="14"/>
      <c r="K36" s="14"/>
      <c r="L36" s="130" t="s">
        <v>238</v>
      </c>
      <c r="M36" s="14"/>
      <c r="N36" s="14"/>
      <c r="O36" s="130" t="s">
        <v>238</v>
      </c>
      <c r="P36" s="14"/>
      <c r="Q36" s="14"/>
      <c r="R36" s="14"/>
      <c r="S36" s="156"/>
    </row>
    <row r="37" spans="1:19" x14ac:dyDescent="0.45">
      <c r="A37" s="191"/>
      <c r="B37" s="14"/>
      <c r="C37" s="14"/>
      <c r="D37" s="14"/>
      <c r="E37" s="14"/>
      <c r="F37" s="14"/>
      <c r="G37" s="92"/>
      <c r="H37" s="91"/>
      <c r="I37" s="14" t="s">
        <v>232</v>
      </c>
      <c r="J37" s="14"/>
      <c r="K37" s="14"/>
      <c r="L37" s="14" t="s">
        <v>240</v>
      </c>
      <c r="M37" s="14"/>
      <c r="N37" s="14"/>
      <c r="O37" s="14" t="s">
        <v>232</v>
      </c>
      <c r="P37" s="14"/>
      <c r="Q37" s="14"/>
      <c r="R37" s="14"/>
      <c r="S37" s="156"/>
    </row>
    <row r="38" spans="1:19" x14ac:dyDescent="0.45">
      <c r="A38" s="191"/>
      <c r="B38" s="14" t="s">
        <v>33</v>
      </c>
      <c r="C38" s="14"/>
      <c r="D38" s="14"/>
      <c r="E38" s="14"/>
      <c r="F38" s="14"/>
      <c r="G38" s="92"/>
      <c r="H38" s="97"/>
      <c r="I38" s="14" t="s">
        <v>231</v>
      </c>
      <c r="J38" s="14"/>
      <c r="K38" s="14"/>
      <c r="L38" s="14" t="s">
        <v>229</v>
      </c>
      <c r="M38" s="14"/>
      <c r="N38" s="14"/>
      <c r="O38" s="14" t="s">
        <v>215</v>
      </c>
      <c r="P38" s="14"/>
      <c r="Q38" s="14"/>
      <c r="R38" s="14"/>
      <c r="S38" s="156"/>
    </row>
    <row r="39" spans="1:19" x14ac:dyDescent="0.45">
      <c r="A39" s="191"/>
      <c r="B39" s="14" t="s">
        <v>86</v>
      </c>
      <c r="C39" s="14"/>
      <c r="D39" s="14"/>
      <c r="E39" s="14"/>
      <c r="F39" s="14"/>
      <c r="G39" s="92"/>
      <c r="H39" s="127" t="s">
        <v>221</v>
      </c>
      <c r="I39" s="77">
        <f>I75</f>
        <v>28.32</v>
      </c>
      <c r="J39" s="95" t="s">
        <v>87</v>
      </c>
      <c r="K39" s="101"/>
      <c r="L39" s="77">
        <f>L75</f>
        <v>27.26</v>
      </c>
      <c r="M39" s="95" t="s">
        <v>87</v>
      </c>
      <c r="N39" s="101"/>
      <c r="O39" s="77">
        <f>O75</f>
        <v>26.9</v>
      </c>
      <c r="P39" s="95" t="s">
        <v>87</v>
      </c>
      <c r="Q39" s="14"/>
      <c r="R39" s="14"/>
      <c r="S39" s="156"/>
    </row>
    <row r="40" spans="1:19" x14ac:dyDescent="0.45">
      <c r="A40" s="191"/>
      <c r="B40" s="14" t="s">
        <v>34</v>
      </c>
      <c r="C40" s="14"/>
      <c r="D40" s="14"/>
      <c r="E40" s="14"/>
      <c r="F40" s="14"/>
      <c r="G40" s="92"/>
      <c r="H40" s="127" t="s">
        <v>222</v>
      </c>
      <c r="I40" s="87">
        <v>30.97</v>
      </c>
      <c r="J40" s="95" t="s">
        <v>87</v>
      </c>
      <c r="K40" s="101"/>
      <c r="L40" s="3">
        <v>29.56</v>
      </c>
      <c r="M40" s="95" t="s">
        <v>87</v>
      </c>
      <c r="N40" s="101"/>
      <c r="O40" s="3">
        <v>28.12</v>
      </c>
      <c r="P40" s="95" t="s">
        <v>87</v>
      </c>
      <c r="Q40" s="14"/>
      <c r="R40" s="14"/>
      <c r="S40" s="156"/>
    </row>
    <row r="41" spans="1:19" x14ac:dyDescent="0.45">
      <c r="A41" s="191"/>
      <c r="B41" s="14" t="s">
        <v>120</v>
      </c>
      <c r="C41" s="14"/>
      <c r="D41" s="14"/>
      <c r="E41" s="14"/>
      <c r="F41" s="14"/>
      <c r="G41" s="92"/>
      <c r="H41" s="120"/>
      <c r="I41" s="14"/>
      <c r="J41" s="14"/>
      <c r="K41" s="14"/>
      <c r="L41" s="14"/>
      <c r="M41" s="14"/>
      <c r="N41" s="14"/>
      <c r="O41" s="14"/>
      <c r="P41" s="14"/>
      <c r="Q41" s="14"/>
      <c r="R41" s="14"/>
      <c r="S41" s="156"/>
    </row>
    <row r="42" spans="1:19" ht="14.65" thickBot="1" x14ac:dyDescent="0.5">
      <c r="A42" s="191"/>
      <c r="B42" s="14"/>
      <c r="C42" s="14"/>
      <c r="D42" s="14"/>
      <c r="E42" s="14"/>
      <c r="F42" s="14"/>
      <c r="G42" s="92"/>
      <c r="H42" s="120"/>
      <c r="I42" s="14"/>
      <c r="J42" s="14"/>
      <c r="K42" s="14"/>
      <c r="L42" s="14"/>
      <c r="M42" s="14"/>
      <c r="N42" s="14"/>
      <c r="O42" s="14"/>
      <c r="P42" s="14"/>
      <c r="Q42" s="14"/>
      <c r="R42" s="14"/>
      <c r="S42" s="156"/>
    </row>
    <row r="43" spans="1:19" ht="16.149999999999999" thickBot="1" x14ac:dyDescent="0.55000000000000004">
      <c r="A43" s="145"/>
      <c r="B43" s="24">
        <f>(Q7*D7)/(B20*B34)</f>
        <v>0.33941230512562914</v>
      </c>
      <c r="C43" s="95" t="s">
        <v>87</v>
      </c>
      <c r="D43" s="14" t="s">
        <v>245</v>
      </c>
      <c r="E43" s="14"/>
      <c r="F43" s="14"/>
      <c r="G43" s="92"/>
      <c r="H43" s="102" t="s">
        <v>278</v>
      </c>
      <c r="I43" s="77">
        <f>I40-I39</f>
        <v>2.6499999999999986</v>
      </c>
      <c r="J43" s="95" t="s">
        <v>87</v>
      </c>
      <c r="K43" s="118" t="s">
        <v>141</v>
      </c>
      <c r="L43" s="77">
        <f>L40-L39</f>
        <v>2.2999999999999972</v>
      </c>
      <c r="M43" s="95" t="s">
        <v>87</v>
      </c>
      <c r="N43" s="118" t="s">
        <v>141</v>
      </c>
      <c r="O43" s="77">
        <f>O40-O39</f>
        <v>1.2200000000000024</v>
      </c>
      <c r="P43" s="95" t="s">
        <v>87</v>
      </c>
      <c r="Q43" s="14"/>
      <c r="R43" s="14"/>
      <c r="S43" s="156"/>
    </row>
    <row r="44" spans="1:19" x14ac:dyDescent="0.45">
      <c r="A44" s="191"/>
      <c r="B44" s="14"/>
      <c r="C44" s="14"/>
      <c r="D44" s="14"/>
      <c r="E44" s="14"/>
      <c r="F44" s="14"/>
      <c r="G44" s="92"/>
      <c r="H44" s="91"/>
      <c r="I44" s="14"/>
      <c r="J44" s="14"/>
      <c r="K44" s="14"/>
      <c r="L44" s="14"/>
      <c r="M44" s="14"/>
      <c r="N44" s="14"/>
      <c r="O44" s="14"/>
      <c r="P44" s="14"/>
      <c r="Q44" s="14"/>
      <c r="R44" s="14"/>
      <c r="S44" s="156"/>
    </row>
    <row r="45" spans="1:19" x14ac:dyDescent="0.45">
      <c r="A45" s="199" t="s">
        <v>40</v>
      </c>
      <c r="B45" s="89"/>
      <c r="C45" s="89"/>
      <c r="D45" s="89"/>
      <c r="E45" s="89"/>
      <c r="F45" s="89"/>
      <c r="G45" s="90"/>
      <c r="H45" s="88" t="s">
        <v>227</v>
      </c>
      <c r="I45" s="89"/>
      <c r="J45" s="89"/>
      <c r="K45" s="89"/>
      <c r="L45" s="89"/>
      <c r="M45" s="89"/>
      <c r="N45" s="89"/>
      <c r="O45" s="89"/>
      <c r="P45" s="89"/>
      <c r="Q45" s="89"/>
      <c r="R45" s="89"/>
      <c r="S45" s="195"/>
    </row>
    <row r="46" spans="1:19" x14ac:dyDescent="0.45">
      <c r="A46" s="191"/>
      <c r="B46" s="14"/>
      <c r="C46" s="14"/>
      <c r="D46" s="14"/>
      <c r="E46" s="14"/>
      <c r="F46" s="14"/>
      <c r="G46" s="92"/>
      <c r="H46" s="91"/>
      <c r="I46" s="14"/>
      <c r="J46" s="14"/>
      <c r="K46" s="14"/>
      <c r="L46" s="14"/>
      <c r="M46" s="14"/>
      <c r="N46" s="14"/>
      <c r="O46" s="14"/>
      <c r="P46" s="14"/>
      <c r="Q46" s="14"/>
      <c r="R46" s="14"/>
      <c r="S46" s="156"/>
    </row>
    <row r="47" spans="1:19" x14ac:dyDescent="0.45">
      <c r="A47" s="191" t="s">
        <v>193</v>
      </c>
      <c r="B47" s="14"/>
      <c r="C47" s="14"/>
      <c r="D47" s="14"/>
      <c r="E47" s="14"/>
      <c r="F47" s="14"/>
      <c r="G47" s="92"/>
      <c r="H47" s="91"/>
      <c r="I47" s="14"/>
      <c r="J47" s="14"/>
      <c r="K47" s="14"/>
      <c r="L47" s="14"/>
      <c r="M47" s="14"/>
      <c r="N47" s="14"/>
      <c r="O47" s="14"/>
      <c r="P47" s="14"/>
      <c r="Q47" s="14"/>
      <c r="R47" s="14"/>
      <c r="S47" s="156"/>
    </row>
    <row r="48" spans="1:19" x14ac:dyDescent="0.45">
      <c r="A48" s="191"/>
      <c r="B48" s="14"/>
      <c r="C48" s="14"/>
      <c r="D48" s="14"/>
      <c r="E48" s="14"/>
      <c r="F48" s="14"/>
      <c r="G48" s="92"/>
      <c r="H48" s="91"/>
      <c r="I48" s="14"/>
      <c r="J48" s="14"/>
      <c r="K48" s="14"/>
      <c r="L48" s="14"/>
      <c r="M48" s="14"/>
      <c r="N48" s="14"/>
      <c r="O48" s="14"/>
      <c r="P48" s="14"/>
      <c r="Q48" s="14"/>
      <c r="R48" s="14"/>
      <c r="S48" s="156"/>
    </row>
    <row r="49" spans="1:19" x14ac:dyDescent="0.45">
      <c r="A49" s="191"/>
      <c r="B49" s="14" t="s">
        <v>46</v>
      </c>
      <c r="C49" s="14"/>
      <c r="D49" s="14"/>
      <c r="E49" s="14"/>
      <c r="F49" s="14"/>
      <c r="G49" s="92"/>
      <c r="H49" s="91"/>
      <c r="I49" s="14"/>
      <c r="J49" s="14"/>
      <c r="K49" s="14"/>
      <c r="L49" s="14"/>
      <c r="M49" s="14"/>
      <c r="N49" s="14"/>
      <c r="O49" s="14"/>
      <c r="P49" s="14"/>
      <c r="Q49" s="14"/>
      <c r="R49" s="14"/>
      <c r="S49" s="156"/>
    </row>
    <row r="50" spans="1:19" x14ac:dyDescent="0.45">
      <c r="A50" s="191"/>
      <c r="B50" s="14" t="s">
        <v>47</v>
      </c>
      <c r="C50" s="14"/>
      <c r="D50" s="14"/>
      <c r="E50" s="14"/>
      <c r="F50" s="14"/>
      <c r="G50" s="92"/>
      <c r="H50" s="91"/>
      <c r="I50" s="261" t="s">
        <v>234</v>
      </c>
      <c r="J50" s="261"/>
      <c r="K50" s="261"/>
      <c r="L50" s="261"/>
      <c r="M50" s="261"/>
      <c r="N50" s="261"/>
      <c r="O50" s="261"/>
      <c r="P50" s="261"/>
      <c r="Q50" s="261"/>
      <c r="R50" s="14"/>
      <c r="S50" s="156"/>
    </row>
    <row r="51" spans="1:19" x14ac:dyDescent="0.45">
      <c r="A51" s="191"/>
      <c r="B51" s="14" t="s">
        <v>48</v>
      </c>
      <c r="C51" s="14"/>
      <c r="D51" s="14"/>
      <c r="E51" s="14"/>
      <c r="F51" s="14"/>
      <c r="G51" s="92"/>
      <c r="H51" s="91"/>
      <c r="I51" s="261"/>
      <c r="J51" s="261"/>
      <c r="K51" s="261"/>
      <c r="L51" s="261"/>
      <c r="M51" s="261"/>
      <c r="N51" s="261"/>
      <c r="O51" s="261"/>
      <c r="P51" s="261"/>
      <c r="Q51" s="261"/>
      <c r="R51" s="14"/>
      <c r="S51" s="156"/>
    </row>
    <row r="52" spans="1:19" x14ac:dyDescent="0.45">
      <c r="A52" s="191"/>
      <c r="B52" s="14"/>
      <c r="C52" s="14"/>
      <c r="D52" s="14"/>
      <c r="E52" s="14"/>
      <c r="F52" s="14"/>
      <c r="G52" s="92"/>
      <c r="H52" s="91"/>
      <c r="I52" s="261"/>
      <c r="J52" s="261"/>
      <c r="K52" s="261"/>
      <c r="L52" s="261"/>
      <c r="M52" s="261"/>
      <c r="N52" s="261"/>
      <c r="O52" s="261"/>
      <c r="P52" s="261"/>
      <c r="Q52" s="261"/>
      <c r="R52" s="14"/>
      <c r="S52" s="156"/>
    </row>
    <row r="53" spans="1:19" x14ac:dyDescent="0.45">
      <c r="A53" s="191" t="s">
        <v>209</v>
      </c>
      <c r="B53" s="14"/>
      <c r="C53" s="14"/>
      <c r="D53" s="14"/>
      <c r="E53" s="14"/>
      <c r="F53" s="14"/>
      <c r="G53" s="92"/>
      <c r="H53" s="91"/>
      <c r="I53" s="261"/>
      <c r="J53" s="261"/>
      <c r="K53" s="261"/>
      <c r="L53" s="261"/>
      <c r="M53" s="261"/>
      <c r="N53" s="261"/>
      <c r="O53" s="261"/>
      <c r="P53" s="261"/>
      <c r="Q53" s="261"/>
      <c r="R53" s="14"/>
      <c r="S53" s="156"/>
    </row>
    <row r="54" spans="1:19" x14ac:dyDescent="0.45">
      <c r="A54" s="191"/>
      <c r="B54" s="14"/>
      <c r="C54" s="14"/>
      <c r="D54" s="14"/>
      <c r="E54" s="14"/>
      <c r="F54" s="14"/>
      <c r="G54" s="92"/>
      <c r="H54" s="91"/>
      <c r="I54" s="261"/>
      <c r="J54" s="261"/>
      <c r="K54" s="261"/>
      <c r="L54" s="261"/>
      <c r="M54" s="261"/>
      <c r="N54" s="261"/>
      <c r="O54" s="261"/>
      <c r="P54" s="261"/>
      <c r="Q54" s="261"/>
      <c r="R54" s="14"/>
      <c r="S54" s="156"/>
    </row>
    <row r="55" spans="1:19" x14ac:dyDescent="0.45">
      <c r="A55" s="191"/>
      <c r="B55" s="14" t="s">
        <v>69</v>
      </c>
      <c r="C55" s="14"/>
      <c r="D55" s="14"/>
      <c r="E55" s="14"/>
      <c r="F55" s="14"/>
      <c r="G55" s="92"/>
      <c r="H55" s="91"/>
      <c r="I55" s="261"/>
      <c r="J55" s="261"/>
      <c r="K55" s="261"/>
      <c r="L55" s="261"/>
      <c r="M55" s="261"/>
      <c r="N55" s="261"/>
      <c r="O55" s="261"/>
      <c r="P55" s="261"/>
      <c r="Q55" s="261"/>
      <c r="R55" s="14"/>
      <c r="S55" s="156"/>
    </row>
    <row r="56" spans="1:19" x14ac:dyDescent="0.45">
      <c r="A56" s="191"/>
      <c r="B56" s="14"/>
      <c r="C56" s="14"/>
      <c r="D56" s="14"/>
      <c r="E56" s="14"/>
      <c r="F56" s="14"/>
      <c r="G56" s="92"/>
      <c r="H56" s="91"/>
      <c r="I56" s="14"/>
      <c r="J56" s="14"/>
      <c r="K56" s="14"/>
      <c r="L56" s="14"/>
      <c r="M56" s="14"/>
      <c r="N56" s="14"/>
      <c r="O56" s="14"/>
      <c r="P56" s="14"/>
      <c r="Q56" s="14"/>
      <c r="R56" s="14"/>
      <c r="S56" s="156"/>
    </row>
    <row r="57" spans="1:19" x14ac:dyDescent="0.45">
      <c r="A57" s="191"/>
      <c r="B57" s="14" t="s">
        <v>135</v>
      </c>
      <c r="C57" s="14"/>
      <c r="D57" s="14"/>
      <c r="E57" s="14"/>
      <c r="F57" s="14"/>
      <c r="G57" s="92"/>
      <c r="H57" s="91"/>
      <c r="I57" s="14"/>
      <c r="J57" s="14"/>
      <c r="K57" s="14"/>
      <c r="L57" s="14"/>
      <c r="M57" s="14"/>
      <c r="N57" s="14"/>
      <c r="O57" s="14"/>
      <c r="P57" s="14"/>
      <c r="Q57" s="14"/>
      <c r="R57" s="14"/>
      <c r="S57" s="156"/>
    </row>
    <row r="58" spans="1:19" x14ac:dyDescent="0.45">
      <c r="A58" s="191"/>
      <c r="B58" s="95" t="s">
        <v>77</v>
      </c>
      <c r="C58" s="14"/>
      <c r="D58" s="14"/>
      <c r="E58" s="14"/>
      <c r="F58" s="14"/>
      <c r="G58" s="92"/>
      <c r="H58" s="91"/>
      <c r="I58" s="14"/>
      <c r="J58" s="14"/>
      <c r="K58" s="14"/>
      <c r="L58" s="14"/>
      <c r="M58" s="14"/>
      <c r="N58" s="14"/>
      <c r="O58" s="14"/>
      <c r="P58" s="14"/>
      <c r="Q58" s="14"/>
      <c r="R58" s="14"/>
      <c r="S58" s="156"/>
    </row>
    <row r="59" spans="1:19" x14ac:dyDescent="0.45">
      <c r="A59" s="191"/>
      <c r="B59" s="95"/>
      <c r="C59" s="14"/>
      <c r="D59" s="14"/>
      <c r="E59" s="14"/>
      <c r="F59" s="14"/>
      <c r="G59" s="92"/>
      <c r="H59" s="91"/>
      <c r="I59" s="14"/>
      <c r="J59" s="14"/>
      <c r="K59" s="14"/>
      <c r="L59" s="14"/>
      <c r="M59" s="14"/>
      <c r="N59" s="14"/>
      <c r="O59" s="14"/>
      <c r="P59" s="14"/>
      <c r="Q59" s="14"/>
      <c r="R59" s="14"/>
      <c r="S59" s="156"/>
    </row>
    <row r="60" spans="1:19" x14ac:dyDescent="0.45">
      <c r="A60" s="145" t="s">
        <v>165</v>
      </c>
      <c r="B60" s="64">
        <v>500</v>
      </c>
      <c r="C60" s="95" t="s">
        <v>19</v>
      </c>
      <c r="D60" s="14"/>
      <c r="E60" s="14"/>
      <c r="F60" s="14"/>
      <c r="G60" s="92"/>
      <c r="H60" s="91"/>
      <c r="I60" s="14"/>
      <c r="J60" s="14"/>
      <c r="K60" s="14"/>
      <c r="L60" s="14"/>
      <c r="M60" s="14"/>
      <c r="N60" s="14"/>
      <c r="O60" s="14"/>
      <c r="P60" s="14"/>
      <c r="Q60" s="14"/>
      <c r="R60" s="14"/>
      <c r="S60" s="156"/>
    </row>
    <row r="61" spans="1:19" x14ac:dyDescent="0.45">
      <c r="A61" s="145" t="s">
        <v>130</v>
      </c>
      <c r="B61" s="22">
        <f>PI()*((B60/2)^2)</f>
        <v>196349.54084936206</v>
      </c>
      <c r="C61" s="95" t="s">
        <v>20</v>
      </c>
      <c r="D61" s="14"/>
      <c r="E61" s="14"/>
      <c r="F61" s="14"/>
      <c r="G61" s="92"/>
      <c r="H61" s="91"/>
      <c r="I61" s="14"/>
      <c r="J61" s="14"/>
      <c r="K61" s="14"/>
      <c r="L61" s="14"/>
      <c r="M61" s="14"/>
      <c r="N61" s="14"/>
      <c r="O61" s="14"/>
      <c r="P61" s="14"/>
      <c r="Q61" s="14"/>
      <c r="R61" s="14"/>
      <c r="S61" s="156"/>
    </row>
    <row r="62" spans="1:19" x14ac:dyDescent="0.45">
      <c r="A62" s="145" t="s">
        <v>142</v>
      </c>
      <c r="B62" s="22">
        <v>0.25</v>
      </c>
      <c r="C62" s="49" t="s">
        <v>143</v>
      </c>
      <c r="D62" s="14"/>
      <c r="E62" s="14"/>
      <c r="F62" s="14"/>
      <c r="G62" s="92"/>
      <c r="H62" s="91"/>
      <c r="I62" s="14"/>
      <c r="J62" s="14"/>
      <c r="K62" s="14"/>
      <c r="L62" s="14"/>
      <c r="M62" s="14"/>
      <c r="N62" s="14"/>
      <c r="O62" s="14"/>
      <c r="P62" s="14"/>
      <c r="Q62" s="14"/>
      <c r="R62" s="14"/>
      <c r="S62" s="156"/>
    </row>
    <row r="63" spans="1:19" x14ac:dyDescent="0.45">
      <c r="A63" s="145" t="s">
        <v>132</v>
      </c>
      <c r="B63" s="10">
        <f>B62*B61*I21</f>
        <v>48919.506354914309</v>
      </c>
      <c r="C63" s="95" t="s">
        <v>134</v>
      </c>
      <c r="D63" s="14"/>
      <c r="E63" s="14"/>
      <c r="F63" s="14"/>
      <c r="G63" s="92"/>
      <c r="H63" s="91"/>
      <c r="I63" s="14"/>
      <c r="J63" s="14"/>
      <c r="K63" s="14"/>
      <c r="L63" s="14"/>
      <c r="M63" s="14"/>
      <c r="N63" s="14"/>
      <c r="O63" s="14"/>
      <c r="P63" s="14"/>
      <c r="Q63" s="14"/>
      <c r="R63" s="14"/>
      <c r="S63" s="156"/>
    </row>
    <row r="64" spans="1:19" x14ac:dyDescent="0.45">
      <c r="A64" s="145" t="s">
        <v>133</v>
      </c>
      <c r="B64" s="10">
        <f>B63/B61</f>
        <v>0.24914499999999998</v>
      </c>
      <c r="C64" s="95" t="s">
        <v>136</v>
      </c>
      <c r="D64" s="14"/>
      <c r="E64" s="14"/>
      <c r="F64" s="14"/>
      <c r="G64" s="92"/>
      <c r="H64" s="91"/>
      <c r="I64" s="14"/>
      <c r="J64" s="14"/>
      <c r="K64" s="14"/>
      <c r="L64" s="14"/>
      <c r="M64" s="14"/>
      <c r="N64" s="14"/>
      <c r="O64" s="14"/>
      <c r="P64" s="14"/>
      <c r="Q64" s="14"/>
      <c r="R64" s="14"/>
      <c r="S64" s="156"/>
    </row>
    <row r="65" spans="1:19" x14ac:dyDescent="0.45">
      <c r="A65" s="145" t="s">
        <v>131</v>
      </c>
      <c r="B65" s="65">
        <f>B60</f>
        <v>500</v>
      </c>
      <c r="C65" s="95" t="s">
        <v>19</v>
      </c>
      <c r="D65" s="14"/>
      <c r="E65" s="14"/>
      <c r="F65" s="14"/>
      <c r="G65" s="92"/>
      <c r="H65" s="91"/>
      <c r="I65" s="14"/>
      <c r="J65" s="14"/>
      <c r="K65" s="14"/>
      <c r="L65" s="14"/>
      <c r="M65" s="14"/>
      <c r="N65" s="14"/>
      <c r="O65" s="14"/>
      <c r="P65" s="14"/>
      <c r="Q65" s="14"/>
      <c r="R65" s="14"/>
      <c r="S65" s="156"/>
    </row>
    <row r="66" spans="1:19" x14ac:dyDescent="0.45">
      <c r="A66" s="200" t="s">
        <v>137</v>
      </c>
      <c r="B66" s="37">
        <f>B64*B65/G21</f>
        <v>14345.059880239518</v>
      </c>
      <c r="C66" s="14"/>
      <c r="D66" s="14"/>
      <c r="E66" s="14"/>
      <c r="F66" s="14"/>
      <c r="G66" s="92"/>
      <c r="H66" s="91"/>
      <c r="I66" s="14"/>
      <c r="J66" s="14"/>
      <c r="K66" s="14"/>
      <c r="L66" s="14"/>
      <c r="M66" s="14"/>
      <c r="N66" s="14"/>
      <c r="O66" s="14"/>
      <c r="P66" s="14"/>
      <c r="Q66" s="14"/>
      <c r="R66" s="14"/>
      <c r="S66" s="156"/>
    </row>
    <row r="67" spans="1:19" x14ac:dyDescent="0.45">
      <c r="A67" s="191"/>
      <c r="B67" s="14"/>
      <c r="C67" s="14"/>
      <c r="D67" s="14"/>
      <c r="E67" s="14"/>
      <c r="F67" s="14"/>
      <c r="G67" s="92"/>
      <c r="H67" s="91"/>
      <c r="I67" s="14"/>
      <c r="J67" s="14"/>
      <c r="K67" s="14"/>
      <c r="L67" s="14"/>
      <c r="M67" s="14"/>
      <c r="N67" s="14"/>
      <c r="O67" s="14"/>
      <c r="P67" s="14"/>
      <c r="Q67" s="14"/>
      <c r="R67" s="14"/>
      <c r="S67" s="156"/>
    </row>
    <row r="68" spans="1:19" x14ac:dyDescent="0.45">
      <c r="A68" s="201" t="s">
        <v>192</v>
      </c>
      <c r="B68" s="99"/>
      <c r="C68" s="14"/>
      <c r="D68" s="14"/>
      <c r="E68" s="14"/>
      <c r="F68" s="14"/>
      <c r="G68" s="92"/>
      <c r="H68" s="91"/>
      <c r="I68" s="14"/>
      <c r="J68" s="14"/>
      <c r="K68" s="14"/>
      <c r="L68" s="14"/>
      <c r="M68" s="14"/>
      <c r="N68" s="14"/>
      <c r="O68" s="14"/>
      <c r="P68" s="14"/>
      <c r="Q68" s="14"/>
      <c r="R68" s="14"/>
      <c r="S68" s="156"/>
    </row>
    <row r="69" spans="1:19" x14ac:dyDescent="0.45">
      <c r="A69" s="191"/>
      <c r="B69" s="14"/>
      <c r="C69" s="14"/>
      <c r="D69" s="14"/>
      <c r="E69" s="14"/>
      <c r="F69" s="14"/>
      <c r="G69" s="92"/>
      <c r="H69" s="91"/>
      <c r="I69" s="14"/>
      <c r="J69" s="14"/>
      <c r="K69" s="14"/>
      <c r="L69" s="14"/>
      <c r="M69" s="14"/>
      <c r="N69" s="14"/>
      <c r="O69" s="14"/>
      <c r="P69" s="14"/>
      <c r="Q69" s="14"/>
      <c r="R69" s="14"/>
      <c r="S69" s="156"/>
    </row>
    <row r="70" spans="1:19" x14ac:dyDescent="0.45">
      <c r="A70" s="191"/>
      <c r="B70" s="100" t="s">
        <v>159</v>
      </c>
      <c r="C70" s="14"/>
      <c r="D70" s="14"/>
      <c r="E70" s="14"/>
      <c r="F70" s="14"/>
      <c r="G70" s="92"/>
      <c r="H70" s="91"/>
      <c r="I70" s="14"/>
      <c r="J70" s="14"/>
      <c r="K70" s="14"/>
      <c r="L70" s="14"/>
      <c r="M70" s="14"/>
      <c r="N70" s="14"/>
      <c r="O70" s="14"/>
      <c r="P70" s="14"/>
      <c r="Q70" s="14"/>
      <c r="R70" s="14"/>
      <c r="S70" s="156"/>
    </row>
    <row r="71" spans="1:19" x14ac:dyDescent="0.45">
      <c r="A71" s="200" t="s">
        <v>138</v>
      </c>
      <c r="B71" s="14">
        <v>0.17399999999999999</v>
      </c>
      <c r="C71" s="14"/>
      <c r="D71" s="14"/>
      <c r="E71" s="14"/>
      <c r="F71" s="14"/>
      <c r="G71" s="92"/>
      <c r="H71" s="91"/>
      <c r="I71" s="14"/>
      <c r="J71" s="14"/>
      <c r="K71" s="14"/>
      <c r="L71" s="14"/>
      <c r="M71" s="14"/>
      <c r="N71" s="14"/>
      <c r="O71" s="14"/>
      <c r="P71" s="14"/>
      <c r="Q71" s="14"/>
      <c r="R71" s="14"/>
      <c r="S71" s="156"/>
    </row>
    <row r="72" spans="1:19" x14ac:dyDescent="0.45">
      <c r="A72" s="200" t="s">
        <v>139</v>
      </c>
      <c r="B72" s="14">
        <v>0.61799999999999999</v>
      </c>
      <c r="C72" s="14"/>
      <c r="D72" s="14"/>
      <c r="E72" s="14"/>
      <c r="F72" s="14"/>
      <c r="G72" s="92"/>
      <c r="H72" s="91"/>
      <c r="I72" s="14"/>
      <c r="J72" s="14"/>
      <c r="K72" s="14"/>
      <c r="L72" s="14"/>
      <c r="M72" s="14"/>
      <c r="N72" s="14"/>
      <c r="O72" s="14" t="s">
        <v>214</v>
      </c>
      <c r="P72" s="14"/>
      <c r="Q72" s="14"/>
      <c r="R72" s="14"/>
      <c r="S72" s="156"/>
    </row>
    <row r="73" spans="1:19" x14ac:dyDescent="0.45">
      <c r="A73" s="191"/>
      <c r="B73" s="14"/>
      <c r="C73" s="14"/>
      <c r="D73" s="14" t="s">
        <v>197</v>
      </c>
      <c r="E73" s="14"/>
      <c r="F73" s="14"/>
      <c r="G73" s="92"/>
      <c r="H73" s="91"/>
      <c r="I73" s="14" t="s">
        <v>214</v>
      </c>
      <c r="J73" s="14"/>
      <c r="K73" s="14"/>
      <c r="L73" s="14" t="s">
        <v>213</v>
      </c>
      <c r="M73" s="14"/>
      <c r="N73" s="14"/>
      <c r="O73" s="14" t="s">
        <v>215</v>
      </c>
      <c r="P73" s="14"/>
      <c r="Q73" s="14"/>
      <c r="R73" s="14" t="s">
        <v>223</v>
      </c>
      <c r="S73" s="156"/>
    </row>
    <row r="74" spans="1:19" x14ac:dyDescent="0.45">
      <c r="A74" s="200" t="s">
        <v>194</v>
      </c>
      <c r="B74" s="7">
        <f>(B71)*(B21/D4)*(B66^B72)</f>
        <v>4.6238684394483889E-3</v>
      </c>
      <c r="C74" s="14" t="s">
        <v>201</v>
      </c>
      <c r="D74" s="76">
        <f>((B74/1000))*60*60*100*100</f>
        <v>166.45926382014201</v>
      </c>
      <c r="E74" s="14" t="s">
        <v>195</v>
      </c>
      <c r="F74" s="14"/>
      <c r="G74" s="92"/>
      <c r="H74" s="98" t="s">
        <v>194</v>
      </c>
      <c r="I74" s="3">
        <v>79.599999999999994</v>
      </c>
      <c r="J74" s="14" t="s">
        <v>196</v>
      </c>
      <c r="K74" s="14"/>
      <c r="L74" s="85">
        <v>93.4</v>
      </c>
      <c r="M74" s="14" t="s">
        <v>196</v>
      </c>
      <c r="N74" s="14"/>
      <c r="O74" s="3">
        <v>236.1</v>
      </c>
      <c r="P74" s="14" t="s">
        <v>196</v>
      </c>
      <c r="Q74" s="14"/>
      <c r="R74" s="3">
        <v>269.39999999999998</v>
      </c>
      <c r="S74" s="156" t="s">
        <v>196</v>
      </c>
    </row>
    <row r="75" spans="1:19" ht="14.65" thickBot="1" x14ac:dyDescent="0.5">
      <c r="A75" s="200"/>
      <c r="B75" s="14"/>
      <c r="C75" s="14"/>
      <c r="D75" s="76">
        <f>D74*1.1622</f>
        <v>193.45895641176904</v>
      </c>
      <c r="E75" s="14" t="s">
        <v>196</v>
      </c>
      <c r="F75" s="14"/>
      <c r="G75" s="101"/>
      <c r="H75" s="127" t="s">
        <v>221</v>
      </c>
      <c r="I75" s="3">
        <v>28.32</v>
      </c>
      <c r="J75" s="95" t="s">
        <v>87</v>
      </c>
      <c r="K75" s="101"/>
      <c r="L75" s="87">
        <v>27.26</v>
      </c>
      <c r="M75" s="95" t="s">
        <v>87</v>
      </c>
      <c r="N75" s="101"/>
      <c r="O75" s="3">
        <v>26.9</v>
      </c>
      <c r="P75" s="95" t="s">
        <v>87</v>
      </c>
      <c r="Q75" s="101"/>
      <c r="R75" s="3">
        <v>26.83</v>
      </c>
      <c r="S75" s="202" t="s">
        <v>87</v>
      </c>
    </row>
    <row r="76" spans="1:19" ht="16.149999999999999" thickBot="1" x14ac:dyDescent="0.55000000000000004">
      <c r="A76" s="203" t="s">
        <v>141</v>
      </c>
      <c r="B76" s="24">
        <f>Q7/(B74*(D13+D14))</f>
        <v>0.92283427773649318</v>
      </c>
      <c r="C76" s="126" t="s">
        <v>87</v>
      </c>
      <c r="D76" s="14"/>
      <c r="E76" s="14"/>
      <c r="F76" s="14"/>
      <c r="G76" s="103"/>
      <c r="H76" s="123" t="s">
        <v>141</v>
      </c>
      <c r="I76" s="121">
        <f>I75-L15</f>
        <v>3.3200000000000003</v>
      </c>
      <c r="J76" s="126" t="s">
        <v>87</v>
      </c>
      <c r="K76" s="124" t="s">
        <v>141</v>
      </c>
      <c r="L76" s="122">
        <f>L75-L15</f>
        <v>2.2600000000000016</v>
      </c>
      <c r="M76" s="126" t="s">
        <v>87</v>
      </c>
      <c r="N76" s="125" t="s">
        <v>141</v>
      </c>
      <c r="O76" s="121">
        <f>O75-L15</f>
        <v>1.8999999999999986</v>
      </c>
      <c r="P76" s="126" t="s">
        <v>87</v>
      </c>
      <c r="Q76" s="125" t="s">
        <v>141</v>
      </c>
      <c r="R76" s="121">
        <f>R75-L15</f>
        <v>1.8299999999999983</v>
      </c>
      <c r="S76" s="204" t="s">
        <v>87</v>
      </c>
    </row>
    <row r="77" spans="1:19" x14ac:dyDescent="0.45">
      <c r="A77" s="205"/>
      <c r="B77" s="112"/>
      <c r="C77" s="112"/>
      <c r="D77" s="112"/>
      <c r="E77" s="112"/>
      <c r="F77" s="112"/>
      <c r="G77" s="113"/>
      <c r="H77" s="111"/>
      <c r="I77" s="112"/>
      <c r="J77" s="112"/>
      <c r="K77" s="112"/>
      <c r="L77" s="112"/>
      <c r="M77" s="112"/>
      <c r="N77" s="112"/>
      <c r="O77" s="112"/>
      <c r="P77" s="112"/>
      <c r="Q77" s="112"/>
      <c r="R77" s="112"/>
      <c r="S77" s="193"/>
    </row>
    <row r="78" spans="1:19" x14ac:dyDescent="0.45">
      <c r="A78" s="206" t="s">
        <v>56</v>
      </c>
      <c r="B78" s="14"/>
      <c r="C78" s="14"/>
      <c r="D78" s="14"/>
      <c r="E78" s="14"/>
      <c r="F78" s="14"/>
      <c r="G78" s="92"/>
      <c r="H78" s="96" t="s">
        <v>56</v>
      </c>
      <c r="I78" s="14"/>
      <c r="J78" s="14"/>
      <c r="K78" s="14"/>
      <c r="L78" s="14"/>
      <c r="M78" s="14"/>
      <c r="N78" s="14"/>
      <c r="O78" s="14"/>
      <c r="P78" s="14"/>
      <c r="Q78" s="14"/>
      <c r="R78" s="14"/>
      <c r="S78" s="156"/>
    </row>
    <row r="79" spans="1:19" x14ac:dyDescent="0.45">
      <c r="A79" s="191"/>
      <c r="B79" s="14"/>
      <c r="C79" s="14"/>
      <c r="D79" s="14"/>
      <c r="E79" s="14"/>
      <c r="F79" s="14"/>
      <c r="G79" s="92"/>
      <c r="H79" s="91"/>
      <c r="I79" s="14"/>
      <c r="J79" s="14"/>
      <c r="K79" s="14"/>
      <c r="L79" s="14"/>
      <c r="M79" s="14"/>
      <c r="N79" s="14"/>
      <c r="O79" s="14"/>
      <c r="P79" s="14"/>
      <c r="Q79" s="14"/>
      <c r="R79" s="14"/>
      <c r="S79" s="156"/>
    </row>
    <row r="80" spans="1:19" x14ac:dyDescent="0.45">
      <c r="A80" s="191"/>
      <c r="B80" s="14" t="s">
        <v>45</v>
      </c>
      <c r="C80" s="14"/>
      <c r="D80" s="14"/>
      <c r="E80" s="14"/>
      <c r="F80" s="14"/>
      <c r="G80" s="92"/>
      <c r="H80" s="91"/>
      <c r="I80" s="14"/>
      <c r="J80" s="14"/>
      <c r="K80" s="14"/>
      <c r="L80" s="14"/>
      <c r="M80" s="14"/>
      <c r="N80" s="14"/>
      <c r="O80" s="14"/>
      <c r="P80" s="14"/>
      <c r="Q80" s="14"/>
      <c r="R80" s="14"/>
      <c r="S80" s="156"/>
    </row>
    <row r="81" spans="1:19" x14ac:dyDescent="0.45">
      <c r="A81" s="191"/>
      <c r="B81" s="95" t="s">
        <v>44</v>
      </c>
      <c r="C81" s="14"/>
      <c r="D81" s="14"/>
      <c r="E81" s="14"/>
      <c r="F81" s="14"/>
      <c r="G81" s="92"/>
      <c r="H81" s="91"/>
      <c r="I81" s="14" t="s">
        <v>235</v>
      </c>
      <c r="J81" s="14"/>
      <c r="K81" s="14"/>
      <c r="L81" s="14"/>
      <c r="M81" s="14"/>
      <c r="N81" s="14"/>
      <c r="O81" s="14"/>
      <c r="P81" s="14"/>
      <c r="Q81" s="14"/>
      <c r="R81" s="14"/>
      <c r="S81" s="156"/>
    </row>
    <row r="82" spans="1:19" x14ac:dyDescent="0.45">
      <c r="A82" s="191"/>
      <c r="B82" s="14" t="s">
        <v>49</v>
      </c>
      <c r="C82" s="14"/>
      <c r="D82" s="14"/>
      <c r="E82" s="14"/>
      <c r="F82" s="14"/>
      <c r="G82" s="92"/>
      <c r="H82" s="91"/>
      <c r="I82" s="14"/>
      <c r="J82" s="14"/>
      <c r="K82" s="14"/>
      <c r="L82" s="14"/>
      <c r="M82" s="14"/>
      <c r="N82" s="14"/>
      <c r="O82" s="14"/>
      <c r="P82" s="14"/>
      <c r="Q82" s="14"/>
      <c r="R82" s="14"/>
      <c r="S82" s="156"/>
    </row>
    <row r="83" spans="1:19" x14ac:dyDescent="0.45">
      <c r="A83" s="191"/>
      <c r="B83" s="14" t="s">
        <v>50</v>
      </c>
      <c r="C83" s="14"/>
      <c r="D83" s="14"/>
      <c r="E83" s="14"/>
      <c r="F83" s="14"/>
      <c r="G83" s="92"/>
      <c r="H83" s="91"/>
      <c r="I83" s="14"/>
      <c r="J83" s="14"/>
      <c r="K83" s="14"/>
      <c r="L83" s="14"/>
      <c r="M83" s="14"/>
      <c r="N83" s="14"/>
      <c r="O83" s="14"/>
      <c r="P83" s="14"/>
      <c r="Q83" s="14"/>
      <c r="R83" s="14"/>
      <c r="S83" s="156"/>
    </row>
    <row r="84" spans="1:19" x14ac:dyDescent="0.45">
      <c r="A84" s="191"/>
      <c r="B84" s="14"/>
      <c r="C84" s="14"/>
      <c r="D84" s="14"/>
      <c r="E84" s="14"/>
      <c r="F84" s="14"/>
      <c r="G84" s="92"/>
      <c r="H84" s="91"/>
      <c r="I84" s="14"/>
      <c r="J84" s="14"/>
      <c r="K84" s="14"/>
      <c r="L84" s="14"/>
      <c r="M84" s="14"/>
      <c r="N84" s="14"/>
      <c r="O84" s="14"/>
      <c r="P84" s="14"/>
      <c r="Q84" s="14"/>
      <c r="R84" s="14"/>
      <c r="S84" s="156"/>
    </row>
    <row r="85" spans="1:19" x14ac:dyDescent="0.45">
      <c r="A85" s="145" t="s">
        <v>90</v>
      </c>
      <c r="B85" s="10">
        <f>Q7/((Q10-Q9)*E22)</f>
        <v>15.296750219267878</v>
      </c>
      <c r="C85" s="14" t="s">
        <v>55</v>
      </c>
      <c r="D85" s="14"/>
      <c r="E85" s="14"/>
      <c r="F85" s="14"/>
      <c r="G85" s="92"/>
      <c r="H85" s="91"/>
      <c r="I85" s="14"/>
      <c r="J85" s="14"/>
      <c r="K85" s="14"/>
      <c r="L85" s="14"/>
      <c r="M85" s="14"/>
      <c r="N85" s="14"/>
      <c r="O85" s="14"/>
      <c r="P85" s="14"/>
      <c r="Q85" s="14"/>
      <c r="R85" s="14"/>
      <c r="S85" s="156"/>
    </row>
    <row r="86" spans="1:19" ht="14.65" thickBot="1" x14ac:dyDescent="0.5">
      <c r="A86" s="145" t="s">
        <v>182</v>
      </c>
      <c r="B86" s="38">
        <f>B163</f>
        <v>1</v>
      </c>
      <c r="C86" s="14" t="s">
        <v>208</v>
      </c>
      <c r="D86" s="14"/>
      <c r="E86" s="14"/>
      <c r="F86" s="14"/>
      <c r="G86" s="92"/>
      <c r="H86" s="91"/>
      <c r="I86" s="14"/>
      <c r="J86" s="14"/>
      <c r="K86" s="14"/>
      <c r="L86" s="14"/>
      <c r="M86" s="14"/>
      <c r="N86" s="14"/>
      <c r="O86" s="14"/>
      <c r="P86" s="14"/>
      <c r="Q86" s="14"/>
      <c r="R86" s="14"/>
      <c r="S86" s="156"/>
    </row>
    <row r="87" spans="1:19" ht="14.65" thickBot="1" x14ac:dyDescent="0.5">
      <c r="A87" s="145" t="s">
        <v>91</v>
      </c>
      <c r="B87" s="24">
        <f>B85*B86</f>
        <v>15.296750219267878</v>
      </c>
      <c r="C87" s="14" t="s">
        <v>55</v>
      </c>
      <c r="D87" s="14"/>
      <c r="E87" s="14"/>
      <c r="F87" s="14"/>
      <c r="G87" s="92"/>
      <c r="H87" s="91"/>
      <c r="I87" s="14"/>
      <c r="J87" s="14"/>
      <c r="K87" s="14"/>
      <c r="L87" s="14"/>
      <c r="M87" s="14"/>
      <c r="N87" s="14"/>
      <c r="O87" s="14"/>
      <c r="P87" s="14"/>
      <c r="Q87" s="14"/>
      <c r="R87" s="14"/>
      <c r="S87" s="156"/>
    </row>
    <row r="88" spans="1:19" x14ac:dyDescent="0.45">
      <c r="A88" s="191"/>
      <c r="B88" s="14"/>
      <c r="C88" s="14"/>
      <c r="D88" s="14"/>
      <c r="E88" s="14"/>
      <c r="F88" s="14"/>
      <c r="G88" s="92"/>
      <c r="H88" s="91"/>
      <c r="I88" s="14"/>
      <c r="J88" s="14"/>
      <c r="K88" s="14"/>
      <c r="L88" s="14"/>
      <c r="M88" s="14"/>
      <c r="N88" s="14"/>
      <c r="O88" s="14"/>
      <c r="P88" s="14"/>
      <c r="Q88" s="14"/>
      <c r="R88" s="14"/>
      <c r="S88" s="156"/>
    </row>
    <row r="89" spans="1:19" x14ac:dyDescent="0.45">
      <c r="A89" s="199" t="s">
        <v>164</v>
      </c>
      <c r="B89" s="89"/>
      <c r="C89" s="179"/>
      <c r="D89" s="89"/>
      <c r="E89" s="89"/>
      <c r="F89" s="89"/>
      <c r="G89" s="90"/>
      <c r="H89" s="88" t="s">
        <v>225</v>
      </c>
      <c r="I89" s="89"/>
      <c r="J89" s="89"/>
      <c r="K89" s="89"/>
      <c r="L89" s="89"/>
      <c r="M89" s="89"/>
      <c r="N89" s="89"/>
      <c r="O89" s="89"/>
      <c r="P89" s="89"/>
      <c r="Q89" s="89"/>
      <c r="R89" s="89"/>
      <c r="S89" s="195"/>
    </row>
    <row r="90" spans="1:19" x14ac:dyDescent="0.45">
      <c r="A90" s="191"/>
      <c r="B90" s="14"/>
      <c r="C90" s="14"/>
      <c r="D90" s="14"/>
      <c r="E90" s="14"/>
      <c r="F90" s="14"/>
      <c r="G90" s="92"/>
      <c r="H90" s="91"/>
      <c r="I90" s="14"/>
      <c r="J90" s="14"/>
      <c r="K90" s="14"/>
      <c r="L90" s="14"/>
      <c r="M90" s="14"/>
      <c r="N90" s="14"/>
      <c r="O90" s="14"/>
      <c r="P90" s="14"/>
      <c r="Q90" s="14"/>
      <c r="R90" s="14"/>
      <c r="S90" s="156"/>
    </row>
    <row r="91" spans="1:19" x14ac:dyDescent="0.45">
      <c r="A91" s="191"/>
      <c r="B91" s="14" t="s">
        <v>59</v>
      </c>
      <c r="C91" s="14"/>
      <c r="D91" s="14"/>
      <c r="E91" s="14"/>
      <c r="F91" s="14"/>
      <c r="G91" s="92"/>
      <c r="H91" s="91"/>
      <c r="I91" s="14"/>
      <c r="J91" s="14"/>
      <c r="K91" s="14"/>
      <c r="L91" s="14"/>
      <c r="M91" s="14"/>
      <c r="N91" s="14"/>
      <c r="O91" s="14"/>
      <c r="P91" s="14"/>
      <c r="Q91" s="14"/>
      <c r="R91" s="14"/>
      <c r="S91" s="156"/>
    </row>
    <row r="92" spans="1:19" x14ac:dyDescent="0.45">
      <c r="A92" s="191"/>
      <c r="B92" s="14" t="s">
        <v>60</v>
      </c>
      <c r="C92" s="14"/>
      <c r="D92" s="14"/>
      <c r="E92" s="14"/>
      <c r="F92" s="14"/>
      <c r="G92" s="92" t="s">
        <v>149</v>
      </c>
      <c r="H92" s="91"/>
      <c r="I92" s="14"/>
      <c r="J92" s="14"/>
      <c r="K92" s="14"/>
      <c r="L92" s="14"/>
      <c r="M92" s="14"/>
      <c r="N92" s="14"/>
      <c r="O92" s="14"/>
      <c r="P92" s="14"/>
      <c r="Q92" s="14"/>
      <c r="R92" s="14"/>
      <c r="S92" s="156"/>
    </row>
    <row r="93" spans="1:19" x14ac:dyDescent="0.45">
      <c r="A93" s="191"/>
      <c r="B93" s="14" t="s">
        <v>67</v>
      </c>
      <c r="C93" s="14"/>
      <c r="D93" s="14"/>
      <c r="E93" s="14"/>
      <c r="F93" s="14"/>
      <c r="G93" s="92"/>
      <c r="H93" s="91"/>
      <c r="I93" s="14"/>
      <c r="J93" s="14"/>
      <c r="K93" s="14"/>
      <c r="L93" s="14"/>
      <c r="M93" s="14"/>
      <c r="N93" s="14"/>
      <c r="O93" s="14"/>
      <c r="P93" s="14"/>
      <c r="Q93" s="14"/>
      <c r="R93" s="14"/>
      <c r="S93" s="156"/>
    </row>
    <row r="94" spans="1:19" x14ac:dyDescent="0.45">
      <c r="A94" s="191"/>
      <c r="B94" s="14"/>
      <c r="C94" s="14"/>
      <c r="D94" s="14"/>
      <c r="E94" s="14"/>
      <c r="F94" s="14"/>
      <c r="G94" s="92"/>
      <c r="H94" s="91"/>
      <c r="I94" s="14"/>
      <c r="J94" s="14"/>
      <c r="K94" s="14"/>
      <c r="L94" s="14"/>
      <c r="M94" s="14"/>
      <c r="N94" s="14"/>
      <c r="O94" s="14"/>
      <c r="P94" s="14"/>
      <c r="Q94" s="14"/>
      <c r="R94" s="14"/>
      <c r="S94" s="156"/>
    </row>
    <row r="95" spans="1:19" x14ac:dyDescent="0.45">
      <c r="A95" s="145" t="s">
        <v>61</v>
      </c>
      <c r="B95" s="7">
        <f>B87/I22</f>
        <v>13696.946829573673</v>
      </c>
      <c r="C95" s="14" t="s">
        <v>62</v>
      </c>
      <c r="D95" s="14"/>
      <c r="E95" s="14"/>
      <c r="F95" s="14"/>
      <c r="G95" s="92"/>
      <c r="H95" s="91"/>
      <c r="I95" s="14"/>
      <c r="J95" s="14"/>
      <c r="K95" s="14"/>
      <c r="L95" s="14"/>
      <c r="M95" s="14"/>
      <c r="N95" s="14"/>
      <c r="O95" s="14"/>
      <c r="P95" s="14"/>
      <c r="Q95" s="14"/>
      <c r="R95" s="14"/>
      <c r="S95" s="156"/>
    </row>
    <row r="96" spans="1:19" x14ac:dyDescent="0.45">
      <c r="A96" s="191"/>
      <c r="B96" s="7">
        <f>B95*0.000001</f>
        <v>1.3696946829573673E-2</v>
      </c>
      <c r="C96" s="14" t="s">
        <v>63</v>
      </c>
      <c r="D96" s="14"/>
      <c r="E96" s="14"/>
      <c r="F96" s="14"/>
      <c r="G96" s="92"/>
      <c r="H96" s="91"/>
      <c r="I96" s="14"/>
      <c r="J96" s="3">
        <v>1.1299999999999999E-2</v>
      </c>
      <c r="K96" s="14" t="s">
        <v>220</v>
      </c>
      <c r="L96" s="14"/>
      <c r="M96" s="14"/>
      <c r="N96" s="14"/>
      <c r="O96" s="14"/>
      <c r="P96" s="14"/>
      <c r="Q96" s="14"/>
      <c r="R96" s="14"/>
      <c r="S96" s="156"/>
    </row>
    <row r="97" spans="1:19" x14ac:dyDescent="0.45">
      <c r="A97" s="145" t="s">
        <v>125</v>
      </c>
      <c r="B97" s="13">
        <f>B96*60*60</f>
        <v>49.309008586465225</v>
      </c>
      <c r="C97" s="14" t="s">
        <v>64</v>
      </c>
      <c r="D97" s="14"/>
      <c r="E97" s="14"/>
      <c r="F97" s="14"/>
      <c r="G97" s="92"/>
      <c r="H97" s="91"/>
      <c r="I97" s="97" t="s">
        <v>226</v>
      </c>
      <c r="J97" s="119">
        <f>J96*60*60</f>
        <v>40.679999999999993</v>
      </c>
      <c r="K97" s="14" t="s">
        <v>64</v>
      </c>
      <c r="L97" s="14"/>
      <c r="M97" s="14"/>
      <c r="N97" s="14"/>
      <c r="O97" s="14"/>
      <c r="P97" s="14"/>
      <c r="Q97" s="14"/>
      <c r="R97" s="14"/>
      <c r="S97" s="156"/>
    </row>
    <row r="98" spans="1:19" x14ac:dyDescent="0.45">
      <c r="A98" s="192"/>
      <c r="B98" s="112"/>
      <c r="C98" s="112"/>
      <c r="D98" s="112"/>
      <c r="E98" s="112"/>
      <c r="F98" s="112"/>
      <c r="G98" s="113"/>
      <c r="H98" s="111"/>
      <c r="I98" s="112"/>
      <c r="J98" s="112"/>
      <c r="K98" s="112"/>
      <c r="L98" s="112"/>
      <c r="M98" s="112"/>
      <c r="N98" s="112"/>
      <c r="O98" s="112"/>
      <c r="P98" s="112"/>
      <c r="Q98" s="112"/>
      <c r="R98" s="112"/>
      <c r="S98" s="193"/>
    </row>
    <row r="99" spans="1:19" x14ac:dyDescent="0.45">
      <c r="A99" s="206" t="s">
        <v>66</v>
      </c>
      <c r="B99" s="14"/>
      <c r="C99" s="14"/>
      <c r="D99" s="14"/>
      <c r="E99" s="14"/>
      <c r="F99" s="14"/>
      <c r="G99" s="92"/>
      <c r="H99" s="96" t="s">
        <v>293</v>
      </c>
      <c r="I99" s="14"/>
      <c r="J99" s="14"/>
      <c r="K99" s="14"/>
      <c r="L99" s="14"/>
      <c r="M99" s="14"/>
      <c r="N99" s="14"/>
      <c r="O99" s="14"/>
      <c r="P99" s="14"/>
      <c r="Q99" s="14"/>
      <c r="R99" s="14"/>
      <c r="S99" s="156"/>
    </row>
    <row r="100" spans="1:19" x14ac:dyDescent="0.45">
      <c r="A100" s="191"/>
      <c r="B100" s="14"/>
      <c r="C100" s="14"/>
      <c r="D100" s="14"/>
      <c r="E100" s="14"/>
      <c r="F100" s="14"/>
      <c r="G100" s="92"/>
      <c r="H100" s="91"/>
      <c r="I100" s="14"/>
      <c r="J100" s="14"/>
      <c r="K100" s="14"/>
      <c r="L100" s="14"/>
      <c r="M100" s="14"/>
      <c r="N100" s="14"/>
      <c r="O100" s="14"/>
      <c r="P100" s="14"/>
      <c r="Q100" s="14"/>
      <c r="R100" s="14"/>
      <c r="S100" s="156"/>
    </row>
    <row r="101" spans="1:19" x14ac:dyDescent="0.45">
      <c r="A101" s="191"/>
      <c r="B101" s="14" t="s">
        <v>46</v>
      </c>
      <c r="C101" s="14"/>
      <c r="D101" s="14"/>
      <c r="E101" s="14"/>
      <c r="F101" s="14"/>
      <c r="G101" s="92"/>
      <c r="H101" s="91"/>
      <c r="I101" s="14"/>
      <c r="J101" s="14"/>
      <c r="K101" s="14"/>
      <c r="L101" s="14"/>
      <c r="M101" s="14"/>
      <c r="N101" s="14"/>
      <c r="O101" s="14"/>
      <c r="P101" s="14"/>
      <c r="Q101" s="14"/>
      <c r="R101" s="14"/>
      <c r="S101" s="156"/>
    </row>
    <row r="102" spans="1:19" x14ac:dyDescent="0.45">
      <c r="A102" s="191"/>
      <c r="B102" s="14" t="s">
        <v>160</v>
      </c>
      <c r="C102" s="14"/>
      <c r="D102" s="14"/>
      <c r="E102" s="14"/>
      <c r="F102" s="14"/>
      <c r="G102" s="92"/>
      <c r="H102" s="91"/>
      <c r="I102" s="14"/>
      <c r="J102" s="14"/>
      <c r="K102" s="14"/>
      <c r="L102" s="14"/>
      <c r="M102" s="14"/>
      <c r="N102" s="14"/>
      <c r="O102" s="14"/>
      <c r="P102" s="14"/>
      <c r="Q102" s="14"/>
      <c r="R102" s="14"/>
      <c r="S102" s="156"/>
    </row>
    <row r="103" spans="1:19" x14ac:dyDescent="0.45">
      <c r="A103" s="191"/>
      <c r="B103" s="14" t="s">
        <v>48</v>
      </c>
      <c r="C103" s="14"/>
      <c r="D103" s="14"/>
      <c r="E103" s="14"/>
      <c r="F103" s="14"/>
      <c r="G103" s="92"/>
      <c r="H103" s="91"/>
      <c r="I103" s="14"/>
      <c r="J103" s="14"/>
      <c r="K103" s="14"/>
      <c r="L103" s="14"/>
      <c r="M103" s="14"/>
      <c r="N103" s="14"/>
      <c r="O103" s="14"/>
      <c r="P103" s="14"/>
      <c r="Q103" s="14"/>
      <c r="R103" s="14"/>
      <c r="S103" s="156"/>
    </row>
    <row r="104" spans="1:19" x14ac:dyDescent="0.45">
      <c r="A104" s="191"/>
      <c r="B104" s="14"/>
      <c r="C104" s="95"/>
      <c r="D104" s="14"/>
      <c r="E104" s="14"/>
      <c r="F104" s="14"/>
      <c r="G104" s="92"/>
      <c r="H104" s="91"/>
      <c r="I104" s="14"/>
      <c r="J104" s="14"/>
      <c r="K104" s="14"/>
      <c r="L104" s="14"/>
      <c r="M104" s="14"/>
      <c r="N104" s="14"/>
      <c r="O104" s="14"/>
      <c r="P104" s="14"/>
      <c r="Q104" s="14"/>
      <c r="R104" s="14"/>
      <c r="S104" s="156"/>
    </row>
    <row r="105" spans="1:19" x14ac:dyDescent="0.45">
      <c r="A105" s="191" t="s">
        <v>73</v>
      </c>
      <c r="B105" s="14"/>
      <c r="C105" s="14"/>
      <c r="D105" s="14"/>
      <c r="E105" s="14"/>
      <c r="F105" s="14"/>
      <c r="G105" s="92"/>
      <c r="H105" s="91"/>
      <c r="I105" s="14"/>
      <c r="J105" s="14"/>
      <c r="K105" s="14"/>
      <c r="L105" s="14"/>
      <c r="M105" s="14"/>
      <c r="N105" s="14"/>
      <c r="O105" s="14"/>
      <c r="P105" s="14"/>
      <c r="Q105" s="14"/>
      <c r="R105" s="14"/>
      <c r="S105" s="156"/>
    </row>
    <row r="106" spans="1:19" x14ac:dyDescent="0.45">
      <c r="A106" s="191"/>
      <c r="B106" s="14"/>
      <c r="C106" s="14"/>
      <c r="D106" s="14"/>
      <c r="E106" s="14"/>
      <c r="F106" s="14"/>
      <c r="G106" s="92"/>
      <c r="H106" s="91"/>
      <c r="I106" s="14"/>
      <c r="J106" s="14"/>
      <c r="K106" s="14"/>
      <c r="L106" s="14"/>
      <c r="M106" s="14"/>
      <c r="N106" s="14"/>
      <c r="O106" s="14"/>
      <c r="P106" s="14"/>
      <c r="Q106" s="14"/>
      <c r="R106" s="14"/>
      <c r="S106" s="156"/>
    </row>
    <row r="107" spans="1:19" x14ac:dyDescent="0.45">
      <c r="A107" s="145" t="s">
        <v>123</v>
      </c>
      <c r="B107" s="10">
        <f>D3</f>
        <v>18</v>
      </c>
      <c r="C107" s="14" t="s">
        <v>19</v>
      </c>
      <c r="D107" s="14"/>
      <c r="E107" s="14"/>
      <c r="F107" s="14"/>
      <c r="G107" s="92"/>
      <c r="H107" s="91"/>
      <c r="I107" s="14"/>
      <c r="J107" s="14"/>
      <c r="K107" s="14"/>
      <c r="L107" s="14"/>
      <c r="M107" s="14"/>
      <c r="N107" s="14"/>
      <c r="O107" s="14"/>
      <c r="P107" s="14"/>
      <c r="Q107" s="14"/>
      <c r="R107" s="14"/>
      <c r="S107" s="156"/>
    </row>
    <row r="108" spans="1:19" x14ac:dyDescent="0.45">
      <c r="A108" s="145" t="s">
        <v>70</v>
      </c>
      <c r="B108" s="15">
        <v>16.5</v>
      </c>
      <c r="C108" s="14" t="s">
        <v>19</v>
      </c>
      <c r="D108" s="14"/>
      <c r="E108" s="14"/>
      <c r="F108" s="14"/>
      <c r="G108" s="92"/>
      <c r="H108" s="91"/>
      <c r="I108" s="14"/>
      <c r="J108" s="14"/>
      <c r="K108" s="14"/>
      <c r="L108" s="14"/>
      <c r="M108" s="14"/>
      <c r="N108" s="14"/>
      <c r="O108" s="14"/>
      <c r="P108" s="14"/>
      <c r="Q108" s="14"/>
      <c r="R108" s="14"/>
      <c r="S108" s="156"/>
    </row>
    <row r="109" spans="1:19" x14ac:dyDescent="0.45">
      <c r="A109" s="191"/>
      <c r="B109" s="14"/>
      <c r="C109" s="14"/>
      <c r="D109" s="14"/>
      <c r="E109" s="14"/>
      <c r="F109" s="14"/>
      <c r="G109" s="92"/>
      <c r="H109" s="91"/>
      <c r="I109" s="14"/>
      <c r="J109" s="14"/>
      <c r="K109" s="14"/>
      <c r="L109" s="14"/>
      <c r="M109" s="14"/>
      <c r="N109" s="14"/>
      <c r="O109" s="14"/>
      <c r="P109" s="14"/>
      <c r="Q109" s="14"/>
      <c r="R109" s="14"/>
      <c r="S109" s="156"/>
    </row>
    <row r="110" spans="1:19" x14ac:dyDescent="0.45">
      <c r="A110" s="145" t="s">
        <v>71</v>
      </c>
      <c r="B110" s="10">
        <f>(PI()*((B107/2)^2))-(PI()*((B108/2)^2))</f>
        <v>40.644354955817931</v>
      </c>
      <c r="C110" s="14" t="s">
        <v>20</v>
      </c>
      <c r="D110" s="14"/>
      <c r="E110" s="14"/>
      <c r="F110" s="14"/>
      <c r="G110" s="92"/>
      <c r="H110" s="91"/>
      <c r="I110" s="14"/>
      <c r="J110" s="14"/>
      <c r="K110" s="14"/>
      <c r="L110" s="14"/>
      <c r="M110" s="14"/>
      <c r="N110" s="14"/>
      <c r="O110" s="14"/>
      <c r="P110" s="14"/>
      <c r="Q110" s="14"/>
      <c r="R110" s="14"/>
      <c r="S110" s="156"/>
    </row>
    <row r="111" spans="1:19" x14ac:dyDescent="0.45">
      <c r="A111" s="145" t="s">
        <v>72</v>
      </c>
      <c r="B111" s="10">
        <f>(PI()*B107)+(PI()*B108)</f>
        <v>108.38494654884786</v>
      </c>
      <c r="C111" s="14" t="s">
        <v>19</v>
      </c>
      <c r="D111" s="14"/>
      <c r="E111" s="14"/>
      <c r="F111" s="14"/>
      <c r="G111" s="92"/>
      <c r="H111" s="91"/>
      <c r="I111" s="14"/>
      <c r="J111" s="14"/>
      <c r="K111" s="14"/>
      <c r="L111" s="14"/>
      <c r="M111" s="14"/>
      <c r="N111" s="14"/>
      <c r="O111" s="14"/>
      <c r="P111" s="14"/>
      <c r="Q111" s="14"/>
      <c r="R111" s="14"/>
      <c r="S111" s="156"/>
    </row>
    <row r="112" spans="1:19" x14ac:dyDescent="0.45">
      <c r="A112" s="145" t="s">
        <v>88</v>
      </c>
      <c r="B112" s="10">
        <f>B107-B108</f>
        <v>1.5</v>
      </c>
      <c r="C112" s="14" t="s">
        <v>19</v>
      </c>
      <c r="D112" s="14" t="s">
        <v>162</v>
      </c>
      <c r="E112" s="14"/>
      <c r="F112" s="14"/>
      <c r="G112" s="92"/>
      <c r="H112" s="91"/>
      <c r="I112" s="14"/>
      <c r="J112" s="14"/>
      <c r="K112" s="14"/>
      <c r="L112" s="14"/>
      <c r="M112" s="14"/>
      <c r="N112" s="14"/>
      <c r="O112" s="14"/>
      <c r="P112" s="14"/>
      <c r="Q112" s="14"/>
      <c r="R112" s="14"/>
      <c r="S112" s="156"/>
    </row>
    <row r="113" spans="1:19" x14ac:dyDescent="0.45">
      <c r="A113" s="145" t="s">
        <v>89</v>
      </c>
      <c r="B113" s="7">
        <f>B107/((B107-B108)/2)</f>
        <v>24</v>
      </c>
      <c r="C113" s="14"/>
      <c r="D113" s="10">
        <f>(((PI()*B107)+(PI()*B108))/2)/(B107-B108)</f>
        <v>36.128315516282619</v>
      </c>
      <c r="E113" s="14"/>
      <c r="F113" s="14"/>
      <c r="G113" s="92"/>
      <c r="H113" s="91"/>
      <c r="I113" s="14"/>
      <c r="J113" s="14"/>
      <c r="K113" s="14"/>
      <c r="L113" s="14"/>
      <c r="M113" s="14"/>
      <c r="N113" s="14"/>
      <c r="O113" s="14"/>
      <c r="P113" s="14"/>
      <c r="Q113" s="14"/>
      <c r="R113" s="14"/>
      <c r="S113" s="156"/>
    </row>
    <row r="114" spans="1:19" x14ac:dyDescent="0.45">
      <c r="A114" s="191"/>
      <c r="B114" s="14"/>
      <c r="C114" s="14"/>
      <c r="D114" s="14"/>
      <c r="E114" s="14"/>
      <c r="F114" s="14"/>
      <c r="G114" s="92"/>
      <c r="H114" s="91"/>
      <c r="I114" s="14"/>
      <c r="J114" s="14"/>
      <c r="K114" s="14"/>
      <c r="L114" s="14"/>
      <c r="M114" s="14"/>
      <c r="N114" s="14"/>
      <c r="O114" s="14"/>
      <c r="P114" s="14"/>
      <c r="Q114" s="14"/>
      <c r="R114" s="14"/>
      <c r="S114" s="156"/>
    </row>
    <row r="115" spans="1:19" x14ac:dyDescent="0.45">
      <c r="A115" s="191" t="s">
        <v>191</v>
      </c>
      <c r="B115" s="14"/>
      <c r="C115" s="14"/>
      <c r="D115" s="14"/>
      <c r="E115" s="14"/>
      <c r="F115" s="14"/>
      <c r="G115" s="92"/>
      <c r="H115" s="91"/>
      <c r="I115" s="14"/>
      <c r="J115" s="14"/>
      <c r="K115" s="14"/>
      <c r="L115" s="14"/>
      <c r="M115" s="14"/>
      <c r="N115" s="14"/>
      <c r="O115" s="14"/>
      <c r="P115" s="14"/>
      <c r="Q115" s="14"/>
      <c r="R115" s="14"/>
      <c r="S115" s="156"/>
    </row>
    <row r="116" spans="1:19" x14ac:dyDescent="0.45">
      <c r="A116" s="191"/>
      <c r="B116" s="14"/>
      <c r="C116" s="14"/>
      <c r="D116" s="14"/>
      <c r="E116" s="14"/>
      <c r="F116" s="14"/>
      <c r="G116" s="92"/>
      <c r="H116" s="91"/>
      <c r="I116" s="14"/>
      <c r="J116" s="14"/>
      <c r="K116" s="14"/>
      <c r="L116" s="14"/>
      <c r="M116" s="14"/>
      <c r="N116" s="14"/>
      <c r="O116" s="14"/>
      <c r="P116" s="14"/>
      <c r="Q116" s="14"/>
      <c r="R116" s="14"/>
      <c r="S116" s="156"/>
    </row>
    <row r="117" spans="1:19" x14ac:dyDescent="0.45">
      <c r="A117" s="191"/>
      <c r="B117" s="14" t="s">
        <v>60</v>
      </c>
      <c r="C117" s="14"/>
      <c r="D117" s="14"/>
      <c r="E117" s="14"/>
      <c r="F117" s="14"/>
      <c r="G117" s="92"/>
      <c r="H117" s="91"/>
      <c r="I117" s="14"/>
      <c r="J117" s="14"/>
      <c r="K117" s="14"/>
      <c r="L117" s="14"/>
      <c r="M117" s="14"/>
      <c r="N117" s="14"/>
      <c r="O117" s="14"/>
      <c r="P117" s="14"/>
      <c r="Q117" s="14"/>
      <c r="R117" s="14"/>
      <c r="S117" s="156"/>
    </row>
    <row r="118" spans="1:19" x14ac:dyDescent="0.45">
      <c r="A118" s="191"/>
      <c r="B118" s="14" t="s">
        <v>161</v>
      </c>
      <c r="C118" s="14"/>
      <c r="D118" s="14"/>
      <c r="E118" s="14"/>
      <c r="F118" s="14"/>
      <c r="G118" s="92"/>
      <c r="H118" s="91"/>
      <c r="I118" s="14"/>
      <c r="J118" s="14"/>
      <c r="K118" s="14"/>
      <c r="L118" s="14"/>
      <c r="M118" s="14"/>
      <c r="N118" s="14"/>
      <c r="O118" s="14"/>
      <c r="P118" s="14"/>
      <c r="Q118" s="14"/>
      <c r="R118" s="14"/>
      <c r="S118" s="156"/>
    </row>
    <row r="119" spans="1:19" ht="14.65" thickBot="1" x14ac:dyDescent="0.5">
      <c r="A119" s="191"/>
      <c r="B119" s="14"/>
      <c r="C119" s="14"/>
      <c r="D119" s="14"/>
      <c r="E119" s="14"/>
      <c r="F119" s="14"/>
      <c r="G119" s="92"/>
      <c r="H119" s="91"/>
      <c r="I119" s="14"/>
      <c r="J119" s="14"/>
      <c r="K119" s="14"/>
      <c r="L119" s="14"/>
      <c r="M119" s="14"/>
      <c r="N119" s="14"/>
      <c r="O119" s="14"/>
      <c r="P119" s="14"/>
      <c r="Q119" s="14"/>
      <c r="R119" s="14"/>
      <c r="S119" s="156"/>
    </row>
    <row r="120" spans="1:19" ht="14.65" thickBot="1" x14ac:dyDescent="0.5">
      <c r="A120" s="145" t="s">
        <v>74</v>
      </c>
      <c r="B120" s="62">
        <f>B87/B110</f>
        <v>0.37635608280402205</v>
      </c>
      <c r="C120" s="14" t="s">
        <v>75</v>
      </c>
      <c r="D120" s="14"/>
      <c r="E120" s="14"/>
      <c r="F120" s="14"/>
      <c r="G120" s="92"/>
      <c r="H120" s="91"/>
      <c r="I120" s="14"/>
      <c r="J120" s="14"/>
      <c r="K120" s="14"/>
      <c r="L120" s="14"/>
      <c r="M120" s="14"/>
      <c r="N120" s="14"/>
      <c r="O120" s="14"/>
      <c r="P120" s="14"/>
      <c r="Q120" s="14"/>
      <c r="R120" s="14"/>
      <c r="S120" s="156"/>
    </row>
    <row r="121" spans="1:19" x14ac:dyDescent="0.45">
      <c r="A121" s="191"/>
      <c r="B121" s="14"/>
      <c r="C121" s="14"/>
      <c r="D121" s="14"/>
      <c r="E121" s="14"/>
      <c r="F121" s="14"/>
      <c r="G121" s="92"/>
      <c r="H121" s="91"/>
      <c r="I121" s="14"/>
      <c r="J121" s="14"/>
      <c r="K121" s="14"/>
      <c r="L121" s="14"/>
      <c r="M121" s="14"/>
      <c r="N121" s="14"/>
      <c r="O121" s="14"/>
      <c r="P121" s="14"/>
      <c r="Q121" s="14"/>
      <c r="R121" s="14"/>
      <c r="S121" s="156"/>
    </row>
    <row r="122" spans="1:19" x14ac:dyDescent="0.45">
      <c r="A122" s="191" t="s">
        <v>155</v>
      </c>
      <c r="B122" s="14"/>
      <c r="C122" s="14"/>
      <c r="D122" s="14"/>
      <c r="E122" s="14"/>
      <c r="F122" s="14"/>
      <c r="G122" s="92"/>
      <c r="H122" s="91"/>
      <c r="I122" s="14"/>
      <c r="J122" s="14"/>
      <c r="K122" s="14"/>
      <c r="L122" s="14"/>
      <c r="M122" s="14"/>
      <c r="N122" s="14"/>
      <c r="O122" s="14"/>
      <c r="P122" s="14"/>
      <c r="Q122" s="14"/>
      <c r="R122" s="14"/>
      <c r="S122" s="156"/>
    </row>
    <row r="123" spans="1:19" x14ac:dyDescent="0.45">
      <c r="A123" s="191"/>
      <c r="B123" s="14"/>
      <c r="C123" s="14"/>
      <c r="D123" s="14"/>
      <c r="E123" s="14"/>
      <c r="F123" s="14"/>
      <c r="G123" s="92"/>
      <c r="H123" s="91"/>
      <c r="I123" s="14"/>
      <c r="J123" s="14"/>
      <c r="K123" s="14"/>
      <c r="L123" s="14"/>
      <c r="M123" s="14"/>
      <c r="N123" s="14"/>
      <c r="O123" s="14"/>
      <c r="P123" s="14"/>
      <c r="Q123" s="14"/>
      <c r="R123" s="14"/>
      <c r="S123" s="156"/>
    </row>
    <row r="124" spans="1:19" x14ac:dyDescent="0.45">
      <c r="A124" s="191"/>
      <c r="B124" s="14" t="s">
        <v>69</v>
      </c>
      <c r="C124" s="14"/>
      <c r="D124" s="14"/>
      <c r="E124" s="104" t="s">
        <v>153</v>
      </c>
      <c r="F124" s="14"/>
      <c r="G124" s="92"/>
      <c r="H124" s="91"/>
      <c r="I124" s="14"/>
      <c r="J124" s="14"/>
      <c r="K124" s="14"/>
      <c r="L124" s="14"/>
      <c r="M124" s="14"/>
      <c r="N124" s="14"/>
      <c r="O124" s="14"/>
      <c r="P124" s="14"/>
      <c r="Q124" s="14"/>
      <c r="R124" s="14"/>
      <c r="S124" s="156"/>
    </row>
    <row r="125" spans="1:19" x14ac:dyDescent="0.45">
      <c r="A125" s="191"/>
      <c r="B125" s="14"/>
      <c r="C125" s="14"/>
      <c r="D125" s="14"/>
      <c r="E125" s="14"/>
      <c r="F125" s="14"/>
      <c r="G125" s="92"/>
      <c r="H125" s="91"/>
      <c r="I125" s="14"/>
      <c r="J125" s="14"/>
      <c r="K125" s="14"/>
      <c r="L125" s="14"/>
      <c r="M125" s="14"/>
      <c r="N125" s="14"/>
      <c r="O125" s="14"/>
      <c r="P125" s="14"/>
      <c r="Q125" s="14"/>
      <c r="R125" s="14"/>
      <c r="S125" s="156"/>
    </row>
    <row r="126" spans="1:19" x14ac:dyDescent="0.45">
      <c r="A126" s="191"/>
      <c r="B126" s="14" t="s">
        <v>135</v>
      </c>
      <c r="C126" s="14"/>
      <c r="D126" s="14"/>
      <c r="E126" s="14"/>
      <c r="F126" s="14"/>
      <c r="G126" s="92"/>
      <c r="H126" s="91"/>
      <c r="I126" s="14"/>
      <c r="J126" s="14"/>
      <c r="K126" s="14"/>
      <c r="L126" s="14"/>
      <c r="M126" s="14"/>
      <c r="N126" s="14"/>
      <c r="O126" s="14"/>
      <c r="P126" s="14"/>
      <c r="Q126" s="14"/>
      <c r="R126" s="14"/>
      <c r="S126" s="156"/>
    </row>
    <row r="127" spans="1:19" x14ac:dyDescent="0.45">
      <c r="A127" s="191"/>
      <c r="B127" s="95" t="s">
        <v>77</v>
      </c>
      <c r="C127" s="14"/>
      <c r="D127" s="14"/>
      <c r="E127" s="14"/>
      <c r="F127" s="14"/>
      <c r="G127" s="92"/>
      <c r="H127" s="91"/>
      <c r="I127" s="14"/>
      <c r="J127" s="14"/>
      <c r="K127" s="14"/>
      <c r="L127" s="14"/>
      <c r="M127" s="14"/>
      <c r="N127" s="14"/>
      <c r="O127" s="14"/>
      <c r="P127" s="14"/>
      <c r="Q127" s="14"/>
      <c r="R127" s="14"/>
      <c r="S127" s="156"/>
    </row>
    <row r="128" spans="1:19" ht="14.65" thickBot="1" x14ac:dyDescent="0.5">
      <c r="A128" s="191"/>
      <c r="B128" s="95"/>
      <c r="C128" s="14"/>
      <c r="D128" s="14"/>
      <c r="E128" s="14"/>
      <c r="F128" s="14"/>
      <c r="G128" s="92"/>
      <c r="H128" s="91"/>
      <c r="I128" s="14"/>
      <c r="J128" s="14"/>
      <c r="K128" s="14"/>
      <c r="L128" s="14"/>
      <c r="M128" s="14"/>
      <c r="N128" s="14"/>
      <c r="O128" s="14"/>
      <c r="P128" s="14"/>
      <c r="Q128" s="14"/>
      <c r="R128" s="14"/>
      <c r="S128" s="156"/>
    </row>
    <row r="129" spans="1:19" ht="14.65" thickBot="1" x14ac:dyDescent="0.5">
      <c r="A129" s="200" t="s">
        <v>144</v>
      </c>
      <c r="B129" s="61">
        <f>(B120*B112)/G22</f>
        <v>2927.1706118740699</v>
      </c>
      <c r="C129" s="14"/>
      <c r="D129" s="14"/>
      <c r="E129" s="14"/>
      <c r="F129" s="14"/>
      <c r="G129" s="92"/>
      <c r="H129" s="91"/>
      <c r="I129" s="14"/>
      <c r="J129" s="14"/>
      <c r="K129" s="14"/>
      <c r="L129" s="14"/>
      <c r="M129" s="14"/>
      <c r="N129" s="14"/>
      <c r="O129" s="14"/>
      <c r="P129" s="14"/>
      <c r="Q129" s="14"/>
      <c r="R129" s="14"/>
      <c r="S129" s="156"/>
    </row>
    <row r="130" spans="1:19" x14ac:dyDescent="0.45">
      <c r="A130" s="200"/>
      <c r="B130" s="54"/>
      <c r="C130" s="14"/>
      <c r="D130" s="14"/>
      <c r="E130" s="14"/>
      <c r="F130" s="14"/>
      <c r="G130" s="92"/>
      <c r="H130" s="91"/>
      <c r="I130" s="14"/>
      <c r="J130" s="14"/>
      <c r="K130" s="14"/>
      <c r="L130" s="14"/>
      <c r="M130" s="14"/>
      <c r="N130" s="14"/>
      <c r="O130" s="14"/>
      <c r="P130" s="14"/>
      <c r="Q130" s="14"/>
      <c r="R130" s="14"/>
      <c r="S130" s="156"/>
    </row>
    <row r="131" spans="1:19" x14ac:dyDescent="0.45">
      <c r="A131" s="258" t="s">
        <v>156</v>
      </c>
      <c r="B131" s="259" t="s">
        <v>150</v>
      </c>
      <c r="C131" s="14"/>
      <c r="D131" s="259" t="s">
        <v>151</v>
      </c>
      <c r="E131" s="14"/>
      <c r="F131" s="259" t="s">
        <v>152</v>
      </c>
      <c r="G131" s="92"/>
      <c r="H131" s="91"/>
      <c r="I131" s="14"/>
      <c r="J131" s="14"/>
      <c r="K131" s="14"/>
      <c r="L131" s="14"/>
      <c r="M131" s="14"/>
      <c r="N131" s="14"/>
      <c r="O131" s="14"/>
      <c r="P131" s="14"/>
      <c r="Q131" s="14"/>
      <c r="R131" s="14"/>
      <c r="S131" s="156"/>
    </row>
    <row r="132" spans="1:19" ht="14.45" customHeight="1" x14ac:dyDescent="0.45">
      <c r="A132" s="258"/>
      <c r="B132" s="260"/>
      <c r="C132" s="14"/>
      <c r="D132" s="260"/>
      <c r="E132" s="14"/>
      <c r="F132" s="260"/>
      <c r="G132" s="92"/>
      <c r="H132" s="14"/>
      <c r="I132" s="14"/>
      <c r="J132" s="14"/>
      <c r="K132" s="14"/>
      <c r="L132" s="14"/>
      <c r="M132" s="14"/>
      <c r="N132" s="14"/>
      <c r="O132" s="14"/>
      <c r="P132" s="14"/>
      <c r="Q132" s="14"/>
      <c r="R132" s="14"/>
      <c r="S132" s="156"/>
    </row>
    <row r="133" spans="1:19" ht="14.45" customHeight="1" x14ac:dyDescent="0.45">
      <c r="A133" s="258"/>
      <c r="B133" s="260"/>
      <c r="C133" s="14"/>
      <c r="D133" s="260"/>
      <c r="E133" s="14"/>
      <c r="F133" s="260"/>
      <c r="G133" s="92"/>
      <c r="H133" s="91"/>
      <c r="I133" s="14"/>
      <c r="J133" s="14"/>
      <c r="K133" s="14"/>
      <c r="L133" s="14"/>
      <c r="M133" s="14"/>
      <c r="N133" s="14"/>
      <c r="O133" s="14"/>
      <c r="P133" s="14"/>
      <c r="Q133" s="14"/>
      <c r="R133" s="14"/>
      <c r="S133" s="156"/>
    </row>
    <row r="134" spans="1:19" x14ac:dyDescent="0.45">
      <c r="A134" s="258"/>
      <c r="B134" s="260"/>
      <c r="C134" s="14"/>
      <c r="D134" s="260"/>
      <c r="E134" s="14"/>
      <c r="F134" s="260"/>
      <c r="G134" s="92"/>
      <c r="H134" s="14" t="s">
        <v>219</v>
      </c>
      <c r="I134" s="14"/>
      <c r="J134" s="14"/>
      <c r="K134" s="14"/>
      <c r="L134" s="14"/>
      <c r="M134" s="14"/>
      <c r="N134" s="14"/>
      <c r="O134" s="14"/>
      <c r="P134" s="14"/>
      <c r="Q134" s="14"/>
      <c r="R134" s="14"/>
      <c r="S134" s="156"/>
    </row>
    <row r="135" spans="1:19" x14ac:dyDescent="0.45">
      <c r="A135" s="207"/>
      <c r="B135" s="69"/>
      <c r="C135" s="14"/>
      <c r="D135" s="69"/>
      <c r="E135" s="14"/>
      <c r="F135" s="69"/>
      <c r="G135" s="92"/>
      <c r="H135" s="100" t="s">
        <v>236</v>
      </c>
      <c r="I135" s="129">
        <f>L12</f>
        <v>61.622222222222234</v>
      </c>
      <c r="J135" s="14" t="s">
        <v>10</v>
      </c>
      <c r="K135" s="14"/>
      <c r="L135" s="14"/>
      <c r="M135" s="14"/>
      <c r="N135" s="14"/>
      <c r="O135" s="14"/>
      <c r="P135" s="14"/>
      <c r="Q135" s="14"/>
      <c r="R135" s="14"/>
      <c r="S135" s="156"/>
    </row>
    <row r="136" spans="1:19" x14ac:dyDescent="0.45">
      <c r="A136" s="208"/>
      <c r="B136" s="69"/>
      <c r="C136" s="14"/>
      <c r="D136" s="69"/>
      <c r="E136" s="14"/>
      <c r="F136" s="69"/>
      <c r="G136" s="92"/>
      <c r="H136" s="14"/>
      <c r="I136" s="14"/>
      <c r="J136" s="14"/>
      <c r="K136" s="14"/>
      <c r="L136" s="14"/>
      <c r="M136" s="14"/>
      <c r="N136" s="14"/>
      <c r="O136" s="14"/>
      <c r="P136" s="14"/>
      <c r="Q136" s="14"/>
      <c r="R136" s="14"/>
      <c r="S136" s="156"/>
    </row>
    <row r="137" spans="1:19" x14ac:dyDescent="0.45">
      <c r="A137" s="208"/>
      <c r="B137" s="56"/>
      <c r="C137" s="14"/>
      <c r="D137" s="56"/>
      <c r="E137" s="14"/>
      <c r="F137" s="56"/>
      <c r="G137" s="92"/>
      <c r="H137" s="14"/>
      <c r="I137" s="14"/>
      <c r="J137" s="14"/>
      <c r="K137" s="14"/>
      <c r="L137" s="14"/>
      <c r="M137" s="14"/>
      <c r="N137" s="14"/>
      <c r="O137" s="14"/>
      <c r="P137" s="14"/>
      <c r="Q137" s="14"/>
      <c r="R137" s="14"/>
      <c r="S137" s="156"/>
    </row>
    <row r="138" spans="1:19" x14ac:dyDescent="0.45">
      <c r="A138" s="200" t="s">
        <v>78</v>
      </c>
      <c r="B138" s="23">
        <f>6/((B129)^0.98)</f>
        <v>2.4045409344867321E-3</v>
      </c>
      <c r="C138" s="14"/>
      <c r="D138" s="71">
        <f>2.7/((B129)^0.95)</f>
        <v>1.3747955878817557E-3</v>
      </c>
      <c r="E138" s="14"/>
      <c r="F138" s="71">
        <f>0.023/((B129)^0.2)</f>
        <v>4.6605613447635802E-3</v>
      </c>
      <c r="G138" s="92"/>
      <c r="H138" s="14"/>
      <c r="I138" s="14" t="s">
        <v>237</v>
      </c>
      <c r="J138" s="14"/>
      <c r="K138" s="14"/>
      <c r="L138" s="14" t="s">
        <v>237</v>
      </c>
      <c r="M138" s="14"/>
      <c r="N138" s="14"/>
      <c r="O138" s="14" t="s">
        <v>237</v>
      </c>
      <c r="P138" s="92"/>
      <c r="Q138" s="14"/>
      <c r="R138" s="14"/>
      <c r="S138" s="156"/>
    </row>
    <row r="139" spans="1:19" x14ac:dyDescent="0.45">
      <c r="A139" s="191"/>
      <c r="B139" s="14"/>
      <c r="C139" s="14"/>
      <c r="D139" s="14"/>
      <c r="E139" s="14"/>
      <c r="F139" s="14"/>
      <c r="G139" s="92"/>
      <c r="H139" s="91"/>
      <c r="I139" s="14" t="s">
        <v>239</v>
      </c>
      <c r="J139" s="14"/>
      <c r="K139" s="14"/>
      <c r="L139" s="14" t="s">
        <v>241</v>
      </c>
      <c r="M139" s="14"/>
      <c r="N139" s="14"/>
      <c r="O139" s="14" t="s">
        <v>241</v>
      </c>
      <c r="P139" s="92"/>
      <c r="Q139" s="14"/>
      <c r="R139" s="14"/>
      <c r="S139" s="156"/>
    </row>
    <row r="140" spans="1:19" x14ac:dyDescent="0.45">
      <c r="A140" s="191" t="s">
        <v>218</v>
      </c>
      <c r="B140" s="14"/>
      <c r="C140" s="14"/>
      <c r="D140" s="14"/>
      <c r="E140" s="14"/>
      <c r="F140" s="14"/>
      <c r="G140" s="92"/>
      <c r="H140" s="91"/>
      <c r="I140" s="130" t="s">
        <v>238</v>
      </c>
      <c r="J140" s="14"/>
      <c r="K140" s="14"/>
      <c r="L140" s="130" t="s">
        <v>238</v>
      </c>
      <c r="M140" s="14"/>
      <c r="N140" s="14"/>
      <c r="O140" s="130" t="s">
        <v>238</v>
      </c>
      <c r="P140" s="14"/>
      <c r="Q140" s="14"/>
      <c r="R140" s="14"/>
      <c r="S140" s="156"/>
    </row>
    <row r="141" spans="1:19" x14ac:dyDescent="0.45">
      <c r="A141" s="191"/>
      <c r="B141" s="14" t="s">
        <v>39</v>
      </c>
      <c r="C141" s="14"/>
      <c r="D141" s="95" t="s">
        <v>68</v>
      </c>
      <c r="E141" s="14"/>
      <c r="F141" s="14"/>
      <c r="G141" s="92"/>
      <c r="H141" s="91"/>
      <c r="I141" s="14" t="s">
        <v>232</v>
      </c>
      <c r="J141" s="14"/>
      <c r="K141" s="14"/>
      <c r="L141" s="14" t="s">
        <v>240</v>
      </c>
      <c r="M141" s="14"/>
      <c r="N141" s="14"/>
      <c r="O141" s="14" t="s">
        <v>232</v>
      </c>
      <c r="P141" s="14"/>
      <c r="Q141" s="14"/>
      <c r="R141" s="14"/>
      <c r="S141" s="156"/>
    </row>
    <row r="142" spans="1:19" x14ac:dyDescent="0.45">
      <c r="A142" s="191"/>
      <c r="B142" s="14" t="s">
        <v>41</v>
      </c>
      <c r="C142" s="14"/>
      <c r="D142" s="95" t="s">
        <v>43</v>
      </c>
      <c r="E142" s="14"/>
      <c r="F142" s="14"/>
      <c r="G142" s="92"/>
      <c r="H142" s="91"/>
      <c r="I142" s="14" t="s">
        <v>231</v>
      </c>
      <c r="J142" s="14"/>
      <c r="K142" s="14"/>
      <c r="L142" s="14" t="s">
        <v>229</v>
      </c>
      <c r="M142" s="14"/>
      <c r="N142" s="14"/>
      <c r="O142" s="14" t="s">
        <v>215</v>
      </c>
      <c r="P142" s="14"/>
      <c r="Q142" s="14"/>
      <c r="R142" s="14"/>
      <c r="S142" s="156"/>
    </row>
    <row r="143" spans="1:19" ht="15.75" x14ac:dyDescent="0.5">
      <c r="A143" s="191"/>
      <c r="B143" s="14" t="s">
        <v>42</v>
      </c>
      <c r="C143" s="14"/>
      <c r="D143" s="14"/>
      <c r="E143" s="14"/>
      <c r="F143" s="14"/>
      <c r="G143" s="92"/>
      <c r="H143" s="91" t="s">
        <v>230</v>
      </c>
      <c r="I143" s="76">
        <f>I74</f>
        <v>79.599999999999994</v>
      </c>
      <c r="J143" s="14" t="s">
        <v>196</v>
      </c>
      <c r="K143" s="118"/>
      <c r="L143" s="77">
        <f>L74</f>
        <v>93.4</v>
      </c>
      <c r="M143" s="14" t="s">
        <v>196</v>
      </c>
      <c r="N143" s="118"/>
      <c r="O143" s="77">
        <f>O74</f>
        <v>236.1</v>
      </c>
      <c r="P143" s="14" t="s">
        <v>196</v>
      </c>
      <c r="Q143" s="14"/>
      <c r="R143" s="14"/>
      <c r="S143" s="156"/>
    </row>
    <row r="144" spans="1:19" x14ac:dyDescent="0.45">
      <c r="A144" s="191"/>
      <c r="B144" s="14"/>
      <c r="C144" s="14"/>
      <c r="D144" s="14"/>
      <c r="E144" s="14"/>
      <c r="F144" s="14"/>
      <c r="G144" s="92"/>
      <c r="H144" s="91"/>
      <c r="I144" s="14"/>
      <c r="J144" s="14"/>
      <c r="K144" s="14"/>
      <c r="L144" s="14"/>
      <c r="M144" s="14"/>
      <c r="N144" s="14"/>
      <c r="O144" s="14"/>
      <c r="P144" s="14"/>
      <c r="Q144" s="14"/>
      <c r="R144" s="14"/>
      <c r="S144" s="156"/>
    </row>
    <row r="145" spans="1:19" x14ac:dyDescent="0.45">
      <c r="A145" s="200" t="s">
        <v>79</v>
      </c>
      <c r="B145" s="23">
        <f>(B138*E22*B120)/(((E22*G22)/B22)^0.666)</f>
        <v>2.7312518420205876E-4</v>
      </c>
      <c r="C145" s="14"/>
      <c r="D145" s="23">
        <f>(D138*E22*B120)/(((E22*G22)/B22)^0.666)</f>
        <v>1.5615924553205154E-4</v>
      </c>
      <c r="E145" s="14"/>
      <c r="F145" s="23">
        <f>(F138*E22*B120)/(((E22*G22)/B22)^0.666)</f>
        <v>5.2938033098831887E-4</v>
      </c>
      <c r="G145" s="92" t="s">
        <v>82</v>
      </c>
      <c r="H145" s="91"/>
      <c r="I145" s="14"/>
      <c r="J145" s="14"/>
      <c r="K145" s="14"/>
      <c r="L145" s="14"/>
      <c r="M145" s="14"/>
      <c r="N145" s="14"/>
      <c r="O145" s="14"/>
      <c r="P145" s="14"/>
      <c r="Q145" s="14"/>
      <c r="R145" s="14"/>
      <c r="S145" s="156"/>
    </row>
    <row r="146" spans="1:19" x14ac:dyDescent="0.45">
      <c r="A146" s="200" t="s">
        <v>79</v>
      </c>
      <c r="B146" s="76">
        <f>((B145/1000)*60*60*100*100)*1.1622</f>
        <v>11.427339206866776</v>
      </c>
      <c r="C146" s="14"/>
      <c r="D146" s="76">
        <f>((D145/1000)*60*60*100*100)*1.1622</f>
        <v>6.5335779056646102</v>
      </c>
      <c r="E146" s="14"/>
      <c r="F146" s="76">
        <f>((F145/1000)*60*60*100*100)*1.1622</f>
        <v>22.14884954428647</v>
      </c>
      <c r="G146" s="14" t="s">
        <v>196</v>
      </c>
      <c r="H146" s="98" t="s">
        <v>261</v>
      </c>
      <c r="I146" s="22">
        <v>14.41</v>
      </c>
      <c r="J146" s="14" t="s">
        <v>196</v>
      </c>
      <c r="K146" s="128" t="s">
        <v>79</v>
      </c>
      <c r="L146" s="22">
        <v>16.36</v>
      </c>
      <c r="M146" s="14" t="s">
        <v>196</v>
      </c>
      <c r="N146" s="128" t="s">
        <v>79</v>
      </c>
      <c r="O146" s="22">
        <v>19.02</v>
      </c>
      <c r="P146" s="14" t="s">
        <v>196</v>
      </c>
      <c r="Q146" s="14"/>
      <c r="R146" s="14"/>
      <c r="S146" s="156"/>
    </row>
    <row r="147" spans="1:19" x14ac:dyDescent="0.45">
      <c r="A147" s="191" t="s">
        <v>202</v>
      </c>
      <c r="B147" s="14"/>
      <c r="C147" s="14"/>
      <c r="D147" s="14"/>
      <c r="E147" s="14"/>
      <c r="F147" s="14"/>
      <c r="G147" s="92"/>
      <c r="H147" s="120"/>
      <c r="I147" s="14"/>
      <c r="J147" s="14"/>
      <c r="K147" s="14"/>
      <c r="L147" s="14"/>
      <c r="M147" s="14"/>
      <c r="N147" s="14"/>
      <c r="O147" s="14"/>
      <c r="P147" s="14"/>
      <c r="Q147" s="14"/>
      <c r="R147" s="14"/>
      <c r="S147" s="156"/>
    </row>
    <row r="148" spans="1:19" x14ac:dyDescent="0.45">
      <c r="A148" s="191"/>
      <c r="B148" s="14" t="s">
        <v>46</v>
      </c>
      <c r="C148" s="14"/>
      <c r="D148" s="14"/>
      <c r="E148" s="14"/>
      <c r="F148" s="14"/>
      <c r="G148" s="92"/>
      <c r="H148" s="120"/>
      <c r="I148" s="14"/>
      <c r="J148" s="14"/>
      <c r="K148" s="14"/>
      <c r="L148" s="14"/>
      <c r="M148" s="14"/>
      <c r="N148" s="14"/>
      <c r="O148" s="14"/>
      <c r="P148" s="14"/>
      <c r="Q148" s="14"/>
      <c r="R148" s="14"/>
      <c r="S148" s="156"/>
    </row>
    <row r="149" spans="1:19" x14ac:dyDescent="0.45">
      <c r="A149" s="191"/>
      <c r="B149" s="14" t="s">
        <v>160</v>
      </c>
      <c r="C149" s="14"/>
      <c r="D149" s="14"/>
      <c r="E149" s="14"/>
      <c r="F149" s="14"/>
      <c r="G149" s="92"/>
      <c r="H149" s="91"/>
      <c r="I149" s="14"/>
      <c r="J149" s="14"/>
      <c r="K149" s="14"/>
      <c r="L149" s="14"/>
      <c r="M149" s="14"/>
      <c r="N149" s="14"/>
      <c r="O149" s="14"/>
      <c r="P149" s="14"/>
      <c r="Q149" s="14"/>
      <c r="R149" s="14"/>
      <c r="S149" s="156"/>
    </row>
    <row r="150" spans="1:19" x14ac:dyDescent="0.45">
      <c r="A150" s="191"/>
      <c r="B150" s="14" t="s">
        <v>48</v>
      </c>
      <c r="C150" s="14"/>
      <c r="D150" s="14"/>
      <c r="E150" s="14"/>
      <c r="F150" s="14"/>
      <c r="G150" s="92"/>
      <c r="H150" s="97" t="s">
        <v>224</v>
      </c>
      <c r="I150" s="3">
        <v>40.28</v>
      </c>
      <c r="J150" s="95" t="s">
        <v>87</v>
      </c>
      <c r="K150" s="14"/>
      <c r="L150" s="3">
        <v>38.67</v>
      </c>
      <c r="M150" s="95" t="s">
        <v>87</v>
      </c>
      <c r="N150" s="14"/>
      <c r="O150" s="3">
        <v>37.18</v>
      </c>
      <c r="P150" s="95" t="s">
        <v>87</v>
      </c>
      <c r="Q150" s="14"/>
      <c r="R150" s="14"/>
      <c r="S150" s="156"/>
    </row>
    <row r="151" spans="1:19" x14ac:dyDescent="0.45">
      <c r="A151" s="191"/>
      <c r="B151" s="14"/>
      <c r="C151" s="14"/>
      <c r="D151" s="14"/>
      <c r="E151" s="14"/>
      <c r="F151" s="14"/>
      <c r="G151" s="92"/>
      <c r="H151" s="97" t="s">
        <v>294</v>
      </c>
      <c r="I151" s="77">
        <f>I40</f>
        <v>30.97</v>
      </c>
      <c r="J151" s="95" t="s">
        <v>87</v>
      </c>
      <c r="K151" s="14"/>
      <c r="L151" s="77">
        <f>L40</f>
        <v>29.56</v>
      </c>
      <c r="M151" s="95" t="s">
        <v>87</v>
      </c>
      <c r="N151" s="14"/>
      <c r="O151" s="77">
        <f>O40</f>
        <v>28.12</v>
      </c>
      <c r="P151" s="95" t="s">
        <v>87</v>
      </c>
      <c r="Q151" s="14"/>
      <c r="R151" s="14"/>
      <c r="S151" s="156"/>
    </row>
    <row r="152" spans="1:19" ht="15.75" x14ac:dyDescent="0.5">
      <c r="A152" s="209" t="s">
        <v>217</v>
      </c>
      <c r="B152" s="72">
        <f>Q7/(B145*D12)</f>
        <v>16.400336926522105</v>
      </c>
      <c r="C152" s="95" t="s">
        <v>87</v>
      </c>
      <c r="D152" s="72">
        <f>Q7/(D145*D12)</f>
        <v>28.684469041653983</v>
      </c>
      <c r="E152" s="95" t="s">
        <v>87</v>
      </c>
      <c r="F152" s="72">
        <f>Q7/(F145*D12)</f>
        <v>8.4614874822975157</v>
      </c>
      <c r="G152" s="95" t="s">
        <v>87</v>
      </c>
      <c r="H152" s="102" t="s">
        <v>141</v>
      </c>
      <c r="I152" s="121">
        <f>I150-I151</f>
        <v>9.3100000000000023</v>
      </c>
      <c r="J152" s="95" t="s">
        <v>87</v>
      </c>
      <c r="K152" s="118" t="s">
        <v>141</v>
      </c>
      <c r="L152" s="121">
        <f>L150-L151</f>
        <v>9.110000000000003</v>
      </c>
      <c r="M152" s="95" t="s">
        <v>87</v>
      </c>
      <c r="N152" s="118" t="s">
        <v>141</v>
      </c>
      <c r="O152" s="121">
        <f>O150-O151</f>
        <v>9.0599999999999987</v>
      </c>
      <c r="P152" s="95" t="s">
        <v>87</v>
      </c>
      <c r="Q152" s="14"/>
      <c r="R152" s="14"/>
      <c r="S152" s="156"/>
    </row>
    <row r="153" spans="1:19" x14ac:dyDescent="0.45">
      <c r="A153" s="209"/>
      <c r="B153" s="73"/>
      <c r="C153" s="105"/>
      <c r="D153" s="74"/>
      <c r="E153" s="106"/>
      <c r="F153" s="74"/>
      <c r="G153" s="92"/>
      <c r="H153" s="91"/>
      <c r="I153" s="14"/>
      <c r="J153" s="14"/>
      <c r="K153" s="14"/>
      <c r="L153" s="14"/>
      <c r="M153" s="14"/>
      <c r="N153" s="14"/>
      <c r="O153" s="14"/>
      <c r="P153" s="14"/>
      <c r="Q153" s="14"/>
      <c r="R153" s="14"/>
      <c r="S153" s="156"/>
    </row>
    <row r="154" spans="1:19" x14ac:dyDescent="0.45">
      <c r="A154" s="191"/>
      <c r="B154" s="14"/>
      <c r="C154" s="14"/>
      <c r="D154" s="14"/>
      <c r="E154" s="14"/>
      <c r="F154" s="14"/>
      <c r="G154" s="92"/>
      <c r="H154" s="91"/>
      <c r="I154" s="14"/>
      <c r="J154" s="14"/>
      <c r="K154" s="14"/>
      <c r="L154" s="14"/>
      <c r="M154" s="14"/>
      <c r="N154" s="14"/>
      <c r="O154" s="14"/>
      <c r="P154" s="14"/>
      <c r="Q154" s="14"/>
      <c r="R154" s="14"/>
      <c r="S154" s="156"/>
    </row>
    <row r="155" spans="1:19" x14ac:dyDescent="0.45">
      <c r="A155" s="210" t="s">
        <v>148</v>
      </c>
      <c r="B155" s="14"/>
      <c r="C155" s="14"/>
      <c r="D155" s="14"/>
      <c r="E155" s="14"/>
      <c r="F155" s="14"/>
      <c r="G155" s="92"/>
      <c r="H155" s="107" t="s">
        <v>148</v>
      </c>
      <c r="I155" s="14"/>
      <c r="J155" s="14"/>
      <c r="K155" s="14"/>
      <c r="L155" s="14"/>
      <c r="M155" s="14"/>
      <c r="N155" s="14"/>
      <c r="O155" s="14"/>
      <c r="P155" s="14"/>
      <c r="Q155" s="14"/>
      <c r="R155" s="14"/>
      <c r="S155" s="156"/>
    </row>
    <row r="156" spans="1:19" ht="21" x14ac:dyDescent="0.65">
      <c r="A156" s="169" t="s">
        <v>166</v>
      </c>
      <c r="B156" s="266">
        <f>Q11-B152-B43-B76</f>
        <v>28.337416490615773</v>
      </c>
      <c r="C156" s="109" t="s">
        <v>87</v>
      </c>
      <c r="D156" s="272">
        <f>Q11-D152-B43-B76</f>
        <v>16.053284375483894</v>
      </c>
      <c r="E156" s="109" t="s">
        <v>87</v>
      </c>
      <c r="F156" s="272">
        <f>Q11-F152-B43-B76</f>
        <v>36.276265934840367</v>
      </c>
      <c r="G156" s="109" t="s">
        <v>87</v>
      </c>
      <c r="H156" s="108" t="s">
        <v>166</v>
      </c>
      <c r="I156" s="266">
        <f>$Q$11-I152-I43-I76</f>
        <v>30.72</v>
      </c>
      <c r="J156" s="109" t="s">
        <v>87</v>
      </c>
      <c r="K156" s="130"/>
      <c r="L156" s="266">
        <f>$Q$11-L152-L43-L76</f>
        <v>32.33</v>
      </c>
      <c r="M156" s="109" t="s">
        <v>87</v>
      </c>
      <c r="N156" s="130"/>
      <c r="O156" s="266">
        <f>$Q$11-O152-O43-O76</f>
        <v>33.82</v>
      </c>
      <c r="P156" s="109" t="s">
        <v>87</v>
      </c>
      <c r="Q156" s="14"/>
      <c r="R156" s="14"/>
      <c r="S156" s="156"/>
    </row>
    <row r="157" spans="1:19" x14ac:dyDescent="0.45">
      <c r="A157" s="191"/>
      <c r="B157" s="14"/>
      <c r="C157" s="14"/>
      <c r="D157" s="14"/>
      <c r="E157" s="14"/>
      <c r="F157" s="14"/>
      <c r="G157" s="92"/>
      <c r="H157" s="91"/>
      <c r="I157" s="14"/>
      <c r="J157" s="14"/>
      <c r="K157" s="14"/>
      <c r="L157" s="14"/>
      <c r="M157" s="14"/>
      <c r="N157" s="14"/>
      <c r="O157" s="14"/>
      <c r="P157" s="14"/>
      <c r="Q157" s="14"/>
      <c r="R157" s="14"/>
      <c r="S157" s="156"/>
    </row>
    <row r="158" spans="1:19" s="132" customFormat="1" ht="21" x14ac:dyDescent="0.65">
      <c r="A158" s="102" t="s">
        <v>316</v>
      </c>
      <c r="B158" s="131">
        <f>$Q$11-B156</f>
        <v>17.662583509384227</v>
      </c>
      <c r="C158" s="109" t="s">
        <v>87</v>
      </c>
      <c r="D158" s="131">
        <f>$Q$11-D156</f>
        <v>29.946715624516106</v>
      </c>
      <c r="E158" s="109" t="s">
        <v>87</v>
      </c>
      <c r="F158" s="131">
        <f>$Q$11-F156</f>
        <v>9.7237340651596327</v>
      </c>
      <c r="G158" s="109" t="s">
        <v>87</v>
      </c>
      <c r="H158" s="102" t="s">
        <v>316</v>
      </c>
      <c r="I158" s="131">
        <f>$Q$11-I156</f>
        <v>15.280000000000001</v>
      </c>
      <c r="J158" s="109" t="s">
        <v>87</v>
      </c>
      <c r="K158" s="14"/>
      <c r="L158" s="131">
        <f>$Q$11-L156</f>
        <v>13.670000000000002</v>
      </c>
      <c r="M158" s="109" t="s">
        <v>87</v>
      </c>
      <c r="N158" s="14"/>
      <c r="O158" s="131">
        <f>$Q$11-O156</f>
        <v>12.18</v>
      </c>
      <c r="P158" s="109" t="s">
        <v>87</v>
      </c>
      <c r="Q158" s="14"/>
      <c r="R158" s="14"/>
      <c r="S158" s="156"/>
    </row>
    <row r="159" spans="1:19" s="132" customFormat="1" ht="21" x14ac:dyDescent="0.65">
      <c r="A159" s="169"/>
      <c r="B159" s="223"/>
      <c r="C159" s="224"/>
      <c r="D159" s="223"/>
      <c r="E159" s="224"/>
      <c r="F159" s="223"/>
      <c r="G159" s="224"/>
      <c r="H159" s="225"/>
      <c r="I159" s="223"/>
      <c r="J159" s="224"/>
      <c r="K159" s="39"/>
      <c r="L159" s="223"/>
      <c r="M159" s="224"/>
      <c r="N159" s="39"/>
      <c r="O159" s="223"/>
      <c r="P159" s="109"/>
      <c r="Q159" s="14"/>
      <c r="R159" s="14"/>
      <c r="S159" s="156"/>
    </row>
    <row r="160" spans="1:19" x14ac:dyDescent="0.45">
      <c r="A160" s="191"/>
      <c r="B160" s="110" t="s">
        <v>147</v>
      </c>
      <c r="C160" s="14"/>
      <c r="D160" s="14"/>
      <c r="E160" s="14"/>
      <c r="F160" s="14"/>
      <c r="G160" s="92"/>
      <c r="H160" s="91"/>
      <c r="I160" s="99"/>
      <c r="J160" s="14"/>
      <c r="K160" s="14"/>
      <c r="L160" s="14"/>
      <c r="M160" s="14"/>
      <c r="N160" s="14"/>
      <c r="O160" s="14"/>
      <c r="P160" s="14"/>
      <c r="Q160" s="14"/>
      <c r="R160" s="14"/>
      <c r="S160" s="156"/>
    </row>
    <row r="161" spans="1:19" x14ac:dyDescent="0.45">
      <c r="A161" s="191"/>
      <c r="B161" s="14" t="s">
        <v>243</v>
      </c>
      <c r="C161" s="14"/>
      <c r="D161" s="14"/>
      <c r="E161" s="14"/>
      <c r="F161" s="14"/>
      <c r="G161" s="92"/>
      <c r="H161" s="91"/>
      <c r="I161" s="14"/>
      <c r="J161" s="14"/>
      <c r="K161" s="14"/>
      <c r="L161" s="14"/>
      <c r="M161" s="14"/>
      <c r="N161" s="14"/>
      <c r="O161" s="14"/>
      <c r="P161" s="14"/>
      <c r="Q161" s="14"/>
      <c r="R161" s="14"/>
      <c r="S161" s="156"/>
    </row>
    <row r="162" spans="1:19" x14ac:dyDescent="0.45">
      <c r="A162" s="191"/>
      <c r="B162" s="14"/>
      <c r="C162" s="14"/>
      <c r="D162" s="14"/>
      <c r="E162" s="14"/>
      <c r="F162" s="14"/>
      <c r="G162" s="92"/>
      <c r="H162" s="91"/>
      <c r="I162" s="39"/>
      <c r="J162" s="14"/>
      <c r="K162" s="14"/>
      <c r="L162" s="14"/>
      <c r="M162" s="14"/>
      <c r="N162" s="14"/>
      <c r="O162" s="14"/>
      <c r="P162" s="14"/>
      <c r="Q162" s="14"/>
      <c r="R162" s="14"/>
      <c r="S162" s="156"/>
    </row>
    <row r="163" spans="1:19" ht="28.9" x14ac:dyDescent="0.5">
      <c r="A163" s="211" t="s">
        <v>183</v>
      </c>
      <c r="B163" s="70">
        <v>1</v>
      </c>
      <c r="C163" s="14"/>
      <c r="D163" s="14"/>
      <c r="E163" s="14"/>
      <c r="F163" s="14"/>
      <c r="G163" s="92"/>
      <c r="H163" s="91"/>
      <c r="I163" s="14"/>
      <c r="J163" s="14"/>
      <c r="K163" s="14"/>
      <c r="L163" s="14"/>
      <c r="M163" s="14"/>
      <c r="N163" s="14"/>
      <c r="O163" s="14"/>
      <c r="P163" s="14"/>
      <c r="Q163" s="14"/>
      <c r="R163" s="14"/>
      <c r="S163" s="156"/>
    </row>
    <row r="164" spans="1:19" ht="14.65" thickBot="1" x14ac:dyDescent="0.5">
      <c r="A164" s="196"/>
      <c r="B164" s="25"/>
      <c r="C164" s="25"/>
      <c r="D164" s="25"/>
      <c r="E164" s="25"/>
      <c r="F164" s="25"/>
      <c r="G164" s="212"/>
      <c r="H164" s="213"/>
      <c r="I164" s="25"/>
      <c r="J164" s="25"/>
      <c r="K164" s="25"/>
      <c r="L164" s="25"/>
      <c r="M164" s="25"/>
      <c r="N164" s="25"/>
      <c r="O164" s="25"/>
      <c r="P164" s="25"/>
      <c r="Q164" s="25"/>
      <c r="R164" s="25"/>
      <c r="S164" s="160"/>
    </row>
    <row r="166" spans="1:19" x14ac:dyDescent="0.45">
      <c r="A166" t="s">
        <v>317</v>
      </c>
      <c r="B166" s="4" t="s">
        <v>318</v>
      </c>
      <c r="C166" s="50">
        <v>25</v>
      </c>
      <c r="D166" s="95" t="s">
        <v>87</v>
      </c>
    </row>
    <row r="167" spans="1:19" x14ac:dyDescent="0.45">
      <c r="A167" s="4" t="s">
        <v>321</v>
      </c>
      <c r="B167" s="4" t="s">
        <v>319</v>
      </c>
      <c r="C167" s="50">
        <v>38.44</v>
      </c>
      <c r="D167" s="95" t="s">
        <v>87</v>
      </c>
    </row>
    <row r="168" spans="1:19" x14ac:dyDescent="0.45">
      <c r="A168" s="4" t="s">
        <v>320</v>
      </c>
      <c r="B168" s="4" t="s">
        <v>319</v>
      </c>
      <c r="C168" s="50">
        <v>38.06</v>
      </c>
      <c r="D168" s="95" t="s">
        <v>87</v>
      </c>
    </row>
    <row r="169" spans="1:19" x14ac:dyDescent="0.45">
      <c r="A169" s="83" t="s">
        <v>322</v>
      </c>
      <c r="B169" s="4" t="s">
        <v>319</v>
      </c>
      <c r="C169" s="50">
        <v>37.67</v>
      </c>
      <c r="D169" s="95" t="s">
        <v>87</v>
      </c>
    </row>
    <row r="170" spans="1:19" x14ac:dyDescent="0.45">
      <c r="A170" s="83" t="s">
        <v>323</v>
      </c>
      <c r="B170" s="4" t="s">
        <v>319</v>
      </c>
      <c r="C170" s="50">
        <v>35.04</v>
      </c>
      <c r="D170" s="95" t="s">
        <v>87</v>
      </c>
    </row>
    <row r="171" spans="1:19" x14ac:dyDescent="0.45">
      <c r="A171" s="83" t="s">
        <v>324</v>
      </c>
      <c r="B171" s="4" t="s">
        <v>319</v>
      </c>
      <c r="C171" s="50">
        <v>35.01</v>
      </c>
      <c r="D171" s="95" t="s">
        <v>87</v>
      </c>
    </row>
    <row r="172" spans="1:19" x14ac:dyDescent="0.45">
      <c r="A172" s="83" t="s">
        <v>325</v>
      </c>
      <c r="B172" s="4" t="s">
        <v>319</v>
      </c>
      <c r="C172" s="50">
        <v>35.369999999999997</v>
      </c>
      <c r="D172" s="95" t="s">
        <v>87</v>
      </c>
    </row>
    <row r="173" spans="1:19" x14ac:dyDescent="0.45">
      <c r="B173" s="4"/>
    </row>
    <row r="174" spans="1:19" s="132" customFormat="1" x14ac:dyDescent="0.45">
      <c r="A174" s="83" t="s">
        <v>327</v>
      </c>
      <c r="B174" s="4"/>
    </row>
    <row r="175" spans="1:19" x14ac:dyDescent="0.45">
      <c r="A175" s="4" t="s">
        <v>321</v>
      </c>
      <c r="B175" s="4" t="s">
        <v>326</v>
      </c>
      <c r="C175" s="50">
        <v>67.55</v>
      </c>
      <c r="D175" s="95" t="s">
        <v>87</v>
      </c>
    </row>
    <row r="176" spans="1:19" x14ac:dyDescent="0.45">
      <c r="A176" s="4" t="s">
        <v>328</v>
      </c>
      <c r="B176" s="4" t="s">
        <v>326</v>
      </c>
      <c r="C176" s="50">
        <v>44.7</v>
      </c>
      <c r="D176" s="95" t="s">
        <v>87</v>
      </c>
    </row>
    <row r="178" spans="1:4" x14ac:dyDescent="0.45">
      <c r="A178" s="4" t="s">
        <v>329</v>
      </c>
    </row>
    <row r="179" spans="1:4" x14ac:dyDescent="0.45">
      <c r="A179" s="4" t="s">
        <v>321</v>
      </c>
      <c r="B179" s="4" t="s">
        <v>326</v>
      </c>
      <c r="C179" s="50">
        <v>51.53</v>
      </c>
      <c r="D179" s="95" t="s">
        <v>87</v>
      </c>
    </row>
    <row r="180" spans="1:4" x14ac:dyDescent="0.45">
      <c r="A180" s="4" t="s">
        <v>330</v>
      </c>
      <c r="B180" s="4" t="s">
        <v>326</v>
      </c>
      <c r="C180" s="50">
        <v>44.85</v>
      </c>
      <c r="D180" s="95" t="s">
        <v>87</v>
      </c>
    </row>
  </sheetData>
  <mergeCells count="8">
    <mergeCell ref="J3:Q3"/>
    <mergeCell ref="A24:G24"/>
    <mergeCell ref="H24:S24"/>
    <mergeCell ref="A131:A134"/>
    <mergeCell ref="B131:B134"/>
    <mergeCell ref="D131:D134"/>
    <mergeCell ref="F131:F134"/>
    <mergeCell ref="I50:Q55"/>
  </mergeCells>
  <pageMargins left="0.25" right="0.25" top="0.75" bottom="0.75" header="0.3" footer="0.3"/>
  <pageSetup scale="53" fitToHeight="0" orientation="landscape" r:id="rId1"/>
  <rowBreaks count="2" manualBreakCount="2">
    <brk id="43" max="18" man="1"/>
    <brk id="88" max="1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1"/>
  <sheetViews>
    <sheetView topLeftCell="A4" zoomScaleNormal="100" workbookViewId="0">
      <selection activeCell="D45" sqref="D45"/>
    </sheetView>
  </sheetViews>
  <sheetFormatPr defaultRowHeight="14.25" x14ac:dyDescent="0.45"/>
  <cols>
    <col min="2" max="2" width="15.1328125" customWidth="1"/>
    <col min="3" max="3" width="11.3984375" customWidth="1"/>
    <col min="7" max="7" width="12.265625" customWidth="1"/>
  </cols>
  <sheetData>
    <row r="1" spans="1:9" ht="15.75" x14ac:dyDescent="0.5">
      <c r="A1" s="27" t="s">
        <v>95</v>
      </c>
    </row>
    <row r="2" spans="1:9" x14ac:dyDescent="0.45">
      <c r="A2" t="s">
        <v>97</v>
      </c>
    </row>
    <row r="3" spans="1:9" x14ac:dyDescent="0.45">
      <c r="C3" s="75" t="s">
        <v>185</v>
      </c>
      <c r="H3" t="s">
        <v>186</v>
      </c>
    </row>
    <row r="4" spans="1:9" x14ac:dyDescent="0.45">
      <c r="A4" t="s">
        <v>96</v>
      </c>
    </row>
    <row r="5" spans="1:9" x14ac:dyDescent="0.45">
      <c r="C5" s="4" t="s">
        <v>172</v>
      </c>
      <c r="D5">
        <v>4.7169999999999996</v>
      </c>
      <c r="E5" t="s">
        <v>98</v>
      </c>
    </row>
    <row r="6" spans="1:9" x14ac:dyDescent="0.45">
      <c r="C6" s="4" t="s">
        <v>173</v>
      </c>
      <c r="D6">
        <v>3.798</v>
      </c>
      <c r="E6" t="s">
        <v>98</v>
      </c>
      <c r="G6" s="4" t="s">
        <v>187</v>
      </c>
      <c r="H6">
        <v>3.54</v>
      </c>
      <c r="I6" t="s">
        <v>188</v>
      </c>
    </row>
    <row r="7" spans="1:9" x14ac:dyDescent="0.45">
      <c r="C7" s="4" t="s">
        <v>99</v>
      </c>
      <c r="G7" s="4" t="s">
        <v>189</v>
      </c>
      <c r="H7" s="26">
        <f>PI()*(H6^2)</f>
        <v>39.369182497725852</v>
      </c>
      <c r="I7" t="s">
        <v>98</v>
      </c>
    </row>
    <row r="8" spans="1:9" x14ac:dyDescent="0.45">
      <c r="C8">
        <v>0.253</v>
      </c>
    </row>
    <row r="9" spans="1:9" x14ac:dyDescent="0.45">
      <c r="C9">
        <v>0.22500000000000001</v>
      </c>
    </row>
    <row r="10" spans="1:9" x14ac:dyDescent="0.45">
      <c r="C10">
        <v>0.309</v>
      </c>
    </row>
    <row r="11" spans="1:9" ht="14.65" thickBot="1" x14ac:dyDescent="0.5">
      <c r="C11" s="25">
        <v>0.309</v>
      </c>
    </row>
    <row r="12" spans="1:9" x14ac:dyDescent="0.45">
      <c r="B12" s="4" t="s">
        <v>101</v>
      </c>
      <c r="C12">
        <f>SUM(C8:C11)</f>
        <v>1.0959999999999999</v>
      </c>
    </row>
    <row r="13" spans="1:9" x14ac:dyDescent="0.45">
      <c r="B13" t="s">
        <v>100</v>
      </c>
      <c r="D13">
        <f>C12*30</f>
        <v>32.879999999999995</v>
      </c>
      <c r="E13" t="s">
        <v>98</v>
      </c>
    </row>
    <row r="14" spans="1:9" x14ac:dyDescent="0.45">
      <c r="C14" s="4" t="s">
        <v>102</v>
      </c>
      <c r="D14" s="14">
        <f>SUM(D5:D13)</f>
        <v>41.394999999999996</v>
      </c>
      <c r="E14" t="s">
        <v>98</v>
      </c>
    </row>
    <row r="15" spans="1:9" x14ac:dyDescent="0.45">
      <c r="C15" s="4" t="s">
        <v>103</v>
      </c>
      <c r="D15" s="10">
        <f>D14*6.4516</f>
        <v>267.06398199999995</v>
      </c>
      <c r="E15" t="s">
        <v>20</v>
      </c>
      <c r="H15" s="10">
        <f>H7*6.4516</f>
        <v>253.99421780232811</v>
      </c>
      <c r="I15" t="s">
        <v>20</v>
      </c>
    </row>
    <row r="16" spans="1:9" x14ac:dyDescent="0.45">
      <c r="C16" s="4" t="s">
        <v>168</v>
      </c>
      <c r="D16" s="22">
        <f>5*2.54</f>
        <v>12.7</v>
      </c>
      <c r="E16" t="s">
        <v>19</v>
      </c>
      <c r="G16" s="4" t="s">
        <v>203</v>
      </c>
      <c r="H16" s="3">
        <v>1</v>
      </c>
      <c r="I16" t="s">
        <v>303</v>
      </c>
    </row>
    <row r="17" spans="1:10" x14ac:dyDescent="0.45">
      <c r="C17" s="4" t="s">
        <v>167</v>
      </c>
      <c r="D17" s="10">
        <f>PI()*(D16/2)^2</f>
        <v>126.67686977437442</v>
      </c>
      <c r="E17" t="s">
        <v>20</v>
      </c>
    </row>
    <row r="18" spans="1:10" x14ac:dyDescent="0.45">
      <c r="C18" s="4" t="s">
        <v>169</v>
      </c>
      <c r="D18" s="10">
        <f>D15/D17</f>
        <v>2.1082300381724823</v>
      </c>
    </row>
    <row r="20" spans="1:10" x14ac:dyDescent="0.45">
      <c r="A20" t="s">
        <v>104</v>
      </c>
    </row>
    <row r="21" spans="1:10" x14ac:dyDescent="0.45">
      <c r="B21" t="s">
        <v>3</v>
      </c>
      <c r="C21" s="26">
        <f>HeliumOption!D3</f>
        <v>18</v>
      </c>
      <c r="D21" t="s">
        <v>20</v>
      </c>
    </row>
    <row r="22" spans="1:10" x14ac:dyDescent="0.45">
      <c r="B22" s="4" t="s">
        <v>109</v>
      </c>
      <c r="C22" s="26">
        <f>PI()*((C21/2)^2)</f>
        <v>254.46900494077323</v>
      </c>
      <c r="D22" t="s">
        <v>20</v>
      </c>
    </row>
    <row r="24" spans="1:10" x14ac:dyDescent="0.45">
      <c r="B24" s="4" t="s">
        <v>105</v>
      </c>
      <c r="C24">
        <v>6.25</v>
      </c>
      <c r="D24" t="s">
        <v>106</v>
      </c>
    </row>
    <row r="25" spans="1:10" x14ac:dyDescent="0.45">
      <c r="B25" s="4" t="s">
        <v>107</v>
      </c>
      <c r="C25" s="26">
        <f>PI()*((C24/2)^2)</f>
        <v>30.679615757712824</v>
      </c>
      <c r="D25" t="s">
        <v>98</v>
      </c>
    </row>
    <row r="27" spans="1:10" x14ac:dyDescent="0.45">
      <c r="C27" s="4" t="s">
        <v>103</v>
      </c>
      <c r="D27" s="10">
        <f>C25*6.4516</f>
        <v>197.93260902246004</v>
      </c>
      <c r="E27" t="s">
        <v>20</v>
      </c>
    </row>
    <row r="29" spans="1:10" x14ac:dyDescent="0.45">
      <c r="C29" s="4" t="s">
        <v>108</v>
      </c>
      <c r="D29" s="10">
        <f>C22-D27</f>
        <v>56.53639591831319</v>
      </c>
      <c r="E29" t="s">
        <v>20</v>
      </c>
    </row>
    <row r="30" spans="1:10" ht="14.65" thickBot="1" x14ac:dyDescent="0.5"/>
    <row r="31" spans="1:10" ht="14.65" thickBot="1" x14ac:dyDescent="0.5">
      <c r="C31" s="4" t="s">
        <v>110</v>
      </c>
      <c r="D31" s="81">
        <f>D15+D29</f>
        <v>323.60037791831314</v>
      </c>
      <c r="E31" t="s">
        <v>20</v>
      </c>
      <c r="F31" s="75" t="s">
        <v>185</v>
      </c>
      <c r="H31" s="82">
        <f>H15*H16</f>
        <v>253.99421780232811</v>
      </c>
      <c r="I31" t="s">
        <v>20</v>
      </c>
      <c r="J31" t="s">
        <v>186</v>
      </c>
    </row>
    <row r="33" spans="1:5" ht="15.75" x14ac:dyDescent="0.5">
      <c r="A33" s="27" t="s">
        <v>111</v>
      </c>
    </row>
    <row r="34" spans="1:5" x14ac:dyDescent="0.45">
      <c r="C34" s="4" t="s">
        <v>170</v>
      </c>
      <c r="D34" s="10">
        <f>ThermalCaculationBaseline!D3</f>
        <v>18</v>
      </c>
      <c r="E34" t="s">
        <v>20</v>
      </c>
    </row>
    <row r="35" spans="1:5" x14ac:dyDescent="0.45">
      <c r="C35" s="4" t="s">
        <v>308</v>
      </c>
      <c r="D35" s="10">
        <f>PI()*((D34/2)^2)</f>
        <v>254.46900494077323</v>
      </c>
      <c r="E35" t="s">
        <v>20</v>
      </c>
    </row>
    <row r="36" spans="1:5" x14ac:dyDescent="0.45">
      <c r="C36" s="66" t="s">
        <v>309</v>
      </c>
      <c r="D36" s="22">
        <v>13.05</v>
      </c>
      <c r="E36" t="s">
        <v>20</v>
      </c>
    </row>
    <row r="37" spans="1:5" x14ac:dyDescent="0.45">
      <c r="C37" s="66" t="s">
        <v>190</v>
      </c>
      <c r="D37" s="76">
        <f>PI()*(D36/2)^2</f>
        <v>133.75527072199395</v>
      </c>
      <c r="E37" t="s">
        <v>20</v>
      </c>
    </row>
    <row r="38" spans="1:5" x14ac:dyDescent="0.45">
      <c r="B38" s="4"/>
      <c r="C38" s="66" t="s">
        <v>310</v>
      </c>
      <c r="D38" s="3">
        <v>649.29999999999995</v>
      </c>
      <c r="E38" s="132" t="s">
        <v>20</v>
      </c>
    </row>
    <row r="39" spans="1:5" x14ac:dyDescent="0.45">
      <c r="B39" s="4"/>
      <c r="C39" s="66" t="s">
        <v>312</v>
      </c>
      <c r="D39" s="10">
        <f>D38-D37</f>
        <v>515.544729278006</v>
      </c>
      <c r="E39" t="s">
        <v>20</v>
      </c>
    </row>
    <row r="40" spans="1:5" ht="14.65" thickBot="1" x14ac:dyDescent="0.5"/>
    <row r="41" spans="1:5" ht="14.65" thickBot="1" x14ac:dyDescent="0.5">
      <c r="C41" s="4" t="s">
        <v>311</v>
      </c>
      <c r="D41" s="24">
        <f>D39+(D35-D37)</f>
        <v>636.25846349678523</v>
      </c>
      <c r="E41" t="s">
        <v>20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171"/>
  <sheetViews>
    <sheetView topLeftCell="A49" zoomScaleNormal="100" zoomScaleSheetLayoutView="100" zoomScalePageLayoutView="50" workbookViewId="0">
      <selection activeCell="F165" sqref="F165"/>
    </sheetView>
  </sheetViews>
  <sheetFormatPr defaultRowHeight="14.25" x14ac:dyDescent="0.45"/>
  <cols>
    <col min="1" max="1" width="33.86328125" customWidth="1"/>
    <col min="2" max="2" width="12" customWidth="1"/>
    <col min="3" max="3" width="9.265625" customWidth="1"/>
    <col min="4" max="4" width="11.73046875" customWidth="1"/>
    <col min="5" max="5" width="8.73046875" customWidth="1"/>
    <col min="6" max="6" width="12" customWidth="1"/>
    <col min="7" max="7" width="12.59765625" customWidth="1"/>
    <col min="8" max="8" width="9.59765625" bestFit="1" customWidth="1"/>
    <col min="9" max="9" width="11.86328125" customWidth="1"/>
    <col min="10" max="10" width="9.86328125" bestFit="1" customWidth="1"/>
    <col min="12" max="12" width="9.86328125" bestFit="1" customWidth="1"/>
    <col min="13" max="13" width="18.73046875" customWidth="1"/>
    <col min="14" max="14" width="9.86328125" bestFit="1" customWidth="1"/>
  </cols>
  <sheetData>
    <row r="1" spans="1:7" ht="21" x14ac:dyDescent="0.65">
      <c r="A1" s="67" t="s">
        <v>1</v>
      </c>
      <c r="B1" t="s">
        <v>179</v>
      </c>
    </row>
    <row r="2" spans="1:7" x14ac:dyDescent="0.45">
      <c r="A2" s="1" t="s">
        <v>2</v>
      </c>
      <c r="C2" t="s">
        <v>9</v>
      </c>
      <c r="E2" t="s">
        <v>9</v>
      </c>
      <c r="F2" s="50" t="s">
        <v>146</v>
      </c>
    </row>
    <row r="3" spans="1:7" x14ac:dyDescent="0.45">
      <c r="A3" t="s">
        <v>3</v>
      </c>
      <c r="B3" s="2">
        <v>180</v>
      </c>
      <c r="C3" t="s">
        <v>14</v>
      </c>
      <c r="D3" s="10">
        <f>B3/10</f>
        <v>18</v>
      </c>
      <c r="E3" t="s">
        <v>19</v>
      </c>
      <c r="F3" s="3"/>
      <c r="G3" t="s">
        <v>93</v>
      </c>
    </row>
    <row r="4" spans="1:7" x14ac:dyDescent="0.45">
      <c r="A4" t="s">
        <v>4</v>
      </c>
      <c r="B4" s="2">
        <v>203.2</v>
      </c>
      <c r="C4" t="s">
        <v>14</v>
      </c>
      <c r="D4" s="10">
        <f t="shared" ref="D4:D6" si="0">B4/10</f>
        <v>20.32</v>
      </c>
      <c r="E4" t="s">
        <v>19</v>
      </c>
      <c r="F4" s="7">
        <v>11.111000000000001</v>
      </c>
      <c r="G4" t="s">
        <v>92</v>
      </c>
    </row>
    <row r="5" spans="1:7" x14ac:dyDescent="0.45">
      <c r="A5" t="s">
        <v>6</v>
      </c>
      <c r="B5" s="2">
        <v>437</v>
      </c>
      <c r="C5" t="s">
        <v>14</v>
      </c>
      <c r="D5" s="10">
        <f t="shared" si="0"/>
        <v>43.7</v>
      </c>
      <c r="E5" t="s">
        <v>19</v>
      </c>
      <c r="F5" s="23">
        <v>11.111000000000001</v>
      </c>
      <c r="G5" t="s">
        <v>94</v>
      </c>
    </row>
    <row r="6" spans="1:7" ht="14.65" thickBot="1" x14ac:dyDescent="0.5">
      <c r="A6" t="s">
        <v>5</v>
      </c>
      <c r="B6" s="2">
        <v>31.75</v>
      </c>
      <c r="C6" t="s">
        <v>14</v>
      </c>
      <c r="D6" s="11">
        <f t="shared" si="0"/>
        <v>3.1749999999999998</v>
      </c>
      <c r="E6" t="s">
        <v>19</v>
      </c>
    </row>
    <row r="7" spans="1:7" ht="14.65" thickBot="1" x14ac:dyDescent="0.5">
      <c r="B7" s="39"/>
      <c r="C7" s="4" t="s">
        <v>119</v>
      </c>
      <c r="D7" s="29">
        <f>(D4-D3)/2</f>
        <v>1.1600000000000001</v>
      </c>
      <c r="E7" t="s">
        <v>19</v>
      </c>
    </row>
    <row r="8" spans="1:7" ht="14.65" thickBot="1" x14ac:dyDescent="0.5">
      <c r="C8" s="4" t="s">
        <v>118</v>
      </c>
      <c r="D8" s="28">
        <f>D5*(PI()*D3)</f>
        <v>2471.1767813137312</v>
      </c>
      <c r="E8" t="s">
        <v>20</v>
      </c>
    </row>
    <row r="9" spans="1:7" ht="14.65" thickBot="1" x14ac:dyDescent="0.5">
      <c r="C9" s="4" t="s">
        <v>113</v>
      </c>
      <c r="D9" s="29">
        <f>1.25*(PI()*((D3/2)^2))</f>
        <v>318.08625617596653</v>
      </c>
    </row>
    <row r="10" spans="1:7" x14ac:dyDescent="0.45">
      <c r="C10" s="4" t="s">
        <v>114</v>
      </c>
      <c r="D10" s="28">
        <f>HeatSinkAreas!D31</f>
        <v>323.60037791831314</v>
      </c>
      <c r="E10" t="s">
        <v>20</v>
      </c>
      <c r="F10" t="s">
        <v>145</v>
      </c>
    </row>
    <row r="11" spans="1:7" ht="14.65" thickBot="1" x14ac:dyDescent="0.5">
      <c r="C11" s="4" t="s">
        <v>115</v>
      </c>
      <c r="D11" s="11">
        <f>HeatSinkAreas!D41</f>
        <v>636.25846349678523</v>
      </c>
      <c r="E11" t="s">
        <v>20</v>
      </c>
      <c r="F11" t="s">
        <v>145</v>
      </c>
    </row>
    <row r="12" spans="1:7" ht="14.65" thickBot="1" x14ac:dyDescent="0.5">
      <c r="C12" s="4" t="s">
        <v>116</v>
      </c>
      <c r="D12" s="24">
        <f>SUM(D8,D10,D11)</f>
        <v>3431.0356227288294</v>
      </c>
      <c r="E12" t="s">
        <v>20</v>
      </c>
    </row>
    <row r="13" spans="1:7" ht="14.65" thickBot="1" x14ac:dyDescent="0.5">
      <c r="C13" s="4" t="s">
        <v>21</v>
      </c>
      <c r="D13" s="24">
        <f>(D5+(2*D6))*(2*PI()*D4/2)</f>
        <v>3195.0499941832772</v>
      </c>
      <c r="E13" t="s">
        <v>20</v>
      </c>
    </row>
    <row r="14" spans="1:7" ht="14.65" thickBot="1" x14ac:dyDescent="0.5">
      <c r="C14" s="4" t="s">
        <v>31</v>
      </c>
      <c r="D14" s="28">
        <f>1.25*(PI()*(D4/2)^2)</f>
        <v>405.36598327799817</v>
      </c>
      <c r="E14" t="s">
        <v>20</v>
      </c>
    </row>
    <row r="15" spans="1:7" ht="14.65" thickBot="1" x14ac:dyDescent="0.5">
      <c r="C15" s="4" t="s">
        <v>30</v>
      </c>
      <c r="D15" s="24">
        <f>SUM(D13:D14)</f>
        <v>3600.4159774612754</v>
      </c>
      <c r="E15" t="s">
        <v>20</v>
      </c>
    </row>
    <row r="17" spans="1:3" x14ac:dyDescent="0.45">
      <c r="A17" s="35" t="s">
        <v>7</v>
      </c>
      <c r="B17" t="s">
        <v>25</v>
      </c>
      <c r="C17" t="s">
        <v>10</v>
      </c>
    </row>
    <row r="18" spans="1:3" x14ac:dyDescent="0.45">
      <c r="A18" t="s">
        <v>22</v>
      </c>
      <c r="B18" s="3">
        <v>5</v>
      </c>
      <c r="C18" s="7">
        <f>B18*12</f>
        <v>60</v>
      </c>
    </row>
    <row r="19" spans="1:3" x14ac:dyDescent="0.45">
      <c r="A19" t="s">
        <v>23</v>
      </c>
      <c r="B19" s="3">
        <v>0.3</v>
      </c>
      <c r="C19" s="7">
        <f t="shared" ref="C19:C22" si="1">B19*12</f>
        <v>3.5999999999999996</v>
      </c>
    </row>
    <row r="20" spans="1:3" x14ac:dyDescent="0.45">
      <c r="A20" t="s">
        <v>0</v>
      </c>
      <c r="B20" s="3">
        <v>0.3</v>
      </c>
      <c r="C20" s="7">
        <f t="shared" si="1"/>
        <v>3.5999999999999996</v>
      </c>
    </row>
    <row r="21" spans="1:3" x14ac:dyDescent="0.45">
      <c r="A21" t="s">
        <v>27</v>
      </c>
      <c r="C21" s="2">
        <v>1.5</v>
      </c>
    </row>
    <row r="22" spans="1:3" x14ac:dyDescent="0.45">
      <c r="A22" t="s">
        <v>24</v>
      </c>
      <c r="B22" s="3">
        <v>0.2</v>
      </c>
      <c r="C22" s="7">
        <f t="shared" si="1"/>
        <v>2.4000000000000004</v>
      </c>
    </row>
    <row r="23" spans="1:3" ht="14.65" thickBot="1" x14ac:dyDescent="0.5">
      <c r="B23" t="s">
        <v>29</v>
      </c>
      <c r="C23" s="8">
        <f>SUM(C18:C22)</f>
        <v>71.100000000000009</v>
      </c>
    </row>
    <row r="24" spans="1:3" ht="14.65" thickBot="1" x14ac:dyDescent="0.5">
      <c r="A24" t="s">
        <v>26</v>
      </c>
      <c r="B24" s="5">
        <v>0.9</v>
      </c>
      <c r="C24" s="9">
        <f>1/B24*C23</f>
        <v>79.000000000000014</v>
      </c>
    </row>
    <row r="26" spans="1:3" x14ac:dyDescent="0.45">
      <c r="A26" t="s">
        <v>28</v>
      </c>
      <c r="B26" s="6">
        <f>C24</f>
        <v>79.000000000000014</v>
      </c>
      <c r="C26" t="s">
        <v>10</v>
      </c>
    </row>
    <row r="27" spans="1:3" ht="14.65" thickBot="1" x14ac:dyDescent="0.5">
      <c r="A27" t="s">
        <v>32</v>
      </c>
      <c r="B27" s="33">
        <f>B26*3.413</f>
        <v>269.62700000000001</v>
      </c>
    </row>
    <row r="28" spans="1:3" ht="14.65" thickBot="1" x14ac:dyDescent="0.5">
      <c r="A28" t="s">
        <v>85</v>
      </c>
      <c r="B28" s="24">
        <f>B26*0.239</f>
        <v>18.881000000000004</v>
      </c>
    </row>
    <row r="29" spans="1:3" x14ac:dyDescent="0.45">
      <c r="A29" t="s">
        <v>8</v>
      </c>
      <c r="B29" s="34">
        <v>25</v>
      </c>
      <c r="C29" t="s">
        <v>11</v>
      </c>
    </row>
    <row r="30" spans="1:3" x14ac:dyDescent="0.45">
      <c r="A30" t="s">
        <v>51</v>
      </c>
      <c r="B30" s="2">
        <v>38</v>
      </c>
      <c r="C30" t="s">
        <v>11</v>
      </c>
    </row>
    <row r="31" spans="1:3" ht="14.65" thickBot="1" x14ac:dyDescent="0.5">
      <c r="A31" t="s">
        <v>52</v>
      </c>
      <c r="B31" s="40">
        <v>48</v>
      </c>
      <c r="C31" t="s">
        <v>11</v>
      </c>
    </row>
    <row r="32" spans="1:3" ht="14.65" thickBot="1" x14ac:dyDescent="0.5">
      <c r="A32" t="s">
        <v>84</v>
      </c>
      <c r="B32" s="30">
        <f>(B30+B31)/2</f>
        <v>43</v>
      </c>
      <c r="C32" t="s">
        <v>11</v>
      </c>
    </row>
    <row r="33" spans="1:13" x14ac:dyDescent="0.45">
      <c r="A33" t="s">
        <v>57</v>
      </c>
      <c r="B33" s="41">
        <f>273.15+B32</f>
        <v>316.14999999999998</v>
      </c>
      <c r="C33" t="s">
        <v>121</v>
      </c>
    </row>
    <row r="34" spans="1:13" x14ac:dyDescent="0.45">
      <c r="A34" t="s">
        <v>16</v>
      </c>
      <c r="B34" s="34"/>
      <c r="C34" t="s">
        <v>18</v>
      </c>
    </row>
    <row r="35" spans="1:13" x14ac:dyDescent="0.45">
      <c r="A35" t="s">
        <v>17</v>
      </c>
      <c r="B35" s="2"/>
      <c r="C35" t="s">
        <v>18</v>
      </c>
    </row>
    <row r="37" spans="1:13" x14ac:dyDescent="0.45">
      <c r="A37" s="1" t="s">
        <v>127</v>
      </c>
      <c r="G37" t="s">
        <v>149</v>
      </c>
    </row>
    <row r="38" spans="1:13" x14ac:dyDescent="0.45">
      <c r="B38" t="s">
        <v>80</v>
      </c>
      <c r="E38" t="s">
        <v>81</v>
      </c>
      <c r="G38" t="s">
        <v>126</v>
      </c>
      <c r="I38" t="s">
        <v>122</v>
      </c>
    </row>
    <row r="39" spans="1:13" x14ac:dyDescent="0.45">
      <c r="A39" t="s">
        <v>12</v>
      </c>
      <c r="B39" s="3">
        <v>0.37</v>
      </c>
      <c r="C39" t="s">
        <v>13</v>
      </c>
    </row>
    <row r="40" spans="1:13" x14ac:dyDescent="0.45">
      <c r="A40" t="s">
        <v>15</v>
      </c>
      <c r="B40" s="3">
        <v>3.6999999999999998E-2</v>
      </c>
      <c r="C40" t="s">
        <v>13</v>
      </c>
      <c r="M40" s="16"/>
    </row>
    <row r="41" spans="1:13" x14ac:dyDescent="0.45">
      <c r="A41" t="s">
        <v>128</v>
      </c>
      <c r="B41" s="3">
        <v>1.4630000000000001E-3</v>
      </c>
      <c r="C41" t="s">
        <v>13</v>
      </c>
      <c r="E41" s="3">
        <v>0.97339799999999999</v>
      </c>
      <c r="F41" t="s">
        <v>54</v>
      </c>
      <c r="G41" s="3">
        <v>8.6840000000000007E-3</v>
      </c>
      <c r="H41" t="s">
        <v>76</v>
      </c>
      <c r="I41" s="3">
        <v>0.99658000000000002</v>
      </c>
      <c r="J41" t="s">
        <v>58</v>
      </c>
    </row>
    <row r="42" spans="1:13" x14ac:dyDescent="0.45">
      <c r="A42" t="s">
        <v>53</v>
      </c>
      <c r="B42" s="19">
        <v>6.5199999999999999E-5</v>
      </c>
      <c r="C42" t="s">
        <v>13</v>
      </c>
      <c r="E42" s="3">
        <v>0.2407</v>
      </c>
      <c r="F42" t="s">
        <v>54</v>
      </c>
      <c r="G42" s="17">
        <v>1.9285999999999999E-4</v>
      </c>
      <c r="H42" t="s">
        <v>76</v>
      </c>
      <c r="I42" s="17">
        <v>1.1168E-3</v>
      </c>
      <c r="J42" t="s">
        <v>58</v>
      </c>
    </row>
    <row r="43" spans="1:13" x14ac:dyDescent="0.45">
      <c r="A43" t="s">
        <v>129</v>
      </c>
      <c r="B43" s="19">
        <v>3.702E-4</v>
      </c>
      <c r="C43" t="s">
        <v>13</v>
      </c>
      <c r="E43" s="3">
        <v>1.2411799999999999</v>
      </c>
      <c r="F43" t="s">
        <v>54</v>
      </c>
      <c r="G43" s="17">
        <v>2.062E-4</v>
      </c>
      <c r="H43" t="s">
        <v>76</v>
      </c>
      <c r="I43" s="17">
        <v>1.5459999999999999E-4</v>
      </c>
      <c r="J43" t="s">
        <v>58</v>
      </c>
    </row>
    <row r="45" spans="1:13" x14ac:dyDescent="0.45">
      <c r="A45" s="35" t="s">
        <v>35</v>
      </c>
    </row>
    <row r="47" spans="1:13" x14ac:dyDescent="0.45">
      <c r="A47" t="s">
        <v>36</v>
      </c>
      <c r="J47" s="42"/>
      <c r="L47" s="42"/>
      <c r="M47" s="18"/>
    </row>
    <row r="48" spans="1:13" ht="14.65" thickBot="1" x14ac:dyDescent="0.5">
      <c r="G48" s="42"/>
      <c r="J48" s="42"/>
      <c r="L48" s="42"/>
    </row>
    <row r="49" spans="1:14" ht="14.65" thickBot="1" x14ac:dyDescent="0.5">
      <c r="B49" s="29">
        <f>(D13-D8)/(LN(D13/D8))</f>
        <v>2817.6329908329258</v>
      </c>
      <c r="C49" t="s">
        <v>20</v>
      </c>
      <c r="G49" s="43"/>
      <c r="J49" s="43"/>
      <c r="L49" s="43"/>
      <c r="M49" s="42"/>
      <c r="N49" s="43"/>
    </row>
    <row r="50" spans="1:14" x14ac:dyDescent="0.45">
      <c r="M50" s="45"/>
    </row>
    <row r="51" spans="1:14" x14ac:dyDescent="0.45">
      <c r="M51" s="44"/>
    </row>
    <row r="52" spans="1:14" x14ac:dyDescent="0.45">
      <c r="A52" t="s">
        <v>124</v>
      </c>
    </row>
    <row r="53" spans="1:14" ht="14.65" thickBot="1" x14ac:dyDescent="0.5"/>
    <row r="54" spans="1:14" ht="14.65" thickBot="1" x14ac:dyDescent="0.5">
      <c r="A54" t="s">
        <v>65</v>
      </c>
      <c r="B54" s="24">
        <f>D9+B49</f>
        <v>3135.7192470088921</v>
      </c>
      <c r="C54" t="s">
        <v>20</v>
      </c>
    </row>
    <row r="56" spans="1:14" x14ac:dyDescent="0.45">
      <c r="A56" t="s">
        <v>37</v>
      </c>
    </row>
    <row r="58" spans="1:14" x14ac:dyDescent="0.45">
      <c r="B58" t="s">
        <v>33</v>
      </c>
    </row>
    <row r="59" spans="1:14" x14ac:dyDescent="0.45">
      <c r="B59" t="s">
        <v>86</v>
      </c>
    </row>
    <row r="60" spans="1:14" x14ac:dyDescent="0.45">
      <c r="B60" t="s">
        <v>34</v>
      </c>
    </row>
    <row r="61" spans="1:14" x14ac:dyDescent="0.45">
      <c r="B61" t="s">
        <v>120</v>
      </c>
    </row>
    <row r="62" spans="1:14" ht="14.65" thickBot="1" x14ac:dyDescent="0.5"/>
    <row r="63" spans="1:14" ht="14.65" thickBot="1" x14ac:dyDescent="0.5">
      <c r="B63" s="24">
        <f>(B28*D7)/(B40*B54)</f>
        <v>0.18877482906976156</v>
      </c>
      <c r="C63" s="12" t="s">
        <v>87</v>
      </c>
    </row>
    <row r="65" spans="1:3" x14ac:dyDescent="0.45">
      <c r="A65" s="35" t="s">
        <v>40</v>
      </c>
    </row>
    <row r="67" spans="1:3" x14ac:dyDescent="0.45">
      <c r="A67" t="s">
        <v>38</v>
      </c>
    </row>
    <row r="69" spans="1:3" x14ac:dyDescent="0.45">
      <c r="B69" t="s">
        <v>46</v>
      </c>
    </row>
    <row r="70" spans="1:3" x14ac:dyDescent="0.45">
      <c r="B70" t="s">
        <v>47</v>
      </c>
    </row>
    <row r="71" spans="1:3" x14ac:dyDescent="0.45">
      <c r="B71" t="s">
        <v>48</v>
      </c>
    </row>
    <row r="73" spans="1:3" x14ac:dyDescent="0.45">
      <c r="A73" t="s">
        <v>178</v>
      </c>
    </row>
    <row r="75" spans="1:3" x14ac:dyDescent="0.45">
      <c r="B75" t="s">
        <v>69</v>
      </c>
    </row>
    <row r="77" spans="1:3" x14ac:dyDescent="0.45">
      <c r="B77" t="s">
        <v>135</v>
      </c>
    </row>
    <row r="78" spans="1:3" x14ac:dyDescent="0.45">
      <c r="B78" s="12" t="s">
        <v>77</v>
      </c>
    </row>
    <row r="79" spans="1:3" x14ac:dyDescent="0.45">
      <c r="B79" s="12"/>
    </row>
    <row r="80" spans="1:3" x14ac:dyDescent="0.45">
      <c r="A80" s="4" t="s">
        <v>165</v>
      </c>
      <c r="B80" s="64">
        <v>500</v>
      </c>
      <c r="C80" s="12" t="s">
        <v>19</v>
      </c>
    </row>
    <row r="81" spans="1:3" x14ac:dyDescent="0.45">
      <c r="A81" s="4" t="s">
        <v>130</v>
      </c>
      <c r="B81" s="22">
        <f>PI()*((B80/2)^2)</f>
        <v>196349.54084936206</v>
      </c>
      <c r="C81" s="12" t="s">
        <v>20</v>
      </c>
    </row>
    <row r="82" spans="1:3" x14ac:dyDescent="0.45">
      <c r="A82" s="4" t="s">
        <v>142</v>
      </c>
      <c r="B82" s="22">
        <v>0.25</v>
      </c>
      <c r="C82" s="49" t="s">
        <v>143</v>
      </c>
    </row>
    <row r="83" spans="1:3" x14ac:dyDescent="0.45">
      <c r="A83" s="4" t="s">
        <v>132</v>
      </c>
      <c r="B83" s="10">
        <f>B82*B81*I41</f>
        <v>48919.506354914309</v>
      </c>
      <c r="C83" s="12" t="s">
        <v>134</v>
      </c>
    </row>
    <row r="84" spans="1:3" x14ac:dyDescent="0.45">
      <c r="A84" s="4" t="s">
        <v>133</v>
      </c>
      <c r="B84" s="10">
        <f>B83/B81</f>
        <v>0.24914499999999998</v>
      </c>
      <c r="C84" s="12" t="s">
        <v>136</v>
      </c>
    </row>
    <row r="85" spans="1:3" x14ac:dyDescent="0.45">
      <c r="A85" s="4" t="s">
        <v>131</v>
      </c>
      <c r="B85" s="65">
        <f>B80</f>
        <v>500</v>
      </c>
      <c r="C85" s="12" t="s">
        <v>19</v>
      </c>
    </row>
    <row r="86" spans="1:3" x14ac:dyDescent="0.45">
      <c r="A86" s="46" t="s">
        <v>137</v>
      </c>
      <c r="B86" s="37">
        <f>B84*B85/G41</f>
        <v>14345.059880239518</v>
      </c>
    </row>
    <row r="88" spans="1:3" x14ac:dyDescent="0.45">
      <c r="A88" s="47" t="s">
        <v>177</v>
      </c>
      <c r="B88" s="26"/>
    </row>
    <row r="90" spans="1:3" x14ac:dyDescent="0.45">
      <c r="B90" s="4" t="s">
        <v>159</v>
      </c>
    </row>
    <row r="91" spans="1:3" x14ac:dyDescent="0.45">
      <c r="A91" s="46" t="s">
        <v>138</v>
      </c>
      <c r="B91">
        <v>0.17399999999999999</v>
      </c>
    </row>
    <row r="92" spans="1:3" x14ac:dyDescent="0.45">
      <c r="A92" s="46" t="s">
        <v>139</v>
      </c>
      <c r="B92">
        <v>0.61799999999999999</v>
      </c>
    </row>
    <row r="94" spans="1:3" x14ac:dyDescent="0.45">
      <c r="A94" s="46" t="s">
        <v>140</v>
      </c>
      <c r="B94" s="7">
        <f>(B91)*(B41/D4)*(B86^B92)</f>
        <v>4.6420726459029098E-3</v>
      </c>
      <c r="C94" t="s">
        <v>82</v>
      </c>
    </row>
    <row r="95" spans="1:3" ht="14.65" thickBot="1" x14ac:dyDescent="0.5">
      <c r="A95" s="46"/>
    </row>
    <row r="96" spans="1:3" ht="16.149999999999999" thickBot="1" x14ac:dyDescent="0.55000000000000004">
      <c r="A96" s="48" t="s">
        <v>141</v>
      </c>
      <c r="B96" s="24">
        <f>B28/(B94*(D13+D14))</f>
        <v>1.1296928480673463</v>
      </c>
      <c r="C96" s="12" t="s">
        <v>87</v>
      </c>
    </row>
    <row r="97" spans="1:7" x14ac:dyDescent="0.45">
      <c r="A97" s="46"/>
    </row>
    <row r="98" spans="1:7" x14ac:dyDescent="0.45">
      <c r="A98" s="35" t="s">
        <v>56</v>
      </c>
    </row>
    <row r="100" spans="1:7" x14ac:dyDescent="0.45">
      <c r="B100" t="s">
        <v>45</v>
      </c>
    </row>
    <row r="101" spans="1:7" x14ac:dyDescent="0.45">
      <c r="B101" s="12" t="s">
        <v>44</v>
      </c>
    </row>
    <row r="102" spans="1:7" x14ac:dyDescent="0.45">
      <c r="B102" t="s">
        <v>49</v>
      </c>
    </row>
    <row r="103" spans="1:7" x14ac:dyDescent="0.45">
      <c r="B103" t="s">
        <v>50</v>
      </c>
    </row>
    <row r="105" spans="1:7" x14ac:dyDescent="0.45">
      <c r="A105" s="4" t="s">
        <v>90</v>
      </c>
      <c r="B105" s="10">
        <f>B28/((B31-B30)*E43)</f>
        <v>1.5212136837525585</v>
      </c>
      <c r="C105" t="s">
        <v>55</v>
      </c>
    </row>
    <row r="106" spans="1:7" ht="14.65" thickBot="1" x14ac:dyDescent="0.5">
      <c r="A106" s="4" t="s">
        <v>117</v>
      </c>
      <c r="B106" s="38">
        <v>0</v>
      </c>
      <c r="C106" t="s">
        <v>55</v>
      </c>
    </row>
    <row r="107" spans="1:7" ht="14.65" thickBot="1" x14ac:dyDescent="0.5">
      <c r="A107" s="4" t="s">
        <v>91</v>
      </c>
      <c r="B107" s="24">
        <f>B105+B106</f>
        <v>1.5212136837525585</v>
      </c>
      <c r="C107" t="s">
        <v>55</v>
      </c>
    </row>
    <row r="109" spans="1:7" x14ac:dyDescent="0.45">
      <c r="A109" s="35" t="s">
        <v>164</v>
      </c>
      <c r="C109" s="36"/>
    </row>
    <row r="111" spans="1:7" x14ac:dyDescent="0.45">
      <c r="B111" t="s">
        <v>59</v>
      </c>
    </row>
    <row r="112" spans="1:7" x14ac:dyDescent="0.45">
      <c r="B112" t="s">
        <v>60</v>
      </c>
      <c r="G112" t="s">
        <v>149</v>
      </c>
    </row>
    <row r="113" spans="1:11" x14ac:dyDescent="0.45">
      <c r="B113" t="s">
        <v>67</v>
      </c>
    </row>
    <row r="115" spans="1:11" x14ac:dyDescent="0.45">
      <c r="A115" s="4" t="s">
        <v>61</v>
      </c>
      <c r="B115" s="7">
        <f>B107/I43</f>
        <v>9839.6745391497971</v>
      </c>
      <c r="C115" t="s">
        <v>62</v>
      </c>
    </row>
    <row r="116" spans="1:11" x14ac:dyDescent="0.45">
      <c r="B116" s="7">
        <f>B115*0.000001</f>
        <v>9.8396745391497974E-3</v>
      </c>
      <c r="C116" t="s">
        <v>63</v>
      </c>
    </row>
    <row r="117" spans="1:11" x14ac:dyDescent="0.45">
      <c r="A117" s="4" t="s">
        <v>125</v>
      </c>
      <c r="B117" s="13">
        <f>B116*60*60</f>
        <v>35.422828340939269</v>
      </c>
      <c r="C117" t="s">
        <v>64</v>
      </c>
    </row>
    <row r="118" spans="1:11" x14ac:dyDescent="0.45">
      <c r="K118" s="14"/>
    </row>
    <row r="119" spans="1:11" x14ac:dyDescent="0.45">
      <c r="A119" s="35" t="s">
        <v>66</v>
      </c>
    </row>
    <row r="121" spans="1:11" x14ac:dyDescent="0.45">
      <c r="B121" t="s">
        <v>46</v>
      </c>
    </row>
    <row r="122" spans="1:11" x14ac:dyDescent="0.45">
      <c r="B122" t="s">
        <v>160</v>
      </c>
    </row>
    <row r="123" spans="1:11" x14ac:dyDescent="0.45">
      <c r="B123" t="s">
        <v>48</v>
      </c>
    </row>
    <row r="124" spans="1:11" x14ac:dyDescent="0.45">
      <c r="C124" s="12"/>
    </row>
    <row r="125" spans="1:11" x14ac:dyDescent="0.45">
      <c r="A125" t="s">
        <v>73</v>
      </c>
    </row>
    <row r="127" spans="1:11" x14ac:dyDescent="0.45">
      <c r="A127" s="4" t="s">
        <v>123</v>
      </c>
      <c r="B127" s="10">
        <f>D3</f>
        <v>18</v>
      </c>
      <c r="C127" t="s">
        <v>19</v>
      </c>
    </row>
    <row r="128" spans="1:11" x14ac:dyDescent="0.45">
      <c r="A128" s="4" t="s">
        <v>70</v>
      </c>
      <c r="B128" s="15">
        <v>16.5</v>
      </c>
      <c r="C128" t="s">
        <v>19</v>
      </c>
    </row>
    <row r="130" spans="1:5" x14ac:dyDescent="0.45">
      <c r="A130" s="4" t="s">
        <v>71</v>
      </c>
      <c r="B130" s="10">
        <f>(PI()*((B127/2)^2))-(PI()*((B128/2)^2))</f>
        <v>40.644354955817931</v>
      </c>
      <c r="C130" t="s">
        <v>20</v>
      </c>
    </row>
    <row r="131" spans="1:5" x14ac:dyDescent="0.45">
      <c r="A131" s="4" t="s">
        <v>72</v>
      </c>
      <c r="B131" s="10">
        <f>(PI()*B127)+(PI()*B128)</f>
        <v>108.38494654884786</v>
      </c>
      <c r="C131" t="s">
        <v>19</v>
      </c>
    </row>
    <row r="132" spans="1:5" x14ac:dyDescent="0.45">
      <c r="A132" s="4" t="s">
        <v>88</v>
      </c>
      <c r="B132" s="10">
        <f>B127-B128</f>
        <v>1.5</v>
      </c>
      <c r="C132" t="s">
        <v>19</v>
      </c>
      <c r="D132" t="s">
        <v>162</v>
      </c>
    </row>
    <row r="133" spans="1:5" x14ac:dyDescent="0.45">
      <c r="A133" s="4" t="s">
        <v>89</v>
      </c>
      <c r="B133" s="7">
        <f>B127/((B127-B128)/2)</f>
        <v>24</v>
      </c>
      <c r="D133" s="10">
        <f>(((PI()*B127)+(PI()*B128))/2)/(B127-B128)</f>
        <v>36.128315516282619</v>
      </c>
    </row>
    <row r="135" spans="1:5" x14ac:dyDescent="0.45">
      <c r="A135" t="s">
        <v>154</v>
      </c>
    </row>
    <row r="137" spans="1:5" x14ac:dyDescent="0.45">
      <c r="B137" t="s">
        <v>60</v>
      </c>
    </row>
    <row r="138" spans="1:5" x14ac:dyDescent="0.45">
      <c r="B138" t="s">
        <v>161</v>
      </c>
    </row>
    <row r="139" spans="1:5" ht="14.65" thickBot="1" x14ac:dyDescent="0.5"/>
    <row r="140" spans="1:5" ht="14.65" thickBot="1" x14ac:dyDescent="0.5">
      <c r="A140" s="4" t="s">
        <v>74</v>
      </c>
      <c r="B140" s="62">
        <f>B107/B130</f>
        <v>3.742742836997117E-2</v>
      </c>
      <c r="C140" t="s">
        <v>75</v>
      </c>
    </row>
    <row r="142" spans="1:5" x14ac:dyDescent="0.45">
      <c r="A142" t="s">
        <v>155</v>
      </c>
    </row>
    <row r="144" spans="1:5" x14ac:dyDescent="0.45">
      <c r="B144" t="s">
        <v>69</v>
      </c>
      <c r="E144" s="55" t="s">
        <v>153</v>
      </c>
    </row>
    <row r="146" spans="1:7" x14ac:dyDescent="0.45">
      <c r="B146" t="s">
        <v>135</v>
      </c>
    </row>
    <row r="147" spans="1:7" x14ac:dyDescent="0.45">
      <c r="B147" s="12" t="s">
        <v>77</v>
      </c>
    </row>
    <row r="148" spans="1:7" ht="14.65" thickBot="1" x14ac:dyDescent="0.5">
      <c r="B148" s="12"/>
    </row>
    <row r="149" spans="1:7" ht="14.65" thickBot="1" x14ac:dyDescent="0.5">
      <c r="A149" s="46" t="s">
        <v>144</v>
      </c>
      <c r="B149" s="61">
        <f>(B140*B132)/G43</f>
        <v>272.26548280774369</v>
      </c>
    </row>
    <row r="150" spans="1:7" x14ac:dyDescent="0.45">
      <c r="A150" s="46"/>
      <c r="B150" s="54"/>
    </row>
    <row r="151" spans="1:7" x14ac:dyDescent="0.45">
      <c r="A151" s="263" t="s">
        <v>156</v>
      </c>
      <c r="B151" s="262" t="s">
        <v>150</v>
      </c>
      <c r="D151" s="262" t="s">
        <v>151</v>
      </c>
      <c r="F151" s="262" t="s">
        <v>152</v>
      </c>
    </row>
    <row r="152" spans="1:7" ht="14.45" customHeight="1" x14ac:dyDescent="0.45">
      <c r="A152" s="263"/>
      <c r="B152" s="263"/>
      <c r="D152" s="263"/>
      <c r="F152" s="263"/>
    </row>
    <row r="153" spans="1:7" ht="14.45" customHeight="1" x14ac:dyDescent="0.45">
      <c r="A153" s="263"/>
      <c r="B153" s="263"/>
      <c r="D153" s="263"/>
      <c r="F153" s="263"/>
    </row>
    <row r="154" spans="1:7" x14ac:dyDescent="0.45">
      <c r="A154" s="263"/>
      <c r="B154" s="260"/>
      <c r="D154" s="260"/>
      <c r="F154" s="260"/>
    </row>
    <row r="155" spans="1:7" x14ac:dyDescent="0.45">
      <c r="A155" s="58"/>
      <c r="B155" s="57"/>
      <c r="D155" s="57"/>
      <c r="F155" s="57"/>
    </row>
    <row r="156" spans="1:7" x14ac:dyDescent="0.45">
      <c r="A156" s="51"/>
      <c r="B156" s="57"/>
      <c r="C156" s="14"/>
      <c r="D156" s="57"/>
      <c r="E156" s="14"/>
      <c r="F156" s="57"/>
      <c r="G156" s="14"/>
    </row>
    <row r="157" spans="1:7" x14ac:dyDescent="0.45">
      <c r="A157" s="51"/>
      <c r="B157" s="56"/>
      <c r="D157" s="56"/>
      <c r="F157" s="56"/>
    </row>
    <row r="158" spans="1:7" x14ac:dyDescent="0.45">
      <c r="A158" s="46" t="s">
        <v>78</v>
      </c>
      <c r="B158" s="52">
        <f>6/((B149)^0.98)</f>
        <v>2.4652360851151824E-2</v>
      </c>
      <c r="D158" s="53">
        <f>2.7/((B149)^0.95)</f>
        <v>1.3125649637979525E-2</v>
      </c>
      <c r="F158" s="53">
        <f>0.023/((B149)^0.2)</f>
        <v>7.4942697105785027E-3</v>
      </c>
    </row>
    <row r="160" spans="1:7" x14ac:dyDescent="0.45">
      <c r="A160" t="s">
        <v>157</v>
      </c>
    </row>
    <row r="161" spans="1:10" x14ac:dyDescent="0.45">
      <c r="B161" t="s">
        <v>39</v>
      </c>
      <c r="D161" s="12" t="s">
        <v>68</v>
      </c>
    </row>
    <row r="162" spans="1:10" x14ac:dyDescent="0.45">
      <c r="B162" t="s">
        <v>41</v>
      </c>
      <c r="D162" s="12" t="s">
        <v>43</v>
      </c>
    </row>
    <row r="163" spans="1:10" x14ac:dyDescent="0.45">
      <c r="B163" t="s">
        <v>42</v>
      </c>
    </row>
    <row r="165" spans="1:10" x14ac:dyDescent="0.45">
      <c r="A165" s="46" t="s">
        <v>79</v>
      </c>
      <c r="B165" s="7">
        <f>(B158*E43*B140)/(((E43*G43)/B43)^0.666)</f>
        <v>1.4643730263569918E-3</v>
      </c>
      <c r="D165" s="7">
        <f>(D158*E43*B140)/(((E43*G43)/B43)^0.666)</f>
        <v>7.7967572352696519E-4</v>
      </c>
      <c r="F165" s="7">
        <f>(F158*E43*B140)/(((E43*G43)/B43)^0.666)</f>
        <v>4.4516654947076298E-4</v>
      </c>
      <c r="G165" t="s">
        <v>82</v>
      </c>
    </row>
    <row r="167" spans="1:10" ht="14.65" thickBot="1" x14ac:dyDescent="0.5">
      <c r="A167" t="s">
        <v>158</v>
      </c>
    </row>
    <row r="168" spans="1:10" ht="14.65" thickBot="1" x14ac:dyDescent="0.5">
      <c r="A168" s="20" t="s">
        <v>83</v>
      </c>
      <c r="B168" s="59">
        <f>B28/(B165*D12)</f>
        <v>3.7579244479997889</v>
      </c>
      <c r="C168" s="50"/>
      <c r="D168" s="60">
        <f>B28/(D165*D12)</f>
        <v>7.0580666175481568</v>
      </c>
      <c r="E168" s="50"/>
      <c r="F168" s="60">
        <f>B28/(F165*D12)</f>
        <v>12.361672734127563</v>
      </c>
      <c r="I168" s="35" t="s">
        <v>148</v>
      </c>
    </row>
    <row r="169" spans="1:10" ht="21" x14ac:dyDescent="0.65">
      <c r="H169" s="63" t="s">
        <v>166</v>
      </c>
      <c r="I169" s="32">
        <f>B32-B168-B63-B96</f>
        <v>37.923607874863102</v>
      </c>
      <c r="J169" s="31" t="s">
        <v>87</v>
      </c>
    </row>
    <row r="170" spans="1:10" x14ac:dyDescent="0.45">
      <c r="H170" s="21" t="s">
        <v>147</v>
      </c>
    </row>
    <row r="171" spans="1:10" x14ac:dyDescent="0.45">
      <c r="F171" t="s">
        <v>163</v>
      </c>
    </row>
  </sheetData>
  <mergeCells count="4">
    <mergeCell ref="B151:B154"/>
    <mergeCell ref="D151:D154"/>
    <mergeCell ref="F151:F154"/>
    <mergeCell ref="A151:A154"/>
  </mergeCells>
  <pageMargins left="0.25" right="0.25" top="0.75" bottom="0.75" header="0.3" footer="0.3"/>
  <pageSetup scale="73" fitToHeight="0" orientation="portrait" r:id="rId1"/>
  <rowBreaks count="2" manualBreakCount="2">
    <brk id="63" max="10" man="1"/>
    <brk id="108"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182"/>
  <sheetViews>
    <sheetView topLeftCell="A151" zoomScaleNormal="100" zoomScaleSheetLayoutView="100" zoomScalePageLayoutView="50" workbookViewId="0">
      <selection activeCell="B175" sqref="B175"/>
    </sheetView>
  </sheetViews>
  <sheetFormatPr defaultRowHeight="14.25" x14ac:dyDescent="0.45"/>
  <cols>
    <col min="1" max="1" width="43.3984375" customWidth="1"/>
    <col min="2" max="2" width="12" customWidth="1"/>
    <col min="3" max="3" width="9.265625" customWidth="1"/>
    <col min="4" max="4" width="11.73046875" customWidth="1"/>
    <col min="5" max="5" width="8.73046875" customWidth="1"/>
    <col min="6" max="6" width="12" customWidth="1"/>
    <col min="7" max="7" width="12.59765625" customWidth="1"/>
    <col min="8" max="8" width="9.59765625" bestFit="1" customWidth="1"/>
    <col min="9" max="9" width="11.86328125" customWidth="1"/>
    <col min="10" max="10" width="9.86328125" bestFit="1" customWidth="1"/>
    <col min="12" max="12" width="9.86328125" bestFit="1" customWidth="1"/>
    <col min="13" max="13" width="18.73046875" customWidth="1"/>
    <col min="14" max="14" width="9.86328125" bestFit="1" customWidth="1"/>
  </cols>
  <sheetData>
    <row r="1" spans="1:7" ht="21" x14ac:dyDescent="0.65">
      <c r="A1" s="264" t="s">
        <v>314</v>
      </c>
      <c r="B1" s="227"/>
      <c r="C1" s="227"/>
      <c r="D1" t="s">
        <v>179</v>
      </c>
    </row>
    <row r="2" spans="1:7" x14ac:dyDescent="0.45">
      <c r="A2" s="221" t="s">
        <v>2</v>
      </c>
      <c r="C2" t="s">
        <v>9</v>
      </c>
      <c r="E2" t="s">
        <v>9</v>
      </c>
      <c r="F2" s="50" t="s">
        <v>146</v>
      </c>
    </row>
    <row r="3" spans="1:7" x14ac:dyDescent="0.45">
      <c r="A3" s="4" t="s">
        <v>3</v>
      </c>
      <c r="B3" s="2">
        <f>7.72*25.4</f>
        <v>196.08799999999999</v>
      </c>
      <c r="C3" t="s">
        <v>14</v>
      </c>
      <c r="D3" s="10">
        <f>B3/10</f>
        <v>19.608799999999999</v>
      </c>
      <c r="E3" t="s">
        <v>19</v>
      </c>
      <c r="F3" s="3"/>
      <c r="G3" t="s">
        <v>93</v>
      </c>
    </row>
    <row r="4" spans="1:7" x14ac:dyDescent="0.45">
      <c r="A4" s="4" t="s">
        <v>4</v>
      </c>
      <c r="B4" s="2">
        <f>8.67*25.4</f>
        <v>220.21799999999999</v>
      </c>
      <c r="C4" t="s">
        <v>14</v>
      </c>
      <c r="D4" s="10">
        <f t="shared" ref="D4:D6" si="0">B4/10</f>
        <v>22.021799999999999</v>
      </c>
      <c r="E4" t="s">
        <v>19</v>
      </c>
      <c r="F4" s="7">
        <v>11.111000000000001</v>
      </c>
      <c r="G4" t="s">
        <v>92</v>
      </c>
    </row>
    <row r="5" spans="1:7" x14ac:dyDescent="0.45">
      <c r="A5" s="4" t="s">
        <v>6</v>
      </c>
      <c r="B5" s="2">
        <v>528.5</v>
      </c>
      <c r="C5" t="s">
        <v>14</v>
      </c>
      <c r="D5" s="10">
        <f t="shared" si="0"/>
        <v>52.85</v>
      </c>
      <c r="E5" t="s">
        <v>19</v>
      </c>
      <c r="F5" s="23">
        <v>11.111000000000001</v>
      </c>
      <c r="G5" t="s">
        <v>94</v>
      </c>
    </row>
    <row r="6" spans="1:7" ht="14.65" thickBot="1" x14ac:dyDescent="0.5">
      <c r="A6" s="4" t="s">
        <v>5</v>
      </c>
      <c r="B6" s="2">
        <v>31.75</v>
      </c>
      <c r="C6" t="s">
        <v>14</v>
      </c>
      <c r="D6" s="11">
        <f t="shared" si="0"/>
        <v>3.1749999999999998</v>
      </c>
      <c r="E6" t="s">
        <v>19</v>
      </c>
    </row>
    <row r="7" spans="1:7" ht="14.65" thickBot="1" x14ac:dyDescent="0.5">
      <c r="B7" s="39"/>
      <c r="C7" s="4" t="s">
        <v>119</v>
      </c>
      <c r="D7" s="29">
        <f>(D4-D3)/2</f>
        <v>1.2065000000000001</v>
      </c>
      <c r="E7" t="s">
        <v>19</v>
      </c>
    </row>
    <row r="8" spans="1:7" ht="14.65" thickBot="1" x14ac:dyDescent="0.5">
      <c r="C8" s="4" t="s">
        <v>118</v>
      </c>
      <c r="D8" s="28">
        <f>D5*(PI()*D3)</f>
        <v>3255.7112580588546</v>
      </c>
      <c r="E8" t="s">
        <v>20</v>
      </c>
    </row>
    <row r="9" spans="1:7" ht="14.65" thickBot="1" x14ac:dyDescent="0.5">
      <c r="C9" s="4" t="s">
        <v>113</v>
      </c>
      <c r="D9" s="29">
        <f>1.25*(PI()*((D3/2)^2))</f>
        <v>377.48693777805386</v>
      </c>
    </row>
    <row r="10" spans="1:7" x14ac:dyDescent="0.45">
      <c r="C10" s="4" t="s">
        <v>114</v>
      </c>
      <c r="D10" s="28">
        <f>i2MAPHeatsinkAreas!D7</f>
        <v>301.98955022244309</v>
      </c>
      <c r="E10" t="s">
        <v>20</v>
      </c>
      <c r="F10" t="s">
        <v>145</v>
      </c>
    </row>
    <row r="11" spans="1:7" ht="14.65" thickBot="1" x14ac:dyDescent="0.5">
      <c r="C11" s="4" t="s">
        <v>115</v>
      </c>
      <c r="D11" s="11">
        <f>i2MAPHeatsinkAreas!D17</f>
        <v>1437.8358106736944</v>
      </c>
      <c r="E11" t="s">
        <v>20</v>
      </c>
      <c r="F11" t="s">
        <v>145</v>
      </c>
    </row>
    <row r="12" spans="1:7" ht="14.65" thickBot="1" x14ac:dyDescent="0.5">
      <c r="C12" s="4" t="s">
        <v>116</v>
      </c>
      <c r="D12" s="24">
        <f>SUM(D8,D10,D11)</f>
        <v>4995.5366189549923</v>
      </c>
      <c r="E12" t="s">
        <v>20</v>
      </c>
    </row>
    <row r="13" spans="1:7" ht="14.65" thickBot="1" x14ac:dyDescent="0.5">
      <c r="C13" s="4" t="s">
        <v>21</v>
      </c>
      <c r="D13" s="24">
        <f>(D5+(2*D6))*(2*PI()*D4/2)</f>
        <v>4095.6646858503636</v>
      </c>
      <c r="E13" t="s">
        <v>20</v>
      </c>
    </row>
    <row r="14" spans="1:7" ht="14.65" thickBot="1" x14ac:dyDescent="0.5">
      <c r="C14" s="4" t="s">
        <v>31</v>
      </c>
      <c r="D14" s="28">
        <f>1.25*(PI()*(D4/2)^2)</f>
        <v>476.10804781914862</v>
      </c>
      <c r="E14" t="s">
        <v>20</v>
      </c>
    </row>
    <row r="15" spans="1:7" ht="14.65" thickBot="1" x14ac:dyDescent="0.5">
      <c r="C15" s="4" t="s">
        <v>30</v>
      </c>
      <c r="D15" s="24">
        <f>SUM(D13:D14)</f>
        <v>4571.7727336695125</v>
      </c>
      <c r="E15" t="s">
        <v>20</v>
      </c>
    </row>
    <row r="17" spans="1:9" ht="14.65" thickBot="1" x14ac:dyDescent="0.5">
      <c r="A17" s="35" t="s">
        <v>7</v>
      </c>
      <c r="B17" t="s">
        <v>25</v>
      </c>
      <c r="C17" t="s">
        <v>10</v>
      </c>
    </row>
    <row r="18" spans="1:9" ht="14.65" thickBot="1" x14ac:dyDescent="0.5">
      <c r="A18" t="s">
        <v>315</v>
      </c>
      <c r="B18" s="5"/>
      <c r="C18" s="139">
        <v>88</v>
      </c>
    </row>
    <row r="20" spans="1:9" x14ac:dyDescent="0.45">
      <c r="A20" t="s">
        <v>28</v>
      </c>
      <c r="B20" s="6">
        <f>C18</f>
        <v>88</v>
      </c>
      <c r="C20" t="s">
        <v>10</v>
      </c>
    </row>
    <row r="21" spans="1:9" ht="14.65" thickBot="1" x14ac:dyDescent="0.5">
      <c r="A21" t="s">
        <v>32</v>
      </c>
      <c r="B21" s="33">
        <f>B20*3.413</f>
        <v>300.34399999999999</v>
      </c>
    </row>
    <row r="22" spans="1:9" ht="14.65" thickBot="1" x14ac:dyDescent="0.5">
      <c r="A22" t="s">
        <v>85</v>
      </c>
      <c r="B22" s="24">
        <f>B20*0.239</f>
        <v>21.032</v>
      </c>
    </row>
    <row r="23" spans="1:9" x14ac:dyDescent="0.45">
      <c r="A23" t="s">
        <v>8</v>
      </c>
      <c r="B23" s="34">
        <v>25</v>
      </c>
      <c r="C23" t="s">
        <v>11</v>
      </c>
    </row>
    <row r="24" spans="1:9" x14ac:dyDescent="0.45">
      <c r="A24" t="s">
        <v>51</v>
      </c>
      <c r="B24" s="2">
        <v>38</v>
      </c>
      <c r="C24" t="s">
        <v>11</v>
      </c>
    </row>
    <row r="25" spans="1:9" ht="14.65" thickBot="1" x14ac:dyDescent="0.5">
      <c r="A25" t="s">
        <v>52</v>
      </c>
      <c r="B25" s="40">
        <v>48</v>
      </c>
      <c r="C25" t="s">
        <v>11</v>
      </c>
    </row>
    <row r="26" spans="1:9" ht="14.65" thickBot="1" x14ac:dyDescent="0.5">
      <c r="A26" t="s">
        <v>84</v>
      </c>
      <c r="B26" s="30">
        <f>(B24+B25)/2</f>
        <v>43</v>
      </c>
      <c r="C26" t="s">
        <v>11</v>
      </c>
    </row>
    <row r="27" spans="1:9" x14ac:dyDescent="0.45">
      <c r="A27" t="s">
        <v>57</v>
      </c>
      <c r="B27" s="41">
        <f>273.15+B26</f>
        <v>316.14999999999998</v>
      </c>
      <c r="C27" t="s">
        <v>121</v>
      </c>
    </row>
    <row r="28" spans="1:9" x14ac:dyDescent="0.45">
      <c r="A28" t="s">
        <v>16</v>
      </c>
      <c r="B28" s="34"/>
      <c r="C28" t="s">
        <v>18</v>
      </c>
    </row>
    <row r="29" spans="1:9" x14ac:dyDescent="0.45">
      <c r="A29" t="s">
        <v>17</v>
      </c>
      <c r="B29" s="2"/>
      <c r="C29" t="s">
        <v>18</v>
      </c>
    </row>
    <row r="31" spans="1:9" x14ac:dyDescent="0.45">
      <c r="A31" s="1" t="s">
        <v>127</v>
      </c>
      <c r="G31" t="s">
        <v>149</v>
      </c>
    </row>
    <row r="32" spans="1:9" x14ac:dyDescent="0.45">
      <c r="B32" t="s">
        <v>80</v>
      </c>
      <c r="E32" t="s">
        <v>81</v>
      </c>
      <c r="G32" t="s">
        <v>126</v>
      </c>
      <c r="I32" t="s">
        <v>122</v>
      </c>
    </row>
    <row r="33" spans="1:14" x14ac:dyDescent="0.45">
      <c r="A33" t="s">
        <v>12</v>
      </c>
      <c r="B33" s="3">
        <v>0.37</v>
      </c>
      <c r="C33" t="s">
        <v>13</v>
      </c>
    </row>
    <row r="34" spans="1:14" x14ac:dyDescent="0.45">
      <c r="A34" t="s">
        <v>15</v>
      </c>
      <c r="B34" s="3">
        <v>3.6999999999999998E-2</v>
      </c>
      <c r="C34" t="s">
        <v>13</v>
      </c>
      <c r="M34" s="16"/>
    </row>
    <row r="35" spans="1:14" x14ac:dyDescent="0.45">
      <c r="A35" t="s">
        <v>128</v>
      </c>
      <c r="B35" s="3">
        <v>1.4630000000000001E-3</v>
      </c>
      <c r="C35" t="s">
        <v>13</v>
      </c>
      <c r="E35" s="3">
        <v>0.97339799999999999</v>
      </c>
      <c r="F35" t="s">
        <v>54</v>
      </c>
      <c r="G35" s="3">
        <v>8.6840000000000007E-3</v>
      </c>
      <c r="H35" t="s">
        <v>76</v>
      </c>
      <c r="I35" s="3">
        <v>0.99658000000000002</v>
      </c>
      <c r="J35" t="s">
        <v>58</v>
      </c>
    </row>
    <row r="36" spans="1:14" x14ac:dyDescent="0.45">
      <c r="A36" t="s">
        <v>53</v>
      </c>
      <c r="B36" s="19">
        <v>6.5199999999999999E-5</v>
      </c>
      <c r="C36" t="s">
        <v>13</v>
      </c>
      <c r="E36" s="3">
        <v>0.2407</v>
      </c>
      <c r="F36" t="s">
        <v>54</v>
      </c>
      <c r="G36" s="17">
        <v>1.9285999999999999E-4</v>
      </c>
      <c r="H36" t="s">
        <v>76</v>
      </c>
      <c r="I36" s="17">
        <v>1.1168E-3</v>
      </c>
      <c r="J36" t="s">
        <v>58</v>
      </c>
    </row>
    <row r="38" spans="1:14" x14ac:dyDescent="0.45">
      <c r="A38" s="35" t="s">
        <v>35</v>
      </c>
    </row>
    <row r="40" spans="1:14" x14ac:dyDescent="0.45">
      <c r="A40" t="s">
        <v>36</v>
      </c>
      <c r="J40" s="42"/>
      <c r="L40" s="42"/>
      <c r="M40" s="18"/>
    </row>
    <row r="41" spans="1:14" ht="14.65" thickBot="1" x14ac:dyDescent="0.5">
      <c r="G41" s="42"/>
      <c r="J41" s="42"/>
      <c r="L41" s="42"/>
    </row>
    <row r="42" spans="1:14" ht="14.65" thickBot="1" x14ac:dyDescent="0.5">
      <c r="B42" s="24">
        <f>(D13-D8)/(LN(D13/D8))</f>
        <v>3659.636672150973</v>
      </c>
      <c r="C42" t="s">
        <v>20</v>
      </c>
      <c r="G42" s="43"/>
      <c r="J42" s="43"/>
      <c r="L42" s="43"/>
      <c r="M42" s="42"/>
      <c r="N42" s="43"/>
    </row>
    <row r="43" spans="1:14" x14ac:dyDescent="0.45">
      <c r="M43" s="45"/>
    </row>
    <row r="44" spans="1:14" x14ac:dyDescent="0.45">
      <c r="M44" s="44"/>
    </row>
    <row r="45" spans="1:14" x14ac:dyDescent="0.45">
      <c r="A45" t="s">
        <v>124</v>
      </c>
    </row>
    <row r="46" spans="1:14" ht="14.65" thickBot="1" x14ac:dyDescent="0.5"/>
    <row r="47" spans="1:14" ht="14.65" thickBot="1" x14ac:dyDescent="0.5">
      <c r="A47" t="s">
        <v>65</v>
      </c>
      <c r="B47" s="24">
        <f>D9+B42</f>
        <v>4037.1236099290268</v>
      </c>
      <c r="C47" t="s">
        <v>20</v>
      </c>
    </row>
    <row r="49" spans="1:3" x14ac:dyDescent="0.45">
      <c r="A49" t="s">
        <v>37</v>
      </c>
    </row>
    <row r="51" spans="1:3" x14ac:dyDescent="0.45">
      <c r="B51" t="s">
        <v>33</v>
      </c>
    </row>
    <row r="52" spans="1:3" x14ac:dyDescent="0.45">
      <c r="B52" t="s">
        <v>86</v>
      </c>
    </row>
    <row r="53" spans="1:3" x14ac:dyDescent="0.45">
      <c r="B53" t="s">
        <v>34</v>
      </c>
    </row>
    <row r="54" spans="1:3" x14ac:dyDescent="0.45">
      <c r="B54" t="s">
        <v>120</v>
      </c>
    </row>
    <row r="55" spans="1:3" ht="14.65" thickBot="1" x14ac:dyDescent="0.5"/>
    <row r="56" spans="1:3" ht="14.65" thickBot="1" x14ac:dyDescent="0.5">
      <c r="B56" s="24">
        <f>(B22*D7)/(B34*B47)</f>
        <v>0.16987682221149195</v>
      </c>
      <c r="C56" s="12" t="s">
        <v>87</v>
      </c>
    </row>
    <row r="58" spans="1:3" x14ac:dyDescent="0.45">
      <c r="A58" s="35" t="s">
        <v>40</v>
      </c>
    </row>
    <row r="60" spans="1:3" x14ac:dyDescent="0.45">
      <c r="A60" t="s">
        <v>38</v>
      </c>
    </row>
    <row r="62" spans="1:3" x14ac:dyDescent="0.45">
      <c r="B62" t="s">
        <v>46</v>
      </c>
    </row>
    <row r="63" spans="1:3" x14ac:dyDescent="0.45">
      <c r="B63" t="s">
        <v>47</v>
      </c>
    </row>
    <row r="64" spans="1:3" x14ac:dyDescent="0.45">
      <c r="B64" t="s">
        <v>48</v>
      </c>
    </row>
    <row r="66" spans="1:3" x14ac:dyDescent="0.45">
      <c r="A66" t="s">
        <v>178</v>
      </c>
    </row>
    <row r="68" spans="1:3" x14ac:dyDescent="0.45">
      <c r="B68" t="s">
        <v>69</v>
      </c>
    </row>
    <row r="70" spans="1:3" x14ac:dyDescent="0.45">
      <c r="B70" t="s">
        <v>135</v>
      </c>
    </row>
    <row r="71" spans="1:3" x14ac:dyDescent="0.45">
      <c r="B71" s="12" t="s">
        <v>77</v>
      </c>
    </row>
    <row r="72" spans="1:3" x14ac:dyDescent="0.45">
      <c r="B72" s="12"/>
    </row>
    <row r="73" spans="1:3" x14ac:dyDescent="0.45">
      <c r="A73" s="4" t="s">
        <v>165</v>
      </c>
      <c r="B73" s="64">
        <v>500</v>
      </c>
      <c r="C73" s="12" t="s">
        <v>19</v>
      </c>
    </row>
    <row r="74" spans="1:3" x14ac:dyDescent="0.45">
      <c r="A74" s="4" t="s">
        <v>130</v>
      </c>
      <c r="B74" s="22">
        <f>PI()*((B73/2)^2)</f>
        <v>196349.54084936206</v>
      </c>
      <c r="C74" s="12" t="s">
        <v>20</v>
      </c>
    </row>
    <row r="75" spans="1:3" x14ac:dyDescent="0.45">
      <c r="A75" s="4" t="s">
        <v>142</v>
      </c>
      <c r="B75" s="22">
        <v>0.25</v>
      </c>
      <c r="C75" s="49" t="s">
        <v>143</v>
      </c>
    </row>
    <row r="76" spans="1:3" x14ac:dyDescent="0.45">
      <c r="A76" s="4" t="s">
        <v>132</v>
      </c>
      <c r="B76" s="10">
        <f>B75*B74*I35</f>
        <v>48919.506354914309</v>
      </c>
      <c r="C76" s="12" t="s">
        <v>134</v>
      </c>
    </row>
    <row r="77" spans="1:3" x14ac:dyDescent="0.45">
      <c r="A77" s="4" t="s">
        <v>133</v>
      </c>
      <c r="B77" s="10">
        <f>B76/B74</f>
        <v>0.24914499999999998</v>
      </c>
      <c r="C77" s="12" t="s">
        <v>136</v>
      </c>
    </row>
    <row r="78" spans="1:3" x14ac:dyDescent="0.45">
      <c r="A78" s="4" t="s">
        <v>131</v>
      </c>
      <c r="B78" s="65">
        <f>B73</f>
        <v>500</v>
      </c>
      <c r="C78" s="12" t="s">
        <v>19</v>
      </c>
    </row>
    <row r="79" spans="1:3" x14ac:dyDescent="0.45">
      <c r="A79" s="46" t="s">
        <v>137</v>
      </c>
      <c r="B79" s="37">
        <f>B77*B78/G35</f>
        <v>14345.059880239518</v>
      </c>
    </row>
    <row r="81" spans="1:3" x14ac:dyDescent="0.45">
      <c r="A81" s="47" t="s">
        <v>177</v>
      </c>
      <c r="B81" s="26"/>
    </row>
    <row r="83" spans="1:3" x14ac:dyDescent="0.45">
      <c r="B83" s="4" t="s">
        <v>159</v>
      </c>
    </row>
    <row r="84" spans="1:3" x14ac:dyDescent="0.45">
      <c r="A84" s="46" t="s">
        <v>138</v>
      </c>
      <c r="B84">
        <v>0.17399999999999999</v>
      </c>
    </row>
    <row r="85" spans="1:3" x14ac:dyDescent="0.45">
      <c r="A85" s="46" t="s">
        <v>139</v>
      </c>
      <c r="B85">
        <v>0.61799999999999999</v>
      </c>
    </row>
    <row r="87" spans="1:3" x14ac:dyDescent="0.45">
      <c r="A87" s="46" t="s">
        <v>140</v>
      </c>
      <c r="B87" s="7">
        <f>(B84)*(B35/D4)*(B79^B85)</f>
        <v>4.2833426951814626E-3</v>
      </c>
      <c r="C87" t="s">
        <v>82</v>
      </c>
    </row>
    <row r="88" spans="1:3" ht="14.65" thickBot="1" x14ac:dyDescent="0.5">
      <c r="A88" s="46"/>
    </row>
    <row r="89" spans="1:3" ht="16.149999999999999" thickBot="1" x14ac:dyDescent="0.55000000000000004">
      <c r="A89" s="48" t="s">
        <v>141</v>
      </c>
      <c r="B89" s="24">
        <f>B22/(B87*(D13+D14))</f>
        <v>1.0740218524963694</v>
      </c>
      <c r="C89" s="12" t="s">
        <v>87</v>
      </c>
    </row>
    <row r="90" spans="1:3" x14ac:dyDescent="0.45">
      <c r="A90" s="46"/>
    </row>
    <row r="91" spans="1:3" x14ac:dyDescent="0.45">
      <c r="A91" s="35" t="s">
        <v>56</v>
      </c>
    </row>
    <row r="93" spans="1:3" x14ac:dyDescent="0.45">
      <c r="B93" t="s">
        <v>45</v>
      </c>
    </row>
    <row r="94" spans="1:3" x14ac:dyDescent="0.45">
      <c r="B94" s="12" t="s">
        <v>44</v>
      </c>
    </row>
    <row r="95" spans="1:3" x14ac:dyDescent="0.45">
      <c r="B95" t="s">
        <v>49</v>
      </c>
    </row>
    <row r="96" spans="1:3" x14ac:dyDescent="0.45">
      <c r="B96" t="s">
        <v>50</v>
      </c>
    </row>
    <row r="98" spans="1:11" x14ac:dyDescent="0.45">
      <c r="A98" s="4" t="s">
        <v>90</v>
      </c>
      <c r="B98" s="10">
        <f>B22/((B25-B24)*E36)</f>
        <v>8.7378479434981298</v>
      </c>
      <c r="C98" t="s">
        <v>55</v>
      </c>
    </row>
    <row r="99" spans="1:11" ht="14.65" thickBot="1" x14ac:dyDescent="0.5">
      <c r="A99" s="4" t="s">
        <v>117</v>
      </c>
      <c r="B99" s="38">
        <v>0</v>
      </c>
      <c r="C99" t="s">
        <v>55</v>
      </c>
    </row>
    <row r="100" spans="1:11" ht="14.65" thickBot="1" x14ac:dyDescent="0.5">
      <c r="A100" s="4" t="s">
        <v>91</v>
      </c>
      <c r="B100" s="24">
        <f>B98+B99</f>
        <v>8.7378479434981298</v>
      </c>
      <c r="C100" t="s">
        <v>55</v>
      </c>
    </row>
    <row r="102" spans="1:11" x14ac:dyDescent="0.45">
      <c r="A102" s="35" t="s">
        <v>164</v>
      </c>
      <c r="C102" s="36"/>
    </row>
    <row r="104" spans="1:11" x14ac:dyDescent="0.45">
      <c r="B104" t="s">
        <v>59</v>
      </c>
    </row>
    <row r="105" spans="1:11" x14ac:dyDescent="0.45">
      <c r="B105" t="s">
        <v>60</v>
      </c>
      <c r="G105" t="s">
        <v>149</v>
      </c>
    </row>
    <row r="106" spans="1:11" x14ac:dyDescent="0.45">
      <c r="B106" t="s">
        <v>67</v>
      </c>
    </row>
    <row r="108" spans="1:11" x14ac:dyDescent="0.45">
      <c r="A108" s="4" t="s">
        <v>61</v>
      </c>
      <c r="B108" s="7">
        <f>B100/I36</f>
        <v>7824.00424740162</v>
      </c>
      <c r="C108" t="s">
        <v>62</v>
      </c>
    </row>
    <row r="109" spans="1:11" x14ac:dyDescent="0.45">
      <c r="B109" s="7">
        <f>B108*0.000001</f>
        <v>7.824004247401619E-3</v>
      </c>
      <c r="C109" t="s">
        <v>63</v>
      </c>
    </row>
    <row r="110" spans="1:11" x14ac:dyDescent="0.45">
      <c r="A110" s="4" t="s">
        <v>125</v>
      </c>
      <c r="B110" s="13">
        <f>B109*60*60</f>
        <v>28.166415290645826</v>
      </c>
      <c r="C110" t="s">
        <v>64</v>
      </c>
    </row>
    <row r="111" spans="1:11" x14ac:dyDescent="0.45">
      <c r="K111" s="14"/>
    </row>
    <row r="112" spans="1:11" x14ac:dyDescent="0.45">
      <c r="A112" s="35" t="s">
        <v>66</v>
      </c>
    </row>
    <row r="114" spans="1:4" x14ac:dyDescent="0.45">
      <c r="B114" t="s">
        <v>46</v>
      </c>
    </row>
    <row r="115" spans="1:4" x14ac:dyDescent="0.45">
      <c r="B115" t="s">
        <v>160</v>
      </c>
    </row>
    <row r="116" spans="1:4" x14ac:dyDescent="0.45">
      <c r="B116" t="s">
        <v>48</v>
      </c>
    </row>
    <row r="117" spans="1:4" x14ac:dyDescent="0.45">
      <c r="C117" s="12"/>
    </row>
    <row r="118" spans="1:4" x14ac:dyDescent="0.45">
      <c r="A118" t="s">
        <v>73</v>
      </c>
    </row>
    <row r="120" spans="1:4" x14ac:dyDescent="0.45">
      <c r="A120" s="4" t="s">
        <v>123</v>
      </c>
      <c r="B120" s="10">
        <f>D3</f>
        <v>19.608799999999999</v>
      </c>
      <c r="C120" t="s">
        <v>19</v>
      </c>
    </row>
    <row r="121" spans="1:4" x14ac:dyDescent="0.45">
      <c r="A121" s="4" t="s">
        <v>70</v>
      </c>
      <c r="B121" s="15">
        <v>16.5</v>
      </c>
      <c r="C121" t="s">
        <v>19</v>
      </c>
    </row>
    <row r="123" spans="1:4" x14ac:dyDescent="0.45">
      <c r="A123" s="4" t="s">
        <v>71</v>
      </c>
      <c r="B123" s="10">
        <f>(PI()*((B120/2)^2))-(PI()*((B121/2)^2))</f>
        <v>88.164900237487785</v>
      </c>
      <c r="C123" t="s">
        <v>20</v>
      </c>
    </row>
    <row r="124" spans="1:4" x14ac:dyDescent="0.45">
      <c r="A124" s="4" t="s">
        <v>72</v>
      </c>
      <c r="B124" s="10">
        <f>(PI()*B120)+(PI()*B121)</f>
        <v>113.43914080994313</v>
      </c>
      <c r="C124" t="s">
        <v>19</v>
      </c>
    </row>
    <row r="125" spans="1:4" x14ac:dyDescent="0.45">
      <c r="A125" s="4" t="s">
        <v>88</v>
      </c>
      <c r="B125" s="10">
        <f>B120-B121</f>
        <v>3.1087999999999987</v>
      </c>
      <c r="C125" t="s">
        <v>19</v>
      </c>
      <c r="D125" t="s">
        <v>162</v>
      </c>
    </row>
    <row r="126" spans="1:4" x14ac:dyDescent="0.45">
      <c r="A126" s="4" t="s">
        <v>89</v>
      </c>
      <c r="B126" s="10">
        <f>B120/((B120-B121)/2)</f>
        <v>12.615028306742156</v>
      </c>
      <c r="D126" s="10">
        <f>(((PI()*B120)+(PI()*B121))/2)/(B120-B121)</f>
        <v>18.244843799849328</v>
      </c>
    </row>
    <row r="128" spans="1:4" x14ac:dyDescent="0.45">
      <c r="A128" t="s">
        <v>154</v>
      </c>
    </row>
    <row r="130" spans="1:6" x14ac:dyDescent="0.45">
      <c r="B130" t="s">
        <v>60</v>
      </c>
    </row>
    <row r="131" spans="1:6" x14ac:dyDescent="0.45">
      <c r="B131" t="s">
        <v>161</v>
      </c>
    </row>
    <row r="132" spans="1:6" ht="14.65" thickBot="1" x14ac:dyDescent="0.5"/>
    <row r="133" spans="1:6" ht="14.65" thickBot="1" x14ac:dyDescent="0.5">
      <c r="A133" s="4" t="s">
        <v>74</v>
      </c>
      <c r="B133" s="62">
        <f>B100/B123</f>
        <v>9.9108011464439788E-2</v>
      </c>
      <c r="C133" t="s">
        <v>75</v>
      </c>
    </row>
    <row r="135" spans="1:6" x14ac:dyDescent="0.45">
      <c r="A135" t="s">
        <v>155</v>
      </c>
    </row>
    <row r="137" spans="1:6" x14ac:dyDescent="0.45">
      <c r="B137" t="s">
        <v>69</v>
      </c>
      <c r="E137" s="55" t="s">
        <v>153</v>
      </c>
    </row>
    <row r="139" spans="1:6" x14ac:dyDescent="0.45">
      <c r="B139" t="s">
        <v>135</v>
      </c>
    </row>
    <row r="140" spans="1:6" x14ac:dyDescent="0.45">
      <c r="B140" s="12" t="s">
        <v>77</v>
      </c>
    </row>
    <row r="141" spans="1:6" ht="14.65" thickBot="1" x14ac:dyDescent="0.5">
      <c r="B141" s="12"/>
    </row>
    <row r="142" spans="1:6" ht="14.65" thickBot="1" x14ac:dyDescent="0.5">
      <c r="A142" s="46" t="s">
        <v>144</v>
      </c>
      <c r="B142" s="61">
        <f>(B133*B125)/G36</f>
        <v>1597.5681117943084</v>
      </c>
    </row>
    <row r="143" spans="1:6" x14ac:dyDescent="0.45">
      <c r="A143" s="46"/>
      <c r="B143" s="54"/>
    </row>
    <row r="144" spans="1:6" x14ac:dyDescent="0.45">
      <c r="A144" s="263" t="s">
        <v>156</v>
      </c>
      <c r="B144" s="262" t="s">
        <v>150</v>
      </c>
      <c r="D144" s="262" t="s">
        <v>151</v>
      </c>
      <c r="F144" s="262" t="s">
        <v>152</v>
      </c>
    </row>
    <row r="145" spans="1:7" ht="14.45" customHeight="1" x14ac:dyDescent="0.45">
      <c r="A145" s="263"/>
      <c r="B145" s="263"/>
      <c r="D145" s="263"/>
      <c r="F145" s="263"/>
    </row>
    <row r="146" spans="1:7" ht="14.45" customHeight="1" x14ac:dyDescent="0.45">
      <c r="A146" s="263"/>
      <c r="B146" s="263"/>
      <c r="D146" s="263"/>
      <c r="F146" s="263"/>
    </row>
    <row r="147" spans="1:7" x14ac:dyDescent="0.45">
      <c r="A147" s="263"/>
      <c r="B147" s="260"/>
      <c r="D147" s="260"/>
      <c r="F147" s="260"/>
    </row>
    <row r="148" spans="1:7" x14ac:dyDescent="0.45">
      <c r="A148" s="58"/>
      <c r="B148" s="57"/>
      <c r="D148" s="57"/>
      <c r="F148" s="57"/>
    </row>
    <row r="149" spans="1:7" x14ac:dyDescent="0.45">
      <c r="A149" s="51"/>
      <c r="B149" s="57"/>
      <c r="C149" s="14"/>
      <c r="D149" s="57"/>
      <c r="E149" s="14"/>
      <c r="F149" s="57"/>
      <c r="G149" s="14"/>
    </row>
    <row r="150" spans="1:7" x14ac:dyDescent="0.45">
      <c r="A150" s="51"/>
      <c r="B150" s="56"/>
      <c r="D150" s="56"/>
      <c r="F150" s="56"/>
    </row>
    <row r="151" spans="1:7" x14ac:dyDescent="0.45">
      <c r="A151" s="46" t="s">
        <v>78</v>
      </c>
      <c r="B151" s="52">
        <f>6/((B142)^0.98)</f>
        <v>4.3527232461156966E-3</v>
      </c>
      <c r="D151" s="53">
        <f>2.7/((B142)^0.95)</f>
        <v>2.4438657790615951E-3</v>
      </c>
      <c r="F151" s="53">
        <f>0.023/((B142)^0.2)</f>
        <v>5.2606082216773197E-3</v>
      </c>
    </row>
    <row r="153" spans="1:7" x14ac:dyDescent="0.45">
      <c r="A153" t="s">
        <v>157</v>
      </c>
    </row>
    <row r="154" spans="1:7" x14ac:dyDescent="0.45">
      <c r="B154" t="s">
        <v>39</v>
      </c>
      <c r="D154" s="12" t="s">
        <v>68</v>
      </c>
    </row>
    <row r="155" spans="1:7" x14ac:dyDescent="0.45">
      <c r="B155" t="s">
        <v>41</v>
      </c>
      <c r="D155" s="12" t="s">
        <v>43</v>
      </c>
    </row>
    <row r="156" spans="1:7" x14ac:dyDescent="0.45">
      <c r="B156" t="s">
        <v>42</v>
      </c>
    </row>
    <row r="158" spans="1:7" x14ac:dyDescent="0.45">
      <c r="A158" s="46" t="s">
        <v>79</v>
      </c>
      <c r="B158" s="7">
        <f>(B151*E36*B133)/(((E36*G36)/B36)^0.666)</f>
        <v>1.3019684189711643E-4</v>
      </c>
      <c r="D158" s="7">
        <f>(D151*E36*B133)/(((E36*G36)/B36)^0.666)</f>
        <v>7.3099893667303081E-5</v>
      </c>
      <c r="F158" s="7">
        <f>(F151*E36*B133)/(((E36*G36)/B36)^0.666)</f>
        <v>1.5735311854058262E-4</v>
      </c>
      <c r="G158" t="s">
        <v>82</v>
      </c>
    </row>
    <row r="159" spans="1:7" x14ac:dyDescent="0.45">
      <c r="B159" s="217">
        <f>((B158/1000)*60*60*100*100)*1.1622</f>
        <v>5.4473317075018342</v>
      </c>
      <c r="D159" s="217">
        <f>((D158/1000)*60*60*100*100)*1.1622</f>
        <v>3.0584410711250269</v>
      </c>
      <c r="F159" s="217">
        <f>((F158/1000)*60*60*100*100)*1.1622</f>
        <v>6.5835285972431432</v>
      </c>
      <c r="G159" s="14" t="s">
        <v>196</v>
      </c>
    </row>
    <row r="160" spans="1:7" ht="14.65" thickBot="1" x14ac:dyDescent="0.5">
      <c r="A160" t="s">
        <v>158</v>
      </c>
    </row>
    <row r="161" spans="1:10" ht="14.65" thickBot="1" x14ac:dyDescent="0.5">
      <c r="A161" s="20" t="s">
        <v>83</v>
      </c>
      <c r="B161" s="267">
        <f>B22/(B158*D12)</f>
        <v>32.336869672190325</v>
      </c>
      <c r="C161" s="50"/>
      <c r="D161" s="60">
        <f>B22/(D158*D12)</f>
        <v>57.594588677780642</v>
      </c>
      <c r="E161" s="50"/>
      <c r="F161" s="60">
        <f>B22/(F158*D12)</f>
        <v>26.756116098658634</v>
      </c>
      <c r="I161" s="35"/>
    </row>
    <row r="162" spans="1:10" ht="21" x14ac:dyDescent="0.65">
      <c r="H162" s="63"/>
      <c r="J162" s="31"/>
    </row>
    <row r="163" spans="1:10" x14ac:dyDescent="0.45">
      <c r="H163" s="21"/>
    </row>
    <row r="164" spans="1:10" ht="15.75" x14ac:dyDescent="0.5">
      <c r="A164" s="63" t="s">
        <v>166</v>
      </c>
      <c r="B164" s="268">
        <f>$B$26-B161-$B$56-$B$89</f>
        <v>9.4192316531018143</v>
      </c>
      <c r="C164" s="12" t="s">
        <v>87</v>
      </c>
      <c r="D164" s="268">
        <f>$B$26-D161-$B$56-$B$89</f>
        <v>-15.838487352488503</v>
      </c>
      <c r="E164" s="12" t="s">
        <v>87</v>
      </c>
      <c r="F164" s="268">
        <f>$B$26-F161-$B$56-$B$89</f>
        <v>14.999985226633505</v>
      </c>
      <c r="G164" s="12" t="s">
        <v>87</v>
      </c>
    </row>
    <row r="165" spans="1:10" x14ac:dyDescent="0.45">
      <c r="A165" s="222" t="s">
        <v>147</v>
      </c>
    </row>
    <row r="166" spans="1:10" x14ac:dyDescent="0.45">
      <c r="A166" s="269" t="s">
        <v>163</v>
      </c>
      <c r="B166" s="269"/>
      <c r="C166" s="269"/>
      <c r="D166" s="269"/>
      <c r="E166" s="269"/>
      <c r="F166" s="269"/>
      <c r="G166" s="269"/>
    </row>
    <row r="167" spans="1:10" s="132" customFormat="1" x14ac:dyDescent="0.45">
      <c r="A167" s="270" t="s">
        <v>316</v>
      </c>
      <c r="B167" s="72">
        <f>$B$26-B164</f>
        <v>33.580768346898182</v>
      </c>
      <c r="C167" s="95" t="s">
        <v>87</v>
      </c>
      <c r="D167" s="72">
        <f>$B$26-D164</f>
        <v>58.838487352488499</v>
      </c>
      <c r="E167" s="95" t="s">
        <v>87</v>
      </c>
      <c r="F167" s="72">
        <f>$B$26-F164</f>
        <v>28.000014773366495</v>
      </c>
      <c r="G167" s="95" t="s">
        <v>87</v>
      </c>
    </row>
    <row r="168" spans="1:10" s="132" customFormat="1" x14ac:dyDescent="0.45"/>
    <row r="169" spans="1:10" ht="18" x14ac:dyDescent="0.55000000000000004">
      <c r="A169" s="218" t="s">
        <v>305</v>
      </c>
    </row>
    <row r="170" spans="1:10" ht="28.5" x14ac:dyDescent="0.45">
      <c r="A170" t="s">
        <v>295</v>
      </c>
      <c r="B170" s="51" t="s">
        <v>300</v>
      </c>
      <c r="C170" s="51" t="s">
        <v>297</v>
      </c>
      <c r="D170" s="51" t="s">
        <v>301</v>
      </c>
    </row>
    <row r="171" spans="1:10" x14ac:dyDescent="0.45">
      <c r="A171" s="4" t="s">
        <v>296</v>
      </c>
      <c r="B171" s="271">
        <f>C18</f>
        <v>88</v>
      </c>
      <c r="C171">
        <v>62</v>
      </c>
      <c r="D171" s="216">
        <f>C171</f>
        <v>62</v>
      </c>
      <c r="E171" t="s">
        <v>10</v>
      </c>
    </row>
    <row r="172" spans="1:10" x14ac:dyDescent="0.45">
      <c r="A172" s="4" t="s">
        <v>298</v>
      </c>
      <c r="B172" s="214">
        <f>D12</f>
        <v>4995.5366189549923</v>
      </c>
      <c r="C172" s="214">
        <f>ThermalCaculationBaseline!D12</f>
        <v>3287.9161945188434</v>
      </c>
      <c r="D172" s="214">
        <f t="shared" ref="D172:D173" si="1">C172</f>
        <v>3287.9161945188434</v>
      </c>
      <c r="E172" t="s">
        <v>20</v>
      </c>
    </row>
    <row r="173" spans="1:10" s="132" customFormat="1" x14ac:dyDescent="0.45">
      <c r="A173" s="4"/>
      <c r="B173" s="214">
        <f>B172/10000</f>
        <v>0.49955366189549921</v>
      </c>
      <c r="C173" s="215">
        <f>C172/10000</f>
        <v>0.32879161945188434</v>
      </c>
      <c r="D173" s="214">
        <f t="shared" si="1"/>
        <v>0.32879161945188434</v>
      </c>
      <c r="E173" s="132" t="s">
        <v>198</v>
      </c>
    </row>
    <row r="174" spans="1:10" x14ac:dyDescent="0.45">
      <c r="A174" s="4" t="s">
        <v>299</v>
      </c>
      <c r="B174">
        <v>20</v>
      </c>
      <c r="C174" s="214">
        <f>ThermalCaculationBaseline!I150-ThermalCaculationBaseline!I156</f>
        <v>9.5600000000000023</v>
      </c>
      <c r="D174" s="26">
        <f>D171/(D175*D173)</f>
        <v>21.409199077321169</v>
      </c>
      <c r="E174" t="s">
        <v>11</v>
      </c>
    </row>
    <row r="175" spans="1:10" x14ac:dyDescent="0.45">
      <c r="A175" s="4" t="s">
        <v>302</v>
      </c>
      <c r="B175" s="214">
        <f>(B171/B173)/B174</f>
        <v>8.8078625693678312</v>
      </c>
      <c r="C175" s="214">
        <f>(C171/C173)/C174</f>
        <v>19.72482041770726</v>
      </c>
      <c r="D175" s="214">
        <f>B175</f>
        <v>8.8078625693678312</v>
      </c>
      <c r="E175" s="14" t="s">
        <v>196</v>
      </c>
    </row>
    <row r="176" spans="1:10" x14ac:dyDescent="0.45">
      <c r="A176" s="4" t="s">
        <v>307</v>
      </c>
      <c r="B176" s="216">
        <f>B26</f>
        <v>43</v>
      </c>
      <c r="C176" s="220">
        <v>43</v>
      </c>
      <c r="D176" s="219">
        <v>47</v>
      </c>
    </row>
    <row r="177" spans="1:4" x14ac:dyDescent="0.45">
      <c r="A177" s="4" t="s">
        <v>306</v>
      </c>
      <c r="B177" s="216">
        <f>B176-B174</f>
        <v>23</v>
      </c>
      <c r="C177" s="219">
        <f>C176-C174</f>
        <v>33.44</v>
      </c>
      <c r="D177" s="219">
        <f>D176-D174</f>
        <v>25.590800922678831</v>
      </c>
    </row>
    <row r="178" spans="1:4" x14ac:dyDescent="0.45">
      <c r="A178" s="4"/>
    </row>
    <row r="179" spans="1:4" x14ac:dyDescent="0.45">
      <c r="A179" s="4"/>
    </row>
    <row r="180" spans="1:4" x14ac:dyDescent="0.45">
      <c r="A180" s="4"/>
    </row>
    <row r="181" spans="1:4" x14ac:dyDescent="0.45">
      <c r="A181" s="4"/>
    </row>
    <row r="182" spans="1:4" x14ac:dyDescent="0.45">
      <c r="A182" s="4"/>
    </row>
  </sheetData>
  <mergeCells count="5">
    <mergeCell ref="A144:A147"/>
    <mergeCell ref="B144:B147"/>
    <mergeCell ref="D144:D147"/>
    <mergeCell ref="F144:F147"/>
    <mergeCell ref="A1:C1"/>
  </mergeCells>
  <pageMargins left="0.25" right="0.25" top="0.75" bottom="0.75" header="0.3" footer="0.3"/>
  <pageSetup scale="73" fitToHeight="0" orientation="portrait" r:id="rId1"/>
  <rowBreaks count="2" manualBreakCount="2">
    <brk id="56" max="10" man="1"/>
    <brk id="101"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N26"/>
  <sheetViews>
    <sheetView zoomScaleNormal="100" workbookViewId="0">
      <selection activeCell="J24" sqref="J24"/>
    </sheetView>
  </sheetViews>
  <sheetFormatPr defaultRowHeight="14.25" x14ac:dyDescent="0.45"/>
  <cols>
    <col min="2" max="2" width="15.1328125" customWidth="1"/>
    <col min="3" max="3" width="11.3984375" customWidth="1"/>
  </cols>
  <sheetData>
    <row r="2" spans="1:14" ht="15.75" x14ac:dyDescent="0.5">
      <c r="A2" s="27" t="s">
        <v>95</v>
      </c>
    </row>
    <row r="3" spans="1:14" x14ac:dyDescent="0.45">
      <c r="B3" t="s">
        <v>3</v>
      </c>
      <c r="C3" s="10">
        <f>i2MAPVerification!D3</f>
        <v>19.608799999999999</v>
      </c>
      <c r="D3" t="s">
        <v>20</v>
      </c>
    </row>
    <row r="4" spans="1:14" x14ac:dyDescent="0.45">
      <c r="B4" s="4" t="s">
        <v>109</v>
      </c>
      <c r="C4" s="10">
        <f>PI()*((C3/2)^2)</f>
        <v>301.98955022244309</v>
      </c>
      <c r="D4" t="s">
        <v>20</v>
      </c>
    </row>
    <row r="5" spans="1:14" s="132" customFormat="1" x14ac:dyDescent="0.45">
      <c r="B5" s="4" t="s">
        <v>304</v>
      </c>
      <c r="C5" s="214">
        <v>1</v>
      </c>
      <c r="D5" s="132" t="s">
        <v>303</v>
      </c>
    </row>
    <row r="6" spans="1:14" ht="14.65" thickBot="1" x14ac:dyDescent="0.5"/>
    <row r="7" spans="1:14" ht="14.65" thickBot="1" x14ac:dyDescent="0.5">
      <c r="C7" s="4" t="s">
        <v>110</v>
      </c>
      <c r="D7" s="29">
        <f>C4*C5</f>
        <v>301.98955022244309</v>
      </c>
      <c r="E7" t="s">
        <v>20</v>
      </c>
    </row>
    <row r="9" spans="1:14" ht="15.75" x14ac:dyDescent="0.5">
      <c r="A9" s="27" t="s">
        <v>111</v>
      </c>
    </row>
    <row r="10" spans="1:14" x14ac:dyDescent="0.45">
      <c r="C10" s="4" t="s">
        <v>170</v>
      </c>
      <c r="D10" s="10">
        <f>i2MAPVerification!D3</f>
        <v>19.608799999999999</v>
      </c>
      <c r="E10" t="s">
        <v>20</v>
      </c>
    </row>
    <row r="11" spans="1:14" x14ac:dyDescent="0.45">
      <c r="C11" s="4" t="s">
        <v>171</v>
      </c>
      <c r="D11" s="10">
        <f>PI()*((D10/2)^2)</f>
        <v>301.98955022244309</v>
      </c>
      <c r="E11" t="s">
        <v>20</v>
      </c>
    </row>
    <row r="12" spans="1:14" x14ac:dyDescent="0.45">
      <c r="C12" s="66" t="s">
        <v>174</v>
      </c>
      <c r="D12" s="22">
        <f>5*2.54</f>
        <v>12.7</v>
      </c>
      <c r="E12" t="s">
        <v>19</v>
      </c>
    </row>
    <row r="13" spans="1:14" x14ac:dyDescent="0.45">
      <c r="C13" s="66" t="s">
        <v>175</v>
      </c>
      <c r="D13" s="22">
        <f>PI()*((D12/2)^2)</f>
        <v>126.67686977437442</v>
      </c>
      <c r="E13" t="s">
        <v>20</v>
      </c>
    </row>
    <row r="14" spans="1:14" x14ac:dyDescent="0.45">
      <c r="B14" s="4"/>
      <c r="C14" s="66" t="s">
        <v>176</v>
      </c>
      <c r="D14" s="3">
        <v>1389.2</v>
      </c>
      <c r="E14" t="s">
        <v>20</v>
      </c>
      <c r="K14" s="132"/>
      <c r="L14" s="132"/>
      <c r="M14" s="132"/>
      <c r="N14" s="132"/>
    </row>
    <row r="15" spans="1:14" x14ac:dyDescent="0.45">
      <c r="B15" s="4"/>
      <c r="C15" s="66" t="s">
        <v>313</v>
      </c>
      <c r="D15" s="10">
        <f>D14-D13</f>
        <v>1262.5231302256257</v>
      </c>
      <c r="E15" t="s">
        <v>20</v>
      </c>
      <c r="I15" s="132"/>
      <c r="J15" s="132"/>
      <c r="K15" s="132"/>
      <c r="L15" s="132"/>
      <c r="M15" s="132"/>
      <c r="N15" s="132"/>
    </row>
    <row r="16" spans="1:14" ht="14.65" thickBot="1" x14ac:dyDescent="0.5">
      <c r="I16" s="132"/>
      <c r="J16" s="66"/>
      <c r="K16" s="132"/>
      <c r="L16" s="132"/>
      <c r="M16" s="132"/>
      <c r="N16" s="132"/>
    </row>
    <row r="17" spans="3:14" ht="14.65" thickBot="1" x14ac:dyDescent="0.5">
      <c r="C17" s="4" t="s">
        <v>112</v>
      </c>
      <c r="D17" s="29">
        <f>D15+(D11-D13)</f>
        <v>1437.8358106736944</v>
      </c>
      <c r="I17" s="4"/>
      <c r="J17" s="66"/>
      <c r="K17" s="132"/>
      <c r="L17" s="132"/>
      <c r="M17" s="132"/>
      <c r="N17" s="132"/>
    </row>
    <row r="18" spans="3:14" x14ac:dyDescent="0.45">
      <c r="I18" s="4"/>
      <c r="J18" s="66"/>
      <c r="K18" s="132"/>
      <c r="L18" s="132"/>
      <c r="M18" s="132"/>
      <c r="N18" s="132"/>
    </row>
    <row r="19" spans="3:14" x14ac:dyDescent="0.45">
      <c r="I19" s="132"/>
      <c r="J19" s="132"/>
      <c r="K19" s="132"/>
      <c r="L19" s="132"/>
      <c r="M19" s="132"/>
      <c r="N19" s="132"/>
    </row>
    <row r="20" spans="3:14" x14ac:dyDescent="0.45">
      <c r="I20" s="132"/>
      <c r="J20" s="4"/>
      <c r="K20" s="132"/>
      <c r="L20" s="132"/>
      <c r="M20" s="132"/>
      <c r="N20" s="132"/>
    </row>
    <row r="21" spans="3:14" x14ac:dyDescent="0.45">
      <c r="I21" s="132"/>
      <c r="J21" s="132"/>
      <c r="K21" s="132"/>
      <c r="L21" s="132"/>
      <c r="M21" s="132"/>
      <c r="N21" s="132"/>
    </row>
    <row r="22" spans="3:14" x14ac:dyDescent="0.45">
      <c r="K22" s="132"/>
      <c r="L22" s="132"/>
      <c r="M22" s="132"/>
      <c r="N22" s="132"/>
    </row>
    <row r="23" spans="3:14" x14ac:dyDescent="0.45">
      <c r="K23" s="132"/>
      <c r="L23" s="132"/>
      <c r="M23" s="132"/>
      <c r="N23" s="132"/>
    </row>
    <row r="24" spans="3:14" x14ac:dyDescent="0.45">
      <c r="K24" s="132"/>
      <c r="L24" s="132"/>
      <c r="M24" s="132"/>
      <c r="N24" s="132"/>
    </row>
    <row r="25" spans="3:14" x14ac:dyDescent="0.45">
      <c r="K25" s="132"/>
      <c r="L25" s="132"/>
      <c r="M25" s="132"/>
      <c r="N25" s="132"/>
    </row>
    <row r="26" spans="3:14" x14ac:dyDescent="0.45">
      <c r="K26" s="132"/>
      <c r="L26" s="132"/>
      <c r="M26" s="132"/>
      <c r="N26" s="132"/>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22"/>
  <sheetViews>
    <sheetView topLeftCell="A4" workbookViewId="0">
      <selection activeCell="A24" sqref="A24"/>
    </sheetView>
  </sheetViews>
  <sheetFormatPr defaultRowHeight="14.25" x14ac:dyDescent="0.45"/>
  <cols>
    <col min="1" max="1" width="18.86328125" customWidth="1"/>
    <col min="3" max="3" width="8.59765625" bestFit="1" customWidth="1"/>
    <col min="4" max="4" width="7.86328125" bestFit="1" customWidth="1"/>
    <col min="7" max="7" width="8.3984375" bestFit="1" customWidth="1"/>
    <col min="8" max="8" width="8.59765625" bestFit="1" customWidth="1"/>
    <col min="9" max="9" width="7.86328125" bestFit="1" customWidth="1"/>
  </cols>
  <sheetData>
    <row r="1" spans="1:14" x14ac:dyDescent="0.45">
      <c r="A1" s="265" t="s">
        <v>246</v>
      </c>
      <c r="B1" s="265"/>
      <c r="C1" s="265"/>
      <c r="D1" s="265"/>
      <c r="E1" s="265"/>
      <c r="F1" s="265"/>
      <c r="G1" s="265"/>
      <c r="H1" s="265"/>
      <c r="I1" s="265"/>
    </row>
    <row r="2" spans="1:14" x14ac:dyDescent="0.45">
      <c r="A2" s="133"/>
      <c r="B2" s="265" t="s">
        <v>260</v>
      </c>
      <c r="C2" s="265"/>
      <c r="D2" s="265"/>
      <c r="E2" s="135"/>
      <c r="F2" s="265" t="s">
        <v>258</v>
      </c>
      <c r="G2" s="265"/>
      <c r="H2" s="265"/>
      <c r="I2" s="265"/>
      <c r="K2" s="265" t="s">
        <v>259</v>
      </c>
      <c r="L2" s="265"/>
      <c r="M2" s="265"/>
      <c r="N2" s="265"/>
    </row>
    <row r="3" spans="1:14" x14ac:dyDescent="0.45">
      <c r="A3" s="133" t="s">
        <v>247</v>
      </c>
      <c r="B3" s="133">
        <v>5300</v>
      </c>
      <c r="C3" s="136"/>
      <c r="D3" s="136"/>
      <c r="E3" s="133"/>
      <c r="F3" s="133">
        <v>5900</v>
      </c>
      <c r="G3" s="136"/>
      <c r="H3" s="136"/>
      <c r="I3" s="136"/>
      <c r="K3" s="133">
        <v>5900</v>
      </c>
      <c r="L3" s="136"/>
      <c r="M3" s="136"/>
      <c r="N3" s="136"/>
    </row>
    <row r="4" spans="1:14" ht="28.5" x14ac:dyDescent="0.45">
      <c r="A4" s="133" t="s">
        <v>248</v>
      </c>
      <c r="B4" s="133">
        <f>(B3*6)*(PI()/180)</f>
        <v>555.0147021341968</v>
      </c>
      <c r="C4" s="136"/>
      <c r="D4" s="136"/>
      <c r="E4" s="133"/>
      <c r="F4" s="133">
        <f>(F3*6)*(PI()/180)</f>
        <v>617.84655520599267</v>
      </c>
      <c r="G4" s="136"/>
      <c r="H4" s="136"/>
      <c r="I4" s="136"/>
      <c r="K4" s="133">
        <f>(K3*6)*(PI()/180)</f>
        <v>617.84655520599267</v>
      </c>
      <c r="L4" s="136"/>
      <c r="M4" s="136"/>
      <c r="N4" s="136"/>
    </row>
    <row r="5" spans="1:14" x14ac:dyDescent="0.45">
      <c r="A5" s="133" t="s">
        <v>249</v>
      </c>
      <c r="B5" s="133">
        <v>6.8000000000000005E-2</v>
      </c>
      <c r="C5" s="136"/>
      <c r="D5" s="136"/>
      <c r="E5" s="133"/>
      <c r="F5" s="133">
        <v>0.06</v>
      </c>
      <c r="G5" s="136"/>
      <c r="H5" s="136"/>
      <c r="I5" s="136"/>
      <c r="K5" s="133">
        <v>0.06</v>
      </c>
      <c r="L5" s="136"/>
      <c r="M5" s="136"/>
      <c r="N5" s="136"/>
    </row>
    <row r="6" spans="1:14" x14ac:dyDescent="0.45">
      <c r="A6" s="133" t="s">
        <v>250</v>
      </c>
      <c r="B6" s="133">
        <v>2.5000000000000001E-2</v>
      </c>
      <c r="C6" s="136"/>
      <c r="D6" s="136"/>
      <c r="E6" s="133"/>
      <c r="F6" s="133">
        <v>2.5000000000000001E-2</v>
      </c>
      <c r="G6" s="136"/>
      <c r="H6" s="136"/>
      <c r="I6" s="136"/>
      <c r="K6" s="133">
        <v>2.5000000000000001E-2</v>
      </c>
      <c r="L6" s="136"/>
      <c r="M6" s="136"/>
      <c r="N6" s="136"/>
    </row>
    <row r="7" spans="1:14" x14ac:dyDescent="0.45">
      <c r="A7" s="133" t="s">
        <v>251</v>
      </c>
      <c r="B7" s="133" t="s">
        <v>252</v>
      </c>
      <c r="C7" s="136"/>
      <c r="D7" s="136"/>
      <c r="E7" s="133"/>
      <c r="F7" s="133" t="s">
        <v>252</v>
      </c>
      <c r="G7" s="136"/>
      <c r="H7" s="136"/>
      <c r="I7" s="136"/>
      <c r="K7" s="133" t="s">
        <v>252</v>
      </c>
      <c r="L7" s="136"/>
      <c r="M7" s="136"/>
      <c r="N7" s="136"/>
    </row>
    <row r="8" spans="1:14" s="132" customFormat="1" ht="28.5" x14ac:dyDescent="0.45">
      <c r="A8" s="133"/>
      <c r="B8" s="133" t="s">
        <v>257</v>
      </c>
      <c r="C8" s="136"/>
      <c r="D8" s="136" t="s">
        <v>257</v>
      </c>
      <c r="E8" s="133"/>
      <c r="F8" s="133"/>
      <c r="G8" s="136" t="s">
        <v>257</v>
      </c>
      <c r="H8" s="136"/>
      <c r="I8" s="136" t="s">
        <v>257</v>
      </c>
      <c r="K8" s="133"/>
      <c r="L8" s="136" t="s">
        <v>257</v>
      </c>
      <c r="M8" s="136"/>
      <c r="N8" s="136" t="s">
        <v>257</v>
      </c>
    </row>
    <row r="9" spans="1:14" ht="42.75" x14ac:dyDescent="0.45">
      <c r="A9" s="133"/>
      <c r="B9" s="133" t="s">
        <v>253</v>
      </c>
      <c r="C9" s="134" t="s">
        <v>254</v>
      </c>
      <c r="D9" s="133" t="s">
        <v>255</v>
      </c>
      <c r="E9" s="133"/>
      <c r="F9" s="133" t="s">
        <v>253</v>
      </c>
      <c r="G9" s="133" t="s">
        <v>256</v>
      </c>
      <c r="H9" s="133" t="s">
        <v>254</v>
      </c>
      <c r="I9" s="133" t="s">
        <v>255</v>
      </c>
      <c r="K9" s="133" t="s">
        <v>253</v>
      </c>
      <c r="L9" s="133" t="s">
        <v>256</v>
      </c>
      <c r="M9" s="133" t="s">
        <v>254</v>
      </c>
      <c r="N9" s="133" t="s">
        <v>255</v>
      </c>
    </row>
    <row r="10" spans="1:14" x14ac:dyDescent="0.45">
      <c r="A10" s="133"/>
      <c r="B10" s="133">
        <v>4</v>
      </c>
      <c r="C10" s="137">
        <f t="shared" ref="C10:C21" si="0">B10/3600</f>
        <v>1.1111111111111111E-3</v>
      </c>
      <c r="D10" s="133">
        <v>60</v>
      </c>
      <c r="E10" s="133"/>
      <c r="F10" s="138">
        <f t="shared" ref="F10:F21" si="1">G10*60</f>
        <v>9</v>
      </c>
      <c r="G10" s="133">
        <v>0.15</v>
      </c>
      <c r="H10" s="137">
        <f t="shared" ref="H10:H21" si="2">G10/60</f>
        <v>2.5000000000000001E-3</v>
      </c>
      <c r="I10" s="133">
        <v>60</v>
      </c>
      <c r="K10" s="138">
        <f t="shared" ref="K10:K21" si="3">L10*60</f>
        <v>0</v>
      </c>
      <c r="L10" s="133"/>
      <c r="M10" s="137">
        <f t="shared" ref="M10:M21" si="4">L10/60</f>
        <v>0</v>
      </c>
      <c r="N10" s="133">
        <v>60</v>
      </c>
    </row>
    <row r="11" spans="1:14" x14ac:dyDescent="0.45">
      <c r="A11" s="133"/>
      <c r="B11" s="133">
        <v>6</v>
      </c>
      <c r="C11" s="137">
        <f t="shared" si="0"/>
        <v>1.6666666666666668E-3</v>
      </c>
      <c r="D11" s="133">
        <v>55</v>
      </c>
      <c r="E11" s="133"/>
      <c r="F11" s="138">
        <f t="shared" si="1"/>
        <v>12</v>
      </c>
      <c r="G11" s="133">
        <v>0.2</v>
      </c>
      <c r="H11" s="137">
        <f t="shared" si="2"/>
        <v>3.3333333333333335E-3</v>
      </c>
      <c r="I11" s="133">
        <v>55</v>
      </c>
      <c r="K11" s="138">
        <f t="shared" si="3"/>
        <v>0</v>
      </c>
      <c r="L11" s="133"/>
      <c r="M11" s="137">
        <f t="shared" si="4"/>
        <v>0</v>
      </c>
      <c r="N11" s="133">
        <v>55</v>
      </c>
    </row>
    <row r="12" spans="1:14" x14ac:dyDescent="0.45">
      <c r="A12" s="133"/>
      <c r="B12" s="133">
        <v>9</v>
      </c>
      <c r="C12" s="137">
        <f t="shared" si="0"/>
        <v>2.5000000000000001E-3</v>
      </c>
      <c r="D12" s="133">
        <v>50</v>
      </c>
      <c r="E12" s="133"/>
      <c r="F12" s="138">
        <f t="shared" si="1"/>
        <v>13.2</v>
      </c>
      <c r="G12" s="133">
        <v>0.22</v>
      </c>
      <c r="H12" s="137">
        <f t="shared" si="2"/>
        <v>3.6666666666666666E-3</v>
      </c>
      <c r="I12" s="133">
        <v>50</v>
      </c>
      <c r="K12" s="138">
        <f t="shared" si="3"/>
        <v>0</v>
      </c>
      <c r="L12" s="133"/>
      <c r="M12" s="137">
        <f t="shared" si="4"/>
        <v>0</v>
      </c>
      <c r="N12" s="133">
        <v>50</v>
      </c>
    </row>
    <row r="13" spans="1:14" x14ac:dyDescent="0.45">
      <c r="A13" s="133"/>
      <c r="B13" s="133">
        <v>12</v>
      </c>
      <c r="C13" s="137">
        <f t="shared" si="0"/>
        <v>3.3333333333333335E-3</v>
      </c>
      <c r="D13" s="133">
        <v>45</v>
      </c>
      <c r="E13" s="133"/>
      <c r="F13" s="138">
        <f t="shared" si="1"/>
        <v>15.600000000000001</v>
      </c>
      <c r="G13" s="133">
        <v>0.26</v>
      </c>
      <c r="H13" s="137">
        <f t="shared" si="2"/>
        <v>4.3333333333333331E-3</v>
      </c>
      <c r="I13" s="133">
        <v>45</v>
      </c>
      <c r="K13" s="138">
        <f t="shared" si="3"/>
        <v>0</v>
      </c>
      <c r="L13" s="133"/>
      <c r="M13" s="137">
        <f t="shared" si="4"/>
        <v>0</v>
      </c>
      <c r="N13" s="133">
        <v>45</v>
      </c>
    </row>
    <row r="14" spans="1:14" x14ac:dyDescent="0.45">
      <c r="A14" s="133"/>
      <c r="B14" s="133">
        <v>13</v>
      </c>
      <c r="C14" s="137">
        <f t="shared" si="0"/>
        <v>3.6111111111111109E-3</v>
      </c>
      <c r="D14" s="133">
        <v>40</v>
      </c>
      <c r="E14" s="133"/>
      <c r="F14" s="138">
        <f t="shared" si="1"/>
        <v>18.600000000000001</v>
      </c>
      <c r="G14" s="133">
        <v>0.31</v>
      </c>
      <c r="H14" s="137">
        <f t="shared" si="2"/>
        <v>5.1666666666666666E-3</v>
      </c>
      <c r="I14" s="133">
        <v>40</v>
      </c>
      <c r="K14" s="138">
        <f t="shared" si="3"/>
        <v>0</v>
      </c>
      <c r="L14" s="133"/>
      <c r="M14" s="137">
        <f t="shared" si="4"/>
        <v>0</v>
      </c>
      <c r="N14" s="133">
        <v>40</v>
      </c>
    </row>
    <row r="15" spans="1:14" x14ac:dyDescent="0.45">
      <c r="A15" s="133"/>
      <c r="B15" s="133">
        <v>15</v>
      </c>
      <c r="C15" s="137">
        <f t="shared" si="0"/>
        <v>4.1666666666666666E-3</v>
      </c>
      <c r="D15" s="133">
        <v>35</v>
      </c>
      <c r="E15" s="133"/>
      <c r="F15" s="138">
        <f t="shared" si="1"/>
        <v>21</v>
      </c>
      <c r="G15" s="133">
        <v>0.35</v>
      </c>
      <c r="H15" s="137">
        <f t="shared" si="2"/>
        <v>5.8333333333333327E-3</v>
      </c>
      <c r="I15" s="133">
        <v>35</v>
      </c>
      <c r="K15" s="138">
        <f t="shared" si="3"/>
        <v>0</v>
      </c>
      <c r="L15" s="133"/>
      <c r="M15" s="137">
        <f t="shared" si="4"/>
        <v>0</v>
      </c>
      <c r="N15" s="133">
        <v>35</v>
      </c>
    </row>
    <row r="16" spans="1:14" x14ac:dyDescent="0.45">
      <c r="A16" s="133"/>
      <c r="B16" s="133">
        <v>18</v>
      </c>
      <c r="C16" s="137">
        <f t="shared" si="0"/>
        <v>5.0000000000000001E-3</v>
      </c>
      <c r="D16" s="133">
        <v>30</v>
      </c>
      <c r="E16" s="133"/>
      <c r="F16" s="138">
        <f t="shared" si="1"/>
        <v>24</v>
      </c>
      <c r="G16" s="133">
        <v>0.4</v>
      </c>
      <c r="H16" s="137">
        <f t="shared" si="2"/>
        <v>6.6666666666666671E-3</v>
      </c>
      <c r="I16" s="133">
        <v>30</v>
      </c>
      <c r="K16" s="138">
        <f t="shared" si="3"/>
        <v>0</v>
      </c>
      <c r="L16" s="133"/>
      <c r="M16" s="137">
        <f t="shared" si="4"/>
        <v>0</v>
      </c>
      <c r="N16" s="133">
        <v>30</v>
      </c>
    </row>
    <row r="17" spans="1:14" x14ac:dyDescent="0.45">
      <c r="A17" s="133"/>
      <c r="B17" s="133">
        <v>22</v>
      </c>
      <c r="C17" s="137">
        <f t="shared" si="0"/>
        <v>6.1111111111111114E-3</v>
      </c>
      <c r="D17" s="133">
        <v>25</v>
      </c>
      <c r="E17" s="133"/>
      <c r="F17" s="138">
        <f t="shared" si="1"/>
        <v>33</v>
      </c>
      <c r="G17" s="133">
        <v>0.55000000000000004</v>
      </c>
      <c r="H17" s="137">
        <f t="shared" si="2"/>
        <v>9.1666666666666667E-3</v>
      </c>
      <c r="I17" s="133">
        <v>25</v>
      </c>
      <c r="K17" s="138">
        <f t="shared" si="3"/>
        <v>0</v>
      </c>
      <c r="L17" s="133"/>
      <c r="M17" s="137">
        <f t="shared" si="4"/>
        <v>0</v>
      </c>
      <c r="N17" s="133">
        <v>25</v>
      </c>
    </row>
    <row r="18" spans="1:14" x14ac:dyDescent="0.45">
      <c r="A18" s="133"/>
      <c r="B18" s="133">
        <v>32</v>
      </c>
      <c r="C18" s="137">
        <f t="shared" si="0"/>
        <v>8.8888888888888889E-3</v>
      </c>
      <c r="D18" s="133">
        <v>20</v>
      </c>
      <c r="E18" s="133"/>
      <c r="F18" s="138">
        <f t="shared" si="1"/>
        <v>34.799999999999997</v>
      </c>
      <c r="G18" s="133">
        <v>0.57999999999999996</v>
      </c>
      <c r="H18" s="137">
        <f t="shared" si="2"/>
        <v>9.6666666666666654E-3</v>
      </c>
      <c r="I18" s="133">
        <v>20</v>
      </c>
      <c r="K18" s="138">
        <f t="shared" si="3"/>
        <v>0</v>
      </c>
      <c r="L18" s="133"/>
      <c r="M18" s="137">
        <f t="shared" si="4"/>
        <v>0</v>
      </c>
      <c r="N18" s="133">
        <v>20</v>
      </c>
    </row>
    <row r="19" spans="1:14" x14ac:dyDescent="0.45">
      <c r="A19" s="133"/>
      <c r="B19" s="133">
        <v>37</v>
      </c>
      <c r="C19" s="137">
        <f t="shared" si="0"/>
        <v>1.0277777777777778E-2</v>
      </c>
      <c r="D19" s="133">
        <v>15</v>
      </c>
      <c r="E19" s="133"/>
      <c r="F19" s="138">
        <f t="shared" si="1"/>
        <v>37.200000000000003</v>
      </c>
      <c r="G19" s="133">
        <v>0.62</v>
      </c>
      <c r="H19" s="137">
        <f t="shared" si="2"/>
        <v>1.0333333333333333E-2</v>
      </c>
      <c r="I19" s="133">
        <v>15</v>
      </c>
      <c r="K19" s="138">
        <f t="shared" si="3"/>
        <v>0</v>
      </c>
      <c r="L19" s="133"/>
      <c r="M19" s="137">
        <f t="shared" si="4"/>
        <v>0</v>
      </c>
      <c r="N19" s="133">
        <v>15</v>
      </c>
    </row>
    <row r="20" spans="1:14" x14ac:dyDescent="0.45">
      <c r="A20" s="133"/>
      <c r="B20" s="133">
        <v>39</v>
      </c>
      <c r="C20" s="137">
        <f t="shared" si="0"/>
        <v>1.0833333333333334E-2</v>
      </c>
      <c r="D20" s="133">
        <v>10</v>
      </c>
      <c r="E20" s="133"/>
      <c r="F20" s="138">
        <f t="shared" si="1"/>
        <v>38.4</v>
      </c>
      <c r="G20" s="133">
        <v>0.64</v>
      </c>
      <c r="H20" s="137">
        <f t="shared" si="2"/>
        <v>1.0666666666666666E-2</v>
      </c>
      <c r="I20" s="133">
        <v>10</v>
      </c>
      <c r="K20" s="138">
        <f t="shared" si="3"/>
        <v>0</v>
      </c>
      <c r="L20" s="133"/>
      <c r="M20" s="137">
        <f t="shared" si="4"/>
        <v>0</v>
      </c>
      <c r="N20" s="133">
        <v>10</v>
      </c>
    </row>
    <row r="21" spans="1:14" x14ac:dyDescent="0.45">
      <c r="A21" s="133"/>
      <c r="B21" s="133">
        <v>43</v>
      </c>
      <c r="C21" s="137">
        <f t="shared" si="0"/>
        <v>1.1944444444444445E-2</v>
      </c>
      <c r="D21" s="133">
        <v>5</v>
      </c>
      <c r="E21" s="133"/>
      <c r="F21" s="138">
        <f t="shared" si="1"/>
        <v>39</v>
      </c>
      <c r="G21" s="133">
        <v>0.65</v>
      </c>
      <c r="H21" s="137">
        <f t="shared" si="2"/>
        <v>1.0833333333333334E-2</v>
      </c>
      <c r="I21" s="133">
        <v>5</v>
      </c>
      <c r="K21" s="138">
        <f t="shared" si="3"/>
        <v>0</v>
      </c>
      <c r="L21" s="133"/>
      <c r="M21" s="137">
        <f t="shared" si="4"/>
        <v>0</v>
      </c>
      <c r="N21" s="133">
        <v>5</v>
      </c>
    </row>
    <row r="22" spans="1:14" x14ac:dyDescent="0.45">
      <c r="A22" s="133"/>
      <c r="B22" s="133"/>
      <c r="C22" s="134"/>
      <c r="D22" s="133"/>
      <c r="E22" s="133"/>
      <c r="F22" s="133"/>
      <c r="G22" s="133"/>
      <c r="H22" s="133"/>
      <c r="I22" s="133"/>
    </row>
  </sheetData>
  <mergeCells count="4">
    <mergeCell ref="B2:D2"/>
    <mergeCell ref="F2:I2"/>
    <mergeCell ref="A1:I1"/>
    <mergeCell ref="K2:N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ResultsSummary</vt:lpstr>
      <vt:lpstr>ThermalCaculationBaseline</vt:lpstr>
      <vt:lpstr>HeatSinkAreas</vt:lpstr>
      <vt:lpstr>HeliumOption</vt:lpstr>
      <vt:lpstr>i2MAPVerification</vt:lpstr>
      <vt:lpstr>i2MAPHeatsinkAreas</vt:lpstr>
      <vt:lpstr>FanCurveData</vt:lpstr>
      <vt:lpstr>HeliumOption!Print_Area</vt:lpstr>
      <vt:lpstr>i2MAPVerification!Print_Area</vt:lpstr>
      <vt:lpstr>ThermalCaculationBaseline!Print_Area</vt:lpstr>
    </vt:vector>
  </TitlesOfParts>
  <Company>MBARI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chma</dc:creator>
  <cp:lastModifiedBy>Mark Chaffey</cp:lastModifiedBy>
  <cp:lastPrinted>2020-08-11T23:08:43Z</cp:lastPrinted>
  <dcterms:created xsi:type="dcterms:W3CDTF">2019-03-13T19:04:03Z</dcterms:created>
  <dcterms:modified xsi:type="dcterms:W3CDTF">2020-12-12T00:35:24Z</dcterms:modified>
</cp:coreProperties>
</file>