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/>
  <mc:AlternateContent xmlns:mc="http://schemas.openxmlformats.org/markup-compatibility/2006">
    <mc:Choice Requires="x15">
      <x15ac:absPath xmlns:x15ac="http://schemas.microsoft.com/office/spreadsheetml/2010/11/ac" url="C:\Users\proberts\Desktop\"/>
    </mc:Choice>
  </mc:AlternateContent>
  <xr:revisionPtr revIDLastSave="0" documentId="13_ncr:1_{FE4E4EF3-03F8-46EE-B774-C28F2FEC8ABB}" xr6:coauthVersionLast="36" xr6:coauthVersionMax="36" xr10:uidLastSave="{00000000-0000-0000-0000-000000000000}"/>
  <bookViews>
    <workbookView xWindow="-120" yWindow="-120" windowWidth="21840" windowHeight="13740" activeTab="3" xr2:uid="{00000000-000D-0000-FFFF-FFFF00000000}"/>
  </bookViews>
  <sheets>
    <sheet name="Data Table" sheetId="1" r:id="rId1"/>
    <sheet name="Measurements" sheetId="2" r:id="rId2"/>
    <sheet name="5.2mm_Measurements" sheetId="3" r:id="rId3"/>
    <sheet name="Axis Measurements" sheetId="4" r:id="rId4"/>
  </sheets>
  <definedNames>
    <definedName name="_xlnm.Print_Area" localSheetId="0">'Data Table'!$A$1:$M$147</definedName>
  </definedNames>
  <calcPr calcId="191029"/>
  <extLst>
    <ext uri="GoogleSheetsCustomDataVersion1">
      <go:sheetsCustomData xmlns:go="http://customooxmlschemas.google.com/" r:id="rId7" roundtripDataSignature="AMtx7mjowp1MSDST8Z/Qo4ujquZkG2fE0w=="/>
    </ext>
  </extLst>
</workbook>
</file>

<file path=xl/calcChain.xml><?xml version="1.0" encoding="utf-8"?>
<calcChain xmlns="http://schemas.openxmlformats.org/spreadsheetml/2006/main">
  <c r="E3" i="4" l="1"/>
  <c r="G11" i="4"/>
  <c r="H11" i="4" s="1"/>
  <c r="G5" i="4"/>
  <c r="H5" i="4" s="1"/>
  <c r="G10" i="4"/>
  <c r="H10" i="4" s="1"/>
  <c r="G4" i="4"/>
  <c r="H4" i="4" s="1"/>
  <c r="G9" i="4"/>
  <c r="H9" i="4" s="1"/>
  <c r="G3" i="4"/>
  <c r="H3" i="4" s="1"/>
  <c r="G79" i="1"/>
  <c r="F64" i="1"/>
  <c r="H64" i="1" s="1"/>
  <c r="F62" i="1"/>
  <c r="H62" i="1" s="1"/>
  <c r="F56" i="1" l="1"/>
  <c r="H56" i="1" s="1"/>
  <c r="F15" i="1" l="1"/>
  <c r="H15" i="1" s="1"/>
  <c r="F13" i="1"/>
  <c r="H13" i="1" s="1"/>
  <c r="F11" i="1"/>
  <c r="H11" i="1" s="1"/>
  <c r="B28" i="3"/>
  <c r="J13" i="3"/>
  <c r="I13" i="3"/>
  <c r="H13" i="3"/>
  <c r="G13" i="3"/>
  <c r="K13" i="3" s="1"/>
  <c r="E99" i="1" s="1"/>
  <c r="F13" i="3"/>
  <c r="E13" i="3"/>
  <c r="D19" i="3" s="1"/>
  <c r="G19" i="3" s="1"/>
  <c r="D13" i="3"/>
  <c r="C13" i="3"/>
  <c r="M13" i="3" s="1"/>
  <c r="J12" i="3"/>
  <c r="I12" i="3"/>
  <c r="H12" i="3"/>
  <c r="G12" i="3"/>
  <c r="K12" i="3" s="1"/>
  <c r="E86" i="1" s="1"/>
  <c r="F12" i="3"/>
  <c r="E12" i="3"/>
  <c r="D18" i="3" s="1"/>
  <c r="D88" i="1" s="1"/>
  <c r="D12" i="3"/>
  <c r="C12" i="3"/>
  <c r="C18" i="3" s="1"/>
  <c r="D90" i="1" s="1"/>
  <c r="J11" i="3"/>
  <c r="I11" i="3"/>
  <c r="H11" i="3"/>
  <c r="G11" i="3"/>
  <c r="K11" i="3" s="1"/>
  <c r="E73" i="1" s="1"/>
  <c r="F11" i="3"/>
  <c r="E11" i="3"/>
  <c r="D11" i="3"/>
  <c r="C11" i="3"/>
  <c r="M11" i="3" s="1"/>
  <c r="E77" i="1" s="1"/>
  <c r="M7" i="3"/>
  <c r="L7" i="3"/>
  <c r="K7" i="3"/>
  <c r="M6" i="3"/>
  <c r="L6" i="3"/>
  <c r="K6" i="3"/>
  <c r="M5" i="3"/>
  <c r="L5" i="3"/>
  <c r="K5" i="3"/>
  <c r="B35" i="2"/>
  <c r="J18" i="2"/>
  <c r="I18" i="2"/>
  <c r="H18" i="2"/>
  <c r="G18" i="2"/>
  <c r="F18" i="2"/>
  <c r="E18" i="2"/>
  <c r="L18" i="2" s="1"/>
  <c r="E142" i="1" s="1"/>
  <c r="D18" i="2"/>
  <c r="C18" i="2"/>
  <c r="M18" i="2" s="1"/>
  <c r="E144" i="1" s="1"/>
  <c r="J17" i="2"/>
  <c r="H17" i="2"/>
  <c r="G17" i="2"/>
  <c r="K17" i="2" s="1"/>
  <c r="F17" i="2"/>
  <c r="E17" i="2"/>
  <c r="D17" i="2"/>
  <c r="C17" i="2"/>
  <c r="J16" i="2"/>
  <c r="I16" i="2"/>
  <c r="H16" i="2"/>
  <c r="G16" i="2"/>
  <c r="K16" i="2" s="1"/>
  <c r="E126" i="1" s="1"/>
  <c r="F16" i="2"/>
  <c r="E16" i="2"/>
  <c r="L16" i="2" s="1"/>
  <c r="E128" i="1" s="1"/>
  <c r="D16" i="2"/>
  <c r="C16" i="2"/>
  <c r="M16" i="2" s="1"/>
  <c r="E130" i="1" s="1"/>
  <c r="J15" i="2"/>
  <c r="I15" i="2"/>
  <c r="H15" i="2"/>
  <c r="G15" i="2"/>
  <c r="K15" i="2" s="1"/>
  <c r="E43" i="1" s="1"/>
  <c r="F15" i="2"/>
  <c r="E15" i="2"/>
  <c r="D15" i="2"/>
  <c r="C15" i="2"/>
  <c r="J14" i="2"/>
  <c r="I14" i="2"/>
  <c r="H14" i="2"/>
  <c r="G14" i="2"/>
  <c r="K14" i="2" s="1"/>
  <c r="E112" i="1" s="1"/>
  <c r="F14" i="2"/>
  <c r="E14" i="2"/>
  <c r="D14" i="2"/>
  <c r="C14" i="2"/>
  <c r="J13" i="2"/>
  <c r="I13" i="2"/>
  <c r="H13" i="2"/>
  <c r="G13" i="2"/>
  <c r="K13" i="2" s="1"/>
  <c r="E30" i="1" s="1"/>
  <c r="F13" i="2"/>
  <c r="E13" i="2"/>
  <c r="D13" i="2"/>
  <c r="C13" i="2"/>
  <c r="J9" i="2"/>
  <c r="I9" i="2"/>
  <c r="H9" i="2"/>
  <c r="G9" i="2"/>
  <c r="K9" i="2" s="1"/>
  <c r="F9" i="2"/>
  <c r="E9" i="2"/>
  <c r="D9" i="2"/>
  <c r="C9" i="2"/>
  <c r="J8" i="2"/>
  <c r="I8" i="2"/>
  <c r="H8" i="2"/>
  <c r="G8" i="2"/>
  <c r="K8" i="2" s="1"/>
  <c r="F8" i="2"/>
  <c r="E8" i="2"/>
  <c r="L8" i="2" s="1"/>
  <c r="D8" i="2"/>
  <c r="C8" i="2"/>
  <c r="M7" i="2"/>
  <c r="L7" i="2"/>
  <c r="K7" i="2"/>
  <c r="M6" i="2"/>
  <c r="L6" i="2"/>
  <c r="K6" i="2"/>
  <c r="M5" i="2"/>
  <c r="L5" i="2"/>
  <c r="K5" i="2"/>
  <c r="E23" i="2" l="1"/>
  <c r="D112" i="1" s="1"/>
  <c r="E25" i="2"/>
  <c r="D126" i="1" s="1"/>
  <c r="D23" i="2"/>
  <c r="D114" i="1" s="1"/>
  <c r="E18" i="3"/>
  <c r="D86" i="1" s="1"/>
  <c r="D26" i="2"/>
  <c r="D142" i="1" s="1"/>
  <c r="F142" i="1" s="1"/>
  <c r="H142" i="1" s="1"/>
  <c r="L15" i="2"/>
  <c r="E49" i="1" s="1"/>
  <c r="L13" i="2"/>
  <c r="E36" i="1" s="1"/>
  <c r="K18" i="2"/>
  <c r="E140" i="1" s="1"/>
  <c r="F140" i="1" s="1"/>
  <c r="H140" i="1" s="1"/>
  <c r="E24" i="2"/>
  <c r="D43" i="1" s="1"/>
  <c r="F43" i="1" s="1"/>
  <c r="H43" i="1" s="1"/>
  <c r="E19" i="3"/>
  <c r="D99" i="1" s="1"/>
  <c r="F99" i="1" s="1"/>
  <c r="H99" i="1" s="1"/>
  <c r="E103" i="1"/>
  <c r="E26" i="2"/>
  <c r="D140" i="1" s="1"/>
  <c r="M17" i="2"/>
  <c r="C25" i="2"/>
  <c r="D130" i="1" s="1"/>
  <c r="F130" i="1" s="1"/>
  <c r="H130" i="1" s="1"/>
  <c r="C26" i="2"/>
  <c r="D144" i="1" s="1"/>
  <c r="F144" i="1" s="1"/>
  <c r="H144" i="1" s="1"/>
  <c r="C22" i="2"/>
  <c r="D38" i="1" s="1"/>
  <c r="C23" i="2"/>
  <c r="D116" i="1" s="1"/>
  <c r="C24" i="2"/>
  <c r="D51" i="1" s="1"/>
  <c r="L17" i="2"/>
  <c r="D17" i="3"/>
  <c r="G17" i="3" s="1"/>
  <c r="L12" i="3"/>
  <c r="E88" i="1" s="1"/>
  <c r="F88" i="1" s="1"/>
  <c r="H88" i="1" s="1"/>
  <c r="F126" i="1"/>
  <c r="H126" i="1" s="1"/>
  <c r="F112" i="1"/>
  <c r="H112" i="1" s="1"/>
  <c r="F86" i="1"/>
  <c r="H86" i="1" s="1"/>
  <c r="F18" i="3"/>
  <c r="G18" i="3"/>
  <c r="H18" i="3"/>
  <c r="H19" i="3"/>
  <c r="E22" i="2"/>
  <c r="D30" i="1" s="1"/>
  <c r="F30" i="1" s="1"/>
  <c r="H30" i="1" s="1"/>
  <c r="G26" i="2"/>
  <c r="G23" i="2"/>
  <c r="H23" i="2"/>
  <c r="H25" i="2"/>
  <c r="E17" i="3"/>
  <c r="D73" i="1" s="1"/>
  <c r="F73" i="1" s="1"/>
  <c r="H73" i="1" s="1"/>
  <c r="C17" i="3"/>
  <c r="M8" i="2"/>
  <c r="L9" i="2"/>
  <c r="M13" i="2"/>
  <c r="E38" i="1" s="1"/>
  <c r="L14" i="2"/>
  <c r="E114" i="1" s="1"/>
  <c r="F114" i="1" s="1"/>
  <c r="H114" i="1" s="1"/>
  <c r="M15" i="2"/>
  <c r="E51" i="1" s="1"/>
  <c r="D22" i="2"/>
  <c r="D36" i="1" s="1"/>
  <c r="F36" i="1" s="1"/>
  <c r="H36" i="1" s="1"/>
  <c r="D24" i="2"/>
  <c r="D49" i="1" s="1"/>
  <c r="F49" i="1" s="1"/>
  <c r="H49" i="1" s="1"/>
  <c r="D25" i="2"/>
  <c r="D128" i="1" s="1"/>
  <c r="F128" i="1" s="1"/>
  <c r="H128" i="1" s="1"/>
  <c r="L11" i="3"/>
  <c r="M12" i="3"/>
  <c r="E90" i="1" s="1"/>
  <c r="F90" i="1" s="1"/>
  <c r="H90" i="1" s="1"/>
  <c r="L13" i="3"/>
  <c r="C19" i="3"/>
  <c r="M9" i="2"/>
  <c r="M14" i="2"/>
  <c r="E116" i="1" s="1"/>
  <c r="F24" i="2" l="1"/>
  <c r="F22" i="2"/>
  <c r="H26" i="2"/>
  <c r="F116" i="1"/>
  <c r="H116" i="1" s="1"/>
  <c r="F23" i="2"/>
  <c r="H24" i="2"/>
  <c r="F51" i="1"/>
  <c r="H51" i="1" s="1"/>
  <c r="F38" i="1"/>
  <c r="H38" i="1" s="1"/>
  <c r="D77" i="1"/>
  <c r="F77" i="1" s="1"/>
  <c r="H77" i="1" s="1"/>
  <c r="D103" i="1"/>
  <c r="F103" i="1" s="1"/>
  <c r="H103" i="1" s="1"/>
  <c r="D101" i="1"/>
  <c r="D75" i="1"/>
  <c r="E101" i="1"/>
  <c r="F101" i="1" s="1"/>
  <c r="H101" i="1" s="1"/>
  <c r="E75" i="1"/>
  <c r="F75" i="1" s="1"/>
  <c r="H75" i="1" s="1"/>
  <c r="F26" i="2"/>
  <c r="F25" i="2"/>
  <c r="G24" i="2"/>
  <c r="F19" i="3"/>
  <c r="G25" i="2"/>
  <c r="G22" i="2"/>
  <c r="H17" i="3"/>
  <c r="H22" i="2"/>
  <c r="F17" i="3"/>
</calcChain>
</file>

<file path=xl/sharedStrings.xml><?xml version="1.0" encoding="utf-8"?>
<sst xmlns="http://schemas.openxmlformats.org/spreadsheetml/2006/main" count="417" uniqueCount="88">
  <si>
    <t>CHIEF RAY ANGLE</t>
  </si>
  <si>
    <t>RAY HEIGHT AT</t>
  </si>
  <si>
    <t>ENTRANCE PUPIL LOCATION</t>
  </si>
  <si>
    <t>SHADE EDGE TO FRONT</t>
  </si>
  <si>
    <t>ENTRANCE PUPIL</t>
  </si>
  <si>
    <t>DEGREES</t>
  </si>
  <si>
    <t>SHADE EDGE (MM)</t>
  </si>
  <si>
    <t>BEHIND SHADE EDGE (MM)</t>
  </si>
  <si>
    <t>LENS VERTEX (MM)</t>
  </si>
  <si>
    <t>POSITION (MM)</t>
  </si>
  <si>
    <t>&lt;DIAG&gt;</t>
  </si>
  <si>
    <t>&lt;HORIZ&gt;</t>
  </si>
  <si>
    <t>&lt;VERT&gt;</t>
  </si>
  <si>
    <t>OBJECT DISTANCE ~ 1500 MM</t>
  </si>
  <si>
    <t>FIELD MASK TO FRONT</t>
  </si>
  <si>
    <t>FIELD MASK (MM)</t>
  </si>
  <si>
    <t>BEHIND FIELD MASK (MM)</t>
  </si>
  <si>
    <t>OBJECT DISTANCE ~ 500 MM</t>
  </si>
  <si>
    <t>Object Measurements</t>
  </si>
  <si>
    <t>Focal Length (mm)</t>
  </si>
  <si>
    <t>V Top (mm)</t>
  </si>
  <si>
    <t>V Bottom (mm)</t>
  </si>
  <si>
    <t>H Left (mm)</t>
  </si>
  <si>
    <t>H Right (mm)</t>
  </si>
  <si>
    <t>Diag 1 (mm)</t>
  </si>
  <si>
    <t>Diag 2 (mm)</t>
  </si>
  <si>
    <t>Diag 3 (mm)</t>
  </si>
  <si>
    <t>Diag 4 (mm)</t>
  </si>
  <si>
    <t>Diag (mm)</t>
  </si>
  <si>
    <t>Horz (mm)</t>
  </si>
  <si>
    <t>Vert (mm)</t>
  </si>
  <si>
    <t>1500 mm Object Distance</t>
  </si>
  <si>
    <t>500 mm Object Distance</t>
  </si>
  <si>
    <t>300 mm Object Distance</t>
  </si>
  <si>
    <t>Mask Measurements</t>
  </si>
  <si>
    <t>1500 mm Focus</t>
  </si>
  <si>
    <t>500 mm Focus</t>
  </si>
  <si>
    <t>300 mm Focus</t>
  </si>
  <si>
    <t>Chief Ray Calcs</t>
  </si>
  <si>
    <t>V (deg)</t>
  </si>
  <si>
    <t>H (deg)</t>
  </si>
  <si>
    <t>D (deg)</t>
  </si>
  <si>
    <t>EP_V (mm)</t>
  </si>
  <si>
    <t>EP_H (mm)</t>
  </si>
  <si>
    <t>EP_D (mm)</t>
  </si>
  <si>
    <t>Mask Offset from Lens Vertex (mm)</t>
  </si>
  <si>
    <t>ZEMAX INPUT DATA</t>
  </si>
  <si>
    <t>EP TO H PLANE</t>
  </si>
  <si>
    <t>(MM)</t>
  </si>
  <si>
    <t>IMAGE DISTANCE</t>
  </si>
  <si>
    <t>PARAXIAL FL</t>
  </si>
  <si>
    <t>OBJECT DISTANCE - MOD = 300 MM</t>
  </si>
  <si>
    <t>FULL WIDE (SET FL = 4.3)</t>
  </si>
  <si>
    <t>WIDE (SET FL = 5.2 )</t>
  </si>
  <si>
    <t>MID TELE (SET FL = 48.3)</t>
  </si>
  <si>
    <t>MID TELE (SET FL = 40.0)</t>
  </si>
  <si>
    <t>TBD</t>
  </si>
  <si>
    <t>FULL TELE (SET FL = 65.0)</t>
  </si>
  <si>
    <t>OBJECT DISTANCE @ INFINITY</t>
  </si>
  <si>
    <t>PARAMETERS FROM MBARI</t>
  </si>
  <si>
    <t>REVISED PARAMETERS FROM CANON</t>
  </si>
  <si>
    <t>FULL WIDE (SET FL = 5.2 )</t>
  </si>
  <si>
    <t>CANON ORIGINAL PARAXIAL PARAMETERS</t>
  </si>
  <si>
    <t>ESTIMATED BY SOLVING PARAXIAL EQUATIONS</t>
  </si>
  <si>
    <t>FULL WIDE (SET FL = 5.2)</t>
  </si>
  <si>
    <t>PARAXIAL = ?</t>
  </si>
  <si>
    <t>CFG #</t>
  </si>
  <si>
    <t>OBJECT DISTANCE @ 2500 MM</t>
  </si>
  <si>
    <t>WAG</t>
  </si>
  <si>
    <t>OBJECT DISTANCE @ 1500 MM</t>
  </si>
  <si>
    <t>OBJECT DISTANCE @ 500 MM</t>
  </si>
  <si>
    <t>OBJECT DISTANCE @ 300 MM</t>
  </si>
  <si>
    <t>AXIS</t>
  </si>
  <si>
    <t>CANON &amp; MBARI PARAMETERS AT 4.3 MM (FOR REFERENCE ONLY)</t>
  </si>
  <si>
    <t>&lt;AXIS&gt;</t>
  </si>
  <si>
    <t>~ 37.5</t>
  </si>
  <si>
    <t>~ 38.2</t>
  </si>
  <si>
    <t>~ 35.7</t>
  </si>
  <si>
    <t>CONFIGURATION DATA FOR REDESIGN AT 5.2 THRU 65 MM FOCAL LENGTH</t>
  </si>
  <si>
    <t>REF</t>
  </si>
  <si>
    <t>Object Height (mm)</t>
  </si>
  <si>
    <t>Mask Height (mm)</t>
  </si>
  <si>
    <t>5.2 mm Measurements</t>
  </si>
  <si>
    <t>Ray Angle (deg)</t>
  </si>
  <si>
    <t>Object Distance (mm)</t>
  </si>
  <si>
    <t>Mask distance (mm)</t>
  </si>
  <si>
    <t>EP from Shade (mm)</t>
  </si>
  <si>
    <t>48.3 mm Measurements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</si>
</sst>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_ "/>
    <numFmt numFmtId="166" formatCode="0.0"/>
    <numFmt numFmtId="167" formatCode="0.0000"/>
  </numFmts>
  <fonts count="19">
    <font>
      <sz val="11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8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1"/>
      <color theme="1"/>
      <name val="Calibri"/>
    </font>
    <font>
      <b/>
      <sz val="14"/>
      <color theme="1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4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sz val="18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4"/>
      <color rgb="FF000000"/>
      <name val="Calibri"/>
      <family val="2"/>
    </font>
    <font>
      <b/>
      <sz val="14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D5A6BD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3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0" xfId="0" applyFont="1" applyAlignment="1"/>
    <xf numFmtId="0" fontId="3" fillId="2" borderId="0" xfId="0" applyFont="1" applyFill="1" applyAlignment="1"/>
    <xf numFmtId="0" fontId="7" fillId="3" borderId="0" xfId="0" applyFont="1" applyFill="1" applyAlignment="1"/>
    <xf numFmtId="0" fontId="7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6" fontId="10" fillId="3" borderId="0" xfId="0" applyNumberFormat="1" applyFont="1" applyFill="1" applyAlignment="1">
      <alignment horizontal="center"/>
    </xf>
    <xf numFmtId="166" fontId="10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66" fontId="10" fillId="2" borderId="0" xfId="0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2" fontId="10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7" fillId="5" borderId="0" xfId="0" applyFont="1" applyFill="1" applyAlignment="1"/>
    <xf numFmtId="0" fontId="7" fillId="5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166" fontId="10" fillId="5" borderId="0" xfId="0" applyNumberFormat="1" applyFont="1" applyFill="1" applyAlignment="1">
      <alignment horizontal="center"/>
    </xf>
    <xf numFmtId="166" fontId="10" fillId="5" borderId="0" xfId="0" applyNumberFormat="1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166" fontId="10" fillId="4" borderId="0" xfId="0" applyNumberFormat="1" applyFon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2" fontId="10" fillId="5" borderId="0" xfId="0" applyNumberFormat="1" applyFont="1" applyFill="1" applyAlignment="1">
      <alignment horizontal="center"/>
    </xf>
    <xf numFmtId="2" fontId="10" fillId="4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7" fillId="7" borderId="0" xfId="0" applyFont="1" applyFill="1" applyAlignment="1"/>
    <xf numFmtId="0" fontId="7" fillId="7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166" fontId="10" fillId="7" borderId="0" xfId="0" applyNumberFormat="1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2" fontId="10" fillId="7" borderId="0" xfId="0" applyNumberFormat="1" applyFont="1" applyFill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1" fontId="10" fillId="3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/>
    </xf>
    <xf numFmtId="167" fontId="0" fillId="0" borderId="4" xfId="0" applyNumberFormat="1" applyFont="1" applyBorder="1" applyAlignment="1">
      <alignment horizontal="center" vertical="center"/>
    </xf>
    <xf numFmtId="167" fontId="0" fillId="0" borderId="4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horizontal="center" vertical="center"/>
    </xf>
    <xf numFmtId="167" fontId="0" fillId="0" borderId="0" xfId="0" applyNumberFormat="1" applyFont="1" applyFill="1" applyAlignment="1">
      <alignment horizontal="center" vertical="center"/>
    </xf>
    <xf numFmtId="167" fontId="12" fillId="0" borderId="11" xfId="0" applyNumberFormat="1" applyFont="1" applyBorder="1" applyAlignment="1">
      <alignment horizontal="center" vertical="center"/>
    </xf>
    <xf numFmtId="167" fontId="12" fillId="0" borderId="3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167" fontId="12" fillId="0" borderId="12" xfId="0" applyNumberFormat="1" applyFont="1" applyBorder="1" applyAlignment="1">
      <alignment horizontal="center" vertical="center"/>
    </xf>
    <xf numFmtId="167" fontId="0" fillId="0" borderId="0" xfId="0" applyNumberFormat="1" applyFont="1" applyAlignment="1">
      <alignment horizontal="center" vertical="center"/>
    </xf>
    <xf numFmtId="167" fontId="0" fillId="0" borderId="12" xfId="0" applyNumberFormat="1" applyFont="1" applyFill="1" applyBorder="1" applyAlignment="1">
      <alignment horizontal="center" vertical="center"/>
    </xf>
    <xf numFmtId="167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/>
    <xf numFmtId="167" fontId="0" fillId="1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7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7" fontId="12" fillId="9" borderId="14" xfId="0" applyNumberFormat="1" applyFont="1" applyFill="1" applyBorder="1" applyAlignment="1">
      <alignment horizontal="center" vertical="center"/>
    </xf>
    <xf numFmtId="167" fontId="12" fillId="9" borderId="3" xfId="0" applyNumberFormat="1" applyFont="1" applyFill="1" applyBorder="1" applyAlignment="1">
      <alignment horizontal="center" vertical="center"/>
    </xf>
    <xf numFmtId="167" fontId="0" fillId="10" borderId="3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164" fontId="0" fillId="10" borderId="1" xfId="0" applyNumberFormat="1" applyFont="1" applyFill="1" applyBorder="1" applyAlignment="1">
      <alignment horizontal="center" vertical="center"/>
    </xf>
    <xf numFmtId="166" fontId="12" fillId="9" borderId="1" xfId="0" applyNumberFormat="1" applyFont="1" applyFill="1" applyBorder="1" applyAlignment="1">
      <alignment horizontal="center" vertical="center"/>
    </xf>
    <xf numFmtId="164" fontId="12" fillId="9" borderId="1" xfId="0" applyNumberFormat="1" applyFont="1" applyFill="1" applyBorder="1" applyAlignment="1">
      <alignment horizontal="center" vertical="center"/>
    </xf>
    <xf numFmtId="164" fontId="12" fillId="12" borderId="4" xfId="0" applyNumberFormat="1" applyFont="1" applyFill="1" applyBorder="1" applyAlignment="1">
      <alignment horizontal="center" vertical="center"/>
    </xf>
    <xf numFmtId="164" fontId="0" fillId="10" borderId="1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164" fontId="0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164" fontId="0" fillId="0" borderId="12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6" fontId="0" fillId="0" borderId="0" xfId="0" applyNumberFormat="1" applyFont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164" fontId="12" fillId="9" borderId="35" xfId="0" applyNumberFormat="1" applyFont="1" applyFill="1" applyBorder="1" applyAlignment="1">
      <alignment horizontal="center" vertical="center"/>
    </xf>
    <xf numFmtId="167" fontId="0" fillId="10" borderId="4" xfId="0" applyNumberFormat="1" applyFont="1" applyFill="1" applyBorder="1" applyAlignment="1">
      <alignment horizontal="center" vertical="center"/>
    </xf>
    <xf numFmtId="167" fontId="0" fillId="10" borderId="25" xfId="0" applyNumberFormat="1" applyFont="1" applyFill="1" applyBorder="1" applyAlignment="1">
      <alignment horizontal="center" vertical="center"/>
    </xf>
    <xf numFmtId="167" fontId="0" fillId="10" borderId="24" xfId="0" applyNumberFormat="1" applyFont="1" applyFill="1" applyBorder="1" applyAlignment="1">
      <alignment horizontal="center" vertical="center"/>
    </xf>
    <xf numFmtId="167" fontId="0" fillId="10" borderId="21" xfId="0" applyNumberFormat="1" applyFont="1" applyFill="1" applyBorder="1" applyAlignment="1">
      <alignment horizontal="center" vertical="center"/>
    </xf>
    <xf numFmtId="167" fontId="0" fillId="10" borderId="27" xfId="0" applyNumberFormat="1" applyFont="1" applyFill="1" applyBorder="1" applyAlignment="1">
      <alignment horizontal="center" vertical="center"/>
    </xf>
    <xf numFmtId="167" fontId="0" fillId="10" borderId="28" xfId="0" applyNumberFormat="1" applyFont="1" applyFill="1" applyBorder="1" applyAlignment="1">
      <alignment horizontal="center" vertical="center"/>
    </xf>
    <xf numFmtId="167" fontId="0" fillId="10" borderId="12" xfId="0" applyNumberFormat="1" applyFont="1" applyFill="1" applyBorder="1" applyAlignment="1">
      <alignment horizontal="center" vertical="center"/>
    </xf>
    <xf numFmtId="167" fontId="0" fillId="11" borderId="4" xfId="0" applyNumberFormat="1" applyFont="1" applyFill="1" applyBorder="1" applyAlignment="1">
      <alignment horizontal="center" vertical="center"/>
    </xf>
    <xf numFmtId="167" fontId="0" fillId="11" borderId="3" xfId="0" applyNumberFormat="1" applyFont="1" applyFill="1" applyBorder="1" applyAlignment="1">
      <alignment horizontal="center" vertical="center"/>
    </xf>
    <xf numFmtId="167" fontId="0" fillId="11" borderId="1" xfId="0" applyNumberFormat="1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164" fontId="12" fillId="13" borderId="4" xfId="0" applyNumberFormat="1" applyFont="1" applyFill="1" applyBorder="1" applyAlignment="1">
      <alignment horizontal="center" vertical="center"/>
    </xf>
    <xf numFmtId="167" fontId="16" fillId="13" borderId="4" xfId="0" applyNumberFormat="1" applyFont="1" applyFill="1" applyBorder="1" applyAlignment="1">
      <alignment horizontal="center" vertical="center"/>
    </xf>
    <xf numFmtId="167" fontId="16" fillId="13" borderId="3" xfId="0" applyNumberFormat="1" applyFont="1" applyFill="1" applyBorder="1" applyAlignment="1">
      <alignment horizontal="center" vertical="center"/>
    </xf>
    <xf numFmtId="167" fontId="12" fillId="13" borderId="3" xfId="0" applyNumberFormat="1" applyFont="1" applyFill="1" applyBorder="1" applyAlignment="1">
      <alignment horizontal="center" vertical="center"/>
    </xf>
    <xf numFmtId="0" fontId="16" fillId="13" borderId="1" xfId="0" applyFont="1" applyFill="1" applyBorder="1" applyAlignment="1">
      <alignment horizontal="center" vertical="center"/>
    </xf>
    <xf numFmtId="167" fontId="12" fillId="9" borderId="4" xfId="0" applyNumberFormat="1" applyFont="1" applyFill="1" applyBorder="1" applyAlignment="1">
      <alignment horizontal="center" vertical="center"/>
    </xf>
    <xf numFmtId="167" fontId="12" fillId="13" borderId="4" xfId="0" applyNumberFormat="1" applyFont="1" applyFill="1" applyBorder="1" applyAlignment="1">
      <alignment horizontal="center" vertical="center"/>
    </xf>
    <xf numFmtId="167" fontId="12" fillId="9" borderId="15" xfId="0" applyNumberFormat="1" applyFont="1" applyFill="1" applyBorder="1" applyAlignment="1">
      <alignment horizontal="center" vertical="center"/>
    </xf>
    <xf numFmtId="167" fontId="12" fillId="12" borderId="4" xfId="0" applyNumberFormat="1" applyFont="1" applyFill="1" applyBorder="1" applyAlignment="1">
      <alignment horizontal="center" vertical="center"/>
    </xf>
    <xf numFmtId="167" fontId="12" fillId="12" borderId="25" xfId="0" applyNumberFormat="1" applyFont="1" applyFill="1" applyBorder="1" applyAlignment="1">
      <alignment horizontal="center" vertical="center"/>
    </xf>
    <xf numFmtId="167" fontId="0" fillId="10" borderId="15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12" fillId="11" borderId="1" xfId="0" applyFont="1" applyFill="1" applyBorder="1" applyAlignment="1">
      <alignment horizontal="center" vertical="center"/>
    </xf>
    <xf numFmtId="164" fontId="0" fillId="11" borderId="1" xfId="0" applyNumberFormat="1" applyFont="1" applyFill="1" applyBorder="1" applyAlignment="1">
      <alignment horizontal="center" vertical="center"/>
    </xf>
    <xf numFmtId="2" fontId="0" fillId="11" borderId="1" xfId="0" applyNumberFormat="1" applyFont="1" applyFill="1" applyBorder="1" applyAlignment="1">
      <alignment horizontal="center" vertical="center"/>
    </xf>
    <xf numFmtId="2" fontId="0" fillId="11" borderId="2" xfId="0" applyNumberFormat="1" applyFont="1" applyFill="1" applyBorder="1" applyAlignment="1">
      <alignment horizontal="center" vertical="center"/>
    </xf>
    <xf numFmtId="164" fontId="0" fillId="11" borderId="4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/>
    </xf>
    <xf numFmtId="164" fontId="0" fillId="10" borderId="40" xfId="0" applyNumberFormat="1" applyFont="1" applyFill="1" applyBorder="1" applyAlignment="1">
      <alignment horizontal="center" vertical="center"/>
    </xf>
    <xf numFmtId="2" fontId="0" fillId="11" borderId="4" xfId="0" applyNumberFormat="1" applyFont="1" applyFill="1" applyBorder="1" applyAlignment="1">
      <alignment horizontal="center" vertical="center"/>
    </xf>
    <xf numFmtId="164" fontId="0" fillId="10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6" fontId="0" fillId="11" borderId="1" xfId="0" applyNumberFormat="1" applyFont="1" applyFill="1" applyBorder="1" applyAlignment="1">
      <alignment horizontal="center" vertical="center"/>
    </xf>
    <xf numFmtId="166" fontId="0" fillId="0" borderId="0" xfId="0" applyNumberFormat="1" applyFont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164" fontId="12" fillId="10" borderId="23" xfId="0" applyNumberFormat="1" applyFont="1" applyFill="1" applyBorder="1" applyAlignment="1">
      <alignment horizontal="center" vertical="center"/>
    </xf>
    <xf numFmtId="2" fontId="0" fillId="10" borderId="4" xfId="0" applyNumberFormat="1" applyFont="1" applyFill="1" applyBorder="1" applyAlignment="1">
      <alignment horizontal="center" vertical="center"/>
    </xf>
    <xf numFmtId="0" fontId="12" fillId="10" borderId="21" xfId="0" applyFont="1" applyFill="1" applyBorder="1" applyAlignment="1">
      <alignment horizontal="center" vertical="center"/>
    </xf>
    <xf numFmtId="164" fontId="0" fillId="10" borderId="21" xfId="0" applyNumberFormat="1" applyFont="1" applyFill="1" applyBorder="1" applyAlignment="1">
      <alignment horizontal="center" vertical="center"/>
    </xf>
    <xf numFmtId="2" fontId="0" fillId="10" borderId="27" xfId="0" applyNumberFormat="1" applyFont="1" applyFill="1" applyBorder="1" applyAlignment="1">
      <alignment horizontal="center" vertical="center"/>
    </xf>
    <xf numFmtId="2" fontId="0" fillId="10" borderId="12" xfId="0" applyNumberFormat="1" applyFont="1" applyFill="1" applyBorder="1" applyAlignment="1">
      <alignment horizontal="center" vertical="center"/>
    </xf>
    <xf numFmtId="166" fontId="12" fillId="0" borderId="0" xfId="0" applyNumberFormat="1" applyFont="1" applyFill="1" applyBorder="1" applyAlignment="1">
      <alignment horizontal="center" vertical="center"/>
    </xf>
    <xf numFmtId="164" fontId="12" fillId="10" borderId="24" xfId="0" applyNumberFormat="1" applyFont="1" applyFill="1" applyBorder="1" applyAlignment="1">
      <alignment horizontal="center" vertical="center"/>
    </xf>
    <xf numFmtId="0" fontId="12" fillId="10" borderId="37" xfId="0" applyFont="1" applyFill="1" applyBorder="1" applyAlignment="1">
      <alignment horizontal="center" vertical="center"/>
    </xf>
    <xf numFmtId="164" fontId="0" fillId="10" borderId="38" xfId="0" applyNumberFormat="1" applyFont="1" applyFill="1" applyBorder="1" applyAlignment="1">
      <alignment horizontal="center" vertical="center"/>
    </xf>
    <xf numFmtId="0" fontId="12" fillId="10" borderId="39" xfId="0" applyFont="1" applyFill="1" applyBorder="1" applyAlignment="1">
      <alignment horizontal="center" vertical="center"/>
    </xf>
    <xf numFmtId="164" fontId="12" fillId="10" borderId="17" xfId="0" applyNumberFormat="1" applyFont="1" applyFill="1" applyBorder="1" applyAlignment="1">
      <alignment horizontal="center" vertical="center"/>
    </xf>
    <xf numFmtId="164" fontId="0" fillId="10" borderId="26" xfId="0" applyNumberFormat="1" applyFont="1" applyFill="1" applyBorder="1" applyAlignment="1">
      <alignment horizontal="center" vertical="center"/>
    </xf>
    <xf numFmtId="164" fontId="12" fillId="10" borderId="4" xfId="0" applyNumberFormat="1" applyFont="1" applyFill="1" applyBorder="1" applyAlignment="1">
      <alignment horizontal="center" vertical="center"/>
    </xf>
    <xf numFmtId="166" fontId="12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/>
    <xf numFmtId="0" fontId="12" fillId="14" borderId="4" xfId="0" applyFont="1" applyFill="1" applyBorder="1" applyAlignment="1">
      <alignment horizontal="center" vertical="center"/>
    </xf>
    <xf numFmtId="164" fontId="0" fillId="14" borderId="25" xfId="0" applyNumberFormat="1" applyFont="1" applyFill="1" applyBorder="1" applyAlignment="1">
      <alignment horizontal="center" vertical="center"/>
    </xf>
    <xf numFmtId="164" fontId="0" fillId="14" borderId="23" xfId="0" applyNumberFormat="1" applyFont="1" applyFill="1" applyBorder="1" applyAlignment="1">
      <alignment horizontal="center" vertical="center"/>
    </xf>
    <xf numFmtId="2" fontId="0" fillId="14" borderId="23" xfId="0" applyNumberFormat="1" applyFont="1" applyFill="1" applyBorder="1" applyAlignment="1">
      <alignment horizontal="center" vertical="center"/>
    </xf>
    <xf numFmtId="2" fontId="0" fillId="14" borderId="41" xfId="0" applyNumberFormat="1" applyFont="1" applyFill="1" applyBorder="1" applyAlignment="1">
      <alignment horizontal="center" vertical="center"/>
    </xf>
    <xf numFmtId="164" fontId="0" fillId="14" borderId="4" xfId="0" applyNumberFormat="1" applyFont="1" applyFill="1" applyBorder="1" applyAlignment="1">
      <alignment horizontal="center" vertical="center"/>
    </xf>
    <xf numFmtId="167" fontId="0" fillId="14" borderId="4" xfId="0" applyNumberFormat="1" applyFont="1" applyFill="1" applyBorder="1" applyAlignment="1">
      <alignment horizontal="center" vertical="center"/>
    </xf>
    <xf numFmtId="167" fontId="0" fillId="14" borderId="25" xfId="0" applyNumberFormat="1" applyFont="1" applyFill="1" applyBorder="1" applyAlignment="1">
      <alignment horizontal="center" vertical="center"/>
    </xf>
    <xf numFmtId="167" fontId="0" fillId="14" borderId="24" xfId="0" applyNumberFormat="1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164" fontId="0" fillId="14" borderId="1" xfId="0" applyNumberFormat="1" applyFont="1" applyFill="1" applyBorder="1" applyAlignment="1">
      <alignment horizontal="center" vertical="center"/>
    </xf>
    <xf numFmtId="2" fontId="0" fillId="14" borderId="1" xfId="0" applyNumberFormat="1" applyFont="1" applyFill="1" applyBorder="1" applyAlignment="1">
      <alignment horizontal="center" vertical="center"/>
    </xf>
    <xf numFmtId="2" fontId="0" fillId="14" borderId="2" xfId="0" applyNumberFormat="1" applyFont="1" applyFill="1" applyBorder="1" applyAlignment="1">
      <alignment horizontal="center" vertical="center"/>
    </xf>
    <xf numFmtId="2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1" xfId="0" applyNumberFormat="1" applyFont="1" applyFill="1" applyBorder="1" applyAlignment="1">
      <alignment horizontal="center" vertical="center"/>
    </xf>
    <xf numFmtId="2" fontId="0" fillId="14" borderId="4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67" fontId="0" fillId="10" borderId="2" xfId="0" applyNumberFormat="1" applyFont="1" applyFill="1" applyBorder="1" applyAlignment="1">
      <alignment horizontal="center" vertical="center"/>
    </xf>
    <xf numFmtId="0" fontId="12" fillId="9" borderId="4" xfId="0" applyFont="1" applyFill="1" applyBorder="1" applyAlignment="1">
      <alignment horizontal="center" vertical="center"/>
    </xf>
    <xf numFmtId="167" fontId="0" fillId="10" borderId="26" xfId="0" applyNumberFormat="1" applyFont="1" applyFill="1" applyBorder="1" applyAlignment="1">
      <alignment horizontal="center" vertical="center"/>
    </xf>
    <xf numFmtId="167" fontId="16" fillId="13" borderId="2" xfId="0" applyNumberFormat="1" applyFont="1" applyFill="1" applyBorder="1" applyAlignment="1">
      <alignment horizontal="center" vertical="center"/>
    </xf>
    <xf numFmtId="167" fontId="12" fillId="13" borderId="2" xfId="0" applyNumberFormat="1" applyFont="1" applyFill="1" applyBorder="1" applyAlignment="1">
      <alignment horizontal="center" vertical="center"/>
    </xf>
    <xf numFmtId="167" fontId="0" fillId="0" borderId="2" xfId="0" applyNumberFormat="1" applyFont="1" applyFill="1" applyBorder="1" applyAlignment="1">
      <alignment horizontal="center" vertical="center"/>
    </xf>
    <xf numFmtId="167" fontId="12" fillId="9" borderId="2" xfId="0" applyNumberFormat="1" applyFont="1" applyFill="1" applyBorder="1" applyAlignment="1">
      <alignment horizontal="center" vertical="center"/>
    </xf>
    <xf numFmtId="167" fontId="12" fillId="12" borderId="41" xfId="0" applyNumberFormat="1" applyFont="1" applyFill="1" applyBorder="1" applyAlignment="1">
      <alignment horizontal="center" vertical="center"/>
    </xf>
    <xf numFmtId="167" fontId="12" fillId="9" borderId="16" xfId="0" applyNumberFormat="1" applyFont="1" applyFill="1" applyBorder="1" applyAlignment="1">
      <alignment horizontal="center" vertical="center"/>
    </xf>
    <xf numFmtId="167" fontId="0" fillId="10" borderId="16" xfId="0" applyNumberFormat="1" applyFont="1" applyFill="1" applyBorder="1" applyAlignment="1">
      <alignment horizontal="center" vertical="center"/>
    </xf>
    <xf numFmtId="0" fontId="12" fillId="15" borderId="4" xfId="0" applyFont="1" applyFill="1" applyBorder="1" applyAlignment="1">
      <alignment horizontal="center" vertical="center"/>
    </xf>
    <xf numFmtId="164" fontId="12" fillId="9" borderId="21" xfId="0" applyNumberFormat="1" applyFont="1" applyFill="1" applyBorder="1" applyAlignment="1">
      <alignment horizontal="center" vertical="center"/>
    </xf>
    <xf numFmtId="164" fontId="0" fillId="10" borderId="4" xfId="0" applyNumberFormat="1" applyFont="1" applyFill="1" applyBorder="1" applyAlignment="1">
      <alignment horizontal="center" vertical="center"/>
    </xf>
    <xf numFmtId="164" fontId="12" fillId="12" borderId="2" xfId="0" applyNumberFormat="1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2" fillId="12" borderId="36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64" fontId="12" fillId="13" borderId="2" xfId="0" applyNumberFormat="1" applyFont="1" applyFill="1" applyBorder="1" applyAlignment="1">
      <alignment horizontal="center" vertical="center"/>
    </xf>
    <xf numFmtId="0" fontId="0" fillId="13" borderId="33" xfId="0" applyFont="1" applyFill="1" applyBorder="1" applyAlignment="1">
      <alignment horizontal="center" vertical="center"/>
    </xf>
    <xf numFmtId="166" fontId="12" fillId="10" borderId="29" xfId="0" applyNumberFormat="1" applyFont="1" applyFill="1" applyBorder="1" applyAlignment="1">
      <alignment horizontal="center" vertical="center"/>
    </xf>
    <xf numFmtId="0" fontId="12" fillId="10" borderId="10" xfId="0" applyFont="1" applyFill="1" applyBorder="1" applyAlignment="1">
      <alignment horizontal="center" vertical="center"/>
    </xf>
    <xf numFmtId="0" fontId="12" fillId="10" borderId="7" xfId="0" applyFont="1" applyFill="1" applyBorder="1" applyAlignment="1">
      <alignment horizontal="center" vertical="center"/>
    </xf>
    <xf numFmtId="0" fontId="12" fillId="10" borderId="30" xfId="0" applyFont="1" applyFill="1" applyBorder="1" applyAlignment="1">
      <alignment horizontal="center" vertical="center"/>
    </xf>
    <xf numFmtId="0" fontId="12" fillId="10" borderId="0" xfId="0" applyFont="1" applyFill="1" applyAlignment="1">
      <alignment horizontal="center" vertical="center"/>
    </xf>
    <xf numFmtId="0" fontId="12" fillId="10" borderId="31" xfId="0" applyFont="1" applyFill="1" applyBorder="1" applyAlignment="1">
      <alignment horizontal="center" vertical="center"/>
    </xf>
    <xf numFmtId="0" fontId="12" fillId="10" borderId="26" xfId="0" applyFont="1" applyFill="1" applyBorder="1" applyAlignment="1">
      <alignment horizontal="center" vertical="center"/>
    </xf>
    <xf numFmtId="0" fontId="12" fillId="10" borderId="20" xfId="0" applyFont="1" applyFill="1" applyBorder="1" applyAlignment="1">
      <alignment horizontal="center" vertical="center"/>
    </xf>
    <xf numFmtId="0" fontId="12" fillId="10" borderId="32" xfId="0" applyFont="1" applyFill="1" applyBorder="1" applyAlignment="1">
      <alignment horizontal="center" vertical="center"/>
    </xf>
    <xf numFmtId="166" fontId="12" fillId="10" borderId="10" xfId="0" applyNumberFormat="1" applyFont="1" applyFill="1" applyBorder="1" applyAlignment="1">
      <alignment horizontal="center" vertical="center"/>
    </xf>
    <xf numFmtId="0" fontId="12" fillId="10" borderId="0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14" borderId="17" xfId="0" applyFont="1" applyFill="1" applyBorder="1" applyAlignment="1">
      <alignment horizontal="center" vertical="center"/>
    </xf>
    <xf numFmtId="0" fontId="0" fillId="14" borderId="18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4" fillId="11" borderId="17" xfId="0" applyFont="1" applyFill="1" applyBorder="1" applyAlignment="1">
      <alignment horizontal="center" vertical="center"/>
    </xf>
    <xf numFmtId="0" fontId="0" fillId="11" borderId="18" xfId="0" applyFont="1" applyFill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66" fontId="12" fillId="10" borderId="4" xfId="0" applyNumberFormat="1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6" fontId="12" fillId="10" borderId="2" xfId="0" applyNumberFormat="1" applyFont="1" applyFill="1" applyBorder="1" applyAlignment="1">
      <alignment horizontal="center" vertical="center"/>
    </xf>
    <xf numFmtId="166" fontId="12" fillId="10" borderId="33" xfId="0" applyNumberFormat="1" applyFont="1" applyFill="1" applyBorder="1" applyAlignment="1">
      <alignment horizontal="center" vertical="center"/>
    </xf>
    <xf numFmtId="166" fontId="12" fillId="10" borderId="34" xfId="0" applyNumberFormat="1" applyFont="1" applyFill="1" applyBorder="1" applyAlignment="1">
      <alignment horizontal="center" vertical="center"/>
    </xf>
    <xf numFmtId="164" fontId="12" fillId="10" borderId="2" xfId="0" applyNumberFormat="1" applyFont="1" applyFill="1" applyBorder="1" applyAlignment="1">
      <alignment horizontal="center" vertical="center"/>
    </xf>
    <xf numFmtId="0" fontId="0" fillId="10" borderId="33" xfId="0" applyFont="1" applyFill="1" applyBorder="1" applyAlignment="1">
      <alignment horizontal="center" vertical="center"/>
    </xf>
    <xf numFmtId="0" fontId="0" fillId="10" borderId="34" xfId="0" applyFont="1" applyFill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7" fillId="16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10" fillId="16" borderId="0" xfId="0" applyFont="1" applyFill="1" applyAlignment="1">
      <alignment horizontal="center"/>
    </xf>
    <xf numFmtId="0" fontId="10" fillId="17" borderId="0" xfId="0" applyFont="1" applyFill="1" applyAlignment="1">
      <alignment horizontal="center"/>
    </xf>
    <xf numFmtId="1" fontId="10" fillId="17" borderId="0" xfId="0" applyNumberFormat="1" applyFont="1" applyFill="1" applyAlignment="1">
      <alignment horizontal="center"/>
    </xf>
    <xf numFmtId="2" fontId="10" fillId="17" borderId="0" xfId="0" applyNumberFormat="1" applyFont="1" applyFill="1" applyAlignment="1">
      <alignment horizontal="center"/>
    </xf>
    <xf numFmtId="0" fontId="3" fillId="17" borderId="0" xfId="0" applyFont="1" applyFill="1" applyAlignment="1"/>
    <xf numFmtId="0" fontId="0" fillId="18" borderId="0" xfId="0" applyFont="1" applyFill="1" applyAlignment="1"/>
    <xf numFmtId="0" fontId="7" fillId="16" borderId="0" xfId="0" applyFont="1" applyFill="1" applyAlignment="1"/>
    <xf numFmtId="0" fontId="8" fillId="16" borderId="0" xfId="0" applyFont="1" applyFill="1" applyAlignment="1">
      <alignment horizontal="center"/>
    </xf>
    <xf numFmtId="0" fontId="9" fillId="16" borderId="0" xfId="0" applyFont="1" applyFill="1" applyAlignment="1">
      <alignment horizontal="center"/>
    </xf>
    <xf numFmtId="166" fontId="10" fillId="16" borderId="0" xfId="0" applyNumberFormat="1" applyFont="1" applyFill="1" applyAlignment="1">
      <alignment horizontal="center"/>
    </xf>
    <xf numFmtId="2" fontId="10" fillId="16" borderId="0" xfId="0" applyNumberFormat="1" applyFont="1" applyFill="1" applyAlignment="1">
      <alignment horizontal="center"/>
    </xf>
    <xf numFmtId="0" fontId="17" fillId="16" borderId="0" xfId="0" applyFont="1" applyFill="1" applyAlignment="1">
      <alignment horizontal="center"/>
    </xf>
    <xf numFmtId="0" fontId="18" fillId="16" borderId="0" xfId="0" applyFont="1" applyFill="1" applyAlignment="1">
      <alignment horizontal="center"/>
    </xf>
    <xf numFmtId="0" fontId="18" fillId="18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40</xdr:row>
      <xdr:rowOff>161925</xdr:rowOff>
    </xdr:from>
    <xdr:ext cx="5200650" cy="35528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14325" y="7781925"/>
          <a:ext cx="5200650" cy="3552825"/>
          <a:chOff x="3384225" y="1822975"/>
          <a:chExt cx="5178050" cy="35296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3393850" y="2317525"/>
            <a:ext cx="5158800" cy="3015600"/>
          </a:xfrm>
          <a:prstGeom prst="rect">
            <a:avLst/>
          </a:prstGeom>
          <a:solidFill>
            <a:srgbClr val="CFE2F3"/>
          </a:solidFill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cxnSp macro="">
        <xdr:nvCxnSpPr>
          <xdr:cNvPr id="4" name="Shape 4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CxnSpPr>
            <a:stCxn id="3" idx="0"/>
            <a:endCxn id="3" idx="2"/>
          </xdr:cNvCxnSpPr>
        </xdr:nvCxnSpPr>
        <xdr:spPr>
          <a:xfrm>
            <a:off x="5973250" y="2317525"/>
            <a:ext cx="0" cy="3015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CxnSpPr>
            <a:stCxn id="3" idx="1"/>
            <a:endCxn id="3" idx="3"/>
          </xdr:cNvCxnSpPr>
        </xdr:nvCxnSpPr>
        <xdr:spPr>
          <a:xfrm>
            <a:off x="3393850" y="3825325"/>
            <a:ext cx="51588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6" name="Shape 6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 rot="10800000" flipH="1">
            <a:off x="5982875" y="23272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7" name="Shape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 rot="10800000">
            <a:off x="3403475" y="23369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8" name="Shape 8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CxnSpPr/>
        </xdr:nvCxnSpPr>
        <xdr:spPr>
          <a:xfrm rot="10800000" flipH="1">
            <a:off x="3403550" y="3839975"/>
            <a:ext cx="2579400" cy="1512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9" name="Shape 9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CxnSpPr/>
        </xdr:nvCxnSpPr>
        <xdr:spPr>
          <a:xfrm>
            <a:off x="5982875" y="38399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0" name="Shape 10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5982875" y="3825325"/>
            <a:ext cx="2579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1" name="Shape 11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CxnSpPr/>
        </xdr:nvCxnSpPr>
        <xdr:spPr>
          <a:xfrm>
            <a:off x="3384225" y="3825325"/>
            <a:ext cx="2579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2" name="Shape 1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CxnSpPr>
            <a:stCxn id="3" idx="0"/>
          </xdr:cNvCxnSpPr>
        </xdr:nvCxnSpPr>
        <xdr:spPr>
          <a:xfrm>
            <a:off x="5973250" y="2317525"/>
            <a:ext cx="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3" name="Shape 1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CxnSpPr>
            <a:stCxn id="3" idx="2"/>
          </xdr:cNvCxnSpPr>
        </xdr:nvCxnSpPr>
        <xdr:spPr>
          <a:xfrm rot="10800000">
            <a:off x="5973250" y="3840025"/>
            <a:ext cx="0" cy="1493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 txBox="1"/>
        </xdr:nvSpPr>
        <xdr:spPr>
          <a:xfrm rot="-1790826">
            <a:off x="7001030" y="2753851"/>
            <a:ext cx="417129" cy="33865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D1</a:t>
            </a:r>
            <a:endParaRPr sz="1000" b="1"/>
          </a:p>
        </xdr:txBody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 txBox="1"/>
        </xdr:nvSpPr>
        <xdr:spPr>
          <a:xfrm rot="1597220">
            <a:off x="4719500" y="2899699"/>
            <a:ext cx="417116" cy="33863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D2</a:t>
            </a:r>
            <a:endParaRPr sz="1000" b="1"/>
          </a:p>
        </xdr:txBody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 rot="-1880732">
            <a:off x="4719514" y="4412262"/>
            <a:ext cx="416957" cy="33859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D3</a:t>
            </a:r>
            <a:endParaRPr sz="1000" b="1"/>
          </a:p>
        </xdr:txBody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/>
        </xdr:nvSpPr>
        <xdr:spPr>
          <a:xfrm rot="1840853">
            <a:off x="7214375" y="4402642"/>
            <a:ext cx="416850" cy="33869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D4</a:t>
            </a:r>
            <a:endParaRPr sz="1000" b="1"/>
          </a:p>
        </xdr:txBody>
      </xdr:sp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/>
        </xdr:nvSpPr>
        <xdr:spPr>
          <a:xfrm>
            <a:off x="5963625" y="2899675"/>
            <a:ext cx="6009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V Top</a:t>
            </a:r>
            <a:endParaRPr sz="1000" b="1"/>
          </a:p>
        </xdr:txBody>
      </xdr:sp>
      <xdr:sp macro="" textlink="">
        <xdr:nvSpPr>
          <xdr:cNvPr id="19" name="Shape 19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6038450" y="4495900"/>
            <a:ext cx="739500" cy="4926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V Bottom</a:t>
            </a:r>
            <a:endParaRPr sz="1000" b="1"/>
          </a:p>
        </xdr:txBody>
      </xdr:sp>
      <xdr:sp macro="" textlink="">
        <xdr:nvSpPr>
          <xdr:cNvPr id="20" name="Shape 20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6865225" y="3501325"/>
            <a:ext cx="10146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H Right</a:t>
            </a:r>
            <a:endParaRPr sz="1000" b="1"/>
          </a:p>
        </xdr:txBody>
      </xdr:sp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/>
        </xdr:nvSpPr>
        <xdr:spPr>
          <a:xfrm>
            <a:off x="4309075" y="3501325"/>
            <a:ext cx="10146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H Left</a:t>
            </a:r>
            <a:endParaRPr sz="1000" b="1"/>
          </a:p>
        </xdr:txBody>
      </xdr:sp>
      <xdr:sp macro="" textlink="">
        <xdr:nvSpPr>
          <xdr:cNvPr id="22" name="Shape 22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4665700" y="1822975"/>
            <a:ext cx="3004500" cy="4002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/>
              <a:t>Object (Wall in Building G)</a:t>
            </a:r>
            <a:endParaRPr sz="1400"/>
          </a:p>
        </xdr:txBody>
      </xdr:sp>
    </xdr:grpSp>
    <xdr:clientData fLocksWithSheet="0"/>
  </xdr:oneCellAnchor>
  <xdr:oneCellAnchor>
    <xdr:from>
      <xdr:col>4</xdr:col>
      <xdr:colOff>171450</xdr:colOff>
      <xdr:row>42</xdr:row>
      <xdr:rowOff>76200</xdr:rowOff>
    </xdr:from>
    <xdr:ext cx="6315075" cy="3067050"/>
    <xdr:grpSp>
      <xdr:nvGrpSpPr>
        <xdr:cNvPr id="23" name="Shape 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/>
      </xdr:nvGrpSpPr>
      <xdr:grpSpPr>
        <a:xfrm>
          <a:off x="6791325" y="8077200"/>
          <a:ext cx="6315075" cy="3067050"/>
          <a:chOff x="2278725" y="2046000"/>
          <a:chExt cx="6293325" cy="3044825"/>
        </a:xfrm>
      </xdr:grpSpPr>
      <xdr:sp macro="" textlink="">
        <xdr:nvSpPr>
          <xdr:cNvPr id="24" name="Shape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/>
        </xdr:nvSpPr>
        <xdr:spPr>
          <a:xfrm>
            <a:off x="3655650" y="2046000"/>
            <a:ext cx="4916400" cy="3044700"/>
          </a:xfrm>
          <a:prstGeom prst="rtTriangle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25" name="Shape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/>
        </xdr:nvSpPr>
        <xdr:spPr>
          <a:xfrm>
            <a:off x="7864025" y="4644725"/>
            <a:ext cx="708000" cy="446100"/>
          </a:xfrm>
          <a:prstGeom prst="rtTriangle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cxnSp macro="">
        <xdr:nvCxnSpPr>
          <xdr:cNvPr id="26" name="Shape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CxnSpPr>
            <a:stCxn id="23" idx="0"/>
            <a:endCxn id="23" idx="2"/>
          </xdr:cNvCxnSpPr>
        </xdr:nvCxnSpPr>
        <xdr:spPr>
          <a:xfrm>
            <a:off x="3655650" y="2046000"/>
            <a:ext cx="0" cy="30447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7" name="Shape 26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CxnSpPr>
            <a:stCxn id="24" idx="0"/>
            <a:endCxn id="24" idx="2"/>
          </xdr:cNvCxnSpPr>
        </xdr:nvCxnSpPr>
        <xdr:spPr>
          <a:xfrm>
            <a:off x="7864025" y="4644725"/>
            <a:ext cx="0" cy="446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8" name="Shape 27"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CxnSpPr>
            <a:stCxn id="23" idx="2"/>
            <a:endCxn id="24" idx="4"/>
          </xdr:cNvCxnSpPr>
        </xdr:nvCxnSpPr>
        <xdr:spPr>
          <a:xfrm>
            <a:off x="3655650" y="5090700"/>
            <a:ext cx="4916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9" name="Shape 28">
            <a:extLst>
              <a:ext uri="{FF2B5EF4-FFF2-40B4-BE49-F238E27FC236}">
                <a16:creationId xmlns:a16="http://schemas.microsoft.com/office/drawing/2014/main" id="{00000000-0008-0000-0100-00001D000000}"/>
              </a:ext>
            </a:extLst>
          </xdr:cNvPr>
          <xdr:cNvCxnSpPr>
            <a:stCxn id="24" idx="2"/>
            <a:endCxn id="24" idx="4"/>
          </xdr:cNvCxnSpPr>
        </xdr:nvCxnSpPr>
        <xdr:spPr>
          <a:xfrm>
            <a:off x="7864025" y="5090825"/>
            <a:ext cx="7080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sp macro="" textlink="">
        <xdr:nvSpPr>
          <xdr:cNvPr id="30" name="Shape 29">
            <a:extLst>
              <a:ext uri="{FF2B5EF4-FFF2-40B4-BE49-F238E27FC236}">
                <a16:creationId xmlns:a16="http://schemas.microsoft.com/office/drawing/2014/main" id="{00000000-0008-0000-0100-00001E000000}"/>
              </a:ext>
            </a:extLst>
          </xdr:cNvPr>
          <xdr:cNvSpPr txBox="1"/>
        </xdr:nvSpPr>
        <xdr:spPr>
          <a:xfrm>
            <a:off x="2278725" y="3368250"/>
            <a:ext cx="1144500" cy="3693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200"/>
              <a:t>obj_avg (mm)</a:t>
            </a:r>
            <a:endParaRPr sz="1200"/>
          </a:p>
        </xdr:txBody>
      </xdr:sp>
      <xdr:sp macro="" textlink="">
        <xdr:nvSpPr>
          <xdr:cNvPr id="31" name="Shape 30">
            <a:extLst>
              <a:ext uri="{FF2B5EF4-FFF2-40B4-BE49-F238E27FC236}">
                <a16:creationId xmlns:a16="http://schemas.microsoft.com/office/drawing/2014/main" id="{00000000-0008-0000-0100-00001F000000}"/>
              </a:ext>
            </a:extLst>
          </xdr:cNvPr>
          <xdr:cNvSpPr txBox="1"/>
        </xdr:nvSpPr>
        <xdr:spPr>
          <a:xfrm>
            <a:off x="6293175" y="4644725"/>
            <a:ext cx="1442400" cy="3693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200"/>
              <a:t>mask_avg (mm)</a:t>
            </a:r>
            <a:endParaRPr sz="1200"/>
          </a:p>
        </xdr:txBody>
      </xdr:sp>
      <xdr:cxnSp macro="">
        <xdr:nvCxnSpPr>
          <xdr:cNvPr id="32" name="Shape 31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CxnSpPr/>
        </xdr:nvCxnSpPr>
        <xdr:spPr>
          <a:xfrm rot="10800000">
            <a:off x="3675125" y="4644725"/>
            <a:ext cx="41889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dot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33</xdr:row>
      <xdr:rowOff>161925</xdr:rowOff>
    </xdr:from>
    <xdr:ext cx="5200650" cy="35528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314325" y="6448425"/>
          <a:ext cx="5200650" cy="3552825"/>
          <a:chOff x="3384225" y="1822975"/>
          <a:chExt cx="5178050" cy="352960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3393850" y="2317525"/>
            <a:ext cx="5158800" cy="3015600"/>
          </a:xfrm>
          <a:prstGeom prst="rect">
            <a:avLst/>
          </a:prstGeom>
          <a:solidFill>
            <a:srgbClr val="CFE2F3"/>
          </a:solidFill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cxnSp macro="">
        <xdr:nvCxnSpPr>
          <xdr:cNvPr id="4" name="Shape 4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CxnSpPr>
            <a:stCxn id="3" idx="0"/>
            <a:endCxn id="3" idx="2"/>
          </xdr:cNvCxnSpPr>
        </xdr:nvCxnSpPr>
        <xdr:spPr>
          <a:xfrm>
            <a:off x="5973250" y="2317525"/>
            <a:ext cx="0" cy="3015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5" name="Shape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CxnSpPr>
            <a:stCxn id="3" idx="1"/>
            <a:endCxn id="3" idx="3"/>
          </xdr:cNvCxnSpPr>
        </xdr:nvCxnSpPr>
        <xdr:spPr>
          <a:xfrm>
            <a:off x="3393850" y="3825325"/>
            <a:ext cx="51588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</xdr:spPr>
      </xdr:cxnSp>
      <xdr:cxnSp macro="">
        <xdr:nvCxnSpPr>
          <xdr:cNvPr id="6" name="Shape 6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CxnSpPr/>
        </xdr:nvCxnSpPr>
        <xdr:spPr>
          <a:xfrm rot="10800000" flipH="1">
            <a:off x="5982875" y="23272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7" name="Shape 7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CxnSpPr/>
        </xdr:nvCxnSpPr>
        <xdr:spPr>
          <a:xfrm rot="10800000">
            <a:off x="3403475" y="23369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8" name="Shape 8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/>
        </xdr:nvCxnSpPr>
        <xdr:spPr>
          <a:xfrm rot="10800000" flipH="1">
            <a:off x="3403550" y="3839975"/>
            <a:ext cx="2579400" cy="15126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9" name="Shape 9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CxnSpPr/>
        </xdr:nvCxnSpPr>
        <xdr:spPr>
          <a:xfrm>
            <a:off x="5982875" y="3839900"/>
            <a:ext cx="257940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0" name="Shape 10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/>
        </xdr:nvCxnSpPr>
        <xdr:spPr>
          <a:xfrm>
            <a:off x="5982875" y="3825325"/>
            <a:ext cx="2579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1" name="Shape 1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CxnSpPr/>
        </xdr:nvCxnSpPr>
        <xdr:spPr>
          <a:xfrm>
            <a:off x="3384225" y="3825325"/>
            <a:ext cx="2579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2" name="Shape 12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>
            <a:stCxn id="3" idx="0"/>
          </xdr:cNvCxnSpPr>
        </xdr:nvCxnSpPr>
        <xdr:spPr>
          <a:xfrm>
            <a:off x="5973250" y="2317525"/>
            <a:ext cx="0" cy="15030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13" name="Shape 13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CxnSpPr>
            <a:stCxn id="3" idx="2"/>
          </xdr:cNvCxnSpPr>
        </xdr:nvCxnSpPr>
        <xdr:spPr>
          <a:xfrm rot="10800000">
            <a:off x="5973250" y="3840025"/>
            <a:ext cx="0" cy="1493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 txBox="1"/>
        </xdr:nvSpPr>
        <xdr:spPr>
          <a:xfrm rot="-1790826">
            <a:off x="7001030" y="2753851"/>
            <a:ext cx="417129" cy="33865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D1</a:t>
            </a:r>
            <a:endParaRPr sz="1000" b="1"/>
          </a:p>
        </xdr:txBody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 txBox="1"/>
        </xdr:nvSpPr>
        <xdr:spPr>
          <a:xfrm rot="1597220">
            <a:off x="4719500" y="2899699"/>
            <a:ext cx="417116" cy="33863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D2</a:t>
            </a:r>
            <a:endParaRPr sz="1000" b="1"/>
          </a:p>
        </xdr:txBody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 txBox="1"/>
        </xdr:nvSpPr>
        <xdr:spPr>
          <a:xfrm rot="-1880732">
            <a:off x="4719514" y="4412262"/>
            <a:ext cx="416957" cy="33859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D3</a:t>
            </a:r>
            <a:endParaRPr sz="1000" b="1"/>
          </a:p>
        </xdr:txBody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 txBox="1"/>
        </xdr:nvSpPr>
        <xdr:spPr>
          <a:xfrm rot="1840853">
            <a:off x="7214375" y="4402642"/>
            <a:ext cx="416850" cy="338697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D4</a:t>
            </a:r>
            <a:endParaRPr sz="1000" b="1"/>
          </a:p>
        </xdr:txBody>
      </xdr:sp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 txBox="1"/>
        </xdr:nvSpPr>
        <xdr:spPr>
          <a:xfrm>
            <a:off x="5963625" y="2899675"/>
            <a:ext cx="6009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V Top</a:t>
            </a:r>
            <a:endParaRPr sz="1000" b="1"/>
          </a:p>
        </xdr:txBody>
      </xdr:sp>
      <xdr:sp macro="" textlink="">
        <xdr:nvSpPr>
          <xdr:cNvPr id="19" name="Shape 19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 txBox="1"/>
        </xdr:nvSpPr>
        <xdr:spPr>
          <a:xfrm>
            <a:off x="6038450" y="4495900"/>
            <a:ext cx="739500" cy="4926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V Bottom</a:t>
            </a:r>
            <a:endParaRPr sz="1000" b="1"/>
          </a:p>
        </xdr:txBody>
      </xdr:sp>
      <xdr:sp macro="" textlink="">
        <xdr:nvSpPr>
          <xdr:cNvPr id="20" name="Shape 20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 txBox="1"/>
        </xdr:nvSpPr>
        <xdr:spPr>
          <a:xfrm>
            <a:off x="6865225" y="3501325"/>
            <a:ext cx="10146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H Right</a:t>
            </a:r>
            <a:endParaRPr sz="1000" b="1"/>
          </a:p>
        </xdr:txBody>
      </xdr:sp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 txBox="1"/>
        </xdr:nvSpPr>
        <xdr:spPr>
          <a:xfrm>
            <a:off x="4309075" y="3501325"/>
            <a:ext cx="1014600" cy="3387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 b="1"/>
              <a:t>H Left</a:t>
            </a:r>
            <a:endParaRPr sz="1000" b="1"/>
          </a:p>
        </xdr:txBody>
      </xdr:sp>
      <xdr:sp macro="" textlink="">
        <xdr:nvSpPr>
          <xdr:cNvPr id="22" name="Shape 22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 txBox="1"/>
        </xdr:nvSpPr>
        <xdr:spPr>
          <a:xfrm>
            <a:off x="4665700" y="1822975"/>
            <a:ext cx="3004500" cy="4002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/>
              <a:t>Object (Wall in Building G)</a:t>
            </a:r>
            <a:endParaRPr sz="1400"/>
          </a:p>
        </xdr:txBody>
      </xdr:sp>
    </xdr:grpSp>
    <xdr:clientData fLocksWithSheet="0"/>
  </xdr:oneCellAnchor>
  <xdr:oneCellAnchor>
    <xdr:from>
      <xdr:col>4</xdr:col>
      <xdr:colOff>171450</xdr:colOff>
      <xdr:row>35</xdr:row>
      <xdr:rowOff>76200</xdr:rowOff>
    </xdr:from>
    <xdr:ext cx="6315075" cy="3067050"/>
    <xdr:grpSp>
      <xdr:nvGrpSpPr>
        <xdr:cNvPr id="23" name="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GrpSpPr/>
      </xdr:nvGrpSpPr>
      <xdr:grpSpPr>
        <a:xfrm>
          <a:off x="6791325" y="6743700"/>
          <a:ext cx="6315075" cy="3067050"/>
          <a:chOff x="2278725" y="2046000"/>
          <a:chExt cx="6293325" cy="3044825"/>
        </a:xfrm>
      </xdr:grpSpPr>
      <xdr:sp macro="" textlink="">
        <xdr:nvSpPr>
          <xdr:cNvPr id="24" name="Shape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3655650" y="2046000"/>
            <a:ext cx="4916400" cy="3044700"/>
          </a:xfrm>
          <a:prstGeom prst="rtTriangle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sp macro="" textlink="">
        <xdr:nvSpPr>
          <xdr:cNvPr id="25" name="Shape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7864025" y="4644725"/>
            <a:ext cx="708000" cy="446100"/>
          </a:xfrm>
          <a:prstGeom prst="rtTriangle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none" w="sm" len="sm"/>
            <a:tailEnd type="none" w="sm" len="sm"/>
          </a:ln>
        </xdr:spPr>
        <xdr:txBody>
          <a:bodyPr spcFirstLastPara="1" wrap="square" lIns="91425" tIns="91425" rIns="91425" bIns="91425" anchor="ctr" anchorCtr="0">
            <a:no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endParaRPr sz="1400"/>
          </a:p>
        </xdr:txBody>
      </xdr:sp>
      <xdr:cxnSp macro="">
        <xdr:nvCxnSpPr>
          <xdr:cNvPr id="26" name="Shape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CxnSpPr>
            <a:stCxn id="23" idx="0"/>
            <a:endCxn id="23" idx="2"/>
          </xdr:cNvCxnSpPr>
        </xdr:nvCxnSpPr>
        <xdr:spPr>
          <a:xfrm>
            <a:off x="3655650" y="2046000"/>
            <a:ext cx="0" cy="30447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7" name="Shape 2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CxnSpPr>
            <a:stCxn id="24" idx="0"/>
            <a:endCxn id="24" idx="2"/>
          </xdr:cNvCxnSpPr>
        </xdr:nvCxnSpPr>
        <xdr:spPr>
          <a:xfrm>
            <a:off x="7864025" y="4644725"/>
            <a:ext cx="0" cy="4461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8" name="Shape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CxnSpPr>
            <a:stCxn id="23" idx="2"/>
            <a:endCxn id="24" idx="4"/>
          </xdr:cNvCxnSpPr>
        </xdr:nvCxnSpPr>
        <xdr:spPr>
          <a:xfrm>
            <a:off x="3655650" y="5090700"/>
            <a:ext cx="49164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cxnSp macro="">
        <xdr:nvCxnSpPr>
          <xdr:cNvPr id="29" name="Shape 28">
            <a:extLst>
              <a:ext uri="{FF2B5EF4-FFF2-40B4-BE49-F238E27FC236}">
                <a16:creationId xmlns:a16="http://schemas.microsoft.com/office/drawing/2014/main" id="{00000000-0008-0000-0200-00001D000000}"/>
              </a:ext>
            </a:extLst>
          </xdr:cNvPr>
          <xdr:cNvCxnSpPr>
            <a:stCxn id="24" idx="2"/>
            <a:endCxn id="24" idx="4"/>
          </xdr:cNvCxnSpPr>
        </xdr:nvCxnSpPr>
        <xdr:spPr>
          <a:xfrm>
            <a:off x="7864025" y="5090825"/>
            <a:ext cx="7080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round/>
            <a:headEnd type="triangle" w="med" len="med"/>
            <a:tailEnd type="triangle" w="med" len="med"/>
          </a:ln>
        </xdr:spPr>
      </xdr:cxnSp>
      <xdr:sp macro="" textlink="">
        <xdr:nvSpPr>
          <xdr:cNvPr id="30" name="Shape 29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SpPr txBox="1"/>
        </xdr:nvSpPr>
        <xdr:spPr>
          <a:xfrm>
            <a:off x="2278725" y="3368250"/>
            <a:ext cx="1144500" cy="3693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200"/>
              <a:t>obj_avg (mm)</a:t>
            </a:r>
            <a:endParaRPr sz="1200"/>
          </a:p>
        </xdr:txBody>
      </xdr:sp>
      <xdr:sp macro="" textlink="">
        <xdr:nvSpPr>
          <xdr:cNvPr id="31" name="Shape 30">
            <a:extLst>
              <a:ext uri="{FF2B5EF4-FFF2-40B4-BE49-F238E27FC236}">
                <a16:creationId xmlns:a16="http://schemas.microsoft.com/office/drawing/2014/main" id="{00000000-0008-0000-0200-00001F000000}"/>
              </a:ext>
            </a:extLst>
          </xdr:cNvPr>
          <xdr:cNvSpPr txBox="1"/>
        </xdr:nvSpPr>
        <xdr:spPr>
          <a:xfrm>
            <a:off x="6293175" y="4644725"/>
            <a:ext cx="1442400" cy="369300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200"/>
              <a:t>mask_avg (mm)</a:t>
            </a:r>
            <a:endParaRPr sz="1200"/>
          </a:p>
        </xdr:txBody>
      </xdr:sp>
      <xdr:cxnSp macro="">
        <xdr:nvCxnSpPr>
          <xdr:cNvPr id="32" name="Shape 31">
            <a:extLst>
              <a:ext uri="{FF2B5EF4-FFF2-40B4-BE49-F238E27FC236}">
                <a16:creationId xmlns:a16="http://schemas.microsoft.com/office/drawing/2014/main" id="{00000000-0008-0000-0200-000020000000}"/>
              </a:ext>
            </a:extLst>
          </xdr:cNvPr>
          <xdr:cNvCxnSpPr/>
        </xdr:nvCxnSpPr>
        <xdr:spPr>
          <a:xfrm rot="10800000">
            <a:off x="3675125" y="4644725"/>
            <a:ext cx="418890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dot"/>
            <a:round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31"/>
  <sheetViews>
    <sheetView topLeftCell="A67" zoomScale="85" zoomScaleNormal="85" workbookViewId="0">
      <selection activeCell="D79" sqref="D79"/>
    </sheetView>
  </sheetViews>
  <sheetFormatPr defaultColWidth="14.42578125" defaultRowHeight="15" customHeight="1"/>
  <cols>
    <col min="1" max="1" width="2.7109375" customWidth="1"/>
    <col min="2" max="2" width="15.7109375" customWidth="1"/>
    <col min="3" max="3" width="25.7109375" customWidth="1"/>
    <col min="4" max="4" width="18.7109375" customWidth="1"/>
    <col min="5" max="5" width="17.7109375" customWidth="1"/>
    <col min="6" max="6" width="25.7109375" customWidth="1"/>
    <col min="7" max="7" width="21.7109375" customWidth="1"/>
    <col min="8" max="8" width="15.7109375" customWidth="1"/>
    <col min="9" max="9" width="3.7109375" customWidth="1"/>
    <col min="10" max="12" width="15.7109375" customWidth="1"/>
    <col min="13" max="13" width="5.7109375" customWidth="1"/>
    <col min="14" max="14" width="15.7109375" customWidth="1"/>
    <col min="15" max="15" width="13.7109375" customWidth="1"/>
    <col min="16" max="26" width="8.7109375" customWidth="1"/>
  </cols>
  <sheetData>
    <row r="1" spans="1:14" ht="12" customHeight="1">
      <c r="A1" s="144"/>
      <c r="B1" s="144"/>
      <c r="C1" s="144"/>
      <c r="D1" s="96"/>
      <c r="E1" s="96"/>
      <c r="F1" s="147"/>
      <c r="G1" s="147"/>
      <c r="H1" s="144"/>
      <c r="I1" s="144"/>
      <c r="J1" s="168"/>
      <c r="K1" s="169"/>
      <c r="L1" s="169"/>
      <c r="M1" s="143"/>
    </row>
    <row r="2" spans="1:14" ht="12" customHeight="1">
      <c r="A2" s="144"/>
      <c r="B2" s="144"/>
      <c r="C2" s="248" t="s">
        <v>78</v>
      </c>
      <c r="D2" s="249"/>
      <c r="E2" s="249"/>
      <c r="F2" s="249"/>
      <c r="G2" s="249"/>
      <c r="H2" s="221"/>
      <c r="I2" s="144"/>
      <c r="J2" s="219" t="s">
        <v>46</v>
      </c>
      <c r="K2" s="220"/>
      <c r="L2" s="221"/>
      <c r="M2" s="217" t="s">
        <v>66</v>
      </c>
      <c r="N2" s="3"/>
    </row>
    <row r="3" spans="1:14" ht="12" customHeight="1">
      <c r="A3" s="144"/>
      <c r="B3" s="144"/>
      <c r="C3" s="250"/>
      <c r="D3" s="251"/>
      <c r="E3" s="251"/>
      <c r="F3" s="251"/>
      <c r="G3" s="251"/>
      <c r="H3" s="224"/>
      <c r="I3" s="144"/>
      <c r="J3" s="222"/>
      <c r="K3" s="223"/>
      <c r="L3" s="224"/>
      <c r="M3" s="212"/>
    </row>
    <row r="4" spans="1:14" ht="12" customHeight="1">
      <c r="A4" s="144"/>
      <c r="B4" s="144"/>
      <c r="C4" s="170"/>
      <c r="D4" s="170"/>
      <c r="E4" s="170"/>
      <c r="F4" s="170"/>
      <c r="G4" s="170"/>
      <c r="H4" s="55"/>
      <c r="I4" s="144"/>
      <c r="J4" s="72"/>
      <c r="K4" s="72"/>
      <c r="L4" s="55"/>
      <c r="M4" s="117"/>
    </row>
    <row r="5" spans="1:14" ht="12" customHeight="1">
      <c r="A5" s="144"/>
      <c r="B5" s="144"/>
      <c r="C5" s="170"/>
      <c r="D5" s="170"/>
      <c r="E5" s="170"/>
      <c r="F5" s="170"/>
      <c r="G5" s="170"/>
      <c r="H5" s="55"/>
      <c r="I5" s="144"/>
      <c r="J5" s="72"/>
      <c r="K5" s="72"/>
      <c r="L5" s="55"/>
      <c r="M5" s="117"/>
    </row>
    <row r="6" spans="1:14" ht="12" customHeight="1">
      <c r="A6" s="144"/>
      <c r="B6" s="144"/>
      <c r="C6" s="252" t="s">
        <v>73</v>
      </c>
      <c r="D6" s="254"/>
      <c r="E6" s="254"/>
      <c r="F6" s="254"/>
      <c r="G6" s="254"/>
      <c r="H6" s="216"/>
      <c r="I6" s="144"/>
      <c r="J6" s="169"/>
      <c r="K6" s="171"/>
      <c r="L6" s="144"/>
      <c r="M6" s="117"/>
    </row>
    <row r="7" spans="1:14" ht="12" customHeight="1">
      <c r="A7" s="144"/>
      <c r="B7" s="144"/>
      <c r="C7" s="144"/>
      <c r="D7" s="96"/>
      <c r="E7" s="96"/>
      <c r="F7" s="96"/>
      <c r="G7" s="96"/>
      <c r="H7" s="144"/>
      <c r="I7" s="144"/>
      <c r="J7" s="169"/>
      <c r="K7" s="171"/>
      <c r="L7" s="144"/>
      <c r="M7" s="117"/>
    </row>
    <row r="8" spans="1:14" ht="12" customHeight="1">
      <c r="A8" s="144"/>
      <c r="B8" s="255" t="s">
        <v>58</v>
      </c>
      <c r="C8" s="256"/>
      <c r="D8" s="85" t="s">
        <v>0</v>
      </c>
      <c r="E8" s="85" t="s">
        <v>1</v>
      </c>
      <c r="F8" s="85" t="s">
        <v>2</v>
      </c>
      <c r="G8" s="86" t="s">
        <v>3</v>
      </c>
      <c r="H8" s="148" t="s">
        <v>4</v>
      </c>
      <c r="I8" s="55"/>
      <c r="J8" s="71" t="s">
        <v>47</v>
      </c>
      <c r="K8" s="70" t="s">
        <v>49</v>
      </c>
      <c r="L8" s="51" t="s">
        <v>50</v>
      </c>
      <c r="M8" s="143"/>
    </row>
    <row r="9" spans="1:14" ht="12" customHeight="1">
      <c r="A9" s="144"/>
      <c r="B9" s="246" t="s">
        <v>60</v>
      </c>
      <c r="C9" s="247"/>
      <c r="D9" s="149" t="s">
        <v>5</v>
      </c>
      <c r="E9" s="85" t="s">
        <v>6</v>
      </c>
      <c r="F9" s="85" t="s">
        <v>7</v>
      </c>
      <c r="G9" s="86" t="s">
        <v>8</v>
      </c>
      <c r="H9" s="148" t="s">
        <v>9</v>
      </c>
      <c r="I9" s="55"/>
      <c r="J9" s="71" t="s">
        <v>48</v>
      </c>
      <c r="K9" s="70" t="s">
        <v>48</v>
      </c>
      <c r="L9" s="51" t="s">
        <v>48</v>
      </c>
      <c r="M9" s="143"/>
    </row>
    <row r="10" spans="1:14" ht="12" customHeight="1">
      <c r="A10" s="144"/>
      <c r="B10" s="144"/>
      <c r="C10" s="89"/>
      <c r="D10" s="144"/>
      <c r="E10" s="144"/>
      <c r="F10" s="144"/>
      <c r="G10" s="144"/>
      <c r="H10" s="144"/>
      <c r="I10" s="144"/>
      <c r="J10" s="144"/>
      <c r="K10" s="144"/>
      <c r="L10" s="144"/>
      <c r="M10" s="143"/>
    </row>
    <row r="11" spans="1:14" ht="12" customHeight="1">
      <c r="A11" s="144"/>
      <c r="B11" s="76" t="s">
        <v>10</v>
      </c>
      <c r="C11" s="132" t="s">
        <v>52</v>
      </c>
      <c r="D11" s="150">
        <v>53</v>
      </c>
      <c r="E11" s="150">
        <v>51</v>
      </c>
      <c r="F11" s="134">
        <f t="shared" ref="F11" si="0">(E11/TAN(D11*PI()/180))</f>
        <v>38.431256555242506</v>
      </c>
      <c r="G11" s="135">
        <v>1.3</v>
      </c>
      <c r="H11" s="141">
        <f t="shared" ref="H11" si="1">(F11-G11)</f>
        <v>37.131256555242508</v>
      </c>
      <c r="I11" s="93"/>
      <c r="J11" s="114">
        <v>4.1593</v>
      </c>
      <c r="K11" s="115">
        <v>4.1445999999999996</v>
      </c>
      <c r="L11" s="116">
        <v>4.1445999999999996</v>
      </c>
      <c r="M11" s="143"/>
    </row>
    <row r="12" spans="1:14" ht="12" customHeight="1">
      <c r="A12" s="144"/>
      <c r="B12" s="76"/>
      <c r="C12" s="144"/>
      <c r="D12" s="144"/>
      <c r="E12" s="144"/>
      <c r="F12" s="97"/>
      <c r="G12" s="99"/>
      <c r="H12" s="99"/>
      <c r="I12" s="99"/>
      <c r="J12" s="58"/>
      <c r="K12" s="58"/>
      <c r="L12" s="58"/>
      <c r="M12" s="143"/>
    </row>
    <row r="13" spans="1:14" ht="12" customHeight="1">
      <c r="A13" s="144"/>
      <c r="B13" s="76" t="s">
        <v>11</v>
      </c>
      <c r="C13" s="132" t="s">
        <v>52</v>
      </c>
      <c r="D13" s="150">
        <v>49</v>
      </c>
      <c r="E13" s="150">
        <v>43</v>
      </c>
      <c r="F13" s="134">
        <f t="shared" ref="F13" si="2">(E13/TAN(D13*PI()/180))</f>
        <v>37.379329726097751</v>
      </c>
      <c r="G13" s="135">
        <v>1.3</v>
      </c>
      <c r="H13" s="141">
        <f t="shared" ref="H13" si="3">(F13-G13)</f>
        <v>36.079329726097754</v>
      </c>
      <c r="I13" s="93"/>
      <c r="J13" s="114">
        <v>4.1820000000000004</v>
      </c>
      <c r="K13" s="115">
        <v>4.1670999999999996</v>
      </c>
      <c r="L13" s="116">
        <v>4.1670999999999996</v>
      </c>
      <c r="M13" s="143"/>
    </row>
    <row r="14" spans="1:14" ht="12" customHeight="1">
      <c r="A14" s="144"/>
      <c r="B14" s="76"/>
      <c r="C14" s="144"/>
      <c r="D14" s="151"/>
      <c r="E14" s="151"/>
      <c r="F14" s="97"/>
      <c r="G14" s="99"/>
      <c r="H14" s="99"/>
      <c r="I14" s="99"/>
      <c r="J14" s="58"/>
      <c r="K14" s="58"/>
      <c r="L14" s="58"/>
      <c r="M14" s="143"/>
    </row>
    <row r="15" spans="1:14" ht="12" customHeight="1">
      <c r="A15" s="144"/>
      <c r="B15" s="76" t="s">
        <v>12</v>
      </c>
      <c r="C15" s="132" t="s">
        <v>52</v>
      </c>
      <c r="D15" s="150">
        <v>32.5</v>
      </c>
      <c r="E15" s="150">
        <v>22</v>
      </c>
      <c r="F15" s="134">
        <f t="shared" ref="F15" si="4">(E15/TAN(D15*PI()/180))</f>
        <v>34.533082696584785</v>
      </c>
      <c r="G15" s="135">
        <v>1.3</v>
      </c>
      <c r="H15" s="141">
        <f t="shared" ref="H15" si="5">(F15-G15)</f>
        <v>33.233082696584788</v>
      </c>
      <c r="I15" s="93"/>
      <c r="J15" s="114">
        <v>4.2480000000000002</v>
      </c>
      <c r="K15" s="115">
        <v>4.2325999999999997</v>
      </c>
      <c r="L15" s="116">
        <v>4.2325999999999997</v>
      </c>
      <c r="M15" s="143"/>
    </row>
    <row r="16" spans="1:14" ht="12" customHeight="1">
      <c r="A16" s="144"/>
      <c r="B16" s="144"/>
      <c r="C16" s="57"/>
      <c r="D16" s="102"/>
      <c r="E16" s="102"/>
      <c r="F16" s="94"/>
      <c r="G16" s="93"/>
      <c r="H16" s="93"/>
      <c r="I16" s="93"/>
      <c r="J16" s="52"/>
      <c r="K16" s="52"/>
      <c r="L16" s="52"/>
      <c r="M16" s="143"/>
    </row>
    <row r="17" spans="1:14" ht="12" customHeight="1">
      <c r="A17" s="144"/>
      <c r="B17" s="240" t="s">
        <v>10</v>
      </c>
      <c r="C17" s="152" t="s">
        <v>52</v>
      </c>
      <c r="D17" s="153">
        <v>51.981000000000002</v>
      </c>
      <c r="E17" s="227" t="s">
        <v>62</v>
      </c>
      <c r="F17" s="228"/>
      <c r="G17" s="229"/>
      <c r="H17" s="154">
        <v>29.4</v>
      </c>
      <c r="I17" s="93"/>
      <c r="J17" s="107">
        <v>4.3159000000000001</v>
      </c>
      <c r="K17" s="108">
        <v>4.3</v>
      </c>
      <c r="L17" s="109">
        <v>4.3</v>
      </c>
      <c r="M17" s="143"/>
    </row>
    <row r="18" spans="1:14" ht="12" customHeight="1">
      <c r="A18" s="144"/>
      <c r="B18" s="240"/>
      <c r="C18" s="155" t="s">
        <v>55</v>
      </c>
      <c r="D18" s="156">
        <v>7.8289999999999997</v>
      </c>
      <c r="E18" s="230"/>
      <c r="F18" s="231"/>
      <c r="G18" s="232"/>
      <c r="H18" s="157">
        <v>85.7</v>
      </c>
      <c r="I18" s="93"/>
      <c r="J18" s="111">
        <v>41.3767</v>
      </c>
      <c r="K18" s="112">
        <v>40</v>
      </c>
      <c r="L18" s="110">
        <v>40</v>
      </c>
      <c r="M18" s="143"/>
    </row>
    <row r="19" spans="1:14" ht="12" customHeight="1">
      <c r="A19" s="144"/>
      <c r="B19" s="240"/>
      <c r="C19" s="78" t="s">
        <v>57</v>
      </c>
      <c r="D19" s="80">
        <v>4.8369999999999997</v>
      </c>
      <c r="E19" s="233"/>
      <c r="F19" s="234"/>
      <c r="G19" s="235"/>
      <c r="H19" s="158">
        <v>112.6</v>
      </c>
      <c r="I19" s="93"/>
      <c r="J19" s="113">
        <v>68.635300000000001</v>
      </c>
      <c r="K19" s="75">
        <v>65</v>
      </c>
      <c r="L19" s="67">
        <v>65</v>
      </c>
      <c r="M19" s="143"/>
    </row>
    <row r="20" spans="1:14" ht="12" customHeight="1">
      <c r="A20" s="144"/>
      <c r="B20" s="143"/>
      <c r="C20" s="138"/>
      <c r="D20" s="159"/>
      <c r="E20" s="159"/>
      <c r="F20" s="159"/>
      <c r="G20" s="159"/>
      <c r="H20" s="93"/>
      <c r="I20" s="93"/>
      <c r="J20" s="52"/>
      <c r="K20" s="52"/>
      <c r="L20" s="52"/>
      <c r="M20" s="143"/>
    </row>
    <row r="21" spans="1:14" ht="12" customHeight="1">
      <c r="A21" s="144"/>
      <c r="B21" s="215" t="s">
        <v>67</v>
      </c>
      <c r="C21" s="218"/>
      <c r="D21" s="159"/>
      <c r="E21" s="159"/>
      <c r="F21" s="159"/>
      <c r="G21" s="159"/>
      <c r="H21" s="93"/>
      <c r="I21" s="93"/>
      <c r="J21" s="52"/>
      <c r="K21" s="52"/>
      <c r="L21" s="52"/>
      <c r="M21" s="143"/>
    </row>
    <row r="22" spans="1:14" ht="12" customHeight="1">
      <c r="A22" s="144"/>
      <c r="B22" s="118"/>
      <c r="C22" s="68"/>
      <c r="D22" s="159"/>
      <c r="E22" s="159"/>
      <c r="F22" s="159"/>
      <c r="G22" s="159"/>
      <c r="H22" s="93"/>
      <c r="I22" s="93"/>
      <c r="J22" s="52"/>
      <c r="K22" s="52"/>
      <c r="L22" s="52"/>
      <c r="M22" s="143"/>
    </row>
    <row r="23" spans="1:14" ht="12" customHeight="1">
      <c r="A23" s="144"/>
      <c r="B23" s="240" t="s">
        <v>10</v>
      </c>
      <c r="C23" s="152" t="s">
        <v>52</v>
      </c>
      <c r="D23" s="153">
        <v>51.981000000000002</v>
      </c>
      <c r="E23" s="227" t="s">
        <v>62</v>
      </c>
      <c r="F23" s="228"/>
      <c r="G23" s="229"/>
      <c r="H23" s="154">
        <v>29.3</v>
      </c>
      <c r="I23" s="93"/>
      <c r="J23" s="107"/>
      <c r="K23" s="108"/>
      <c r="L23" s="109"/>
      <c r="M23" s="143"/>
    </row>
    <row r="24" spans="1:14" ht="12" customHeight="1">
      <c r="A24" s="144"/>
      <c r="B24" s="240"/>
      <c r="C24" s="155" t="s">
        <v>55</v>
      </c>
      <c r="D24" s="156">
        <v>7.6589999999999998</v>
      </c>
      <c r="E24" s="230"/>
      <c r="F24" s="231"/>
      <c r="G24" s="232"/>
      <c r="H24" s="157">
        <v>86.9</v>
      </c>
      <c r="I24" s="93"/>
      <c r="J24" s="111"/>
      <c r="K24" s="112"/>
      <c r="L24" s="110"/>
      <c r="M24" s="143"/>
    </row>
    <row r="25" spans="1:14" ht="12" customHeight="1">
      <c r="A25" s="144"/>
      <c r="B25" s="240"/>
      <c r="C25" s="152" t="s">
        <v>57</v>
      </c>
      <c r="D25" s="153">
        <v>4.6790000000000003</v>
      </c>
      <c r="E25" s="233"/>
      <c r="F25" s="234"/>
      <c r="G25" s="235"/>
      <c r="H25" s="154">
        <v>115.4</v>
      </c>
      <c r="I25" s="93"/>
      <c r="J25" s="107">
        <v>71.079800000000006</v>
      </c>
      <c r="K25" s="108">
        <v>68.924099999999996</v>
      </c>
      <c r="L25" s="109">
        <v>67.2</v>
      </c>
      <c r="M25" s="193">
        <v>25</v>
      </c>
    </row>
    <row r="26" spans="1:14" ht="12" customHeight="1">
      <c r="A26" s="144"/>
      <c r="B26" s="118"/>
      <c r="C26" s="138"/>
      <c r="D26" s="137"/>
      <c r="E26" s="159"/>
      <c r="F26" s="159"/>
      <c r="G26" s="159"/>
      <c r="H26" s="93"/>
      <c r="I26" s="93"/>
      <c r="J26" s="52"/>
      <c r="K26" s="52"/>
      <c r="L26" s="52"/>
      <c r="M26" s="143"/>
    </row>
    <row r="27" spans="1:14" ht="12" customHeight="1">
      <c r="A27" s="144"/>
      <c r="B27" s="215" t="s">
        <v>69</v>
      </c>
      <c r="C27" s="218"/>
      <c r="D27" s="159"/>
      <c r="E27" s="159"/>
      <c r="F27" s="159"/>
      <c r="G27" s="159"/>
      <c r="H27" s="93"/>
      <c r="I27" s="93"/>
      <c r="J27" s="52"/>
      <c r="K27" s="52"/>
      <c r="L27" s="52"/>
      <c r="M27" s="143"/>
    </row>
    <row r="28" spans="1:14" ht="12" customHeight="1">
      <c r="A28" s="144"/>
      <c r="B28" s="242" t="s">
        <v>59</v>
      </c>
      <c r="C28" s="243"/>
      <c r="D28" s="159"/>
      <c r="E28" s="159"/>
      <c r="F28" s="159"/>
      <c r="G28" s="159"/>
      <c r="H28" s="93"/>
      <c r="I28" s="93"/>
      <c r="J28" s="52"/>
      <c r="K28" s="52"/>
      <c r="L28" s="52"/>
      <c r="M28" s="143"/>
      <c r="N28" s="174"/>
    </row>
    <row r="29" spans="1:14" s="131" customFormat="1" ht="12" customHeight="1">
      <c r="A29" s="144"/>
      <c r="B29" s="118"/>
      <c r="C29" s="68"/>
      <c r="D29" s="159"/>
      <c r="E29" s="159"/>
      <c r="F29" s="159"/>
      <c r="G29" s="159"/>
      <c r="H29" s="93"/>
      <c r="I29" s="93"/>
      <c r="J29" s="52"/>
      <c r="K29" s="52"/>
      <c r="L29" s="52"/>
      <c r="M29" s="143"/>
    </row>
    <row r="30" spans="1:14" ht="12" customHeight="1">
      <c r="A30" s="144"/>
      <c r="B30" s="240" t="s">
        <v>10</v>
      </c>
      <c r="C30" s="175" t="s">
        <v>52</v>
      </c>
      <c r="D30" s="176">
        <f>Measurements!E22</f>
        <v>52.615563316574793</v>
      </c>
      <c r="E30" s="177">
        <f>Measurements!K13</f>
        <v>62.94250000000001</v>
      </c>
      <c r="F30" s="178">
        <f t="shared" ref="F30" si="6">(E30/TAN(D30*PI()/180))</f>
        <v>48.096089355347758</v>
      </c>
      <c r="G30" s="179">
        <v>12.2</v>
      </c>
      <c r="H30" s="180">
        <f t="shared" ref="H30" si="7">(F30-G30)</f>
        <v>35.896089355347755</v>
      </c>
      <c r="I30" s="93"/>
      <c r="J30" s="181">
        <v>4.2202999999999999</v>
      </c>
      <c r="K30" s="182">
        <v>4.2165999999999997</v>
      </c>
      <c r="L30" s="183">
        <v>4.2050999999999998</v>
      </c>
      <c r="M30" s="143"/>
    </row>
    <row r="31" spans="1:14" s="131" customFormat="1" ht="12" customHeight="1">
      <c r="A31" s="144"/>
      <c r="B31" s="240"/>
      <c r="C31" s="138"/>
      <c r="D31" s="137"/>
      <c r="E31" s="137"/>
      <c r="F31" s="93"/>
      <c r="G31" s="93"/>
      <c r="H31" s="137"/>
      <c r="I31" s="93"/>
      <c r="J31" s="52"/>
      <c r="K31" s="52"/>
      <c r="L31" s="52"/>
      <c r="M31" s="143"/>
    </row>
    <row r="32" spans="1:14" ht="12" customHeight="1">
      <c r="A32" s="144"/>
      <c r="B32" s="241"/>
      <c r="C32" s="152" t="s">
        <v>52</v>
      </c>
      <c r="D32" s="160">
        <v>51.981000000000002</v>
      </c>
      <c r="E32" s="236" t="s">
        <v>62</v>
      </c>
      <c r="F32" s="228"/>
      <c r="G32" s="229"/>
      <c r="H32" s="154">
        <v>29.3</v>
      </c>
      <c r="I32" s="93"/>
      <c r="J32" s="107"/>
      <c r="K32" s="108"/>
      <c r="L32" s="109"/>
      <c r="M32" s="143"/>
    </row>
    <row r="33" spans="1:13" ht="12" customHeight="1">
      <c r="A33" s="144"/>
      <c r="B33" s="241"/>
      <c r="C33" s="161" t="s">
        <v>55</v>
      </c>
      <c r="D33" s="162">
        <v>7.5490000000000004</v>
      </c>
      <c r="E33" s="237"/>
      <c r="F33" s="237"/>
      <c r="G33" s="232"/>
      <c r="H33" s="157">
        <v>87.7</v>
      </c>
      <c r="I33" s="93"/>
      <c r="J33" s="111"/>
      <c r="K33" s="112"/>
      <c r="L33" s="110"/>
      <c r="M33" s="143"/>
    </row>
    <row r="34" spans="1:13" ht="12" customHeight="1">
      <c r="A34" s="144"/>
      <c r="B34" s="241"/>
      <c r="C34" s="163" t="s">
        <v>57</v>
      </c>
      <c r="D34" s="140">
        <v>4.5709999999999997</v>
      </c>
      <c r="E34" s="238"/>
      <c r="F34" s="238"/>
      <c r="G34" s="239"/>
      <c r="H34" s="84">
        <v>117.2</v>
      </c>
      <c r="I34" s="94"/>
      <c r="J34" s="111">
        <v>72.8626</v>
      </c>
      <c r="K34" s="75">
        <v>71.7196</v>
      </c>
      <c r="L34" s="194">
        <v>68.8</v>
      </c>
      <c r="M34" s="195">
        <v>26</v>
      </c>
    </row>
    <row r="35" spans="1:13" s="131" customFormat="1" ht="12" customHeight="1">
      <c r="A35" s="144"/>
      <c r="B35" s="144"/>
      <c r="C35" s="138"/>
      <c r="D35" s="137"/>
      <c r="E35" s="138"/>
      <c r="F35" s="138"/>
      <c r="G35" s="138"/>
      <c r="H35" s="137"/>
      <c r="I35" s="93"/>
      <c r="J35" s="52"/>
      <c r="K35" s="52"/>
      <c r="L35" s="52"/>
      <c r="M35" s="143"/>
    </row>
    <row r="36" spans="1:13" s="131" customFormat="1" ht="12" customHeight="1">
      <c r="A36" s="144"/>
      <c r="B36" s="76" t="s">
        <v>11</v>
      </c>
      <c r="C36" s="184" t="s">
        <v>52</v>
      </c>
      <c r="D36" s="185">
        <f>Measurements!D22</f>
        <v>48.655469390715659</v>
      </c>
      <c r="E36" s="185">
        <f>Measurements!L13</f>
        <v>52.125</v>
      </c>
      <c r="F36" s="186">
        <f t="shared" ref="F36" si="8">(E36/TAN(D36*PI()/180))</f>
        <v>45.864759370148583</v>
      </c>
      <c r="G36" s="187">
        <v>12.2</v>
      </c>
      <c r="H36" s="188">
        <f t="shared" ref="H36" si="9">(F36-G36)</f>
        <v>33.664759370148587</v>
      </c>
      <c r="I36" s="93"/>
      <c r="J36" s="189">
        <v>4.2266000000000004</v>
      </c>
      <c r="K36" s="190">
        <v>4.2229000000000001</v>
      </c>
      <c r="L36" s="191">
        <v>4.2114000000000003</v>
      </c>
      <c r="M36" s="143"/>
    </row>
    <row r="37" spans="1:13" s="131" customFormat="1" ht="12" customHeight="1">
      <c r="A37" s="144"/>
      <c r="B37" s="76"/>
      <c r="C37" s="138"/>
      <c r="D37" s="159"/>
      <c r="E37" s="159"/>
      <c r="F37" s="159"/>
      <c r="G37" s="159"/>
      <c r="H37" s="93"/>
      <c r="I37" s="93"/>
      <c r="J37" s="52"/>
      <c r="K37" s="52"/>
      <c r="L37" s="52"/>
      <c r="M37" s="143"/>
    </row>
    <row r="38" spans="1:13" s="131" customFormat="1" ht="12" customHeight="1">
      <c r="A38" s="144"/>
      <c r="B38" s="76" t="s">
        <v>12</v>
      </c>
      <c r="C38" s="184" t="s">
        <v>52</v>
      </c>
      <c r="D38" s="185">
        <f>Measurements!C22</f>
        <v>32.001644517495784</v>
      </c>
      <c r="E38" s="185">
        <f>Measurements!M13</f>
        <v>26.259999999999998</v>
      </c>
      <c r="F38" s="186">
        <f t="shared" ref="F38" si="10">(E38/TAN(D38*PI()/180))</f>
        <v>42.022100802374858</v>
      </c>
      <c r="G38" s="187">
        <v>12.2</v>
      </c>
      <c r="H38" s="188">
        <f t="shared" ref="H38" si="11">(F38-G38)</f>
        <v>29.822100802374859</v>
      </c>
      <c r="I38" s="93"/>
      <c r="J38" s="189">
        <v>4.3312999999999997</v>
      </c>
      <c r="K38" s="190">
        <v>4.3273999999999999</v>
      </c>
      <c r="L38" s="191">
        <v>4.3151999999999999</v>
      </c>
      <c r="M38" s="143"/>
    </row>
    <row r="39" spans="1:13" ht="12" customHeight="1">
      <c r="A39" s="144"/>
      <c r="B39" s="118"/>
      <c r="C39" s="138"/>
      <c r="D39" s="137"/>
      <c r="E39" s="159"/>
      <c r="F39" s="159"/>
      <c r="G39" s="159"/>
      <c r="H39" s="93"/>
      <c r="I39" s="93"/>
      <c r="J39" s="52"/>
      <c r="K39" s="52"/>
      <c r="L39" s="52"/>
      <c r="M39" s="143"/>
    </row>
    <row r="40" spans="1:13" ht="12" customHeight="1">
      <c r="A40" s="144"/>
      <c r="B40" s="215" t="s">
        <v>70</v>
      </c>
      <c r="C40" s="218"/>
      <c r="D40" s="159"/>
      <c r="E40" s="159"/>
      <c r="F40" s="159"/>
      <c r="G40" s="159"/>
      <c r="H40" s="93"/>
      <c r="I40" s="93"/>
      <c r="J40" s="52"/>
      <c r="K40" s="52"/>
      <c r="L40" s="52"/>
      <c r="M40" s="143"/>
    </row>
    <row r="41" spans="1:13" ht="12" customHeight="1">
      <c r="A41" s="144"/>
      <c r="B41" s="242" t="s">
        <v>59</v>
      </c>
      <c r="C41" s="243"/>
      <c r="D41" s="159"/>
      <c r="E41" s="159"/>
      <c r="F41" s="159"/>
      <c r="G41" s="159"/>
      <c r="H41" s="93"/>
      <c r="I41" s="93"/>
      <c r="J41" s="52"/>
      <c r="K41" s="52"/>
      <c r="L41" s="52"/>
      <c r="M41" s="143"/>
    </row>
    <row r="42" spans="1:13" s="131" customFormat="1" ht="12" customHeight="1">
      <c r="A42" s="144"/>
      <c r="B42" s="118"/>
      <c r="C42" s="68"/>
      <c r="D42" s="159"/>
      <c r="E42" s="159"/>
      <c r="F42" s="159"/>
      <c r="G42" s="159"/>
      <c r="H42" s="93"/>
      <c r="I42" s="93"/>
      <c r="J42" s="52"/>
      <c r="K42" s="52"/>
      <c r="L42" s="52"/>
      <c r="M42" s="143"/>
    </row>
    <row r="43" spans="1:13" ht="12" customHeight="1">
      <c r="A43" s="144"/>
      <c r="B43" s="240" t="s">
        <v>10</v>
      </c>
      <c r="C43" s="175" t="s">
        <v>52</v>
      </c>
      <c r="D43" s="180">
        <f>Measurements!E24</f>
        <v>51.925240895599288</v>
      </c>
      <c r="E43" s="180">
        <f>Measurements!K15</f>
        <v>62.247500000000002</v>
      </c>
      <c r="F43" s="180">
        <f t="shared" ref="F43" si="12">(E43/TAN(D43*PI()/180))</f>
        <v>48.764007974900217</v>
      </c>
      <c r="G43" s="192">
        <v>12.2</v>
      </c>
      <c r="H43" s="180">
        <f t="shared" ref="H43" si="13">(F43-G43)</f>
        <v>36.564007974900221</v>
      </c>
      <c r="I43" s="93"/>
      <c r="J43" s="181">
        <v>4.3287000000000004</v>
      </c>
      <c r="K43" s="181">
        <v>4.3472999999999997</v>
      </c>
      <c r="L43" s="181">
        <v>4.3127000000000004</v>
      </c>
      <c r="M43" s="143"/>
    </row>
    <row r="44" spans="1:13" s="131" customFormat="1" ht="12" customHeight="1">
      <c r="A44" s="144"/>
      <c r="B44" s="240"/>
      <c r="C44" s="138"/>
      <c r="D44" s="137"/>
      <c r="E44" s="137"/>
      <c r="F44" s="137"/>
      <c r="G44" s="93"/>
      <c r="H44" s="137"/>
      <c r="I44" s="93"/>
      <c r="J44" s="52"/>
      <c r="K44" s="52"/>
      <c r="L44" s="52"/>
      <c r="M44" s="143"/>
    </row>
    <row r="45" spans="1:13" ht="12" customHeight="1">
      <c r="A45" s="144"/>
      <c r="B45" s="241"/>
      <c r="C45" s="146" t="s">
        <v>52</v>
      </c>
      <c r="D45" s="164">
        <v>51.915999999999997</v>
      </c>
      <c r="E45" s="257" t="s">
        <v>62</v>
      </c>
      <c r="F45" s="258"/>
      <c r="G45" s="258"/>
      <c r="H45" s="154">
        <v>29.2</v>
      </c>
      <c r="I45" s="93"/>
      <c r="J45" s="107"/>
      <c r="K45" s="107"/>
      <c r="L45" s="107"/>
      <c r="M45" s="143"/>
    </row>
    <row r="46" spans="1:13" ht="12" customHeight="1">
      <c r="A46" s="144"/>
      <c r="B46" s="241"/>
      <c r="C46" s="155" t="s">
        <v>55</v>
      </c>
      <c r="D46" s="165">
        <v>6.9989999999999997</v>
      </c>
      <c r="E46" s="258"/>
      <c r="F46" s="258"/>
      <c r="G46" s="258"/>
      <c r="H46" s="157">
        <v>91.9</v>
      </c>
      <c r="I46" s="93"/>
      <c r="J46" s="111"/>
      <c r="K46" s="112"/>
      <c r="L46" s="110"/>
      <c r="M46" s="143"/>
    </row>
    <row r="47" spans="1:13" ht="12" customHeight="1">
      <c r="A47" s="144"/>
      <c r="B47" s="241"/>
      <c r="C47" s="78" t="s">
        <v>57</v>
      </c>
      <c r="D47" s="142">
        <v>4.0750000000000002</v>
      </c>
      <c r="E47" s="258"/>
      <c r="F47" s="258"/>
      <c r="G47" s="258"/>
      <c r="H47" s="84">
        <v>127.5</v>
      </c>
      <c r="I47" s="94"/>
      <c r="J47" s="111">
        <v>82.286799999999999</v>
      </c>
      <c r="K47" s="112">
        <v>86.621399999999994</v>
      </c>
      <c r="L47" s="196">
        <v>77.2</v>
      </c>
      <c r="M47" s="195">
        <v>27</v>
      </c>
    </row>
    <row r="48" spans="1:13" s="131" customFormat="1" ht="12" customHeight="1">
      <c r="A48" s="144"/>
      <c r="B48" s="144"/>
      <c r="C48" s="138"/>
      <c r="D48" s="137"/>
      <c r="E48" s="138"/>
      <c r="F48" s="138"/>
      <c r="G48" s="138"/>
      <c r="H48" s="137"/>
      <c r="I48" s="93"/>
      <c r="J48" s="52"/>
      <c r="K48" s="52"/>
      <c r="L48" s="52"/>
      <c r="M48" s="143"/>
    </row>
    <row r="49" spans="1:13" s="131" customFormat="1" ht="12" customHeight="1">
      <c r="A49" s="144"/>
      <c r="B49" s="76" t="s">
        <v>11</v>
      </c>
      <c r="C49" s="184" t="s">
        <v>52</v>
      </c>
      <c r="D49" s="185">
        <f>Measurements!D24</f>
        <v>48.663591036599449</v>
      </c>
      <c r="E49" s="185">
        <f>Measurements!L15</f>
        <v>51.960000000000008</v>
      </c>
      <c r="F49" s="186">
        <f t="shared" ref="F49" si="14">(E49/TAN(D49*PI()/180))</f>
        <v>45.706509900097373</v>
      </c>
      <c r="G49" s="187">
        <v>12.2</v>
      </c>
      <c r="H49" s="188">
        <f t="shared" ref="H49" si="15">(F49-G49)</f>
        <v>33.50650990009737</v>
      </c>
      <c r="I49" s="93"/>
      <c r="J49" s="181">
        <v>4.2267000000000001</v>
      </c>
      <c r="K49" s="190">
        <v>4.2446999999999999</v>
      </c>
      <c r="L49" s="191">
        <v>4.2115</v>
      </c>
      <c r="M49" s="143"/>
    </row>
    <row r="50" spans="1:13" s="131" customFormat="1" ht="12" customHeight="1">
      <c r="A50" s="144"/>
      <c r="B50" s="76"/>
      <c r="C50" s="138"/>
      <c r="D50" s="159"/>
      <c r="E50" s="159"/>
      <c r="F50" s="159"/>
      <c r="G50" s="159"/>
      <c r="H50" s="93"/>
      <c r="I50" s="93"/>
      <c r="J50" s="52"/>
      <c r="K50" s="52"/>
      <c r="L50" s="52"/>
      <c r="M50" s="143"/>
    </row>
    <row r="51" spans="1:13" s="131" customFormat="1" ht="12" customHeight="1">
      <c r="A51" s="144"/>
      <c r="B51" s="76" t="s">
        <v>12</v>
      </c>
      <c r="C51" s="184" t="s">
        <v>52</v>
      </c>
      <c r="D51" s="185">
        <f>Measurements!C24</f>
        <v>32.026916426219593</v>
      </c>
      <c r="E51" s="185">
        <f>Measurements!M15</f>
        <v>26.37</v>
      </c>
      <c r="F51" s="186">
        <f t="shared" ref="F51" si="16">(E51/TAN(D51*PI()/180))</f>
        <v>42.156739750270376</v>
      </c>
      <c r="G51" s="187">
        <v>12.2</v>
      </c>
      <c r="H51" s="188">
        <f t="shared" ref="H51" si="17">(F51-G51)</f>
        <v>29.956739750270376</v>
      </c>
      <c r="I51" s="93"/>
      <c r="J51" s="181">
        <v>4.3314000000000004</v>
      </c>
      <c r="K51" s="190">
        <v>4.3505000000000003</v>
      </c>
      <c r="L51" s="191">
        <v>4.3152999999999997</v>
      </c>
      <c r="M51" s="143"/>
    </row>
    <row r="52" spans="1:13" s="131" customFormat="1" ht="12" customHeight="1">
      <c r="A52" s="144"/>
      <c r="B52" s="144"/>
      <c r="C52" s="138"/>
      <c r="D52" s="137"/>
      <c r="E52" s="138"/>
      <c r="F52" s="138"/>
      <c r="G52" s="138"/>
      <c r="H52" s="137"/>
      <c r="I52" s="93"/>
      <c r="J52" s="52"/>
      <c r="K52" s="52"/>
      <c r="L52" s="52"/>
      <c r="M52" s="143"/>
    </row>
    <row r="53" spans="1:13" ht="12" customHeight="1">
      <c r="A53" s="144"/>
      <c r="B53" s="215" t="s">
        <v>71</v>
      </c>
      <c r="C53" s="218"/>
      <c r="D53" s="159"/>
      <c r="E53" s="159"/>
      <c r="F53" s="159"/>
      <c r="G53" s="159"/>
      <c r="H53" s="93"/>
      <c r="I53" s="93"/>
      <c r="J53" s="52"/>
      <c r="K53" s="52"/>
      <c r="L53" s="52"/>
      <c r="M53" s="143"/>
    </row>
    <row r="54" spans="1:13" ht="12" customHeight="1">
      <c r="A54" s="144"/>
      <c r="B54" s="246" t="s">
        <v>60</v>
      </c>
      <c r="C54" s="247"/>
      <c r="D54" s="159"/>
      <c r="E54" s="159"/>
      <c r="F54" s="159"/>
      <c r="G54" s="159"/>
      <c r="H54" s="93"/>
      <c r="I54" s="93"/>
      <c r="J54" s="52"/>
      <c r="K54" s="52"/>
      <c r="L54" s="52"/>
      <c r="M54" s="143"/>
    </row>
    <row r="55" spans="1:13" s="131" customFormat="1" ht="12" customHeight="1">
      <c r="A55" s="144"/>
      <c r="B55" s="118"/>
      <c r="C55" s="68"/>
      <c r="D55" s="159"/>
      <c r="E55" s="159"/>
      <c r="F55" s="159"/>
      <c r="G55" s="159"/>
      <c r="H55" s="93"/>
      <c r="I55" s="93"/>
      <c r="J55" s="52"/>
      <c r="K55" s="52"/>
      <c r="L55" s="52"/>
      <c r="M55" s="143"/>
    </row>
    <row r="56" spans="1:13" ht="12" customHeight="1">
      <c r="A56" s="144"/>
      <c r="B56" s="240" t="s">
        <v>10</v>
      </c>
      <c r="C56" s="139" t="s">
        <v>52</v>
      </c>
      <c r="D56" s="136">
        <v>53</v>
      </c>
      <c r="E56" s="136">
        <v>49.5</v>
      </c>
      <c r="F56" s="141">
        <f t="shared" ref="F56" si="18">(E56/TAN(D56*PI()/180))</f>
        <v>37.300925480088317</v>
      </c>
      <c r="G56" s="141">
        <v>1.3</v>
      </c>
      <c r="H56" s="136">
        <f t="shared" ref="H56" si="19">(F56-G56)</f>
        <v>36.00092548008832</v>
      </c>
      <c r="I56" s="93"/>
      <c r="J56" s="114">
        <v>4.1595000000000004</v>
      </c>
      <c r="K56" s="114">
        <v>4.1959</v>
      </c>
      <c r="L56" s="114">
        <v>4.1447000000000003</v>
      </c>
      <c r="M56" s="143"/>
    </row>
    <row r="57" spans="1:13" s="131" customFormat="1" ht="12" customHeight="1">
      <c r="A57" s="144"/>
      <c r="B57" s="240"/>
      <c r="C57" s="138"/>
      <c r="D57" s="137"/>
      <c r="E57" s="137"/>
      <c r="F57" s="93"/>
      <c r="G57" s="93"/>
      <c r="H57" s="137"/>
      <c r="I57" s="93"/>
      <c r="J57" s="52"/>
      <c r="K57" s="52"/>
      <c r="L57" s="52"/>
      <c r="M57" s="143"/>
    </row>
    <row r="58" spans="1:13" ht="12" customHeight="1">
      <c r="A58" s="144"/>
      <c r="B58" s="241"/>
      <c r="C58" s="146" t="s">
        <v>52</v>
      </c>
      <c r="D58" s="166"/>
      <c r="E58" s="236" t="s">
        <v>62</v>
      </c>
      <c r="F58" s="228"/>
      <c r="G58" s="229"/>
      <c r="H58" s="154">
        <v>29</v>
      </c>
      <c r="I58" s="93"/>
      <c r="J58" s="107"/>
      <c r="K58" s="107"/>
      <c r="L58" s="107"/>
      <c r="M58" s="143"/>
    </row>
    <row r="59" spans="1:13" ht="12" customHeight="1">
      <c r="A59" s="144"/>
      <c r="B59" s="241"/>
      <c r="C59" s="155" t="s">
        <v>55</v>
      </c>
      <c r="D59" s="156"/>
      <c r="E59" s="230"/>
      <c r="F59" s="231"/>
      <c r="G59" s="232"/>
      <c r="H59" s="157">
        <v>96.4</v>
      </c>
      <c r="I59" s="93"/>
      <c r="J59" s="111"/>
      <c r="K59" s="112"/>
      <c r="L59" s="110"/>
      <c r="M59" s="143"/>
    </row>
    <row r="60" spans="1:13" ht="12" customHeight="1">
      <c r="A60" s="144"/>
      <c r="B60" s="241"/>
      <c r="C60" s="78" t="s">
        <v>57</v>
      </c>
      <c r="D60" s="80">
        <v>3.613</v>
      </c>
      <c r="E60" s="233"/>
      <c r="F60" s="234"/>
      <c r="G60" s="235"/>
      <c r="H60" s="84">
        <v>139.30000000000001</v>
      </c>
      <c r="I60" s="93"/>
      <c r="J60" s="113">
        <v>93.5334</v>
      </c>
      <c r="K60" s="75">
        <v>104.12009999999999</v>
      </c>
      <c r="L60" s="194">
        <v>87.1</v>
      </c>
      <c r="M60" s="195">
        <v>28</v>
      </c>
    </row>
    <row r="61" spans="1:13" ht="12" customHeight="1">
      <c r="A61" s="144"/>
      <c r="B61" s="143"/>
      <c r="C61" s="138"/>
      <c r="D61" s="159"/>
      <c r="E61" s="159"/>
      <c r="F61" s="159"/>
      <c r="G61" s="159"/>
      <c r="H61" s="93"/>
      <c r="I61" s="93"/>
      <c r="J61" s="52"/>
      <c r="K61" s="52"/>
      <c r="L61" s="52"/>
      <c r="M61" s="143"/>
    </row>
    <row r="62" spans="1:13" s="131" customFormat="1" ht="12" customHeight="1">
      <c r="A62" s="144"/>
      <c r="B62" s="76" t="s">
        <v>11</v>
      </c>
      <c r="C62" s="132" t="s">
        <v>52</v>
      </c>
      <c r="D62" s="133">
        <v>49</v>
      </c>
      <c r="E62" s="133">
        <v>41.5</v>
      </c>
      <c r="F62" s="134">
        <f t="shared" ref="F62" si="20">(E62/TAN(D62*PI()/180))</f>
        <v>36.075399619373414</v>
      </c>
      <c r="G62" s="135">
        <v>1.3</v>
      </c>
      <c r="H62" s="136">
        <f t="shared" ref="H62" si="21">(F62-G62)</f>
        <v>34.775399619373417</v>
      </c>
      <c r="I62" s="93"/>
      <c r="J62" s="114">
        <v>4.1821999999999999</v>
      </c>
      <c r="K62" s="115">
        <v>4.2191000000000001</v>
      </c>
      <c r="L62" s="116">
        <v>4.1673</v>
      </c>
      <c r="M62" s="143"/>
    </row>
    <row r="63" spans="1:13" s="131" customFormat="1" ht="12" customHeight="1">
      <c r="A63" s="144"/>
      <c r="B63" s="76"/>
      <c r="C63" s="138"/>
      <c r="D63" s="159"/>
      <c r="E63" s="159"/>
      <c r="F63" s="159"/>
      <c r="G63" s="159"/>
      <c r="H63" s="93"/>
      <c r="I63" s="93"/>
      <c r="J63" s="52"/>
      <c r="K63" s="52"/>
      <c r="L63" s="52"/>
      <c r="M63" s="143"/>
    </row>
    <row r="64" spans="1:13" s="131" customFormat="1" ht="12" customHeight="1">
      <c r="A64" s="144"/>
      <c r="B64" s="76" t="s">
        <v>12</v>
      </c>
      <c r="C64" s="132" t="s">
        <v>52</v>
      </c>
      <c r="D64" s="133">
        <v>32</v>
      </c>
      <c r="E64" s="133">
        <v>21.5</v>
      </c>
      <c r="F64" s="134">
        <f t="shared" ref="F64" si="22">(E64/TAN(D64*PI()/180))</f>
        <v>34.407192374382582</v>
      </c>
      <c r="G64" s="135">
        <v>1.3</v>
      </c>
      <c r="H64" s="136">
        <f t="shared" ref="H64" si="23">(F64-G64)</f>
        <v>33.107192374382585</v>
      </c>
      <c r="I64" s="93"/>
      <c r="J64" s="114">
        <v>4.3314000000000004</v>
      </c>
      <c r="K64" s="115">
        <v>4.3712999999999997</v>
      </c>
      <c r="L64" s="116">
        <v>4.3154000000000003</v>
      </c>
      <c r="M64" s="143"/>
    </row>
    <row r="65" spans="1:13" ht="12" customHeight="1">
      <c r="A65" s="144"/>
      <c r="B65" s="143"/>
      <c r="C65" s="138"/>
      <c r="D65" s="159"/>
      <c r="E65" s="159"/>
      <c r="F65" s="159"/>
      <c r="G65" s="159"/>
      <c r="H65" s="93"/>
      <c r="I65" s="93"/>
      <c r="J65" s="52"/>
      <c r="K65" s="52"/>
      <c r="L65" s="52"/>
      <c r="M65" s="143"/>
    </row>
    <row r="66" spans="1:13" s="131" customFormat="1" ht="12" customHeight="1">
      <c r="A66" s="144"/>
      <c r="B66" s="143"/>
      <c r="C66" s="144"/>
      <c r="D66" s="159"/>
      <c r="E66" s="159"/>
      <c r="F66" s="159"/>
      <c r="G66" s="159"/>
      <c r="H66" s="93"/>
      <c r="I66" s="93"/>
      <c r="J66" s="52"/>
      <c r="K66" s="52"/>
      <c r="L66" s="52"/>
      <c r="M66" s="143"/>
    </row>
    <row r="67" spans="1:13" ht="12" customHeight="1">
      <c r="A67" s="144"/>
      <c r="B67" s="143"/>
      <c r="C67" s="138"/>
      <c r="D67" s="167"/>
      <c r="E67" s="167"/>
      <c r="F67" s="167"/>
      <c r="G67" s="167"/>
      <c r="H67" s="93"/>
      <c r="I67" s="93"/>
      <c r="J67" s="52"/>
      <c r="K67" s="52"/>
      <c r="L67" s="52"/>
      <c r="M67" s="143"/>
    </row>
    <row r="68" spans="1:13" ht="12" customHeight="1">
      <c r="A68" s="144"/>
      <c r="B68" s="144"/>
      <c r="C68" s="144"/>
      <c r="D68" s="252" t="s">
        <v>59</v>
      </c>
      <c r="E68" s="253"/>
      <c r="F68" s="253"/>
      <c r="G68" s="254"/>
      <c r="H68" s="216"/>
      <c r="I68" s="76"/>
      <c r="J68" s="58"/>
      <c r="K68" s="58"/>
      <c r="L68" s="63"/>
      <c r="M68" s="143"/>
    </row>
    <row r="69" spans="1:13" ht="12" customHeight="1">
      <c r="A69" s="144"/>
      <c r="B69" s="144"/>
      <c r="C69" s="144"/>
      <c r="D69" s="96"/>
      <c r="E69" s="96"/>
      <c r="F69" s="96"/>
      <c r="G69" s="96"/>
      <c r="H69" s="76"/>
      <c r="I69" s="76"/>
      <c r="J69" s="172"/>
      <c r="K69" s="172"/>
      <c r="L69" s="63"/>
      <c r="M69" s="143"/>
    </row>
    <row r="70" spans="1:13" ht="12" customHeight="1">
      <c r="A70" s="144"/>
      <c r="B70" s="244" t="s">
        <v>13</v>
      </c>
      <c r="C70" s="245"/>
      <c r="D70" s="85" t="s">
        <v>0</v>
      </c>
      <c r="E70" s="85" t="s">
        <v>1</v>
      </c>
      <c r="F70" s="85" t="s">
        <v>2</v>
      </c>
      <c r="G70" s="86" t="s">
        <v>14</v>
      </c>
      <c r="H70" s="87" t="s">
        <v>4</v>
      </c>
      <c r="I70" s="68"/>
      <c r="J70" s="59" t="s">
        <v>47</v>
      </c>
      <c r="K70" s="60" t="s">
        <v>49</v>
      </c>
      <c r="L70" s="61" t="s">
        <v>50</v>
      </c>
      <c r="M70" s="143"/>
    </row>
    <row r="71" spans="1:13" ht="12" customHeight="1">
      <c r="A71" s="144"/>
      <c r="B71" s="215" t="s">
        <v>59</v>
      </c>
      <c r="C71" s="216"/>
      <c r="D71" s="85" t="s">
        <v>5</v>
      </c>
      <c r="E71" s="85" t="s">
        <v>15</v>
      </c>
      <c r="F71" s="85" t="s">
        <v>16</v>
      </c>
      <c r="G71" s="86" t="s">
        <v>8</v>
      </c>
      <c r="H71" s="88" t="s">
        <v>9</v>
      </c>
      <c r="I71" s="68"/>
      <c r="J71" s="62" t="s">
        <v>48</v>
      </c>
      <c r="K71" s="60" t="s">
        <v>48</v>
      </c>
      <c r="L71" s="61" t="s">
        <v>48</v>
      </c>
      <c r="M71" s="143"/>
    </row>
    <row r="72" spans="1:13" ht="12" customHeight="1">
      <c r="A72" s="144"/>
      <c r="B72" s="144"/>
      <c r="C72" s="89"/>
      <c r="D72" s="144"/>
      <c r="E72" s="144"/>
      <c r="F72" s="144"/>
      <c r="G72" s="144"/>
      <c r="H72" s="76"/>
      <c r="I72" s="76"/>
      <c r="J72" s="63"/>
      <c r="K72" s="63"/>
      <c r="L72" s="63"/>
      <c r="M72" s="143"/>
    </row>
    <row r="73" spans="1:13" ht="12" customHeight="1">
      <c r="A73" s="144"/>
      <c r="B73" s="145" t="s">
        <v>10</v>
      </c>
      <c r="C73" s="51" t="s">
        <v>53</v>
      </c>
      <c r="D73" s="90">
        <f>'5.2mm_Measurements'!E17</f>
        <v>45.913066169094947</v>
      </c>
      <c r="E73" s="90">
        <f>'5.2mm_Measurements'!K11</f>
        <v>51.758749999999999</v>
      </c>
      <c r="F73" s="91">
        <f>(E73/TAN(D73*PI()/180))</f>
        <v>50.134835240760637</v>
      </c>
      <c r="G73" s="91">
        <v>12.2</v>
      </c>
      <c r="H73" s="90">
        <f>(F73-G73)</f>
        <v>37.934835240760634</v>
      </c>
      <c r="I73" s="94"/>
      <c r="J73" s="53">
        <v>5.3544</v>
      </c>
      <c r="K73" s="53">
        <v>5.3483999999999998</v>
      </c>
      <c r="L73" s="53">
        <v>5.33</v>
      </c>
      <c r="M73" s="71">
        <v>1</v>
      </c>
    </row>
    <row r="74" spans="1:13" ht="12" customHeight="1">
      <c r="A74" s="144"/>
      <c r="B74" s="144"/>
      <c r="C74" s="144"/>
      <c r="D74" s="96"/>
      <c r="E74" s="90"/>
      <c r="F74" s="97"/>
      <c r="G74" s="97"/>
      <c r="H74" s="98"/>
      <c r="I74" s="99"/>
      <c r="J74" s="58"/>
      <c r="K74" s="58"/>
      <c r="L74" s="58"/>
      <c r="M74" s="143"/>
    </row>
    <row r="75" spans="1:13" ht="12" customHeight="1">
      <c r="A75" s="144"/>
      <c r="B75" s="145" t="s">
        <v>11</v>
      </c>
      <c r="C75" s="51" t="s">
        <v>53</v>
      </c>
      <c r="D75" s="90">
        <f>'5.2mm_Measurements'!D17</f>
        <v>42.221873486375877</v>
      </c>
      <c r="E75" s="90">
        <f>'5.2mm_Measurements'!L11</f>
        <v>43.410000000000004</v>
      </c>
      <c r="F75" s="90">
        <f>(E75/TAN(D75*PI()/180))</f>
        <v>47.837846365797844</v>
      </c>
      <c r="G75" s="91">
        <v>12.2</v>
      </c>
      <c r="H75" s="90">
        <f>(F75-G75)</f>
        <v>35.637846365797841</v>
      </c>
      <c r="I75" s="93"/>
      <c r="J75" s="54">
        <v>5.3108000000000004</v>
      </c>
      <c r="K75" s="54">
        <v>5.3049999999999997</v>
      </c>
      <c r="L75" s="54">
        <v>5.2868000000000004</v>
      </c>
      <c r="M75" s="71">
        <v>2</v>
      </c>
    </row>
    <row r="76" spans="1:13" ht="12" customHeight="1">
      <c r="A76" s="144"/>
      <c r="B76" s="144"/>
      <c r="C76" s="144"/>
      <c r="D76" s="90"/>
      <c r="E76" s="96"/>
      <c r="F76" s="97"/>
      <c r="G76" s="97"/>
      <c r="H76" s="98"/>
      <c r="I76" s="99"/>
      <c r="J76" s="58"/>
      <c r="K76" s="58"/>
      <c r="L76" s="58"/>
      <c r="M76" s="143"/>
    </row>
    <row r="77" spans="1:13" ht="12" customHeight="1">
      <c r="A77" s="144"/>
      <c r="B77" s="145" t="s">
        <v>12</v>
      </c>
      <c r="C77" s="51" t="s">
        <v>53</v>
      </c>
      <c r="D77" s="90">
        <f>'5.2mm_Measurements'!C17</f>
        <v>27.234251254420659</v>
      </c>
      <c r="E77" s="90">
        <f>'5.2mm_Measurements'!M11</f>
        <v>22.75</v>
      </c>
      <c r="F77" s="90">
        <f>(E77/TAN(D77*PI()/180))</f>
        <v>44.201697682011094</v>
      </c>
      <c r="G77" s="91">
        <v>12.2</v>
      </c>
      <c r="H77" s="90">
        <f>(F77-G77)</f>
        <v>32.001697682011098</v>
      </c>
      <c r="I77" s="93"/>
      <c r="J77" s="54">
        <v>5.2705000000000002</v>
      </c>
      <c r="K77" s="54">
        <v>5.2647000000000004</v>
      </c>
      <c r="L77" s="54">
        <v>5.2468000000000004</v>
      </c>
      <c r="M77" s="71">
        <v>3</v>
      </c>
    </row>
    <row r="78" spans="1:13" ht="12" customHeight="1">
      <c r="A78" s="144"/>
      <c r="B78" s="144"/>
      <c r="C78" s="55"/>
      <c r="D78" s="101"/>
      <c r="E78" s="102"/>
      <c r="F78" s="94"/>
      <c r="G78" s="94"/>
      <c r="H78" s="101"/>
      <c r="I78" s="94"/>
      <c r="J78" s="52"/>
      <c r="K78" s="52"/>
      <c r="L78" s="52"/>
      <c r="M78" s="143"/>
    </row>
    <row r="79" spans="1:13" ht="12" customHeight="1">
      <c r="A79" s="144"/>
      <c r="B79" s="209" t="s">
        <v>72</v>
      </c>
      <c r="C79" s="79" t="s">
        <v>61</v>
      </c>
      <c r="D79" s="82" t="s">
        <v>65</v>
      </c>
      <c r="E79" s="81" t="s">
        <v>56</v>
      </c>
      <c r="F79" s="81" t="s">
        <v>56</v>
      </c>
      <c r="G79" s="81">
        <f>378-G15</f>
        <v>376.7</v>
      </c>
      <c r="H79" s="82" t="s">
        <v>76</v>
      </c>
      <c r="I79" s="93"/>
      <c r="J79" s="125" t="s">
        <v>56</v>
      </c>
      <c r="K79" s="74" t="s">
        <v>56</v>
      </c>
      <c r="L79" s="200" t="s">
        <v>56</v>
      </c>
      <c r="M79" s="213">
        <v>4</v>
      </c>
    </row>
    <row r="80" spans="1:13" ht="12" customHeight="1">
      <c r="A80" s="144"/>
      <c r="B80" s="210"/>
      <c r="C80" s="119" t="s">
        <v>64</v>
      </c>
      <c r="D80" s="225" t="s">
        <v>63</v>
      </c>
      <c r="E80" s="226"/>
      <c r="F80" s="226"/>
      <c r="G80" s="226"/>
      <c r="H80" s="120">
        <v>33.355800000000002</v>
      </c>
      <c r="I80" s="93"/>
      <c r="J80" s="121">
        <v>5.2239000000000004</v>
      </c>
      <c r="K80" s="122">
        <v>5.2183000000000002</v>
      </c>
      <c r="L80" s="197">
        <v>5.2005999999999997</v>
      </c>
      <c r="M80" s="212"/>
    </row>
    <row r="81" spans="1:13" ht="12" customHeight="1">
      <c r="A81" s="144"/>
      <c r="B81" s="144"/>
      <c r="C81" s="144"/>
      <c r="D81" s="151"/>
      <c r="E81" s="151"/>
      <c r="F81" s="97"/>
      <c r="G81" s="97"/>
      <c r="H81" s="96"/>
      <c r="I81" s="97"/>
      <c r="J81" s="63"/>
      <c r="K81" s="63"/>
      <c r="L81" s="63"/>
      <c r="M81" s="143"/>
    </row>
    <row r="82" spans="1:13" ht="12" customHeight="1">
      <c r="A82" s="144"/>
      <c r="B82" s="144"/>
      <c r="C82" s="144"/>
      <c r="D82" s="151"/>
      <c r="E82" s="151"/>
      <c r="F82" s="97"/>
      <c r="G82" s="97"/>
      <c r="H82" s="98"/>
      <c r="I82" s="99"/>
      <c r="J82" s="58"/>
      <c r="K82" s="63"/>
      <c r="L82" s="63"/>
      <c r="M82" s="143"/>
    </row>
    <row r="83" spans="1:13" ht="12" customHeight="1">
      <c r="A83" s="144"/>
      <c r="B83" s="244" t="s">
        <v>17</v>
      </c>
      <c r="C83" s="245"/>
      <c r="D83" s="85" t="s">
        <v>0</v>
      </c>
      <c r="E83" s="85" t="s">
        <v>1</v>
      </c>
      <c r="F83" s="85" t="s">
        <v>2</v>
      </c>
      <c r="G83" s="86" t="s">
        <v>14</v>
      </c>
      <c r="H83" s="103" t="s">
        <v>4</v>
      </c>
      <c r="I83" s="68"/>
      <c r="J83" s="69" t="s">
        <v>47</v>
      </c>
      <c r="K83" s="60" t="s">
        <v>49</v>
      </c>
      <c r="L83" s="61" t="s">
        <v>50</v>
      </c>
      <c r="M83" s="143"/>
    </row>
    <row r="84" spans="1:13" ht="12" customHeight="1">
      <c r="A84" s="144"/>
      <c r="B84" s="215" t="s">
        <v>59</v>
      </c>
      <c r="C84" s="216"/>
      <c r="D84" s="85" t="s">
        <v>5</v>
      </c>
      <c r="E84" s="85" t="s">
        <v>15</v>
      </c>
      <c r="F84" s="85" t="s">
        <v>16</v>
      </c>
      <c r="G84" s="86" t="s">
        <v>8</v>
      </c>
      <c r="H84" s="103" t="s">
        <v>9</v>
      </c>
      <c r="I84" s="68"/>
      <c r="J84" s="69" t="s">
        <v>48</v>
      </c>
      <c r="K84" s="60" t="s">
        <v>48</v>
      </c>
      <c r="L84" s="61" t="s">
        <v>48</v>
      </c>
      <c r="M84" s="143"/>
    </row>
    <row r="85" spans="1:13" ht="12" customHeight="1">
      <c r="A85" s="144"/>
      <c r="B85" s="144"/>
      <c r="C85" s="89"/>
      <c r="D85" s="144"/>
      <c r="E85" s="144"/>
      <c r="F85" s="144"/>
      <c r="G85" s="144"/>
      <c r="H85" s="98"/>
      <c r="I85" s="76"/>
      <c r="J85" s="63"/>
      <c r="K85" s="63"/>
      <c r="L85" s="63"/>
      <c r="M85" s="143"/>
    </row>
    <row r="86" spans="1:13" ht="12" customHeight="1">
      <c r="A86" s="144"/>
      <c r="B86" s="145" t="s">
        <v>10</v>
      </c>
      <c r="C86" s="51" t="s">
        <v>53</v>
      </c>
      <c r="D86" s="90">
        <f>'5.2mm_Measurements'!E18</f>
        <v>46.05086879601906</v>
      </c>
      <c r="E86" s="90">
        <f>'5.2mm_Measurements'!K12</f>
        <v>50.72</v>
      </c>
      <c r="F86" s="90">
        <f>(E86/TAN(D86*PI()/180))</f>
        <v>48.892785012746288</v>
      </c>
      <c r="G86" s="91">
        <v>12.2</v>
      </c>
      <c r="H86" s="90">
        <f>(F86-G86)</f>
        <v>36.692785012746285</v>
      </c>
      <c r="I86" s="93"/>
      <c r="J86" s="53">
        <v>5.3170999999999999</v>
      </c>
      <c r="K86" s="53">
        <v>5.3452000000000002</v>
      </c>
      <c r="L86" s="53">
        <v>5.2930000000000001</v>
      </c>
      <c r="M86" s="71">
        <v>5</v>
      </c>
    </row>
    <row r="87" spans="1:13" ht="12" customHeight="1">
      <c r="A87" s="144"/>
      <c r="B87" s="144"/>
      <c r="C87" s="144"/>
      <c r="D87" s="96"/>
      <c r="E87" s="96"/>
      <c r="F87" s="96"/>
      <c r="G87" s="97"/>
      <c r="H87" s="98"/>
      <c r="I87" s="99"/>
      <c r="J87" s="58"/>
      <c r="K87" s="58"/>
      <c r="L87" s="58"/>
      <c r="M87" s="143"/>
    </row>
    <row r="88" spans="1:13" ht="12" customHeight="1">
      <c r="A88" s="144"/>
      <c r="B88" s="145" t="s">
        <v>11</v>
      </c>
      <c r="C88" s="51" t="s">
        <v>53</v>
      </c>
      <c r="D88" s="90">
        <f>'5.2mm_Measurements'!D18</f>
        <v>42.174848760944172</v>
      </c>
      <c r="E88" s="90">
        <f>'5.2mm_Measurements'!L12</f>
        <v>43.080000000000005</v>
      </c>
      <c r="F88" s="90">
        <f>(E88/TAN(D88*PI()/180))</f>
        <v>47.552552498189733</v>
      </c>
      <c r="G88" s="91">
        <v>12.2</v>
      </c>
      <c r="H88" s="90">
        <f>(F88-G88)</f>
        <v>35.352552498189738</v>
      </c>
      <c r="I88" s="93"/>
      <c r="J88" s="54">
        <v>5.3109999999999999</v>
      </c>
      <c r="K88" s="54">
        <v>5.3391000000000002</v>
      </c>
      <c r="L88" s="54">
        <v>5.2869000000000002</v>
      </c>
      <c r="M88" s="71">
        <v>6</v>
      </c>
    </row>
    <row r="89" spans="1:13" ht="12" customHeight="1">
      <c r="A89" s="144"/>
      <c r="B89" s="144"/>
      <c r="C89" s="144"/>
      <c r="D89" s="96"/>
      <c r="E89" s="96"/>
      <c r="F89" s="96"/>
      <c r="G89" s="97"/>
      <c r="H89" s="98"/>
      <c r="I89" s="99"/>
      <c r="J89" s="58"/>
      <c r="K89" s="58"/>
      <c r="L89" s="58"/>
      <c r="M89" s="143"/>
    </row>
    <row r="90" spans="1:13" ht="12" customHeight="1">
      <c r="A90" s="144"/>
      <c r="B90" s="145" t="s">
        <v>12</v>
      </c>
      <c r="C90" s="51" t="s">
        <v>53</v>
      </c>
      <c r="D90" s="90">
        <f>'5.2mm_Measurements'!C18</f>
        <v>27.263597519721387</v>
      </c>
      <c r="E90" s="90">
        <f>'5.2mm_Measurements'!M12</f>
        <v>22.619999999999997</v>
      </c>
      <c r="F90" s="90">
        <f>(E90/TAN(D90*PI()/180))</f>
        <v>43.893849948285457</v>
      </c>
      <c r="G90" s="91">
        <v>12.2</v>
      </c>
      <c r="H90" s="90">
        <f>(F90-G90)</f>
        <v>31.693849948285457</v>
      </c>
      <c r="I90" s="93"/>
      <c r="J90" s="54">
        <v>5.2480000000000002</v>
      </c>
      <c r="K90" s="54">
        <v>5.2758000000000003</v>
      </c>
      <c r="L90" s="54">
        <v>5.2244999999999999</v>
      </c>
      <c r="M90" s="71">
        <v>7</v>
      </c>
    </row>
    <row r="91" spans="1:13" ht="12" customHeight="1">
      <c r="A91" s="144"/>
      <c r="B91" s="144"/>
      <c r="C91" s="55"/>
      <c r="D91" s="102"/>
      <c r="E91" s="102"/>
      <c r="F91" s="94"/>
      <c r="G91" s="94"/>
      <c r="H91" s="101"/>
      <c r="I91" s="94"/>
      <c r="J91" s="52"/>
      <c r="K91" s="52"/>
      <c r="L91" s="52"/>
      <c r="M91" s="143"/>
    </row>
    <row r="92" spans="1:13" ht="12" customHeight="1">
      <c r="A92" s="144"/>
      <c r="B92" s="209" t="s">
        <v>72</v>
      </c>
      <c r="C92" s="79" t="s">
        <v>61</v>
      </c>
      <c r="D92" s="82" t="s">
        <v>65</v>
      </c>
      <c r="E92" s="81" t="s">
        <v>56</v>
      </c>
      <c r="F92" s="81" t="s">
        <v>56</v>
      </c>
      <c r="G92" s="81" t="s">
        <v>56</v>
      </c>
      <c r="H92" s="82" t="s">
        <v>75</v>
      </c>
      <c r="I92" s="93"/>
      <c r="J92" s="125" t="s">
        <v>56</v>
      </c>
      <c r="K92" s="74" t="s">
        <v>56</v>
      </c>
      <c r="L92" s="200" t="s">
        <v>56</v>
      </c>
      <c r="M92" s="213">
        <v>8</v>
      </c>
    </row>
    <row r="93" spans="1:13" ht="12" customHeight="1">
      <c r="A93" s="144"/>
      <c r="B93" s="210"/>
      <c r="C93" s="119" t="s">
        <v>61</v>
      </c>
      <c r="D93" s="225" t="s">
        <v>63</v>
      </c>
      <c r="E93" s="226"/>
      <c r="F93" s="226"/>
      <c r="G93" s="226"/>
      <c r="H93" s="120">
        <v>31.6023</v>
      </c>
      <c r="I93" s="93"/>
      <c r="J93" s="126">
        <v>5.2244000000000002</v>
      </c>
      <c r="K93" s="123">
        <v>5.2819000000000003</v>
      </c>
      <c r="L93" s="198">
        <v>2.2012</v>
      </c>
      <c r="M93" s="212"/>
    </row>
    <row r="94" spans="1:13" ht="12" customHeight="1">
      <c r="A94" s="144"/>
      <c r="B94" s="144"/>
      <c r="C94" s="55"/>
      <c r="D94" s="102"/>
      <c r="E94" s="102"/>
      <c r="F94" s="94"/>
      <c r="G94" s="94"/>
      <c r="H94" s="101"/>
      <c r="I94" s="94"/>
      <c r="J94" s="52"/>
      <c r="K94" s="52"/>
      <c r="L94" s="52"/>
      <c r="M94" s="143"/>
    </row>
    <row r="95" spans="1:13" ht="12" customHeight="1">
      <c r="A95" s="144"/>
      <c r="B95" s="144"/>
      <c r="C95" s="55"/>
      <c r="D95" s="102"/>
      <c r="E95" s="102"/>
      <c r="F95" s="94"/>
      <c r="G95" s="94"/>
      <c r="H95" s="101"/>
      <c r="I95" s="94"/>
      <c r="J95" s="52"/>
      <c r="K95" s="52"/>
      <c r="L95" s="52"/>
      <c r="M95" s="143"/>
    </row>
    <row r="96" spans="1:13" ht="12" customHeight="1">
      <c r="A96" s="144"/>
      <c r="B96" s="259" t="s">
        <v>51</v>
      </c>
      <c r="C96" s="245"/>
      <c r="D96" s="85" t="s">
        <v>0</v>
      </c>
      <c r="E96" s="85" t="s">
        <v>1</v>
      </c>
      <c r="F96" s="85" t="s">
        <v>2</v>
      </c>
      <c r="G96" s="86" t="s">
        <v>14</v>
      </c>
      <c r="H96" s="103" t="s">
        <v>4</v>
      </c>
      <c r="I96" s="68"/>
      <c r="J96" s="69" t="s">
        <v>47</v>
      </c>
      <c r="K96" s="60" t="s">
        <v>49</v>
      </c>
      <c r="L96" s="61" t="s">
        <v>50</v>
      </c>
      <c r="M96" s="143"/>
    </row>
    <row r="97" spans="1:13" ht="12" customHeight="1">
      <c r="A97" s="144"/>
      <c r="B97" s="215" t="s">
        <v>59</v>
      </c>
      <c r="C97" s="216"/>
      <c r="D97" s="85" t="s">
        <v>5</v>
      </c>
      <c r="E97" s="85" t="s">
        <v>15</v>
      </c>
      <c r="F97" s="85" t="s">
        <v>16</v>
      </c>
      <c r="G97" s="86" t="s">
        <v>8</v>
      </c>
      <c r="H97" s="103" t="s">
        <v>9</v>
      </c>
      <c r="I97" s="68"/>
      <c r="J97" s="69" t="s">
        <v>48</v>
      </c>
      <c r="K97" s="60" t="s">
        <v>48</v>
      </c>
      <c r="L97" s="61" t="s">
        <v>48</v>
      </c>
      <c r="M97" s="143"/>
    </row>
    <row r="98" spans="1:13" ht="12" customHeight="1">
      <c r="A98" s="144"/>
      <c r="B98" s="144"/>
      <c r="C98" s="55"/>
      <c r="D98" s="102"/>
      <c r="E98" s="102"/>
      <c r="F98" s="94"/>
      <c r="G98" s="94"/>
      <c r="H98" s="101"/>
      <c r="I98" s="94"/>
      <c r="J98" s="52"/>
      <c r="K98" s="52"/>
      <c r="L98" s="52"/>
      <c r="M98" s="143"/>
    </row>
    <row r="99" spans="1:13" ht="12" customHeight="1">
      <c r="A99" s="144"/>
      <c r="B99" s="145" t="s">
        <v>10</v>
      </c>
      <c r="C99" s="51" t="s">
        <v>53</v>
      </c>
      <c r="D99" s="90">
        <f>'5.2mm_Measurements'!E19</f>
        <v>45.750003498735126</v>
      </c>
      <c r="E99" s="90">
        <f>'5.2mm_Measurements'!K13</f>
        <v>50.564999999999998</v>
      </c>
      <c r="F99" s="91">
        <f>(E99/TAN(D99*PI()/180))</f>
        <v>49.258236160238269</v>
      </c>
      <c r="G99" s="91">
        <v>12.2</v>
      </c>
      <c r="H99" s="90">
        <f>(F99-G99)</f>
        <v>37.058236160238266</v>
      </c>
      <c r="I99" s="93"/>
      <c r="J99" s="53">
        <v>5.3734999999999999</v>
      </c>
      <c r="K99" s="53">
        <v>5.4337999999999997</v>
      </c>
      <c r="L99" s="53">
        <v>5.3489000000000004</v>
      </c>
      <c r="M99" s="71">
        <v>9</v>
      </c>
    </row>
    <row r="100" spans="1:13" ht="12" customHeight="1">
      <c r="A100" s="144"/>
      <c r="B100" s="144"/>
      <c r="C100" s="144"/>
      <c r="D100" s="96"/>
      <c r="E100" s="96"/>
      <c r="F100" s="97"/>
      <c r="G100" s="97"/>
      <c r="H100" s="98"/>
      <c r="I100" s="99"/>
      <c r="J100" s="58"/>
      <c r="K100" s="58"/>
      <c r="L100" s="58"/>
      <c r="M100" s="143"/>
    </row>
    <row r="101" spans="1:13" ht="12" customHeight="1">
      <c r="A101" s="144"/>
      <c r="B101" s="145" t="s">
        <v>11</v>
      </c>
      <c r="C101" s="51" t="s">
        <v>53</v>
      </c>
      <c r="D101" s="90">
        <f>'5.2mm_Measurements'!D17</f>
        <v>42.221873486375877</v>
      </c>
      <c r="E101" s="90">
        <f>'5.2mm_Measurements'!L11</f>
        <v>43.410000000000004</v>
      </c>
      <c r="F101" s="90">
        <f>(E101/TAN(D101*PI()/180))</f>
        <v>47.837846365797844</v>
      </c>
      <c r="G101" s="91">
        <v>12.2</v>
      </c>
      <c r="H101" s="90">
        <f>(F101-G101)</f>
        <v>35.637846365797841</v>
      </c>
      <c r="I101" s="93"/>
      <c r="J101" s="54">
        <v>5.3108000000000004</v>
      </c>
      <c r="K101" s="54">
        <v>5.3049999999999997</v>
      </c>
      <c r="L101" s="54">
        <v>5.2868000000000004</v>
      </c>
      <c r="M101" s="71">
        <v>10</v>
      </c>
    </row>
    <row r="102" spans="1:13" ht="12" customHeight="1">
      <c r="A102" s="144"/>
      <c r="B102" s="144"/>
      <c r="C102" s="144"/>
      <c r="D102" s="96"/>
      <c r="E102" s="96"/>
      <c r="F102" s="97"/>
      <c r="G102" s="97"/>
      <c r="H102" s="98"/>
      <c r="I102" s="99"/>
      <c r="J102" s="58"/>
      <c r="K102" s="58"/>
      <c r="L102" s="58"/>
      <c r="M102" s="143"/>
    </row>
    <row r="103" spans="1:13" ht="12" customHeight="1">
      <c r="A103" s="144"/>
      <c r="B103" s="145" t="s">
        <v>12</v>
      </c>
      <c r="C103" s="51" t="s">
        <v>53</v>
      </c>
      <c r="D103" s="90">
        <f>'5.2mm_Measurements'!C17</f>
        <v>27.234251254420659</v>
      </c>
      <c r="E103" s="90">
        <f>'5.2mm_Measurements'!M11</f>
        <v>22.75</v>
      </c>
      <c r="F103" s="90">
        <f>(E103/TAN(D103*PI()/180))</f>
        <v>44.201697682011094</v>
      </c>
      <c r="G103" s="91">
        <v>12.2</v>
      </c>
      <c r="H103" s="90">
        <f>(F103-G103)</f>
        <v>32.001697682011098</v>
      </c>
      <c r="I103" s="93"/>
      <c r="J103" s="54">
        <v>5.2705000000000002</v>
      </c>
      <c r="K103" s="54">
        <v>5.2647000000000004</v>
      </c>
      <c r="L103" s="54">
        <v>5.2468000000000004</v>
      </c>
      <c r="M103" s="71">
        <v>11</v>
      </c>
    </row>
    <row r="104" spans="1:13" ht="12" customHeight="1">
      <c r="A104" s="144"/>
      <c r="B104" s="144"/>
      <c r="C104" s="55"/>
      <c r="D104" s="101"/>
      <c r="E104" s="101"/>
      <c r="F104" s="94"/>
      <c r="G104" s="94"/>
      <c r="H104" s="101"/>
      <c r="I104" s="94"/>
      <c r="J104" s="52"/>
      <c r="K104" s="52"/>
      <c r="L104" s="52"/>
      <c r="M104" s="143"/>
    </row>
    <row r="105" spans="1:13" ht="12" customHeight="1">
      <c r="A105" s="144"/>
      <c r="B105" s="209" t="s">
        <v>72</v>
      </c>
      <c r="C105" s="79" t="s">
        <v>61</v>
      </c>
      <c r="D105" s="82" t="s">
        <v>65</v>
      </c>
      <c r="E105" s="82" t="s">
        <v>56</v>
      </c>
      <c r="F105" s="81" t="s">
        <v>56</v>
      </c>
      <c r="G105" s="81" t="s">
        <v>56</v>
      </c>
      <c r="H105" s="106" t="s">
        <v>77</v>
      </c>
      <c r="I105" s="93"/>
      <c r="J105" s="125" t="s">
        <v>56</v>
      </c>
      <c r="K105" s="74" t="s">
        <v>56</v>
      </c>
      <c r="L105" s="200" t="s">
        <v>56</v>
      </c>
      <c r="M105" s="213">
        <v>12</v>
      </c>
    </row>
    <row r="106" spans="1:13" ht="12" customHeight="1">
      <c r="A106" s="144"/>
      <c r="B106" s="210"/>
      <c r="C106" s="124" t="s">
        <v>61</v>
      </c>
      <c r="D106" s="225" t="s">
        <v>63</v>
      </c>
      <c r="E106" s="226"/>
      <c r="F106" s="226"/>
      <c r="G106" s="226"/>
      <c r="H106" s="120">
        <v>30.420500000000001</v>
      </c>
      <c r="I106" s="93"/>
      <c r="J106" s="126">
        <v>5.2233000000000001</v>
      </c>
      <c r="K106" s="123">
        <v>5.2819000000000003</v>
      </c>
      <c r="L106" s="198">
        <v>5.2000999999999999</v>
      </c>
      <c r="M106" s="212"/>
    </row>
    <row r="107" spans="1:13" ht="12" customHeight="1">
      <c r="A107" s="144"/>
      <c r="B107" s="144"/>
      <c r="C107" s="55"/>
      <c r="D107" s="102"/>
      <c r="E107" s="102"/>
      <c r="F107" s="94"/>
      <c r="G107" s="94"/>
      <c r="H107" s="101"/>
      <c r="I107" s="94"/>
      <c r="J107" s="52"/>
      <c r="K107" s="52"/>
      <c r="L107" s="52"/>
      <c r="M107" s="144"/>
    </row>
    <row r="108" spans="1:13" ht="12" customHeight="1">
      <c r="A108" s="144"/>
      <c r="B108" s="144"/>
      <c r="C108" s="55"/>
      <c r="D108" s="102"/>
      <c r="E108" s="102"/>
      <c r="F108" s="94"/>
      <c r="G108" s="94"/>
      <c r="H108" s="101"/>
      <c r="I108" s="94"/>
      <c r="J108" s="52"/>
      <c r="K108" s="52"/>
      <c r="L108" s="52"/>
      <c r="M108" s="144"/>
    </row>
    <row r="109" spans="1:13" ht="12" customHeight="1">
      <c r="A109" s="144"/>
      <c r="B109" s="244" t="s">
        <v>13</v>
      </c>
      <c r="C109" s="245"/>
      <c r="D109" s="85" t="s">
        <v>0</v>
      </c>
      <c r="E109" s="85" t="s">
        <v>1</v>
      </c>
      <c r="F109" s="85" t="s">
        <v>2</v>
      </c>
      <c r="G109" s="86" t="s">
        <v>14</v>
      </c>
      <c r="H109" s="87" t="s">
        <v>4</v>
      </c>
      <c r="I109" s="68"/>
      <c r="J109" s="59" t="s">
        <v>47</v>
      </c>
      <c r="K109" s="60" t="s">
        <v>49</v>
      </c>
      <c r="L109" s="61" t="s">
        <v>50</v>
      </c>
      <c r="M109" s="143"/>
    </row>
    <row r="110" spans="1:13" ht="12" customHeight="1">
      <c r="A110" s="144"/>
      <c r="B110" s="215" t="s">
        <v>59</v>
      </c>
      <c r="C110" s="216"/>
      <c r="D110" s="85" t="s">
        <v>5</v>
      </c>
      <c r="E110" s="85" t="s">
        <v>15</v>
      </c>
      <c r="F110" s="85" t="s">
        <v>16</v>
      </c>
      <c r="G110" s="86" t="s">
        <v>8</v>
      </c>
      <c r="H110" s="88" t="s">
        <v>9</v>
      </c>
      <c r="I110" s="68"/>
      <c r="J110" s="62" t="s">
        <v>48</v>
      </c>
      <c r="K110" s="60" t="s">
        <v>48</v>
      </c>
      <c r="L110" s="61" t="s">
        <v>48</v>
      </c>
      <c r="M110" s="143"/>
    </row>
    <row r="111" spans="1:13" ht="12" customHeight="1">
      <c r="A111" s="144"/>
      <c r="B111" s="144"/>
      <c r="C111" s="89"/>
      <c r="D111" s="144"/>
      <c r="E111" s="144"/>
      <c r="F111" s="144"/>
      <c r="G111" s="144"/>
      <c r="H111" s="76"/>
      <c r="I111" s="76"/>
      <c r="J111" s="63"/>
      <c r="K111" s="63"/>
      <c r="L111" s="63"/>
      <c r="M111" s="143"/>
    </row>
    <row r="112" spans="1:13" ht="12" customHeight="1">
      <c r="A112" s="144"/>
      <c r="B112" s="145" t="s">
        <v>10</v>
      </c>
      <c r="C112" s="51" t="s">
        <v>54</v>
      </c>
      <c r="D112" s="90">
        <f>Measurements!E23</f>
        <v>6.0548785236968978</v>
      </c>
      <c r="E112" s="90">
        <f>Measurements!K14</f>
        <v>12.185000000000002</v>
      </c>
      <c r="F112" s="91">
        <f t="shared" ref="F112" si="24">(E112/TAN(D112*PI()/180))</f>
        <v>114.87401704527457</v>
      </c>
      <c r="G112" s="92">
        <v>12.2</v>
      </c>
      <c r="H112" s="95">
        <f t="shared" ref="H112" si="25">(F112-G112)</f>
        <v>102.67401704527457</v>
      </c>
      <c r="I112" s="93"/>
      <c r="J112" s="64">
        <v>53.820300000000003</v>
      </c>
      <c r="K112" s="65">
        <v>53.193100000000001</v>
      </c>
      <c r="L112" s="199">
        <v>51.5381</v>
      </c>
      <c r="M112" s="71">
        <v>13</v>
      </c>
    </row>
    <row r="113" spans="1:15" ht="12" customHeight="1">
      <c r="A113" s="144"/>
      <c r="B113" s="144"/>
      <c r="C113" s="144"/>
      <c r="D113" s="96"/>
      <c r="E113" s="90"/>
      <c r="F113" s="97"/>
      <c r="G113" s="97"/>
      <c r="H113" s="98"/>
      <c r="I113" s="99"/>
      <c r="J113" s="58"/>
      <c r="K113" s="58"/>
      <c r="L113" s="58"/>
      <c r="M113" s="143"/>
    </row>
    <row r="114" spans="1:15" ht="12" customHeight="1">
      <c r="A114" s="144"/>
      <c r="B114" s="145" t="s">
        <v>11</v>
      </c>
      <c r="C114" s="51" t="s">
        <v>54</v>
      </c>
      <c r="D114" s="90">
        <f>Measurements!D23</f>
        <v>5.3517689346381339</v>
      </c>
      <c r="E114" s="90">
        <f>Measurements!L14</f>
        <v>10.625</v>
      </c>
      <c r="F114" s="91">
        <f t="shared" ref="F114" si="26">(E114/TAN(D114*PI()/180))</f>
        <v>113.41973094170403</v>
      </c>
      <c r="G114" s="92">
        <v>12.2</v>
      </c>
      <c r="H114" s="95">
        <f t="shared" ref="H114" si="27">(F114-G114)</f>
        <v>101.21973094170403</v>
      </c>
      <c r="I114" s="93"/>
      <c r="J114" s="64">
        <v>52.997700000000002</v>
      </c>
      <c r="K114" s="65">
        <v>52.390099999999997</v>
      </c>
      <c r="L114" s="199">
        <v>50.7819</v>
      </c>
      <c r="M114" s="71">
        <v>14</v>
      </c>
    </row>
    <row r="115" spans="1:15" ht="12" customHeight="1">
      <c r="A115" s="144"/>
      <c r="B115" s="144"/>
      <c r="C115" s="144"/>
      <c r="D115" s="90"/>
      <c r="E115" s="96"/>
      <c r="F115" s="97"/>
      <c r="G115" s="97"/>
      <c r="H115" s="98"/>
      <c r="I115" s="99"/>
      <c r="J115" s="58"/>
      <c r="K115" s="58"/>
      <c r="L115" s="58"/>
      <c r="M115" s="143"/>
    </row>
    <row r="116" spans="1:15" ht="12" customHeight="1">
      <c r="A116" s="144"/>
      <c r="B116" s="145" t="s">
        <v>12</v>
      </c>
      <c r="C116" s="51" t="s">
        <v>54</v>
      </c>
      <c r="D116" s="90">
        <f>Measurements!C23</f>
        <v>3.0640443400067849</v>
      </c>
      <c r="E116" s="90">
        <f>Measurements!M14</f>
        <v>5.8599999999999994</v>
      </c>
      <c r="F116" s="91">
        <f t="shared" ref="F116" si="28">(E116/TAN(D116*PI()/180))</f>
        <v>109.47398292315418</v>
      </c>
      <c r="G116" s="92">
        <v>12.2</v>
      </c>
      <c r="H116" s="100">
        <f t="shared" ref="H116" si="29">(F116-G116)</f>
        <v>97.273982923154179</v>
      </c>
      <c r="I116" s="94"/>
      <c r="J116" s="64">
        <v>51.990600000000001</v>
      </c>
      <c r="K116" s="65">
        <v>51.4099</v>
      </c>
      <c r="L116" s="199">
        <v>49.854900000000001</v>
      </c>
      <c r="M116" s="71">
        <v>15</v>
      </c>
      <c r="N116" s="66"/>
    </row>
    <row r="117" spans="1:15" ht="12" customHeight="1">
      <c r="A117" s="144"/>
      <c r="B117" s="144"/>
      <c r="C117" s="55"/>
      <c r="D117" s="101"/>
      <c r="E117" s="102"/>
      <c r="F117" s="94"/>
      <c r="G117" s="94"/>
      <c r="H117" s="101"/>
      <c r="I117" s="94"/>
      <c r="J117" s="52"/>
      <c r="K117" s="52"/>
      <c r="L117" s="52"/>
      <c r="M117" s="143"/>
      <c r="N117" s="57"/>
      <c r="O117" s="56"/>
    </row>
    <row r="118" spans="1:15" ht="12" customHeight="1">
      <c r="A118" s="144"/>
      <c r="B118" s="209" t="s">
        <v>74</v>
      </c>
      <c r="C118" s="78" t="s">
        <v>55</v>
      </c>
      <c r="D118" s="80">
        <v>7.5490000000000004</v>
      </c>
      <c r="E118" s="260" t="s">
        <v>62</v>
      </c>
      <c r="F118" s="261"/>
      <c r="G118" s="262"/>
      <c r="H118" s="84">
        <v>87.7</v>
      </c>
      <c r="I118" s="94"/>
      <c r="J118" s="107">
        <v>42.980499999999999</v>
      </c>
      <c r="K118" s="130">
        <v>42.5837</v>
      </c>
      <c r="L118" s="203">
        <v>41.5</v>
      </c>
      <c r="M118" s="204" t="s">
        <v>79</v>
      </c>
    </row>
    <row r="119" spans="1:15" ht="12" customHeight="1">
      <c r="A119" s="144"/>
      <c r="B119" s="210"/>
      <c r="C119" s="79" t="s">
        <v>54</v>
      </c>
      <c r="D119" s="82" t="s">
        <v>65</v>
      </c>
      <c r="E119" s="81" t="s">
        <v>56</v>
      </c>
      <c r="F119" s="81" t="s">
        <v>56</v>
      </c>
      <c r="G119" s="81" t="s">
        <v>56</v>
      </c>
      <c r="H119" s="82" t="s">
        <v>56</v>
      </c>
      <c r="I119" s="93"/>
      <c r="J119" s="125" t="s">
        <v>56</v>
      </c>
      <c r="K119" s="125" t="s">
        <v>56</v>
      </c>
      <c r="L119" s="125" t="s">
        <v>56</v>
      </c>
      <c r="M119" s="214">
        <v>16</v>
      </c>
    </row>
    <row r="120" spans="1:15" s="131" customFormat="1" ht="12" customHeight="1">
      <c r="A120" s="173"/>
      <c r="B120" s="210"/>
      <c r="C120" s="77" t="s">
        <v>54</v>
      </c>
      <c r="D120" s="207" t="s">
        <v>68</v>
      </c>
      <c r="E120" s="208"/>
      <c r="F120" s="208"/>
      <c r="G120" s="208"/>
      <c r="H120" s="83">
        <v>97</v>
      </c>
      <c r="I120" s="93"/>
      <c r="J120" s="128">
        <v>51</v>
      </c>
      <c r="K120" s="129">
        <v>50.634599999999999</v>
      </c>
      <c r="L120" s="201">
        <v>49.1</v>
      </c>
      <c r="M120" s="212"/>
    </row>
    <row r="121" spans="1:15" ht="12" customHeight="1">
      <c r="A121" s="144"/>
      <c r="B121" s="55"/>
      <c r="C121" s="55"/>
      <c r="D121" s="101"/>
      <c r="E121" s="101"/>
      <c r="F121" s="101"/>
      <c r="G121" s="94"/>
      <c r="H121" s="94"/>
      <c r="I121" s="94"/>
      <c r="J121" s="52"/>
      <c r="K121" s="52"/>
      <c r="L121" s="52"/>
      <c r="M121" s="144"/>
    </row>
    <row r="122" spans="1:15" ht="12" customHeight="1">
      <c r="A122" s="144"/>
      <c r="B122" s="55"/>
      <c r="C122" s="55"/>
      <c r="D122" s="101"/>
      <c r="E122" s="101"/>
      <c r="F122" s="101"/>
      <c r="G122" s="94"/>
      <c r="H122" s="94"/>
      <c r="I122" s="94"/>
      <c r="J122" s="52"/>
      <c r="K122" s="52"/>
      <c r="L122" s="52"/>
      <c r="M122" s="144"/>
    </row>
    <row r="123" spans="1:15" ht="12" customHeight="1">
      <c r="A123" s="144"/>
      <c r="B123" s="244" t="s">
        <v>17</v>
      </c>
      <c r="C123" s="245"/>
      <c r="D123" s="85" t="s">
        <v>0</v>
      </c>
      <c r="E123" s="85" t="s">
        <v>1</v>
      </c>
      <c r="F123" s="85" t="s">
        <v>2</v>
      </c>
      <c r="G123" s="86" t="s">
        <v>14</v>
      </c>
      <c r="H123" s="103" t="s">
        <v>4</v>
      </c>
      <c r="I123" s="68"/>
      <c r="J123" s="69" t="s">
        <v>47</v>
      </c>
      <c r="K123" s="60" t="s">
        <v>49</v>
      </c>
      <c r="L123" s="61" t="s">
        <v>50</v>
      </c>
      <c r="M123" s="143"/>
    </row>
    <row r="124" spans="1:15" ht="12" customHeight="1">
      <c r="A124" s="144"/>
      <c r="B124" s="215" t="s">
        <v>59</v>
      </c>
      <c r="C124" s="216"/>
      <c r="D124" s="85" t="s">
        <v>5</v>
      </c>
      <c r="E124" s="85" t="s">
        <v>15</v>
      </c>
      <c r="F124" s="85" t="s">
        <v>16</v>
      </c>
      <c r="G124" s="86" t="s">
        <v>8</v>
      </c>
      <c r="H124" s="103" t="s">
        <v>9</v>
      </c>
      <c r="I124" s="68"/>
      <c r="J124" s="69" t="s">
        <v>48</v>
      </c>
      <c r="K124" s="60" t="s">
        <v>48</v>
      </c>
      <c r="L124" s="61" t="s">
        <v>48</v>
      </c>
      <c r="M124" s="143"/>
    </row>
    <row r="125" spans="1:15" ht="12" customHeight="1">
      <c r="A125" s="144"/>
      <c r="B125" s="144"/>
      <c r="C125" s="89"/>
      <c r="D125" s="144"/>
      <c r="E125" s="144"/>
      <c r="F125" s="144"/>
      <c r="G125" s="144"/>
      <c r="H125" s="98"/>
      <c r="I125" s="76"/>
      <c r="J125" s="63"/>
      <c r="K125" s="63"/>
      <c r="L125" s="63"/>
      <c r="M125" s="143"/>
    </row>
    <row r="126" spans="1:15" ht="12" customHeight="1">
      <c r="A126" s="144"/>
      <c r="B126" s="145" t="s">
        <v>10</v>
      </c>
      <c r="C126" s="51" t="s">
        <v>54</v>
      </c>
      <c r="D126" s="90">
        <f>Measurements!E25</f>
        <v>5.5508474975251554</v>
      </c>
      <c r="E126" s="90">
        <f>Measurements!K16</f>
        <v>11.79325</v>
      </c>
      <c r="F126" s="90">
        <f t="shared" ref="F126" si="30">(E126/TAN(D126*PI()/180))</f>
        <v>121.34869717919916</v>
      </c>
      <c r="G126" s="92">
        <v>12.2</v>
      </c>
      <c r="H126" s="103">
        <f t="shared" ref="H126" si="31">(F126-G126)</f>
        <v>109.14869717919916</v>
      </c>
      <c r="I126" s="93"/>
      <c r="J126" s="54">
        <v>59.063200000000002</v>
      </c>
      <c r="K126" s="65">
        <v>61.5321</v>
      </c>
      <c r="L126" s="199">
        <v>56.343800000000002</v>
      </c>
      <c r="M126" s="71">
        <v>17</v>
      </c>
    </row>
    <row r="127" spans="1:15" ht="12" customHeight="1">
      <c r="A127" s="144"/>
      <c r="B127" s="144"/>
      <c r="C127" s="144"/>
      <c r="D127" s="96"/>
      <c r="E127" s="96"/>
      <c r="F127" s="96"/>
      <c r="G127" s="97"/>
      <c r="H127" s="98"/>
      <c r="I127" s="99"/>
      <c r="J127" s="58"/>
      <c r="K127" s="58"/>
      <c r="L127" s="58"/>
      <c r="M127" s="143"/>
    </row>
    <row r="128" spans="1:15" ht="12" customHeight="1">
      <c r="A128" s="144"/>
      <c r="B128" s="145" t="s">
        <v>11</v>
      </c>
      <c r="C128" s="51" t="s">
        <v>54</v>
      </c>
      <c r="D128" s="90">
        <f>Measurements!D25</f>
        <v>4.8849334779274667</v>
      </c>
      <c r="E128" s="90">
        <f>Measurements!L16</f>
        <v>10.185</v>
      </c>
      <c r="F128" s="90">
        <f t="shared" ref="F128" si="32">(E128/TAN(D128*PI()/180))</f>
        <v>119.17109618613578</v>
      </c>
      <c r="G128" s="92">
        <v>12.2</v>
      </c>
      <c r="H128" s="103">
        <f t="shared" ref="H128" si="33">(F128-G128)</f>
        <v>106.97109618613578</v>
      </c>
      <c r="I128" s="93"/>
      <c r="J128" s="54">
        <v>58.866799999999998</v>
      </c>
      <c r="K128" s="65">
        <v>61.338700000000003</v>
      </c>
      <c r="L128" s="199">
        <v>56.1646</v>
      </c>
      <c r="M128" s="71">
        <v>18</v>
      </c>
    </row>
    <row r="129" spans="1:13" ht="12" customHeight="1">
      <c r="A129" s="144"/>
      <c r="B129" s="144"/>
      <c r="C129" s="144"/>
      <c r="D129" s="96"/>
      <c r="E129" s="96"/>
      <c r="F129" s="96"/>
      <c r="G129" s="97"/>
      <c r="H129" s="98"/>
      <c r="I129" s="99"/>
      <c r="J129" s="58"/>
      <c r="K129" s="58"/>
      <c r="L129" s="58"/>
      <c r="M129" s="143"/>
    </row>
    <row r="130" spans="1:13" ht="12" customHeight="1">
      <c r="A130" s="144"/>
      <c r="B130" s="145" t="s">
        <v>12</v>
      </c>
      <c r="C130" s="51" t="s">
        <v>54</v>
      </c>
      <c r="D130" s="90">
        <f>Measurements!C25</f>
        <v>2.7528459744932587</v>
      </c>
      <c r="E130" s="90">
        <f>Measurements!M16</f>
        <v>5.6950000000000003</v>
      </c>
      <c r="F130" s="90">
        <f t="shared" ref="F130" si="34">(E130/TAN(D130*PI()/180))</f>
        <v>118.44046045619272</v>
      </c>
      <c r="G130" s="92">
        <v>12.2</v>
      </c>
      <c r="H130" s="105">
        <f t="shared" ref="H130" si="35">(F130-G130)</f>
        <v>106.24046045619272</v>
      </c>
      <c r="I130" s="94"/>
      <c r="J130" s="54">
        <v>57.9983</v>
      </c>
      <c r="K130" s="65">
        <v>60.4071</v>
      </c>
      <c r="L130" s="199">
        <v>55.371499999999997</v>
      </c>
      <c r="M130" s="71">
        <v>19</v>
      </c>
    </row>
    <row r="131" spans="1:13" ht="12" customHeight="1">
      <c r="A131" s="144"/>
      <c r="B131" s="144"/>
      <c r="C131" s="55"/>
      <c r="D131" s="102"/>
      <c r="E131" s="102"/>
      <c r="F131" s="94"/>
      <c r="G131" s="94"/>
      <c r="H131" s="101"/>
      <c r="I131" s="94"/>
      <c r="J131" s="52"/>
      <c r="K131" s="52"/>
      <c r="L131" s="52"/>
      <c r="M131" s="143"/>
    </row>
    <row r="132" spans="1:13" ht="12" customHeight="1">
      <c r="A132" s="144"/>
      <c r="B132" s="209" t="s">
        <v>74</v>
      </c>
      <c r="C132" s="78" t="s">
        <v>55</v>
      </c>
      <c r="D132" s="80">
        <v>6.9989999999999997</v>
      </c>
      <c r="E132" s="263" t="s">
        <v>62</v>
      </c>
      <c r="F132" s="208"/>
      <c r="G132" s="266"/>
      <c r="H132" s="84">
        <v>91.9</v>
      </c>
      <c r="I132" s="94"/>
      <c r="J132" s="107">
        <v>46.521900000000002</v>
      </c>
      <c r="K132" s="75">
        <v>48.180999999999997</v>
      </c>
      <c r="L132" s="194">
        <v>44.8</v>
      </c>
      <c r="M132" s="204" t="s">
        <v>79</v>
      </c>
    </row>
    <row r="133" spans="1:13" ht="12" customHeight="1">
      <c r="A133" s="144"/>
      <c r="B133" s="210"/>
      <c r="C133" s="79" t="s">
        <v>54</v>
      </c>
      <c r="D133" s="82" t="s">
        <v>65</v>
      </c>
      <c r="E133" s="81" t="s">
        <v>56</v>
      </c>
      <c r="F133" s="81" t="s">
        <v>56</v>
      </c>
      <c r="G133" s="81" t="s">
        <v>56</v>
      </c>
      <c r="H133" s="82" t="s">
        <v>56</v>
      </c>
      <c r="I133" s="93"/>
      <c r="J133" s="73" t="s">
        <v>56</v>
      </c>
      <c r="K133" s="127" t="s">
        <v>56</v>
      </c>
      <c r="L133" s="202" t="s">
        <v>56</v>
      </c>
      <c r="M133" s="211">
        <v>20</v>
      </c>
    </row>
    <row r="134" spans="1:13" ht="12" customHeight="1">
      <c r="A134" s="144"/>
      <c r="B134" s="210"/>
      <c r="C134" s="77" t="s">
        <v>54</v>
      </c>
      <c r="D134" s="207" t="s">
        <v>68</v>
      </c>
      <c r="E134" s="208"/>
      <c r="F134" s="208"/>
      <c r="G134" s="208"/>
      <c r="H134" s="83">
        <v>106</v>
      </c>
      <c r="I134" s="93"/>
      <c r="J134" s="128">
        <v>57</v>
      </c>
      <c r="K134" s="129">
        <v>60</v>
      </c>
      <c r="L134" s="201">
        <v>55</v>
      </c>
      <c r="M134" s="212"/>
    </row>
    <row r="135" spans="1:13" ht="12" customHeight="1">
      <c r="A135" s="144"/>
      <c r="B135" s="55"/>
      <c r="C135" s="55"/>
      <c r="D135" s="102"/>
      <c r="E135" s="102"/>
      <c r="F135" s="94"/>
      <c r="G135" s="94"/>
      <c r="H135" s="94"/>
      <c r="I135" s="94"/>
      <c r="J135" s="52"/>
      <c r="K135" s="52"/>
      <c r="L135" s="52"/>
      <c r="M135" s="144"/>
    </row>
    <row r="136" spans="1:13" ht="12" customHeight="1">
      <c r="A136" s="144"/>
      <c r="B136" s="55"/>
      <c r="C136" s="55"/>
      <c r="D136" s="102"/>
      <c r="E136" s="102"/>
      <c r="F136" s="94"/>
      <c r="G136" s="94"/>
      <c r="H136" s="94"/>
      <c r="I136" s="94"/>
      <c r="J136" s="52"/>
      <c r="K136" s="52"/>
      <c r="L136" s="52"/>
      <c r="M136" s="144"/>
    </row>
    <row r="137" spans="1:13" ht="12" customHeight="1">
      <c r="A137" s="144"/>
      <c r="B137" s="259" t="s">
        <v>51</v>
      </c>
      <c r="C137" s="245"/>
      <c r="D137" s="85" t="s">
        <v>0</v>
      </c>
      <c r="E137" s="85" t="s">
        <v>1</v>
      </c>
      <c r="F137" s="85" t="s">
        <v>2</v>
      </c>
      <c r="G137" s="86" t="s">
        <v>14</v>
      </c>
      <c r="H137" s="103" t="s">
        <v>4</v>
      </c>
      <c r="I137" s="68"/>
      <c r="J137" s="69" t="s">
        <v>47</v>
      </c>
      <c r="K137" s="60" t="s">
        <v>49</v>
      </c>
      <c r="L137" s="61" t="s">
        <v>50</v>
      </c>
      <c r="M137" s="143"/>
    </row>
    <row r="138" spans="1:13" ht="12" customHeight="1">
      <c r="A138" s="144"/>
      <c r="B138" s="215" t="s">
        <v>59</v>
      </c>
      <c r="C138" s="216"/>
      <c r="D138" s="85" t="s">
        <v>5</v>
      </c>
      <c r="E138" s="85" t="s">
        <v>15</v>
      </c>
      <c r="F138" s="85" t="s">
        <v>16</v>
      </c>
      <c r="G138" s="86" t="s">
        <v>8</v>
      </c>
      <c r="H138" s="103" t="s">
        <v>9</v>
      </c>
      <c r="I138" s="68"/>
      <c r="J138" s="69" t="s">
        <v>48</v>
      </c>
      <c r="K138" s="60" t="s">
        <v>48</v>
      </c>
      <c r="L138" s="61" t="s">
        <v>48</v>
      </c>
      <c r="M138" s="143"/>
    </row>
    <row r="139" spans="1:13" ht="12" customHeight="1">
      <c r="A139" s="144"/>
      <c r="B139" s="144"/>
      <c r="C139" s="55"/>
      <c r="D139" s="102"/>
      <c r="E139" s="102"/>
      <c r="F139" s="94"/>
      <c r="G139" s="94"/>
      <c r="H139" s="101"/>
      <c r="I139" s="94"/>
      <c r="J139" s="52"/>
      <c r="K139" s="52"/>
      <c r="L139" s="52"/>
      <c r="M139" s="143"/>
    </row>
    <row r="140" spans="1:13" ht="12" customHeight="1">
      <c r="A140" s="144"/>
      <c r="B140" s="145" t="s">
        <v>10</v>
      </c>
      <c r="C140" s="51" t="s">
        <v>54</v>
      </c>
      <c r="D140" s="90">
        <f>Measurements!E26</f>
        <v>5.0762060868888934</v>
      </c>
      <c r="E140" s="90">
        <f>Measurements!K18</f>
        <v>11.422500000000001</v>
      </c>
      <c r="F140" s="91">
        <f>(E140/TAN(D140*PI()/180))</f>
        <v>128.58969293956585</v>
      </c>
      <c r="G140" s="91">
        <v>12.2</v>
      </c>
      <c r="H140" s="90">
        <f>(F140-G140)</f>
        <v>116.38969293956585</v>
      </c>
      <c r="I140" s="93"/>
      <c r="J140" s="53">
        <v>65.407399999999996</v>
      </c>
      <c r="K140" s="54">
        <v>71.306700000000006</v>
      </c>
      <c r="L140" s="54">
        <v>62.113799999999998</v>
      </c>
      <c r="M140" s="71">
        <v>21</v>
      </c>
    </row>
    <row r="141" spans="1:13" ht="12" customHeight="1">
      <c r="A141" s="144"/>
      <c r="B141" s="144"/>
      <c r="C141" s="144"/>
      <c r="D141" s="96"/>
      <c r="E141" s="96"/>
      <c r="F141" s="97"/>
      <c r="G141" s="97"/>
      <c r="H141" s="98"/>
      <c r="I141" s="99"/>
      <c r="J141" s="58"/>
      <c r="K141" s="58"/>
      <c r="L141" s="58"/>
      <c r="M141" s="143"/>
    </row>
    <row r="142" spans="1:13" ht="12" customHeight="1">
      <c r="A142" s="144"/>
      <c r="B142" s="145" t="s">
        <v>11</v>
      </c>
      <c r="C142" s="51" t="s">
        <v>54</v>
      </c>
      <c r="D142" s="90">
        <f>Measurements!D26</f>
        <v>4.3157408718457297</v>
      </c>
      <c r="E142" s="90">
        <f>Measurements!L18</f>
        <v>9.82</v>
      </c>
      <c r="F142" s="91">
        <f>(E142/TAN(D142*PI()/180))</f>
        <v>130.12367491166077</v>
      </c>
      <c r="G142" s="91">
        <v>12.2</v>
      </c>
      <c r="H142" s="104">
        <f>(F142-G142)</f>
        <v>117.92367491166077</v>
      </c>
      <c r="I142" s="93"/>
      <c r="J142" s="54">
        <v>67.8185</v>
      </c>
      <c r="K142" s="54">
        <v>74.094399999999993</v>
      </c>
      <c r="L142" s="54">
        <v>64.291700000000006</v>
      </c>
      <c r="M142" s="71">
        <v>22</v>
      </c>
    </row>
    <row r="143" spans="1:13" ht="12" customHeight="1">
      <c r="A143" s="144"/>
      <c r="B143" s="144"/>
      <c r="C143" s="144"/>
      <c r="D143" s="96"/>
      <c r="E143" s="96"/>
      <c r="F143" s="97"/>
      <c r="G143" s="97"/>
      <c r="H143" s="98"/>
      <c r="I143" s="99"/>
      <c r="J143" s="58"/>
      <c r="K143" s="58"/>
      <c r="L143" s="58"/>
      <c r="M143" s="143"/>
    </row>
    <row r="144" spans="1:13" ht="12" customHeight="1">
      <c r="A144" s="144"/>
      <c r="B144" s="145" t="s">
        <v>12</v>
      </c>
      <c r="C144" s="51" t="s">
        <v>54</v>
      </c>
      <c r="D144" s="90">
        <f>Measurements!C26</f>
        <v>2.5743863508745051</v>
      </c>
      <c r="E144" s="90">
        <f>Measurements!M18</f>
        <v>5.51</v>
      </c>
      <c r="F144" s="91">
        <f>(E144/TAN(D144*PI()/180))</f>
        <v>122.5485316846986</v>
      </c>
      <c r="G144" s="91">
        <v>12.2</v>
      </c>
      <c r="H144" s="90">
        <f>(F144-G144)</f>
        <v>110.3485316846986</v>
      </c>
      <c r="I144" s="94"/>
      <c r="J144" s="54">
        <v>62.878900000000002</v>
      </c>
      <c r="K144" s="54">
        <v>68.479100000000003</v>
      </c>
      <c r="L144" s="54">
        <v>59.822400000000002</v>
      </c>
      <c r="M144" s="71">
        <v>23</v>
      </c>
    </row>
    <row r="145" spans="1:13" ht="12" customHeight="1">
      <c r="A145" s="144"/>
      <c r="B145" s="144"/>
      <c r="C145" s="55"/>
      <c r="D145" s="101"/>
      <c r="E145" s="101"/>
      <c r="F145" s="94"/>
      <c r="G145" s="94"/>
      <c r="H145" s="101"/>
      <c r="I145" s="94"/>
      <c r="J145" s="52"/>
      <c r="K145" s="52"/>
      <c r="L145" s="52"/>
      <c r="M145" s="143"/>
    </row>
    <row r="146" spans="1:13" ht="12" customHeight="1">
      <c r="A146" s="144"/>
      <c r="B146" s="209" t="s">
        <v>74</v>
      </c>
      <c r="C146" s="78" t="s">
        <v>55</v>
      </c>
      <c r="D146" s="80">
        <v>6.4960000000000004</v>
      </c>
      <c r="E146" s="263" t="s">
        <v>62</v>
      </c>
      <c r="F146" s="264"/>
      <c r="G146" s="265"/>
      <c r="H146" s="206">
        <v>96.4</v>
      </c>
      <c r="I146" s="93"/>
      <c r="J146" s="113">
        <v>50.297199999999997</v>
      </c>
      <c r="K146" s="75">
        <v>54.155700000000003</v>
      </c>
      <c r="L146" s="194">
        <v>48.3</v>
      </c>
      <c r="M146" s="204" t="s">
        <v>79</v>
      </c>
    </row>
    <row r="147" spans="1:13" ht="12" customHeight="1">
      <c r="A147" s="144"/>
      <c r="B147" s="210"/>
      <c r="C147" s="79" t="s">
        <v>54</v>
      </c>
      <c r="D147" s="82" t="s">
        <v>65</v>
      </c>
      <c r="E147" s="81" t="s">
        <v>56</v>
      </c>
      <c r="F147" s="81" t="s">
        <v>56</v>
      </c>
      <c r="G147" s="81" t="s">
        <v>56</v>
      </c>
      <c r="H147" s="205" t="s">
        <v>56</v>
      </c>
      <c r="I147" s="93"/>
      <c r="J147" s="125" t="s">
        <v>56</v>
      </c>
      <c r="K147" s="74" t="s">
        <v>56</v>
      </c>
      <c r="L147" s="200" t="s">
        <v>56</v>
      </c>
      <c r="M147" s="211">
        <v>24</v>
      </c>
    </row>
    <row r="148" spans="1:13" ht="12" customHeight="1">
      <c r="B148" s="210"/>
      <c r="C148" s="77" t="s">
        <v>54</v>
      </c>
      <c r="D148" s="207" t="s">
        <v>68</v>
      </c>
      <c r="E148" s="208"/>
      <c r="F148" s="208"/>
      <c r="G148" s="208"/>
      <c r="H148" s="83">
        <v>105</v>
      </c>
      <c r="I148" s="93"/>
      <c r="J148" s="128">
        <v>60</v>
      </c>
      <c r="K148" s="129">
        <v>65</v>
      </c>
      <c r="L148" s="201">
        <v>57</v>
      </c>
      <c r="M148" s="212"/>
    </row>
    <row r="149" spans="1:13" ht="12" customHeight="1">
      <c r="B149" s="1"/>
      <c r="C149" s="2"/>
      <c r="D149" s="2"/>
      <c r="E149" s="2"/>
      <c r="F149" s="2"/>
      <c r="G149" s="2"/>
    </row>
    <row r="150" spans="1:13" ht="12" customHeight="1">
      <c r="B150" s="1"/>
      <c r="C150" s="2"/>
      <c r="D150" s="2"/>
      <c r="E150" s="2"/>
      <c r="F150" s="2"/>
      <c r="G150" s="2"/>
    </row>
    <row r="151" spans="1:13" ht="12" customHeight="1">
      <c r="B151" s="1"/>
      <c r="C151" s="2"/>
      <c r="D151" s="2"/>
      <c r="E151" s="2"/>
      <c r="F151" s="2"/>
      <c r="G151" s="2"/>
    </row>
    <row r="152" spans="1:13" ht="12" customHeight="1">
      <c r="B152" s="1"/>
      <c r="C152" s="2"/>
      <c r="D152" s="2"/>
      <c r="E152" s="2"/>
      <c r="F152" s="2"/>
      <c r="G152" s="2"/>
    </row>
    <row r="153" spans="1:13" ht="12" customHeight="1">
      <c r="B153" s="1"/>
      <c r="C153" s="2"/>
      <c r="D153" s="2"/>
      <c r="E153" s="2"/>
      <c r="F153" s="2"/>
      <c r="G153" s="2"/>
    </row>
    <row r="154" spans="1:13" ht="12" customHeight="1">
      <c r="B154" s="1"/>
      <c r="C154" s="2"/>
      <c r="D154" s="2"/>
      <c r="E154" s="2"/>
      <c r="F154" s="2"/>
      <c r="G154" s="2"/>
    </row>
    <row r="155" spans="1:13" ht="12" customHeight="1">
      <c r="B155" s="1"/>
      <c r="C155" s="2"/>
      <c r="D155" s="2"/>
      <c r="E155" s="2"/>
      <c r="F155" s="2"/>
      <c r="G155" s="2"/>
    </row>
    <row r="156" spans="1:13" ht="12" customHeight="1">
      <c r="B156" s="1"/>
      <c r="C156" s="2"/>
      <c r="D156" s="2"/>
      <c r="E156" s="2"/>
      <c r="F156" s="2"/>
      <c r="G156" s="2"/>
    </row>
    <row r="157" spans="1:13" ht="12" customHeight="1">
      <c r="B157" s="1"/>
      <c r="C157" s="2"/>
      <c r="D157" s="2"/>
      <c r="E157" s="2"/>
      <c r="F157" s="2"/>
      <c r="G157" s="2"/>
    </row>
    <row r="158" spans="1:13" ht="15.75" customHeight="1">
      <c r="B158" s="1"/>
      <c r="C158" s="2"/>
      <c r="D158" s="2"/>
      <c r="E158" s="2"/>
      <c r="F158" s="2"/>
      <c r="G158" s="2"/>
    </row>
    <row r="159" spans="1:13" ht="15.75" customHeight="1">
      <c r="B159" s="1"/>
      <c r="C159" s="2"/>
      <c r="D159" s="2"/>
      <c r="E159" s="2"/>
      <c r="F159" s="2"/>
      <c r="G159" s="2"/>
    </row>
    <row r="160" spans="1:13" ht="15.75" customHeight="1">
      <c r="B160" s="1"/>
      <c r="C160" s="2"/>
      <c r="D160" s="2"/>
      <c r="E160" s="2"/>
      <c r="F160" s="2"/>
      <c r="G160" s="2"/>
    </row>
    <row r="161" spans="2:7" ht="15.75" customHeight="1">
      <c r="B161" s="1"/>
      <c r="C161" s="2"/>
      <c r="D161" s="2"/>
      <c r="E161" s="2"/>
      <c r="F161" s="2"/>
      <c r="G161" s="2"/>
    </row>
    <row r="162" spans="2:7" ht="15.75" customHeight="1">
      <c r="B162" s="1"/>
      <c r="C162" s="2"/>
      <c r="D162" s="2"/>
      <c r="E162" s="2"/>
      <c r="F162" s="2"/>
      <c r="G162" s="2"/>
    </row>
    <row r="163" spans="2:7" ht="15.75" customHeight="1">
      <c r="B163" s="1"/>
      <c r="C163" s="2"/>
      <c r="D163" s="2"/>
      <c r="E163" s="2"/>
      <c r="F163" s="2"/>
      <c r="G163" s="2"/>
    </row>
    <row r="164" spans="2:7" ht="15.75" customHeight="1">
      <c r="B164" s="1"/>
      <c r="C164" s="2"/>
      <c r="D164" s="2"/>
      <c r="E164" s="2"/>
      <c r="F164" s="2"/>
      <c r="G164" s="2"/>
    </row>
    <row r="165" spans="2:7" ht="15.75" customHeight="1">
      <c r="B165" s="1"/>
      <c r="C165" s="2"/>
      <c r="D165" s="2"/>
      <c r="E165" s="2"/>
      <c r="F165" s="2"/>
      <c r="G165" s="2"/>
    </row>
    <row r="166" spans="2:7" ht="15.75" customHeight="1">
      <c r="B166" s="1"/>
      <c r="C166" s="2"/>
      <c r="D166" s="2"/>
      <c r="E166" s="2"/>
      <c r="F166" s="2"/>
      <c r="G166" s="2"/>
    </row>
    <row r="167" spans="2:7" ht="15.75" customHeight="1">
      <c r="B167" s="1"/>
      <c r="C167" s="2"/>
      <c r="D167" s="2"/>
      <c r="E167" s="2"/>
      <c r="F167" s="2"/>
      <c r="G167" s="2"/>
    </row>
    <row r="168" spans="2:7" ht="15.75" customHeight="1">
      <c r="B168" s="1"/>
      <c r="C168" s="2"/>
      <c r="D168" s="2"/>
      <c r="E168" s="2"/>
      <c r="F168" s="2"/>
      <c r="G168" s="2"/>
    </row>
    <row r="169" spans="2:7" ht="15.75" customHeight="1">
      <c r="B169" s="1"/>
      <c r="C169" s="2"/>
      <c r="D169" s="2"/>
      <c r="E169" s="2"/>
      <c r="F169" s="2"/>
      <c r="G169" s="2"/>
    </row>
    <row r="170" spans="2:7" ht="15.75" customHeight="1">
      <c r="B170" s="1"/>
      <c r="C170" s="2"/>
      <c r="D170" s="2"/>
      <c r="E170" s="2"/>
      <c r="F170" s="2"/>
      <c r="G170" s="2"/>
    </row>
    <row r="171" spans="2:7" ht="15.75" customHeight="1">
      <c r="B171" s="1"/>
      <c r="C171" s="2"/>
      <c r="D171" s="2"/>
      <c r="E171" s="2"/>
      <c r="F171" s="2"/>
      <c r="G171" s="2"/>
    </row>
    <row r="172" spans="2:7" ht="15.75" customHeight="1">
      <c r="B172" s="1"/>
      <c r="C172" s="2"/>
      <c r="D172" s="2"/>
      <c r="E172" s="2"/>
      <c r="F172" s="2"/>
      <c r="G172" s="2"/>
    </row>
    <row r="173" spans="2:7" ht="15.75" customHeight="1">
      <c r="B173" s="1"/>
      <c r="C173" s="2"/>
      <c r="D173" s="2"/>
      <c r="E173" s="2"/>
      <c r="F173" s="2"/>
      <c r="G173" s="2"/>
    </row>
    <row r="174" spans="2:7" ht="15.75" customHeight="1">
      <c r="B174" s="1"/>
      <c r="C174" s="2"/>
      <c r="D174" s="2"/>
      <c r="E174" s="2"/>
      <c r="F174" s="2"/>
      <c r="G174" s="2"/>
    </row>
    <row r="175" spans="2:7" ht="15.75" customHeight="1">
      <c r="B175" s="1"/>
      <c r="C175" s="2"/>
      <c r="D175" s="2"/>
      <c r="E175" s="2"/>
      <c r="F175" s="2"/>
      <c r="G175" s="2"/>
    </row>
    <row r="176" spans="2:7" ht="15.75" customHeight="1">
      <c r="B176" s="1"/>
      <c r="C176" s="2"/>
      <c r="D176" s="2"/>
      <c r="E176" s="2"/>
      <c r="F176" s="2"/>
      <c r="G176" s="2"/>
    </row>
    <row r="177" spans="2:7" ht="15.75" customHeight="1">
      <c r="B177" s="1"/>
      <c r="C177" s="2"/>
      <c r="D177" s="2"/>
      <c r="E177" s="2"/>
      <c r="F177" s="2"/>
      <c r="G177" s="2"/>
    </row>
    <row r="178" spans="2:7" ht="15.75" customHeight="1">
      <c r="B178" s="1"/>
      <c r="C178" s="2"/>
      <c r="D178" s="2"/>
      <c r="E178" s="2"/>
      <c r="F178" s="2"/>
      <c r="G178" s="2"/>
    </row>
    <row r="179" spans="2:7" ht="15.75" customHeight="1">
      <c r="B179" s="1"/>
      <c r="C179" s="2"/>
      <c r="D179" s="2"/>
      <c r="E179" s="2"/>
      <c r="F179" s="2"/>
      <c r="G179" s="2"/>
    </row>
    <row r="180" spans="2:7" ht="15.75" customHeight="1">
      <c r="B180" s="1"/>
      <c r="C180" s="2"/>
      <c r="D180" s="2"/>
      <c r="E180" s="2"/>
      <c r="F180" s="2"/>
      <c r="G180" s="2"/>
    </row>
    <row r="181" spans="2:7" ht="15.75" customHeight="1">
      <c r="B181" s="1"/>
      <c r="C181" s="2"/>
      <c r="D181" s="2"/>
      <c r="E181" s="2"/>
      <c r="F181" s="2"/>
      <c r="G181" s="2"/>
    </row>
    <row r="182" spans="2:7" ht="15.75" customHeight="1">
      <c r="B182" s="1"/>
      <c r="C182" s="2"/>
      <c r="D182" s="2"/>
      <c r="E182" s="2"/>
      <c r="F182" s="2"/>
      <c r="G182" s="2"/>
    </row>
    <row r="183" spans="2:7" ht="15.75" customHeight="1">
      <c r="B183" s="1"/>
      <c r="C183" s="2"/>
      <c r="D183" s="2"/>
      <c r="E183" s="2"/>
      <c r="F183" s="2"/>
      <c r="G183" s="2"/>
    </row>
    <row r="184" spans="2:7" ht="15.75" customHeight="1">
      <c r="B184" s="1"/>
      <c r="C184" s="2"/>
      <c r="D184" s="2"/>
      <c r="E184" s="2"/>
      <c r="F184" s="2"/>
      <c r="G184" s="2"/>
    </row>
    <row r="185" spans="2:7" ht="15.75" customHeight="1">
      <c r="B185" s="1"/>
      <c r="C185" s="2"/>
      <c r="D185" s="2"/>
      <c r="E185" s="2"/>
      <c r="F185" s="2"/>
      <c r="G185" s="2"/>
    </row>
    <row r="186" spans="2:7" ht="15.75" customHeight="1">
      <c r="B186" s="1"/>
      <c r="C186" s="2"/>
      <c r="D186" s="2"/>
      <c r="E186" s="2"/>
      <c r="F186" s="2"/>
      <c r="G186" s="2"/>
    </row>
    <row r="187" spans="2:7" ht="15.75" customHeight="1">
      <c r="B187" s="1"/>
      <c r="C187" s="2"/>
      <c r="D187" s="2"/>
      <c r="E187" s="2"/>
      <c r="F187" s="2"/>
      <c r="G187" s="2"/>
    </row>
    <row r="188" spans="2:7" ht="15.75" customHeight="1">
      <c r="B188" s="1"/>
      <c r="C188" s="2"/>
      <c r="D188" s="2"/>
      <c r="E188" s="2"/>
      <c r="F188" s="2"/>
      <c r="G188" s="2"/>
    </row>
    <row r="189" spans="2:7" ht="15.75" customHeight="1">
      <c r="B189" s="1"/>
      <c r="C189" s="2"/>
      <c r="D189" s="2"/>
      <c r="E189" s="2"/>
      <c r="F189" s="2"/>
      <c r="G189" s="2"/>
    </row>
    <row r="190" spans="2:7" ht="15.75" customHeight="1">
      <c r="B190" s="1"/>
      <c r="C190" s="2"/>
      <c r="D190" s="2"/>
      <c r="E190" s="2"/>
      <c r="F190" s="2"/>
      <c r="G190" s="2"/>
    </row>
    <row r="191" spans="2:7" ht="15.75" customHeight="1">
      <c r="B191" s="1"/>
      <c r="C191" s="2"/>
      <c r="D191" s="2"/>
      <c r="E191" s="2"/>
      <c r="F191" s="2"/>
      <c r="G191" s="2"/>
    </row>
    <row r="192" spans="2:7" ht="15.75" customHeight="1">
      <c r="B192" s="1"/>
      <c r="C192" s="2"/>
      <c r="D192" s="2"/>
      <c r="E192" s="2"/>
      <c r="F192" s="2"/>
      <c r="G192" s="2"/>
    </row>
    <row r="193" spans="2:7" ht="15.75" customHeight="1">
      <c r="B193" s="1"/>
      <c r="C193" s="2"/>
      <c r="D193" s="2"/>
      <c r="E193" s="2"/>
      <c r="F193" s="2"/>
      <c r="G193" s="2"/>
    </row>
    <row r="194" spans="2:7" ht="15.75" customHeight="1">
      <c r="B194" s="1"/>
      <c r="C194" s="2"/>
      <c r="D194" s="2"/>
      <c r="E194" s="2"/>
      <c r="F194" s="2"/>
      <c r="G194" s="2"/>
    </row>
    <row r="195" spans="2:7" ht="15.75" customHeight="1">
      <c r="B195" s="1"/>
      <c r="C195" s="2"/>
      <c r="D195" s="2"/>
      <c r="E195" s="2"/>
      <c r="F195" s="2"/>
      <c r="G195" s="2"/>
    </row>
    <row r="196" spans="2:7" ht="15.75" customHeight="1">
      <c r="B196" s="1"/>
      <c r="C196" s="2"/>
      <c r="D196" s="2"/>
      <c r="E196" s="2"/>
      <c r="F196" s="2"/>
      <c r="G196" s="2"/>
    </row>
    <row r="197" spans="2:7" ht="15.75" customHeight="1">
      <c r="B197" s="1"/>
      <c r="C197" s="2"/>
      <c r="D197" s="2"/>
      <c r="E197" s="2"/>
      <c r="F197" s="2"/>
      <c r="G197" s="2"/>
    </row>
    <row r="198" spans="2:7" ht="15.75" customHeight="1">
      <c r="B198" s="1"/>
      <c r="C198" s="2"/>
      <c r="D198" s="2"/>
      <c r="E198" s="2"/>
      <c r="F198" s="2"/>
      <c r="G198" s="2"/>
    </row>
    <row r="199" spans="2:7" ht="15.75" customHeight="1">
      <c r="B199" s="1"/>
      <c r="C199" s="2"/>
      <c r="D199" s="2"/>
      <c r="E199" s="2"/>
      <c r="F199" s="2"/>
      <c r="G199" s="2"/>
    </row>
    <row r="200" spans="2:7" ht="15.75" customHeight="1">
      <c r="B200" s="1"/>
      <c r="C200" s="2"/>
      <c r="D200" s="2"/>
      <c r="E200" s="2"/>
      <c r="F200" s="2"/>
      <c r="G200" s="2"/>
    </row>
    <row r="201" spans="2:7" ht="15.75" customHeight="1">
      <c r="B201" s="1"/>
      <c r="C201" s="2"/>
      <c r="D201" s="2"/>
      <c r="E201" s="2"/>
      <c r="F201" s="2"/>
      <c r="G201" s="2"/>
    </row>
    <row r="202" spans="2:7" ht="15.75" customHeight="1">
      <c r="B202" s="1"/>
      <c r="C202" s="2"/>
      <c r="D202" s="2"/>
      <c r="E202" s="2"/>
      <c r="F202" s="2"/>
      <c r="G202" s="2"/>
    </row>
    <row r="203" spans="2:7" ht="15.75" customHeight="1">
      <c r="B203" s="1"/>
      <c r="C203" s="2"/>
      <c r="D203" s="2"/>
      <c r="E203" s="2"/>
      <c r="F203" s="2"/>
      <c r="G203" s="2"/>
    </row>
    <row r="204" spans="2:7" ht="15.75" customHeight="1">
      <c r="B204" s="1"/>
      <c r="C204" s="2"/>
      <c r="D204" s="2"/>
      <c r="E204" s="2"/>
      <c r="F204" s="2"/>
      <c r="G204" s="2"/>
    </row>
    <row r="205" spans="2:7" ht="15.75" customHeight="1">
      <c r="B205" s="1"/>
      <c r="C205" s="2"/>
      <c r="D205" s="2"/>
      <c r="E205" s="2"/>
      <c r="F205" s="2"/>
      <c r="G205" s="2"/>
    </row>
    <row r="206" spans="2:7" ht="15.75" customHeight="1">
      <c r="B206" s="1"/>
      <c r="C206" s="2"/>
      <c r="D206" s="2"/>
      <c r="E206" s="2"/>
      <c r="F206" s="2"/>
      <c r="G206" s="2"/>
    </row>
    <row r="207" spans="2:7" ht="15.75" customHeight="1">
      <c r="B207" s="1"/>
      <c r="C207" s="2"/>
      <c r="D207" s="2"/>
      <c r="E207" s="2"/>
      <c r="F207" s="2"/>
      <c r="G207" s="2"/>
    </row>
    <row r="208" spans="2:7" ht="15.75" customHeight="1">
      <c r="B208" s="1"/>
      <c r="C208" s="2"/>
      <c r="D208" s="2"/>
      <c r="E208" s="2"/>
      <c r="F208" s="2"/>
      <c r="G208" s="2"/>
    </row>
    <row r="209" spans="2:7" ht="15.75" customHeight="1">
      <c r="B209" s="1"/>
      <c r="C209" s="2"/>
      <c r="D209" s="2"/>
      <c r="E209" s="2"/>
      <c r="F209" s="2"/>
      <c r="G209" s="2"/>
    </row>
    <row r="210" spans="2:7" ht="15.75" customHeight="1">
      <c r="B210" s="1"/>
      <c r="C210" s="2"/>
      <c r="D210" s="2"/>
      <c r="E210" s="2"/>
      <c r="F210" s="2"/>
      <c r="G210" s="2"/>
    </row>
    <row r="211" spans="2:7" ht="15.75" customHeight="1">
      <c r="B211" s="1"/>
      <c r="C211" s="2"/>
      <c r="D211" s="2"/>
      <c r="E211" s="2"/>
      <c r="F211" s="2"/>
      <c r="G211" s="2"/>
    </row>
    <row r="212" spans="2:7" ht="15.75" customHeight="1">
      <c r="B212" s="1"/>
      <c r="C212" s="2"/>
      <c r="D212" s="2"/>
      <c r="E212" s="2"/>
      <c r="F212" s="2"/>
      <c r="G212" s="2"/>
    </row>
    <row r="213" spans="2:7" ht="15.75" customHeight="1">
      <c r="B213" s="1"/>
      <c r="C213" s="2"/>
      <c r="D213" s="2"/>
      <c r="E213" s="2"/>
      <c r="F213" s="2"/>
      <c r="G213" s="2"/>
    </row>
    <row r="214" spans="2:7" ht="15.75" customHeight="1">
      <c r="B214" s="1"/>
      <c r="C214" s="2"/>
      <c r="D214" s="2"/>
      <c r="E214" s="2"/>
      <c r="F214" s="2"/>
      <c r="G214" s="2"/>
    </row>
    <row r="215" spans="2:7" ht="15.75" customHeight="1">
      <c r="B215" s="1"/>
      <c r="C215" s="2"/>
      <c r="D215" s="2"/>
      <c r="E215" s="2"/>
      <c r="F215" s="2"/>
      <c r="G215" s="2"/>
    </row>
    <row r="216" spans="2:7" ht="15.75" customHeight="1">
      <c r="B216" s="1"/>
      <c r="C216" s="2"/>
      <c r="D216" s="2"/>
      <c r="E216" s="2"/>
      <c r="F216" s="2"/>
      <c r="G216" s="2"/>
    </row>
    <row r="217" spans="2:7" ht="15.75" customHeight="1">
      <c r="B217" s="1"/>
      <c r="C217" s="2"/>
      <c r="D217" s="2"/>
      <c r="E217" s="2"/>
      <c r="F217" s="2"/>
      <c r="G217" s="2"/>
    </row>
    <row r="218" spans="2:7" ht="15.75" customHeight="1">
      <c r="B218" s="1"/>
      <c r="C218" s="2"/>
      <c r="D218" s="2"/>
      <c r="E218" s="2"/>
      <c r="F218" s="2"/>
      <c r="G218" s="2"/>
    </row>
    <row r="219" spans="2:7" ht="15.75" customHeight="1">
      <c r="B219" s="1"/>
      <c r="C219" s="2"/>
      <c r="D219" s="2"/>
      <c r="E219" s="2"/>
      <c r="F219" s="2"/>
      <c r="G219" s="2"/>
    </row>
    <row r="220" spans="2:7" ht="15.75" customHeight="1">
      <c r="B220" s="1"/>
      <c r="C220" s="2"/>
      <c r="D220" s="2"/>
      <c r="E220" s="2"/>
      <c r="F220" s="2"/>
      <c r="G220" s="2"/>
    </row>
    <row r="221" spans="2:7" ht="15.75" customHeight="1">
      <c r="B221" s="1"/>
      <c r="C221" s="2"/>
      <c r="D221" s="2"/>
      <c r="E221" s="2"/>
      <c r="F221" s="2"/>
      <c r="G221" s="2"/>
    </row>
    <row r="222" spans="2:7" ht="15.75" customHeight="1">
      <c r="B222" s="1"/>
      <c r="C222" s="2"/>
      <c r="D222" s="2"/>
      <c r="E222" s="2"/>
      <c r="F222" s="2"/>
      <c r="G222" s="2"/>
    </row>
    <row r="223" spans="2:7" ht="15.75" customHeight="1">
      <c r="B223" s="1"/>
      <c r="C223" s="2"/>
      <c r="D223" s="2"/>
      <c r="E223" s="2"/>
      <c r="F223" s="2"/>
      <c r="G223" s="2"/>
    </row>
    <row r="224" spans="2:7" ht="15.75" customHeight="1">
      <c r="B224" s="1"/>
      <c r="C224" s="2"/>
      <c r="D224" s="2"/>
      <c r="E224" s="2"/>
      <c r="F224" s="2"/>
      <c r="G224" s="2"/>
    </row>
    <row r="225" spans="2:7" ht="15.75" customHeight="1">
      <c r="B225" s="1"/>
      <c r="C225" s="2"/>
      <c r="D225" s="2"/>
      <c r="E225" s="2"/>
      <c r="F225" s="2"/>
      <c r="G225" s="2"/>
    </row>
    <row r="226" spans="2:7" ht="15.75" customHeight="1">
      <c r="B226" s="1"/>
      <c r="C226" s="2"/>
      <c r="D226" s="2"/>
      <c r="E226" s="2"/>
      <c r="F226" s="2"/>
      <c r="G226" s="2"/>
    </row>
    <row r="227" spans="2:7" ht="15.75" customHeight="1">
      <c r="B227" s="1"/>
      <c r="C227" s="2"/>
      <c r="D227" s="2"/>
      <c r="E227" s="2"/>
      <c r="F227" s="2"/>
      <c r="G227" s="2"/>
    </row>
    <row r="228" spans="2:7" ht="15.75" customHeight="1">
      <c r="B228" s="1"/>
      <c r="C228" s="2"/>
      <c r="D228" s="2"/>
      <c r="E228" s="2"/>
      <c r="F228" s="2"/>
      <c r="G228" s="2"/>
    </row>
    <row r="229" spans="2:7" ht="15.75" customHeight="1">
      <c r="B229" s="1"/>
      <c r="C229" s="2"/>
      <c r="D229" s="2"/>
      <c r="E229" s="2"/>
      <c r="F229" s="2"/>
      <c r="G229" s="2"/>
    </row>
    <row r="230" spans="2:7" ht="15.75" customHeight="1">
      <c r="B230" s="1"/>
      <c r="C230" s="2"/>
      <c r="D230" s="2"/>
      <c r="E230" s="2"/>
      <c r="F230" s="2"/>
      <c r="G230" s="2"/>
    </row>
    <row r="231" spans="2:7" ht="15.75" customHeight="1">
      <c r="B231" s="1"/>
      <c r="C231" s="2"/>
      <c r="D231" s="2"/>
      <c r="E231" s="2"/>
      <c r="F231" s="2"/>
      <c r="G231" s="2"/>
    </row>
    <row r="232" spans="2:7" ht="15.75" customHeight="1">
      <c r="B232" s="1"/>
      <c r="C232" s="2"/>
      <c r="D232" s="2"/>
      <c r="E232" s="2"/>
      <c r="F232" s="2"/>
      <c r="G232" s="2"/>
    </row>
    <row r="233" spans="2:7" ht="15.75" customHeight="1">
      <c r="B233" s="1"/>
      <c r="C233" s="2"/>
      <c r="D233" s="2"/>
      <c r="E233" s="2"/>
      <c r="F233" s="2"/>
      <c r="G233" s="2"/>
    </row>
    <row r="234" spans="2:7" ht="15.75" customHeight="1">
      <c r="B234" s="1"/>
      <c r="C234" s="2"/>
      <c r="D234" s="2"/>
      <c r="E234" s="2"/>
      <c r="F234" s="2"/>
      <c r="G234" s="2"/>
    </row>
    <row r="235" spans="2:7" ht="15.75" customHeight="1">
      <c r="B235" s="1"/>
      <c r="C235" s="2"/>
      <c r="D235" s="2"/>
      <c r="E235" s="2"/>
      <c r="F235" s="2"/>
      <c r="G235" s="2"/>
    </row>
    <row r="236" spans="2:7" ht="15.75" customHeight="1">
      <c r="B236" s="1"/>
      <c r="C236" s="2"/>
      <c r="D236" s="2"/>
      <c r="E236" s="2"/>
      <c r="F236" s="2"/>
      <c r="G236" s="2"/>
    </row>
    <row r="237" spans="2:7" ht="15.75" customHeight="1">
      <c r="B237" s="1"/>
      <c r="C237" s="2"/>
      <c r="D237" s="2"/>
      <c r="E237" s="2"/>
      <c r="F237" s="2"/>
      <c r="G237" s="2"/>
    </row>
    <row r="238" spans="2:7" ht="15.75" customHeight="1">
      <c r="B238" s="1"/>
      <c r="C238" s="2"/>
      <c r="D238" s="2"/>
      <c r="E238" s="2"/>
      <c r="F238" s="2"/>
      <c r="G238" s="2"/>
    </row>
    <row r="239" spans="2:7" ht="15.75" customHeight="1">
      <c r="B239" s="1"/>
      <c r="C239" s="2"/>
      <c r="D239" s="2"/>
      <c r="E239" s="2"/>
      <c r="F239" s="2"/>
      <c r="G239" s="2"/>
    </row>
    <row r="240" spans="2:7" ht="15.75" customHeight="1">
      <c r="B240" s="1"/>
      <c r="C240" s="2"/>
      <c r="D240" s="2"/>
      <c r="E240" s="2"/>
      <c r="F240" s="2"/>
      <c r="G240" s="2"/>
    </row>
    <row r="241" spans="2:7" ht="15.75" customHeight="1">
      <c r="B241" s="1"/>
      <c r="C241" s="2"/>
      <c r="D241" s="2"/>
      <c r="E241" s="2"/>
      <c r="F241" s="2"/>
      <c r="G241" s="2"/>
    </row>
    <row r="242" spans="2:7" ht="15.75" customHeight="1">
      <c r="B242" s="1"/>
      <c r="C242" s="2"/>
      <c r="D242" s="2"/>
      <c r="E242" s="2"/>
      <c r="F242" s="2"/>
      <c r="G242" s="2"/>
    </row>
    <row r="243" spans="2:7" ht="15.75" customHeight="1">
      <c r="B243" s="1"/>
      <c r="C243" s="2"/>
      <c r="D243" s="2"/>
      <c r="E243" s="2"/>
      <c r="F243" s="2"/>
      <c r="G243" s="2"/>
    </row>
    <row r="244" spans="2:7" ht="15.75" customHeight="1">
      <c r="B244" s="1"/>
      <c r="C244" s="2"/>
      <c r="D244" s="2"/>
      <c r="E244" s="2"/>
      <c r="F244" s="2"/>
      <c r="G244" s="2"/>
    </row>
    <row r="245" spans="2:7" ht="15.75" customHeight="1">
      <c r="B245" s="1"/>
      <c r="C245" s="2"/>
      <c r="D245" s="2"/>
      <c r="E245" s="2"/>
      <c r="F245" s="2"/>
      <c r="G245" s="2"/>
    </row>
    <row r="246" spans="2:7" ht="15.75" customHeight="1">
      <c r="B246" s="1"/>
      <c r="C246" s="2"/>
      <c r="D246" s="2"/>
      <c r="E246" s="2"/>
      <c r="F246" s="2"/>
      <c r="G246" s="2"/>
    </row>
    <row r="247" spans="2:7" ht="15.75" customHeight="1">
      <c r="B247" s="1"/>
      <c r="C247" s="2"/>
      <c r="D247" s="2"/>
      <c r="E247" s="2"/>
      <c r="F247" s="2"/>
      <c r="G247" s="2"/>
    </row>
    <row r="248" spans="2:7" ht="15.75" customHeight="1">
      <c r="B248" s="1"/>
      <c r="C248" s="2"/>
      <c r="D248" s="2"/>
      <c r="E248" s="2"/>
      <c r="F248" s="2"/>
      <c r="G248" s="2"/>
    </row>
    <row r="249" spans="2:7" ht="15.75" customHeight="1">
      <c r="B249" s="1"/>
      <c r="C249" s="2"/>
      <c r="D249" s="2"/>
      <c r="E249" s="2"/>
      <c r="F249" s="2"/>
      <c r="G249" s="2"/>
    </row>
    <row r="250" spans="2:7" ht="15.75" customHeight="1">
      <c r="B250" s="1"/>
      <c r="C250" s="2"/>
      <c r="D250" s="2"/>
      <c r="E250" s="2"/>
      <c r="F250" s="2"/>
      <c r="G250" s="2"/>
    </row>
    <row r="251" spans="2:7" ht="15.75" customHeight="1">
      <c r="B251" s="1"/>
      <c r="C251" s="2"/>
      <c r="D251" s="2"/>
      <c r="E251" s="2"/>
      <c r="F251" s="2"/>
      <c r="G251" s="2"/>
    </row>
    <row r="252" spans="2:7" ht="15.75" customHeight="1">
      <c r="B252" s="1"/>
      <c r="C252" s="2"/>
      <c r="D252" s="2"/>
      <c r="E252" s="2"/>
      <c r="F252" s="2"/>
      <c r="G252" s="2"/>
    </row>
    <row r="253" spans="2:7" ht="15.75" customHeight="1">
      <c r="B253" s="1"/>
      <c r="C253" s="2"/>
      <c r="D253" s="2"/>
      <c r="E253" s="2"/>
      <c r="F253" s="2"/>
      <c r="G253" s="2"/>
    </row>
    <row r="254" spans="2:7" ht="15.75" customHeight="1">
      <c r="B254" s="1"/>
      <c r="C254" s="2"/>
      <c r="D254" s="2"/>
      <c r="E254" s="2"/>
      <c r="F254" s="2"/>
      <c r="G254" s="2"/>
    </row>
    <row r="255" spans="2:7" ht="15.75" customHeight="1">
      <c r="B255" s="1"/>
      <c r="C255" s="2"/>
      <c r="D255" s="2"/>
      <c r="E255" s="2"/>
      <c r="F255" s="2"/>
      <c r="G255" s="2"/>
    </row>
    <row r="256" spans="2:7" ht="15.75" customHeight="1">
      <c r="B256" s="1"/>
      <c r="C256" s="2"/>
      <c r="D256" s="2"/>
      <c r="E256" s="2"/>
      <c r="F256" s="2"/>
      <c r="G256" s="2"/>
    </row>
    <row r="257" spans="2:7" ht="15.75" customHeight="1">
      <c r="B257" s="1"/>
      <c r="C257" s="2"/>
      <c r="D257" s="2"/>
      <c r="E257" s="2"/>
      <c r="F257" s="2"/>
      <c r="G257" s="2"/>
    </row>
    <row r="258" spans="2:7" ht="15.75" customHeight="1">
      <c r="B258" s="1"/>
      <c r="C258" s="2"/>
      <c r="D258" s="2"/>
      <c r="E258" s="2"/>
      <c r="F258" s="2"/>
      <c r="G258" s="2"/>
    </row>
    <row r="259" spans="2:7" ht="15.75" customHeight="1">
      <c r="B259" s="1"/>
      <c r="C259" s="2"/>
      <c r="D259" s="2"/>
      <c r="E259" s="2"/>
      <c r="F259" s="2"/>
      <c r="G259" s="2"/>
    </row>
    <row r="260" spans="2:7" ht="15.75" customHeight="1">
      <c r="B260" s="1"/>
      <c r="C260" s="2"/>
      <c r="D260" s="2"/>
      <c r="E260" s="2"/>
      <c r="F260" s="2"/>
      <c r="G260" s="2"/>
    </row>
    <row r="261" spans="2:7" ht="15.75" customHeight="1">
      <c r="B261" s="1"/>
      <c r="C261" s="2"/>
      <c r="D261" s="2"/>
      <c r="E261" s="2"/>
      <c r="F261" s="2"/>
      <c r="G261" s="2"/>
    </row>
    <row r="262" spans="2:7" ht="15.75" customHeight="1">
      <c r="B262" s="1"/>
      <c r="C262" s="2"/>
      <c r="D262" s="2"/>
      <c r="E262" s="2"/>
      <c r="F262" s="2"/>
      <c r="G262" s="2"/>
    </row>
    <row r="263" spans="2:7" ht="15.75" customHeight="1">
      <c r="B263" s="1"/>
      <c r="C263" s="2"/>
      <c r="D263" s="2"/>
      <c r="E263" s="2"/>
      <c r="F263" s="2"/>
      <c r="G263" s="2"/>
    </row>
    <row r="264" spans="2:7" ht="15.75" customHeight="1">
      <c r="B264" s="1"/>
      <c r="C264" s="2"/>
      <c r="D264" s="2"/>
      <c r="E264" s="2"/>
      <c r="F264" s="2"/>
      <c r="G264" s="2"/>
    </row>
    <row r="265" spans="2:7" ht="15.75" customHeight="1">
      <c r="B265" s="1"/>
      <c r="C265" s="2"/>
      <c r="D265" s="2"/>
      <c r="E265" s="2"/>
      <c r="F265" s="2"/>
      <c r="G265" s="2"/>
    </row>
    <row r="266" spans="2:7" ht="15.75" customHeight="1">
      <c r="B266" s="1"/>
      <c r="C266" s="2"/>
      <c r="D266" s="2"/>
      <c r="E266" s="2"/>
      <c r="F266" s="2"/>
      <c r="G266" s="2"/>
    </row>
    <row r="267" spans="2:7" ht="15.75" customHeight="1">
      <c r="B267" s="1"/>
      <c r="C267" s="2"/>
      <c r="D267" s="2"/>
      <c r="E267" s="2"/>
      <c r="F267" s="2"/>
      <c r="G267" s="2"/>
    </row>
    <row r="268" spans="2:7" ht="15.75" customHeight="1">
      <c r="B268" s="1"/>
      <c r="C268" s="2"/>
      <c r="D268" s="2"/>
      <c r="E268" s="2"/>
      <c r="F268" s="2"/>
      <c r="G268" s="2"/>
    </row>
    <row r="269" spans="2:7" ht="15.75" customHeight="1">
      <c r="B269" s="1"/>
      <c r="C269" s="2"/>
      <c r="D269" s="2"/>
      <c r="E269" s="2"/>
      <c r="F269" s="2"/>
      <c r="G269" s="2"/>
    </row>
    <row r="270" spans="2:7" ht="15.75" customHeight="1">
      <c r="B270" s="1"/>
      <c r="C270" s="2"/>
      <c r="D270" s="2"/>
      <c r="E270" s="2"/>
      <c r="F270" s="2"/>
      <c r="G270" s="2"/>
    </row>
    <row r="271" spans="2:7" ht="15.75" customHeight="1">
      <c r="B271" s="1"/>
      <c r="C271" s="2"/>
      <c r="D271" s="2"/>
      <c r="E271" s="2"/>
      <c r="F271" s="2"/>
      <c r="G271" s="2"/>
    </row>
    <row r="272" spans="2:7" ht="15.75" customHeight="1">
      <c r="B272" s="1"/>
      <c r="C272" s="2"/>
      <c r="D272" s="2"/>
      <c r="E272" s="2"/>
      <c r="F272" s="2"/>
      <c r="G272" s="2"/>
    </row>
    <row r="273" spans="2:7" ht="15.75" customHeight="1">
      <c r="B273" s="1"/>
      <c r="C273" s="2"/>
      <c r="D273" s="2"/>
      <c r="E273" s="2"/>
      <c r="F273" s="2"/>
      <c r="G273" s="2"/>
    </row>
    <row r="274" spans="2:7" ht="15.75" customHeight="1">
      <c r="B274" s="1"/>
      <c r="C274" s="2"/>
      <c r="D274" s="2"/>
      <c r="E274" s="2"/>
      <c r="F274" s="2"/>
      <c r="G274" s="2"/>
    </row>
    <row r="275" spans="2:7" ht="15.75" customHeight="1">
      <c r="B275" s="1"/>
      <c r="C275" s="2"/>
      <c r="D275" s="2"/>
      <c r="E275" s="2"/>
      <c r="F275" s="2"/>
      <c r="G275" s="2"/>
    </row>
    <row r="276" spans="2:7" ht="15.75" customHeight="1">
      <c r="B276" s="1"/>
      <c r="C276" s="2"/>
      <c r="D276" s="2"/>
      <c r="E276" s="2"/>
      <c r="F276" s="2"/>
      <c r="G276" s="2"/>
    </row>
    <row r="277" spans="2:7" ht="15.75" customHeight="1">
      <c r="B277" s="1"/>
      <c r="C277" s="2"/>
      <c r="D277" s="2"/>
      <c r="E277" s="2"/>
      <c r="F277" s="2"/>
      <c r="G277" s="2"/>
    </row>
    <row r="278" spans="2:7" ht="15.75" customHeight="1">
      <c r="B278" s="1"/>
      <c r="C278" s="2"/>
      <c r="D278" s="2"/>
      <c r="E278" s="2"/>
      <c r="F278" s="2"/>
      <c r="G278" s="2"/>
    </row>
    <row r="279" spans="2:7" ht="15.75" customHeight="1">
      <c r="B279" s="1"/>
      <c r="C279" s="2"/>
      <c r="D279" s="2"/>
      <c r="E279" s="2"/>
      <c r="F279" s="2"/>
      <c r="G279" s="2"/>
    </row>
    <row r="280" spans="2:7" ht="15.75" customHeight="1">
      <c r="B280" s="1"/>
      <c r="C280" s="2"/>
      <c r="D280" s="2"/>
      <c r="E280" s="2"/>
      <c r="F280" s="2"/>
      <c r="G280" s="2"/>
    </row>
    <row r="281" spans="2:7" ht="15.75" customHeight="1">
      <c r="B281" s="1"/>
      <c r="C281" s="2"/>
      <c r="D281" s="2"/>
      <c r="E281" s="2"/>
      <c r="F281" s="2"/>
      <c r="G281" s="2"/>
    </row>
    <row r="282" spans="2:7" ht="15.75" customHeight="1">
      <c r="B282" s="1"/>
      <c r="C282" s="2"/>
      <c r="D282" s="2"/>
      <c r="E282" s="2"/>
      <c r="F282" s="2"/>
      <c r="G282" s="2"/>
    </row>
    <row r="283" spans="2:7" ht="15.75" customHeight="1">
      <c r="B283" s="1"/>
      <c r="C283" s="2"/>
      <c r="D283" s="2"/>
      <c r="E283" s="2"/>
      <c r="F283" s="2"/>
      <c r="G283" s="2"/>
    </row>
    <row r="284" spans="2:7" ht="15.75" customHeight="1">
      <c r="B284" s="1"/>
      <c r="C284" s="2"/>
      <c r="D284" s="2"/>
      <c r="E284" s="2"/>
      <c r="F284" s="2"/>
      <c r="G284" s="2"/>
    </row>
    <row r="285" spans="2:7" ht="15.75" customHeight="1">
      <c r="B285" s="1"/>
      <c r="C285" s="2"/>
      <c r="D285" s="2"/>
      <c r="E285" s="2"/>
      <c r="F285" s="2"/>
      <c r="G285" s="2"/>
    </row>
    <row r="286" spans="2:7" ht="15.75" customHeight="1">
      <c r="B286" s="1"/>
      <c r="C286" s="2"/>
      <c r="D286" s="2"/>
      <c r="E286" s="2"/>
      <c r="F286" s="2"/>
      <c r="G286" s="2"/>
    </row>
    <row r="287" spans="2:7" ht="15.75" customHeight="1">
      <c r="B287" s="1"/>
      <c r="C287" s="2"/>
      <c r="D287" s="2"/>
      <c r="E287" s="2"/>
      <c r="F287" s="2"/>
      <c r="G287" s="2"/>
    </row>
    <row r="288" spans="2:7" ht="15.75" customHeight="1">
      <c r="B288" s="1"/>
      <c r="C288" s="2"/>
      <c r="D288" s="2"/>
      <c r="E288" s="2"/>
      <c r="F288" s="2"/>
      <c r="G288" s="2"/>
    </row>
    <row r="289" spans="2:7" ht="15.75" customHeight="1">
      <c r="B289" s="1"/>
      <c r="C289" s="2"/>
      <c r="D289" s="2"/>
      <c r="E289" s="2"/>
      <c r="F289" s="2"/>
      <c r="G289" s="2"/>
    </row>
    <row r="290" spans="2:7" ht="15.75" customHeight="1">
      <c r="B290" s="1"/>
      <c r="C290" s="2"/>
      <c r="D290" s="2"/>
      <c r="E290" s="2"/>
      <c r="F290" s="2"/>
      <c r="G290" s="2"/>
    </row>
    <row r="291" spans="2:7" ht="15.75" customHeight="1">
      <c r="B291" s="1"/>
      <c r="C291" s="2"/>
      <c r="D291" s="2"/>
      <c r="E291" s="2"/>
      <c r="F291" s="2"/>
      <c r="G291" s="2"/>
    </row>
    <row r="292" spans="2:7" ht="15.75" customHeight="1">
      <c r="B292" s="1"/>
      <c r="C292" s="2"/>
      <c r="D292" s="2"/>
      <c r="E292" s="2"/>
      <c r="F292" s="2"/>
      <c r="G292" s="2"/>
    </row>
    <row r="293" spans="2:7" ht="15.75" customHeight="1">
      <c r="B293" s="1"/>
      <c r="C293" s="2"/>
      <c r="D293" s="2"/>
      <c r="E293" s="2"/>
      <c r="F293" s="2"/>
      <c r="G293" s="2"/>
    </row>
    <row r="294" spans="2:7" ht="15.75" customHeight="1">
      <c r="B294" s="1"/>
      <c r="C294" s="2"/>
      <c r="D294" s="2"/>
      <c r="E294" s="2"/>
      <c r="F294" s="2"/>
      <c r="G294" s="2"/>
    </row>
    <row r="295" spans="2:7" ht="15.75" customHeight="1">
      <c r="B295" s="1"/>
      <c r="C295" s="2"/>
      <c r="D295" s="2"/>
      <c r="E295" s="2"/>
      <c r="F295" s="2"/>
      <c r="G295" s="2"/>
    </row>
    <row r="296" spans="2:7" ht="15.75" customHeight="1">
      <c r="B296" s="1"/>
      <c r="C296" s="2"/>
      <c r="D296" s="2"/>
      <c r="E296" s="2"/>
      <c r="F296" s="2"/>
      <c r="G296" s="2"/>
    </row>
    <row r="297" spans="2:7" ht="15.75" customHeight="1">
      <c r="B297" s="1"/>
      <c r="C297" s="2"/>
      <c r="D297" s="2"/>
      <c r="E297" s="2"/>
      <c r="F297" s="2"/>
      <c r="G297" s="2"/>
    </row>
    <row r="298" spans="2:7" ht="15.75" customHeight="1">
      <c r="B298" s="1"/>
      <c r="C298" s="2"/>
      <c r="D298" s="2"/>
      <c r="E298" s="2"/>
      <c r="F298" s="2"/>
      <c r="G298" s="2"/>
    </row>
    <row r="299" spans="2:7" ht="15.75" customHeight="1">
      <c r="B299" s="1"/>
      <c r="C299" s="2"/>
      <c r="D299" s="2"/>
      <c r="E299" s="2"/>
      <c r="F299" s="2"/>
      <c r="G299" s="2"/>
    </row>
    <row r="300" spans="2:7" ht="15.75" customHeight="1">
      <c r="B300" s="1"/>
      <c r="C300" s="2"/>
      <c r="D300" s="2"/>
      <c r="E300" s="2"/>
      <c r="F300" s="2"/>
      <c r="G300" s="2"/>
    </row>
    <row r="301" spans="2:7" ht="15.75" customHeight="1">
      <c r="B301" s="1"/>
      <c r="C301" s="2"/>
      <c r="D301" s="2"/>
      <c r="E301" s="2"/>
      <c r="F301" s="2"/>
      <c r="G301" s="2"/>
    </row>
    <row r="302" spans="2:7" ht="15.75" customHeight="1">
      <c r="B302" s="1"/>
      <c r="C302" s="2"/>
      <c r="D302" s="2"/>
      <c r="E302" s="2"/>
      <c r="F302" s="2"/>
      <c r="G302" s="2"/>
    </row>
    <row r="303" spans="2:7" ht="15.75" customHeight="1">
      <c r="B303" s="1"/>
      <c r="C303" s="2"/>
      <c r="D303" s="2"/>
      <c r="E303" s="2"/>
      <c r="F303" s="2"/>
      <c r="G303" s="2"/>
    </row>
    <row r="304" spans="2:7" ht="15.75" customHeight="1">
      <c r="B304" s="1"/>
      <c r="C304" s="2"/>
      <c r="D304" s="2"/>
      <c r="E304" s="2"/>
      <c r="F304" s="2"/>
      <c r="G304" s="2"/>
    </row>
    <row r="305" spans="2:7" ht="15.75" customHeight="1">
      <c r="B305" s="1"/>
      <c r="C305" s="2"/>
      <c r="D305" s="2"/>
      <c r="E305" s="2"/>
      <c r="F305" s="2"/>
      <c r="G305" s="2"/>
    </row>
    <row r="306" spans="2:7" ht="15.75" customHeight="1">
      <c r="B306" s="1"/>
      <c r="C306" s="2"/>
      <c r="D306" s="2"/>
      <c r="E306" s="2"/>
      <c r="F306" s="2"/>
      <c r="G306" s="2"/>
    </row>
    <row r="307" spans="2:7" ht="15.75" customHeight="1">
      <c r="B307" s="1"/>
      <c r="C307" s="2"/>
      <c r="D307" s="2"/>
      <c r="E307" s="2"/>
      <c r="F307" s="2"/>
      <c r="G307" s="2"/>
    </row>
    <row r="308" spans="2:7" ht="15.75" customHeight="1">
      <c r="B308" s="1"/>
      <c r="C308" s="2"/>
      <c r="D308" s="2"/>
      <c r="E308" s="2"/>
      <c r="F308" s="2"/>
      <c r="G308" s="2"/>
    </row>
    <row r="309" spans="2:7" ht="15.75" customHeight="1">
      <c r="B309" s="1"/>
      <c r="C309" s="2"/>
      <c r="D309" s="2"/>
      <c r="E309" s="2"/>
      <c r="F309" s="2"/>
      <c r="G309" s="2"/>
    </row>
    <row r="310" spans="2:7" ht="15.75" customHeight="1">
      <c r="B310" s="1"/>
      <c r="C310" s="2"/>
      <c r="D310" s="2"/>
      <c r="E310" s="2"/>
      <c r="F310" s="2"/>
      <c r="G310" s="2"/>
    </row>
    <row r="311" spans="2:7" ht="15.75" customHeight="1">
      <c r="B311" s="1"/>
      <c r="C311" s="2"/>
      <c r="D311" s="2"/>
      <c r="E311" s="2"/>
      <c r="F311" s="2"/>
      <c r="G311" s="2"/>
    </row>
    <row r="312" spans="2:7" ht="15.75" customHeight="1">
      <c r="B312" s="1"/>
      <c r="C312" s="2"/>
      <c r="D312" s="2"/>
      <c r="E312" s="2"/>
      <c r="F312" s="2"/>
      <c r="G312" s="2"/>
    </row>
    <row r="313" spans="2:7" ht="15.75" customHeight="1">
      <c r="B313" s="1"/>
      <c r="C313" s="2"/>
      <c r="D313" s="2"/>
      <c r="E313" s="2"/>
      <c r="F313" s="2"/>
      <c r="G313" s="2"/>
    </row>
    <row r="314" spans="2:7" ht="15.75" customHeight="1">
      <c r="B314" s="1"/>
      <c r="C314" s="2"/>
      <c r="D314" s="2"/>
      <c r="E314" s="2"/>
      <c r="F314" s="2"/>
      <c r="G314" s="2"/>
    </row>
    <row r="315" spans="2:7" ht="15.75" customHeight="1">
      <c r="B315" s="1"/>
      <c r="C315" s="2"/>
      <c r="D315" s="2"/>
      <c r="E315" s="2"/>
      <c r="F315" s="2"/>
      <c r="G315" s="2"/>
    </row>
    <row r="316" spans="2:7" ht="15.75" customHeight="1">
      <c r="B316" s="1"/>
      <c r="C316" s="2"/>
      <c r="D316" s="2"/>
      <c r="E316" s="2"/>
      <c r="F316" s="2"/>
      <c r="G316" s="2"/>
    </row>
    <row r="317" spans="2:7" ht="15.75" customHeight="1">
      <c r="B317" s="1"/>
      <c r="C317" s="2"/>
      <c r="D317" s="2"/>
      <c r="E317" s="2"/>
      <c r="F317" s="2"/>
      <c r="G317" s="2"/>
    </row>
    <row r="318" spans="2:7" ht="15.75" customHeight="1">
      <c r="B318" s="1"/>
      <c r="C318" s="2"/>
      <c r="D318" s="2"/>
      <c r="E318" s="2"/>
      <c r="F318" s="2"/>
      <c r="G318" s="2"/>
    </row>
    <row r="319" spans="2:7" ht="15.75" customHeight="1">
      <c r="B319" s="1"/>
      <c r="C319" s="2"/>
      <c r="D319" s="2"/>
      <c r="E319" s="2"/>
      <c r="F319" s="2"/>
      <c r="G319" s="2"/>
    </row>
    <row r="320" spans="2:7" ht="15.75" customHeight="1">
      <c r="B320" s="1"/>
      <c r="C320" s="2"/>
      <c r="D320" s="2"/>
      <c r="E320" s="2"/>
      <c r="F320" s="2"/>
      <c r="G320" s="2"/>
    </row>
    <row r="321" spans="2:7" ht="15.75" customHeight="1">
      <c r="B321" s="1"/>
      <c r="C321" s="2"/>
      <c r="D321" s="2"/>
      <c r="E321" s="2"/>
      <c r="F321" s="2"/>
      <c r="G321" s="2"/>
    </row>
    <row r="322" spans="2:7" ht="15.75" customHeight="1">
      <c r="B322" s="1"/>
      <c r="C322" s="2"/>
      <c r="D322" s="2"/>
      <c r="E322" s="2"/>
      <c r="F322" s="2"/>
      <c r="G322" s="2"/>
    </row>
    <row r="323" spans="2:7" ht="15.75" customHeight="1">
      <c r="B323" s="1"/>
      <c r="C323" s="2"/>
      <c r="D323" s="2"/>
      <c r="E323" s="2"/>
      <c r="F323" s="2"/>
      <c r="G323" s="2"/>
    </row>
    <row r="324" spans="2:7" ht="15.75" customHeight="1">
      <c r="B324" s="1"/>
      <c r="C324" s="2"/>
      <c r="D324" s="2"/>
      <c r="E324" s="2"/>
      <c r="F324" s="2"/>
      <c r="G324" s="2"/>
    </row>
    <row r="325" spans="2:7" ht="15.75" customHeight="1">
      <c r="B325" s="1"/>
      <c r="C325" s="2"/>
      <c r="D325" s="2"/>
      <c r="E325" s="2"/>
      <c r="F325" s="2"/>
      <c r="G325" s="2"/>
    </row>
    <row r="326" spans="2:7" ht="15.75" customHeight="1">
      <c r="B326" s="1"/>
      <c r="C326" s="2"/>
      <c r="D326" s="2"/>
      <c r="E326" s="2"/>
      <c r="F326" s="2"/>
      <c r="G326" s="2"/>
    </row>
    <row r="327" spans="2:7" ht="15.75" customHeight="1">
      <c r="B327" s="1"/>
      <c r="C327" s="2"/>
      <c r="D327" s="2"/>
      <c r="E327" s="2"/>
      <c r="F327" s="2"/>
      <c r="G327" s="2"/>
    </row>
    <row r="328" spans="2:7" ht="15.75" customHeight="1">
      <c r="B328" s="1"/>
      <c r="C328" s="2"/>
      <c r="D328" s="2"/>
      <c r="E328" s="2"/>
      <c r="F328" s="2"/>
      <c r="G328" s="2"/>
    </row>
    <row r="329" spans="2:7" ht="15.75" customHeight="1">
      <c r="B329" s="1"/>
      <c r="C329" s="2"/>
      <c r="D329" s="2"/>
      <c r="E329" s="2"/>
      <c r="F329" s="2"/>
      <c r="G329" s="2"/>
    </row>
    <row r="330" spans="2:7" ht="15.75" customHeight="1">
      <c r="B330" s="1"/>
      <c r="C330" s="2"/>
      <c r="D330" s="2"/>
      <c r="E330" s="2"/>
      <c r="F330" s="2"/>
      <c r="G330" s="2"/>
    </row>
    <row r="331" spans="2:7" ht="15.75" customHeight="1">
      <c r="B331" s="1"/>
      <c r="C331" s="2"/>
      <c r="D331" s="2"/>
      <c r="E331" s="2"/>
      <c r="F331" s="2"/>
      <c r="G331" s="2"/>
    </row>
    <row r="332" spans="2:7" ht="15.75" customHeight="1">
      <c r="B332" s="1"/>
      <c r="C332" s="2"/>
      <c r="D332" s="2"/>
      <c r="E332" s="2"/>
      <c r="F332" s="2"/>
      <c r="G332" s="2"/>
    </row>
    <row r="333" spans="2:7" ht="15.75" customHeight="1">
      <c r="B333" s="1"/>
      <c r="C333" s="2"/>
      <c r="D333" s="2"/>
      <c r="E333" s="2"/>
      <c r="F333" s="2"/>
      <c r="G333" s="2"/>
    </row>
    <row r="334" spans="2:7" ht="15.75" customHeight="1">
      <c r="B334" s="1"/>
      <c r="C334" s="2"/>
      <c r="D334" s="2"/>
      <c r="E334" s="2"/>
      <c r="F334" s="2"/>
      <c r="G334" s="2"/>
    </row>
    <row r="335" spans="2:7" ht="15.75" customHeight="1">
      <c r="B335" s="1"/>
      <c r="C335" s="2"/>
      <c r="D335" s="2"/>
      <c r="E335" s="2"/>
      <c r="F335" s="2"/>
      <c r="G335" s="2"/>
    </row>
    <row r="336" spans="2:7" ht="15.75" customHeight="1">
      <c r="B336" s="1"/>
      <c r="C336" s="2"/>
      <c r="D336" s="2"/>
      <c r="E336" s="2"/>
      <c r="F336" s="2"/>
      <c r="G336" s="2"/>
    </row>
    <row r="337" spans="2:7" ht="15.75" customHeight="1">
      <c r="B337" s="1"/>
      <c r="C337" s="2"/>
      <c r="D337" s="2"/>
      <c r="E337" s="2"/>
      <c r="F337" s="2"/>
      <c r="G337" s="2"/>
    </row>
    <row r="338" spans="2:7" ht="15.75" customHeight="1">
      <c r="B338" s="1"/>
      <c r="C338" s="2"/>
      <c r="D338" s="2"/>
      <c r="E338" s="2"/>
      <c r="F338" s="2"/>
      <c r="G338" s="2"/>
    </row>
    <row r="339" spans="2:7" ht="15.75" customHeight="1">
      <c r="B339" s="1"/>
      <c r="C339" s="2"/>
      <c r="D339" s="2"/>
      <c r="E339" s="2"/>
      <c r="F339" s="2"/>
      <c r="G339" s="2"/>
    </row>
    <row r="340" spans="2:7" ht="15.75" customHeight="1">
      <c r="B340" s="1"/>
      <c r="C340" s="2"/>
      <c r="D340" s="2"/>
      <c r="E340" s="2"/>
      <c r="F340" s="2"/>
      <c r="G340" s="2"/>
    </row>
    <row r="341" spans="2:7" ht="15.75" customHeight="1">
      <c r="B341" s="1"/>
      <c r="C341" s="2"/>
      <c r="D341" s="2"/>
      <c r="E341" s="2"/>
      <c r="F341" s="2"/>
      <c r="G341" s="2"/>
    </row>
    <row r="342" spans="2:7" ht="15.75" customHeight="1">
      <c r="B342" s="1"/>
      <c r="C342" s="2"/>
      <c r="D342" s="2"/>
      <c r="E342" s="2"/>
      <c r="F342" s="2"/>
      <c r="G342" s="2"/>
    </row>
    <row r="343" spans="2:7" ht="15.75" customHeight="1">
      <c r="B343" s="1"/>
      <c r="C343" s="2"/>
      <c r="D343" s="2"/>
      <c r="E343" s="2"/>
      <c r="F343" s="2"/>
      <c r="G343" s="2"/>
    </row>
    <row r="344" spans="2:7" ht="15.75" customHeight="1">
      <c r="B344" s="1"/>
      <c r="C344" s="2"/>
      <c r="D344" s="2"/>
      <c r="E344" s="2"/>
      <c r="F344" s="2"/>
      <c r="G344" s="2"/>
    </row>
    <row r="345" spans="2:7" ht="15.75" customHeight="1">
      <c r="B345" s="1"/>
      <c r="C345" s="2"/>
      <c r="D345" s="2"/>
      <c r="E345" s="2"/>
      <c r="F345" s="2"/>
      <c r="G345" s="2"/>
    </row>
    <row r="346" spans="2:7" ht="15.75" customHeight="1">
      <c r="B346" s="1"/>
      <c r="C346" s="2"/>
      <c r="D346" s="2"/>
      <c r="E346" s="2"/>
      <c r="F346" s="2"/>
      <c r="G346" s="2"/>
    </row>
    <row r="347" spans="2:7" ht="15.75" customHeight="1">
      <c r="B347" s="1"/>
      <c r="C347" s="2"/>
      <c r="D347" s="2"/>
      <c r="E347" s="2"/>
      <c r="F347" s="2"/>
      <c r="G347" s="2"/>
    </row>
    <row r="348" spans="2:7" ht="15.75" customHeight="1">
      <c r="B348" s="1"/>
      <c r="C348" s="2"/>
      <c r="D348" s="2"/>
      <c r="E348" s="2"/>
      <c r="F348" s="2"/>
      <c r="G348" s="2"/>
    </row>
    <row r="349" spans="2:7" ht="15.75" customHeight="1">
      <c r="B349" s="1"/>
      <c r="C349" s="2"/>
      <c r="D349" s="2"/>
      <c r="E349" s="2"/>
      <c r="F349" s="2"/>
      <c r="G349" s="2"/>
    </row>
    <row r="350" spans="2:7" ht="15.75" customHeight="1">
      <c r="B350" s="1"/>
      <c r="C350" s="2"/>
      <c r="D350" s="2"/>
      <c r="E350" s="2"/>
      <c r="F350" s="2"/>
      <c r="G350" s="2"/>
    </row>
    <row r="351" spans="2:7" ht="15.75" customHeight="1">
      <c r="B351" s="1"/>
      <c r="C351" s="2"/>
      <c r="D351" s="2"/>
      <c r="E351" s="2"/>
      <c r="F351" s="2"/>
      <c r="G351" s="2"/>
    </row>
    <row r="352" spans="2:7" ht="15.75" customHeight="1">
      <c r="B352" s="1"/>
      <c r="C352" s="2"/>
      <c r="D352" s="2"/>
      <c r="E352" s="2"/>
      <c r="F352" s="2"/>
      <c r="G352" s="2"/>
    </row>
    <row r="353" spans="2:7" ht="15.75" customHeight="1">
      <c r="B353" s="1"/>
      <c r="C353" s="2"/>
      <c r="D353" s="2"/>
      <c r="E353" s="2"/>
      <c r="F353" s="2"/>
      <c r="G353" s="2"/>
    </row>
    <row r="354" spans="2:7" ht="15.75" customHeight="1">
      <c r="B354" s="1"/>
      <c r="C354" s="2"/>
      <c r="D354" s="2"/>
      <c r="E354" s="2"/>
      <c r="F354" s="2"/>
      <c r="G354" s="2"/>
    </row>
    <row r="355" spans="2:7" ht="15.75" customHeight="1">
      <c r="B355" s="1"/>
      <c r="C355" s="2"/>
      <c r="D355" s="2"/>
      <c r="E355" s="2"/>
      <c r="F355" s="2"/>
      <c r="G355" s="2"/>
    </row>
    <row r="356" spans="2:7" ht="15.75" customHeight="1">
      <c r="B356" s="1"/>
      <c r="C356" s="2"/>
      <c r="D356" s="2"/>
      <c r="E356" s="2"/>
      <c r="F356" s="2"/>
      <c r="G356" s="2"/>
    </row>
    <row r="357" spans="2:7" ht="15.75" customHeight="1">
      <c r="B357" s="1"/>
      <c r="C357" s="2"/>
      <c r="D357" s="2"/>
      <c r="E357" s="2"/>
      <c r="F357" s="2"/>
      <c r="G357" s="2"/>
    </row>
    <row r="358" spans="2:7" ht="15.75" customHeight="1">
      <c r="B358" s="1"/>
      <c r="C358" s="2"/>
      <c r="D358" s="2"/>
      <c r="E358" s="2"/>
      <c r="F358" s="2"/>
      <c r="G358" s="2"/>
    </row>
    <row r="359" spans="2:7" ht="15.75" customHeight="1">
      <c r="B359" s="1"/>
      <c r="C359" s="2"/>
      <c r="D359" s="2"/>
      <c r="E359" s="2"/>
      <c r="F359" s="2"/>
      <c r="G359" s="2"/>
    </row>
    <row r="360" spans="2:7" ht="15.75" customHeight="1">
      <c r="B360" s="1"/>
      <c r="C360" s="2"/>
      <c r="D360" s="2"/>
      <c r="E360" s="2"/>
      <c r="F360" s="2"/>
      <c r="G360" s="2"/>
    </row>
    <row r="361" spans="2:7" ht="15.75" customHeight="1">
      <c r="B361" s="1"/>
      <c r="C361" s="2"/>
      <c r="D361" s="2"/>
      <c r="E361" s="2"/>
      <c r="F361" s="2"/>
      <c r="G361" s="2"/>
    </row>
    <row r="362" spans="2:7" ht="15.75" customHeight="1">
      <c r="B362" s="1"/>
      <c r="C362" s="2"/>
      <c r="D362" s="2"/>
      <c r="E362" s="2"/>
      <c r="F362" s="2"/>
      <c r="G362" s="2"/>
    </row>
    <row r="363" spans="2:7" ht="15.75" customHeight="1">
      <c r="B363" s="1"/>
      <c r="C363" s="2"/>
      <c r="D363" s="2"/>
      <c r="E363" s="2"/>
      <c r="F363" s="2"/>
      <c r="G363" s="2"/>
    </row>
    <row r="364" spans="2:7" ht="15.75" customHeight="1">
      <c r="B364" s="1"/>
      <c r="C364" s="2"/>
      <c r="D364" s="2"/>
      <c r="E364" s="2"/>
      <c r="F364" s="2"/>
      <c r="G364" s="2"/>
    </row>
    <row r="365" spans="2:7" ht="15.75" customHeight="1">
      <c r="B365" s="1"/>
      <c r="C365" s="2"/>
      <c r="D365" s="2"/>
      <c r="E365" s="2"/>
      <c r="F365" s="2"/>
      <c r="G365" s="2"/>
    </row>
    <row r="366" spans="2:7" ht="15.75" customHeight="1">
      <c r="B366" s="1"/>
      <c r="C366" s="2"/>
      <c r="D366" s="2"/>
      <c r="E366" s="2"/>
      <c r="F366" s="2"/>
      <c r="G366" s="2"/>
    </row>
    <row r="367" spans="2:7" ht="15.75" customHeight="1">
      <c r="B367" s="1"/>
      <c r="C367" s="2"/>
      <c r="D367" s="2"/>
      <c r="E367" s="2"/>
      <c r="F367" s="2"/>
      <c r="G367" s="2"/>
    </row>
    <row r="368" spans="2:7" ht="15.75" customHeight="1">
      <c r="B368" s="1"/>
      <c r="C368" s="2"/>
      <c r="D368" s="2"/>
      <c r="E368" s="2"/>
      <c r="F368" s="2"/>
      <c r="G368" s="2"/>
    </row>
    <row r="369" spans="2:7" ht="15.75" customHeight="1">
      <c r="B369" s="1"/>
      <c r="C369" s="2"/>
      <c r="D369" s="2"/>
      <c r="E369" s="2"/>
      <c r="F369" s="2"/>
      <c r="G369" s="2"/>
    </row>
    <row r="370" spans="2:7" ht="15.75" customHeight="1">
      <c r="B370" s="1"/>
      <c r="C370" s="2"/>
      <c r="D370" s="2"/>
      <c r="E370" s="2"/>
      <c r="F370" s="2"/>
      <c r="G370" s="2"/>
    </row>
    <row r="371" spans="2:7" ht="15.75" customHeight="1">
      <c r="B371" s="1"/>
      <c r="C371" s="2"/>
      <c r="D371" s="2"/>
      <c r="E371" s="2"/>
      <c r="F371" s="2"/>
      <c r="G371" s="2"/>
    </row>
    <row r="372" spans="2:7" ht="15.75" customHeight="1">
      <c r="B372" s="1"/>
      <c r="C372" s="2"/>
      <c r="D372" s="2"/>
      <c r="E372" s="2"/>
      <c r="F372" s="2"/>
      <c r="G372" s="2"/>
    </row>
    <row r="373" spans="2:7" ht="15.75" customHeight="1">
      <c r="B373" s="1"/>
      <c r="C373" s="2"/>
      <c r="D373" s="2"/>
      <c r="E373" s="2"/>
      <c r="F373" s="2"/>
      <c r="G373" s="2"/>
    </row>
    <row r="374" spans="2:7" ht="15.75" customHeight="1">
      <c r="B374" s="1"/>
      <c r="C374" s="2"/>
      <c r="D374" s="2"/>
      <c r="E374" s="2"/>
      <c r="F374" s="2"/>
      <c r="G374" s="2"/>
    </row>
    <row r="375" spans="2:7" ht="15.75" customHeight="1">
      <c r="B375" s="1"/>
      <c r="C375" s="2"/>
      <c r="D375" s="2"/>
      <c r="E375" s="2"/>
      <c r="F375" s="2"/>
      <c r="G375" s="2"/>
    </row>
    <row r="376" spans="2:7" ht="15.75" customHeight="1">
      <c r="B376" s="1"/>
      <c r="C376" s="2"/>
      <c r="D376" s="2"/>
      <c r="E376" s="2"/>
      <c r="F376" s="2"/>
      <c r="G376" s="2"/>
    </row>
    <row r="377" spans="2:7" ht="15.75" customHeight="1">
      <c r="B377" s="1"/>
      <c r="C377" s="2"/>
      <c r="D377" s="2"/>
      <c r="E377" s="2"/>
      <c r="F377" s="2"/>
      <c r="G377" s="2"/>
    </row>
    <row r="378" spans="2:7" ht="15.75" customHeight="1">
      <c r="B378" s="1"/>
      <c r="C378" s="2"/>
      <c r="D378" s="2"/>
      <c r="E378" s="2"/>
      <c r="F378" s="2"/>
      <c r="G378" s="2"/>
    </row>
    <row r="379" spans="2:7" ht="15.75" customHeight="1">
      <c r="B379" s="1"/>
      <c r="C379" s="2"/>
      <c r="D379" s="2"/>
      <c r="E379" s="2"/>
      <c r="F379" s="2"/>
      <c r="G379" s="2"/>
    </row>
    <row r="380" spans="2:7" ht="15.75" customHeight="1">
      <c r="B380" s="1"/>
      <c r="C380" s="2"/>
      <c r="D380" s="2"/>
      <c r="E380" s="2"/>
      <c r="F380" s="2"/>
      <c r="G380" s="2"/>
    </row>
    <row r="381" spans="2:7" ht="15.75" customHeight="1">
      <c r="B381" s="1"/>
      <c r="C381" s="2"/>
      <c r="D381" s="2"/>
      <c r="E381" s="2"/>
      <c r="F381" s="2"/>
      <c r="G381" s="2"/>
    </row>
    <row r="382" spans="2:7" ht="15.75" customHeight="1">
      <c r="B382" s="1"/>
      <c r="C382" s="2"/>
      <c r="D382" s="2"/>
      <c r="E382" s="2"/>
      <c r="F382" s="2"/>
      <c r="G382" s="2"/>
    </row>
    <row r="383" spans="2:7" ht="15.75" customHeight="1">
      <c r="B383" s="1"/>
      <c r="C383" s="2"/>
      <c r="D383" s="2"/>
      <c r="E383" s="2"/>
      <c r="F383" s="2"/>
      <c r="G383" s="2"/>
    </row>
    <row r="384" spans="2:7" ht="15.75" customHeight="1">
      <c r="B384" s="1"/>
      <c r="C384" s="2"/>
      <c r="D384" s="2"/>
      <c r="E384" s="2"/>
      <c r="F384" s="2"/>
      <c r="G384" s="2"/>
    </row>
    <row r="385" spans="2:7" ht="15.75" customHeight="1">
      <c r="B385" s="1"/>
      <c r="C385" s="2"/>
      <c r="D385" s="2"/>
      <c r="E385" s="2"/>
      <c r="F385" s="2"/>
      <c r="G385" s="2"/>
    </row>
    <row r="386" spans="2:7" ht="15.75" customHeight="1">
      <c r="B386" s="1"/>
      <c r="C386" s="2"/>
      <c r="D386" s="2"/>
      <c r="E386" s="2"/>
      <c r="F386" s="2"/>
      <c r="G386" s="2"/>
    </row>
    <row r="387" spans="2:7" ht="15.75" customHeight="1">
      <c r="B387" s="1"/>
      <c r="C387" s="2"/>
      <c r="D387" s="2"/>
      <c r="E387" s="2"/>
      <c r="F387" s="2"/>
      <c r="G387" s="2"/>
    </row>
    <row r="388" spans="2:7" ht="15.75" customHeight="1">
      <c r="B388" s="1"/>
      <c r="C388" s="2"/>
      <c r="D388" s="2"/>
      <c r="E388" s="2"/>
      <c r="F388" s="2"/>
      <c r="G388" s="2"/>
    </row>
    <row r="389" spans="2:7" ht="15.75" customHeight="1">
      <c r="B389" s="1"/>
      <c r="C389" s="2"/>
      <c r="D389" s="2"/>
      <c r="E389" s="2"/>
      <c r="F389" s="2"/>
      <c r="G389" s="2"/>
    </row>
    <row r="390" spans="2:7" ht="15.75" customHeight="1">
      <c r="B390" s="1"/>
      <c r="C390" s="2"/>
      <c r="D390" s="2"/>
      <c r="E390" s="2"/>
      <c r="F390" s="2"/>
      <c r="G390" s="2"/>
    </row>
    <row r="391" spans="2:7" ht="15.75" customHeight="1">
      <c r="B391" s="1"/>
      <c r="C391" s="2"/>
      <c r="D391" s="2"/>
      <c r="E391" s="2"/>
      <c r="F391" s="2"/>
      <c r="G391" s="2"/>
    </row>
    <row r="392" spans="2:7" ht="15.75" customHeight="1">
      <c r="B392" s="1"/>
      <c r="C392" s="2"/>
      <c r="D392" s="2"/>
      <c r="E392" s="2"/>
      <c r="F392" s="2"/>
      <c r="G392" s="2"/>
    </row>
    <row r="393" spans="2:7" ht="15.75" customHeight="1">
      <c r="B393" s="1"/>
      <c r="C393" s="2"/>
      <c r="D393" s="2"/>
      <c r="E393" s="2"/>
      <c r="F393" s="2"/>
      <c r="G393" s="2"/>
    </row>
    <row r="394" spans="2:7" ht="15.75" customHeight="1">
      <c r="B394" s="1"/>
      <c r="C394" s="2"/>
      <c r="D394" s="2"/>
      <c r="E394" s="2"/>
      <c r="F394" s="2"/>
      <c r="G394" s="2"/>
    </row>
    <row r="395" spans="2:7" ht="15.75" customHeight="1">
      <c r="B395" s="1"/>
      <c r="C395" s="2"/>
      <c r="D395" s="2"/>
      <c r="E395" s="2"/>
      <c r="F395" s="2"/>
      <c r="G395" s="2"/>
    </row>
    <row r="396" spans="2:7" ht="15.75" customHeight="1">
      <c r="B396" s="1"/>
      <c r="C396" s="2"/>
      <c r="D396" s="2"/>
      <c r="E396" s="2"/>
      <c r="F396" s="2"/>
      <c r="G396" s="2"/>
    </row>
    <row r="397" spans="2:7" ht="15.75" customHeight="1">
      <c r="B397" s="1"/>
      <c r="C397" s="2"/>
      <c r="D397" s="2"/>
      <c r="E397" s="2"/>
      <c r="F397" s="2"/>
      <c r="G397" s="2"/>
    </row>
    <row r="398" spans="2:7" ht="15.75" customHeight="1">
      <c r="B398" s="1"/>
      <c r="C398" s="2"/>
      <c r="D398" s="2"/>
      <c r="E398" s="2"/>
      <c r="F398" s="2"/>
      <c r="G398" s="2"/>
    </row>
    <row r="399" spans="2:7" ht="15.75" customHeight="1">
      <c r="B399" s="1"/>
      <c r="C399" s="2"/>
      <c r="D399" s="2"/>
      <c r="E399" s="2"/>
      <c r="F399" s="2"/>
      <c r="G399" s="2"/>
    </row>
    <row r="400" spans="2:7" ht="15.75" customHeight="1">
      <c r="B400" s="1"/>
      <c r="C400" s="2"/>
      <c r="D400" s="2"/>
      <c r="E400" s="2"/>
      <c r="F400" s="2"/>
      <c r="G400" s="2"/>
    </row>
    <row r="401" spans="2:7" ht="15.75" customHeight="1">
      <c r="B401" s="1"/>
      <c r="C401" s="2"/>
      <c r="D401" s="2"/>
      <c r="E401" s="2"/>
      <c r="F401" s="2"/>
      <c r="G401" s="2"/>
    </row>
    <row r="402" spans="2:7" ht="15.75" customHeight="1">
      <c r="B402" s="1"/>
      <c r="C402" s="2"/>
      <c r="D402" s="2"/>
      <c r="E402" s="2"/>
      <c r="F402" s="2"/>
      <c r="G402" s="2"/>
    </row>
    <row r="403" spans="2:7" ht="15.75" customHeight="1">
      <c r="B403" s="1"/>
      <c r="C403" s="2"/>
      <c r="D403" s="2"/>
      <c r="E403" s="2"/>
      <c r="F403" s="2"/>
      <c r="G403" s="2"/>
    </row>
    <row r="404" spans="2:7" ht="15.75" customHeight="1">
      <c r="B404" s="1"/>
      <c r="C404" s="2"/>
      <c r="D404" s="2"/>
      <c r="E404" s="2"/>
      <c r="F404" s="2"/>
      <c r="G404" s="2"/>
    </row>
    <row r="405" spans="2:7" ht="15.75" customHeight="1">
      <c r="B405" s="1"/>
      <c r="C405" s="2"/>
      <c r="D405" s="2"/>
      <c r="E405" s="2"/>
      <c r="F405" s="2"/>
      <c r="G405" s="2"/>
    </row>
    <row r="406" spans="2:7" ht="15.75" customHeight="1">
      <c r="B406" s="1"/>
      <c r="C406" s="2"/>
      <c r="D406" s="2"/>
      <c r="E406" s="2"/>
      <c r="F406" s="2"/>
      <c r="G406" s="2"/>
    </row>
    <row r="407" spans="2:7" ht="15.75" customHeight="1">
      <c r="B407" s="1"/>
      <c r="C407" s="2"/>
      <c r="D407" s="2"/>
      <c r="E407" s="2"/>
      <c r="F407" s="2"/>
      <c r="G407" s="2"/>
    </row>
    <row r="408" spans="2:7" ht="15.75" customHeight="1">
      <c r="B408" s="1"/>
      <c r="C408" s="2"/>
      <c r="D408" s="2"/>
      <c r="E408" s="2"/>
      <c r="F408" s="2"/>
      <c r="G408" s="2"/>
    </row>
    <row r="409" spans="2:7" ht="15.75" customHeight="1">
      <c r="B409" s="1"/>
      <c r="C409" s="2"/>
      <c r="D409" s="2"/>
      <c r="E409" s="2"/>
      <c r="F409" s="2"/>
      <c r="G409" s="2"/>
    </row>
    <row r="410" spans="2:7" ht="15.75" customHeight="1">
      <c r="B410" s="1"/>
      <c r="C410" s="2"/>
      <c r="D410" s="2"/>
      <c r="E410" s="2"/>
      <c r="F410" s="2"/>
      <c r="G410" s="2"/>
    </row>
    <row r="411" spans="2:7" ht="15.75" customHeight="1">
      <c r="B411" s="1"/>
      <c r="C411" s="2"/>
      <c r="D411" s="2"/>
      <c r="E411" s="2"/>
      <c r="F411" s="2"/>
      <c r="G411" s="2"/>
    </row>
    <row r="412" spans="2:7" ht="15.75" customHeight="1">
      <c r="B412" s="1"/>
      <c r="C412" s="2"/>
      <c r="D412" s="2"/>
      <c r="E412" s="2"/>
      <c r="F412" s="2"/>
      <c r="G412" s="2"/>
    </row>
    <row r="413" spans="2:7" ht="15.75" customHeight="1">
      <c r="B413" s="1"/>
      <c r="C413" s="2"/>
      <c r="D413" s="2"/>
      <c r="E413" s="2"/>
      <c r="F413" s="2"/>
      <c r="G413" s="2"/>
    </row>
    <row r="414" spans="2:7" ht="15.75" customHeight="1">
      <c r="B414" s="1"/>
      <c r="C414" s="2"/>
      <c r="D414" s="2"/>
      <c r="E414" s="2"/>
      <c r="F414" s="2"/>
      <c r="G414" s="2"/>
    </row>
    <row r="415" spans="2:7" ht="15.75" customHeight="1">
      <c r="B415" s="1"/>
      <c r="C415" s="2"/>
      <c r="D415" s="2"/>
      <c r="E415" s="2"/>
      <c r="F415" s="2"/>
      <c r="G415" s="2"/>
    </row>
    <row r="416" spans="2:7" ht="15.75" customHeight="1">
      <c r="B416" s="1"/>
      <c r="C416" s="2"/>
      <c r="D416" s="2"/>
      <c r="E416" s="2"/>
      <c r="F416" s="2"/>
      <c r="G416" s="2"/>
    </row>
    <row r="417" spans="2:7" ht="15.75" customHeight="1">
      <c r="B417" s="1"/>
      <c r="C417" s="2"/>
      <c r="D417" s="2"/>
      <c r="E417" s="2"/>
      <c r="F417" s="2"/>
      <c r="G417" s="2"/>
    </row>
    <row r="418" spans="2:7" ht="15.75" customHeight="1">
      <c r="B418" s="1"/>
      <c r="C418" s="2"/>
      <c r="D418" s="2"/>
      <c r="E418" s="2"/>
      <c r="F418" s="2"/>
      <c r="G418" s="2"/>
    </row>
    <row r="419" spans="2:7" ht="15.75" customHeight="1">
      <c r="B419" s="1"/>
      <c r="C419" s="2"/>
      <c r="D419" s="2"/>
      <c r="E419" s="2"/>
      <c r="F419" s="2"/>
      <c r="G419" s="2"/>
    </row>
    <row r="420" spans="2:7" ht="15.75" customHeight="1">
      <c r="B420" s="1"/>
      <c r="C420" s="2"/>
      <c r="D420" s="2"/>
      <c r="E420" s="2"/>
      <c r="F420" s="2"/>
      <c r="G420" s="2"/>
    </row>
    <row r="421" spans="2:7" ht="15.75" customHeight="1">
      <c r="B421" s="1"/>
      <c r="C421" s="2"/>
      <c r="D421" s="2"/>
      <c r="E421" s="2"/>
      <c r="F421" s="2"/>
      <c r="G421" s="2"/>
    </row>
    <row r="422" spans="2:7" ht="15.75" customHeight="1">
      <c r="B422" s="1"/>
      <c r="C422" s="2"/>
      <c r="D422" s="2"/>
      <c r="E422" s="2"/>
      <c r="F422" s="2"/>
      <c r="G422" s="2"/>
    </row>
    <row r="423" spans="2:7" ht="15.75" customHeight="1">
      <c r="B423" s="1"/>
      <c r="C423" s="2"/>
      <c r="D423" s="2"/>
      <c r="E423" s="2"/>
      <c r="F423" s="2"/>
      <c r="G423" s="2"/>
    </row>
    <row r="424" spans="2:7" ht="15.75" customHeight="1">
      <c r="B424" s="1"/>
      <c r="C424" s="2"/>
      <c r="D424" s="2"/>
      <c r="E424" s="2"/>
      <c r="F424" s="2"/>
      <c r="G424" s="2"/>
    </row>
    <row r="425" spans="2:7" ht="15.75" customHeight="1">
      <c r="B425" s="1"/>
      <c r="C425" s="2"/>
      <c r="D425" s="2"/>
      <c r="E425" s="2"/>
      <c r="F425" s="2"/>
      <c r="G425" s="2"/>
    </row>
    <row r="426" spans="2:7" ht="15.75" customHeight="1">
      <c r="B426" s="1"/>
      <c r="C426" s="2"/>
      <c r="D426" s="2"/>
      <c r="E426" s="2"/>
      <c r="F426" s="2"/>
      <c r="G426" s="2"/>
    </row>
    <row r="427" spans="2:7" ht="15.75" customHeight="1">
      <c r="B427" s="1"/>
      <c r="C427" s="2"/>
      <c r="D427" s="2"/>
      <c r="E427" s="2"/>
      <c r="F427" s="2"/>
      <c r="G427" s="2"/>
    </row>
    <row r="428" spans="2:7" ht="15.75" customHeight="1">
      <c r="B428" s="1"/>
      <c r="C428" s="2"/>
      <c r="D428" s="2"/>
      <c r="E428" s="2"/>
      <c r="F428" s="2"/>
      <c r="G428" s="2"/>
    </row>
    <row r="429" spans="2:7" ht="15.75" customHeight="1">
      <c r="B429" s="1"/>
      <c r="C429" s="2"/>
      <c r="D429" s="2"/>
      <c r="E429" s="2"/>
      <c r="F429" s="2"/>
      <c r="G429" s="2"/>
    </row>
    <row r="430" spans="2:7" ht="15.75" customHeight="1">
      <c r="B430" s="1"/>
      <c r="C430" s="2"/>
      <c r="D430" s="2"/>
      <c r="E430" s="2"/>
      <c r="F430" s="2"/>
      <c r="G430" s="2"/>
    </row>
    <row r="431" spans="2:7" ht="15.75" customHeight="1">
      <c r="B431" s="1"/>
      <c r="C431" s="2"/>
      <c r="D431" s="2"/>
      <c r="E431" s="2"/>
      <c r="F431" s="2"/>
      <c r="G431" s="2"/>
    </row>
    <row r="432" spans="2:7" ht="15.75" customHeight="1">
      <c r="B432" s="1"/>
      <c r="C432" s="2"/>
      <c r="D432" s="2"/>
      <c r="E432" s="2"/>
      <c r="F432" s="2"/>
      <c r="G432" s="2"/>
    </row>
    <row r="433" spans="2:7" ht="15.75" customHeight="1">
      <c r="B433" s="1"/>
      <c r="C433" s="2"/>
      <c r="D433" s="2"/>
      <c r="E433" s="2"/>
      <c r="F433" s="2"/>
      <c r="G433" s="2"/>
    </row>
    <row r="434" spans="2:7" ht="15.75" customHeight="1">
      <c r="B434" s="1"/>
      <c r="C434" s="2"/>
      <c r="D434" s="2"/>
      <c r="E434" s="2"/>
      <c r="F434" s="2"/>
      <c r="G434" s="2"/>
    </row>
    <row r="435" spans="2:7" ht="15.75" customHeight="1">
      <c r="B435" s="1"/>
      <c r="C435" s="2"/>
      <c r="D435" s="2"/>
      <c r="E435" s="2"/>
      <c r="F435" s="2"/>
      <c r="G435" s="2"/>
    </row>
    <row r="436" spans="2:7" ht="15.75" customHeight="1">
      <c r="B436" s="1"/>
      <c r="C436" s="2"/>
      <c r="D436" s="2"/>
      <c r="E436" s="2"/>
      <c r="F436" s="2"/>
      <c r="G436" s="2"/>
    </row>
    <row r="437" spans="2:7" ht="15.75" customHeight="1">
      <c r="B437" s="1"/>
      <c r="C437" s="2"/>
      <c r="D437" s="2"/>
      <c r="E437" s="2"/>
      <c r="F437" s="2"/>
      <c r="G437" s="2"/>
    </row>
    <row r="438" spans="2:7" ht="15.75" customHeight="1">
      <c r="B438" s="1"/>
      <c r="C438" s="2"/>
      <c r="D438" s="2"/>
      <c r="E438" s="2"/>
      <c r="F438" s="2"/>
      <c r="G438" s="2"/>
    </row>
    <row r="439" spans="2:7" ht="15.75" customHeight="1">
      <c r="B439" s="1"/>
      <c r="C439" s="2"/>
      <c r="D439" s="2"/>
      <c r="E439" s="2"/>
      <c r="F439" s="2"/>
      <c r="G439" s="2"/>
    </row>
    <row r="440" spans="2:7" ht="15.75" customHeight="1">
      <c r="B440" s="1"/>
      <c r="C440" s="2"/>
      <c r="D440" s="2"/>
      <c r="E440" s="2"/>
      <c r="F440" s="2"/>
      <c r="G440" s="2"/>
    </row>
    <row r="441" spans="2:7" ht="15.75" customHeight="1">
      <c r="B441" s="1"/>
      <c r="C441" s="2"/>
      <c r="D441" s="2"/>
      <c r="E441" s="2"/>
      <c r="F441" s="2"/>
      <c r="G441" s="2"/>
    </row>
    <row r="442" spans="2:7" ht="15.75" customHeight="1">
      <c r="B442" s="1"/>
      <c r="C442" s="2"/>
      <c r="D442" s="2"/>
      <c r="E442" s="2"/>
      <c r="F442" s="2"/>
      <c r="G442" s="2"/>
    </row>
    <row r="443" spans="2:7" ht="15.75" customHeight="1">
      <c r="B443" s="1"/>
      <c r="C443" s="2"/>
      <c r="D443" s="2"/>
      <c r="E443" s="2"/>
      <c r="F443" s="2"/>
      <c r="G443" s="2"/>
    </row>
    <row r="444" spans="2:7" ht="15.75" customHeight="1">
      <c r="B444" s="1"/>
      <c r="C444" s="2"/>
      <c r="D444" s="2"/>
      <c r="E444" s="2"/>
      <c r="F444" s="2"/>
      <c r="G444" s="2"/>
    </row>
    <row r="445" spans="2:7" ht="15.75" customHeight="1">
      <c r="B445" s="1"/>
      <c r="C445" s="2"/>
      <c r="D445" s="2"/>
      <c r="E445" s="2"/>
      <c r="F445" s="2"/>
      <c r="G445" s="2"/>
    </row>
    <row r="446" spans="2:7" ht="15.75" customHeight="1">
      <c r="B446" s="1"/>
      <c r="C446" s="2"/>
      <c r="D446" s="2"/>
      <c r="E446" s="2"/>
      <c r="F446" s="2"/>
      <c r="G446" s="2"/>
    </row>
    <row r="447" spans="2:7" ht="15.75" customHeight="1">
      <c r="B447" s="1"/>
      <c r="C447" s="2"/>
      <c r="D447" s="2"/>
      <c r="E447" s="2"/>
      <c r="F447" s="2"/>
      <c r="G447" s="2"/>
    </row>
    <row r="448" spans="2:7" ht="15.75" customHeight="1">
      <c r="B448" s="1"/>
      <c r="C448" s="2"/>
      <c r="D448" s="2"/>
      <c r="E448" s="2"/>
      <c r="F448" s="2"/>
      <c r="G448" s="2"/>
    </row>
    <row r="449" spans="2:7" ht="15.75" customHeight="1">
      <c r="B449" s="1"/>
      <c r="C449" s="2"/>
      <c r="D449" s="2"/>
      <c r="E449" s="2"/>
      <c r="F449" s="2"/>
      <c r="G449" s="2"/>
    </row>
    <row r="450" spans="2:7" ht="15.75" customHeight="1">
      <c r="B450" s="1"/>
      <c r="C450" s="2"/>
      <c r="D450" s="2"/>
      <c r="E450" s="2"/>
      <c r="F450" s="2"/>
      <c r="G450" s="2"/>
    </row>
    <row r="451" spans="2:7" ht="15.75" customHeight="1">
      <c r="B451" s="1"/>
      <c r="C451" s="2"/>
      <c r="D451" s="2"/>
      <c r="E451" s="2"/>
      <c r="F451" s="2"/>
      <c r="G451" s="2"/>
    </row>
    <row r="452" spans="2:7" ht="15.75" customHeight="1">
      <c r="B452" s="1"/>
      <c r="C452" s="2"/>
      <c r="D452" s="2"/>
      <c r="E452" s="2"/>
      <c r="F452" s="2"/>
      <c r="G452" s="2"/>
    </row>
    <row r="453" spans="2:7" ht="15.75" customHeight="1">
      <c r="B453" s="1"/>
      <c r="C453" s="2"/>
      <c r="D453" s="2"/>
      <c r="E453" s="2"/>
      <c r="F453" s="2"/>
      <c r="G453" s="2"/>
    </row>
    <row r="454" spans="2:7" ht="15.75" customHeight="1">
      <c r="B454" s="1"/>
      <c r="C454" s="2"/>
      <c r="D454" s="2"/>
      <c r="E454" s="2"/>
      <c r="F454" s="2"/>
      <c r="G454" s="2"/>
    </row>
    <row r="455" spans="2:7" ht="15.75" customHeight="1">
      <c r="B455" s="1"/>
      <c r="C455" s="2"/>
      <c r="D455" s="2"/>
      <c r="E455" s="2"/>
      <c r="F455" s="2"/>
      <c r="G455" s="2"/>
    </row>
    <row r="456" spans="2:7" ht="15.75" customHeight="1">
      <c r="B456" s="1"/>
      <c r="C456" s="2"/>
      <c r="D456" s="2"/>
      <c r="E456" s="2"/>
      <c r="F456" s="2"/>
      <c r="G456" s="2"/>
    </row>
    <row r="457" spans="2:7" ht="15.75" customHeight="1">
      <c r="B457" s="1"/>
      <c r="C457" s="2"/>
      <c r="D457" s="2"/>
      <c r="E457" s="2"/>
      <c r="F457" s="2"/>
      <c r="G457" s="2"/>
    </row>
    <row r="458" spans="2:7" ht="15.75" customHeight="1">
      <c r="B458" s="1"/>
      <c r="C458" s="2"/>
      <c r="D458" s="2"/>
      <c r="E458" s="2"/>
      <c r="F458" s="2"/>
      <c r="G458" s="2"/>
    </row>
    <row r="459" spans="2:7" ht="15.75" customHeight="1">
      <c r="B459" s="1"/>
      <c r="C459" s="2"/>
      <c r="D459" s="2"/>
      <c r="E459" s="2"/>
      <c r="F459" s="2"/>
      <c r="G459" s="2"/>
    </row>
    <row r="460" spans="2:7" ht="15.75" customHeight="1">
      <c r="B460" s="1"/>
      <c r="C460" s="2"/>
      <c r="D460" s="2"/>
      <c r="E460" s="2"/>
      <c r="F460" s="2"/>
      <c r="G460" s="2"/>
    </row>
    <row r="461" spans="2:7" ht="15.75" customHeight="1">
      <c r="B461" s="1"/>
      <c r="C461" s="2"/>
      <c r="D461" s="2"/>
      <c r="E461" s="2"/>
      <c r="F461" s="2"/>
      <c r="G461" s="2"/>
    </row>
    <row r="462" spans="2:7" ht="15.75" customHeight="1">
      <c r="B462" s="1"/>
      <c r="C462" s="2"/>
      <c r="D462" s="2"/>
      <c r="E462" s="2"/>
      <c r="F462" s="2"/>
      <c r="G462" s="2"/>
    </row>
    <row r="463" spans="2:7" ht="15.75" customHeight="1">
      <c r="B463" s="1"/>
      <c r="C463" s="2"/>
      <c r="D463" s="2"/>
      <c r="E463" s="2"/>
      <c r="F463" s="2"/>
      <c r="G463" s="2"/>
    </row>
    <row r="464" spans="2:7" ht="15.75" customHeight="1">
      <c r="B464" s="1"/>
      <c r="C464" s="2"/>
      <c r="D464" s="2"/>
      <c r="E464" s="2"/>
      <c r="F464" s="2"/>
      <c r="G464" s="2"/>
    </row>
    <row r="465" spans="2:7" ht="15.75" customHeight="1">
      <c r="B465" s="1"/>
      <c r="C465" s="2"/>
      <c r="D465" s="2"/>
      <c r="E465" s="2"/>
      <c r="F465" s="2"/>
      <c r="G465" s="2"/>
    </row>
    <row r="466" spans="2:7" ht="15.75" customHeight="1">
      <c r="B466" s="1"/>
      <c r="C466" s="2"/>
      <c r="D466" s="2"/>
      <c r="E466" s="2"/>
      <c r="F466" s="2"/>
      <c r="G466" s="2"/>
    </row>
    <row r="467" spans="2:7" ht="15.75" customHeight="1">
      <c r="B467" s="1"/>
      <c r="C467" s="2"/>
      <c r="D467" s="2"/>
      <c r="E467" s="2"/>
      <c r="F467" s="2"/>
      <c r="G467" s="2"/>
    </row>
    <row r="468" spans="2:7" ht="15.75" customHeight="1">
      <c r="B468" s="1"/>
      <c r="C468" s="2"/>
      <c r="D468" s="2"/>
      <c r="E468" s="2"/>
      <c r="F468" s="2"/>
      <c r="G468" s="2"/>
    </row>
    <row r="469" spans="2:7" ht="15.75" customHeight="1">
      <c r="B469" s="1"/>
      <c r="C469" s="2"/>
      <c r="D469" s="2"/>
      <c r="E469" s="2"/>
      <c r="F469" s="2"/>
      <c r="G469" s="2"/>
    </row>
    <row r="470" spans="2:7" ht="15.75" customHeight="1">
      <c r="B470" s="1"/>
      <c r="C470" s="2"/>
      <c r="D470" s="2"/>
      <c r="E470" s="2"/>
      <c r="F470" s="2"/>
      <c r="G470" s="2"/>
    </row>
    <row r="471" spans="2:7" ht="15.75" customHeight="1">
      <c r="B471" s="1"/>
      <c r="C471" s="2"/>
      <c r="D471" s="2"/>
      <c r="E471" s="2"/>
      <c r="F471" s="2"/>
      <c r="G471" s="2"/>
    </row>
    <row r="472" spans="2:7" ht="15.75" customHeight="1">
      <c r="B472" s="1"/>
      <c r="C472" s="2"/>
      <c r="D472" s="2"/>
      <c r="E472" s="2"/>
      <c r="F472" s="2"/>
      <c r="G472" s="2"/>
    </row>
    <row r="473" spans="2:7" ht="15.75" customHeight="1">
      <c r="B473" s="1"/>
      <c r="C473" s="2"/>
      <c r="D473" s="2"/>
      <c r="E473" s="2"/>
      <c r="F473" s="2"/>
      <c r="G473" s="2"/>
    </row>
    <row r="474" spans="2:7" ht="15.75" customHeight="1">
      <c r="B474" s="1"/>
      <c r="C474" s="2"/>
      <c r="D474" s="2"/>
      <c r="E474" s="2"/>
      <c r="F474" s="2"/>
      <c r="G474" s="2"/>
    </row>
    <row r="475" spans="2:7" ht="15.75" customHeight="1">
      <c r="B475" s="1"/>
      <c r="C475" s="2"/>
      <c r="D475" s="2"/>
      <c r="E475" s="2"/>
      <c r="F475" s="2"/>
      <c r="G475" s="2"/>
    </row>
    <row r="476" spans="2:7" ht="15.75" customHeight="1">
      <c r="B476" s="1"/>
      <c r="C476" s="2"/>
      <c r="D476" s="2"/>
      <c r="E476" s="2"/>
      <c r="F476" s="2"/>
      <c r="G476" s="2"/>
    </row>
    <row r="477" spans="2:7" ht="15.75" customHeight="1">
      <c r="B477" s="1"/>
      <c r="C477" s="2"/>
      <c r="D477" s="2"/>
      <c r="E477" s="2"/>
      <c r="F477" s="2"/>
      <c r="G477" s="2"/>
    </row>
    <row r="478" spans="2:7" ht="15.75" customHeight="1">
      <c r="B478" s="1"/>
      <c r="C478" s="2"/>
      <c r="D478" s="2"/>
      <c r="E478" s="2"/>
      <c r="F478" s="2"/>
      <c r="G478" s="2"/>
    </row>
    <row r="479" spans="2:7" ht="15.75" customHeight="1">
      <c r="B479" s="1"/>
      <c r="C479" s="2"/>
      <c r="D479" s="2"/>
      <c r="E479" s="2"/>
      <c r="F479" s="2"/>
      <c r="G479" s="2"/>
    </row>
    <row r="480" spans="2:7" ht="15.75" customHeight="1">
      <c r="B480" s="1"/>
      <c r="C480" s="2"/>
      <c r="D480" s="2"/>
      <c r="E480" s="2"/>
      <c r="F480" s="2"/>
      <c r="G480" s="2"/>
    </row>
    <row r="481" spans="2:7" ht="15.75" customHeight="1">
      <c r="B481" s="1"/>
      <c r="C481" s="2"/>
      <c r="D481" s="2"/>
      <c r="E481" s="2"/>
      <c r="F481" s="2"/>
      <c r="G481" s="2"/>
    </row>
    <row r="482" spans="2:7" ht="15.75" customHeight="1">
      <c r="B482" s="1"/>
      <c r="C482" s="2"/>
      <c r="D482" s="2"/>
      <c r="E482" s="2"/>
      <c r="F482" s="2"/>
      <c r="G482" s="2"/>
    </row>
    <row r="483" spans="2:7" ht="15.75" customHeight="1">
      <c r="B483" s="1"/>
      <c r="C483" s="2"/>
      <c r="D483" s="2"/>
      <c r="E483" s="2"/>
      <c r="F483" s="2"/>
      <c r="G483" s="2"/>
    </row>
    <row r="484" spans="2:7" ht="15.75" customHeight="1">
      <c r="B484" s="1"/>
      <c r="C484" s="2"/>
      <c r="D484" s="2"/>
      <c r="E484" s="2"/>
      <c r="F484" s="2"/>
      <c r="G484" s="2"/>
    </row>
    <row r="485" spans="2:7" ht="15.75" customHeight="1">
      <c r="B485" s="1"/>
      <c r="C485" s="2"/>
      <c r="D485" s="2"/>
      <c r="E485" s="2"/>
      <c r="F485" s="2"/>
      <c r="G485" s="2"/>
    </row>
    <row r="486" spans="2:7" ht="15.75" customHeight="1">
      <c r="B486" s="1"/>
      <c r="C486" s="2"/>
      <c r="D486" s="2"/>
      <c r="E486" s="2"/>
      <c r="F486" s="2"/>
      <c r="G486" s="2"/>
    </row>
    <row r="487" spans="2:7" ht="15.75" customHeight="1">
      <c r="B487" s="1"/>
      <c r="C487" s="2"/>
      <c r="D487" s="2"/>
      <c r="E487" s="2"/>
      <c r="F487" s="2"/>
      <c r="G487" s="2"/>
    </row>
    <row r="488" spans="2:7" ht="15.75" customHeight="1">
      <c r="B488" s="1"/>
      <c r="C488" s="2"/>
      <c r="D488" s="2"/>
      <c r="E488" s="2"/>
      <c r="F488" s="2"/>
      <c r="G488" s="2"/>
    </row>
    <row r="489" spans="2:7" ht="15.75" customHeight="1">
      <c r="B489" s="1"/>
      <c r="C489" s="2"/>
      <c r="D489" s="2"/>
      <c r="E489" s="2"/>
      <c r="F489" s="2"/>
      <c r="G489" s="2"/>
    </row>
    <row r="490" spans="2:7" ht="15.75" customHeight="1">
      <c r="B490" s="1"/>
      <c r="C490" s="2"/>
      <c r="D490" s="2"/>
      <c r="E490" s="2"/>
      <c r="F490" s="2"/>
      <c r="G490" s="2"/>
    </row>
    <row r="491" spans="2:7" ht="15.75" customHeight="1">
      <c r="B491" s="1"/>
      <c r="C491" s="2"/>
      <c r="D491" s="2"/>
      <c r="E491" s="2"/>
      <c r="F491" s="2"/>
      <c r="G491" s="2"/>
    </row>
    <row r="492" spans="2:7" ht="15.75" customHeight="1">
      <c r="B492" s="1"/>
      <c r="C492" s="2"/>
      <c r="D492" s="2"/>
      <c r="E492" s="2"/>
      <c r="F492" s="2"/>
      <c r="G492" s="2"/>
    </row>
    <row r="493" spans="2:7" ht="15.75" customHeight="1">
      <c r="B493" s="1"/>
      <c r="C493" s="2"/>
      <c r="D493" s="2"/>
      <c r="E493" s="2"/>
      <c r="F493" s="2"/>
      <c r="G493" s="2"/>
    </row>
    <row r="494" spans="2:7" ht="15.75" customHeight="1">
      <c r="B494" s="1"/>
      <c r="C494" s="2"/>
      <c r="D494" s="2"/>
      <c r="E494" s="2"/>
      <c r="F494" s="2"/>
      <c r="G494" s="2"/>
    </row>
    <row r="495" spans="2:7" ht="15.75" customHeight="1">
      <c r="B495" s="1"/>
      <c r="C495" s="2"/>
      <c r="D495" s="2"/>
      <c r="E495" s="2"/>
      <c r="F495" s="2"/>
      <c r="G495" s="2"/>
    </row>
    <row r="496" spans="2:7" ht="15.75" customHeight="1">
      <c r="B496" s="1"/>
      <c r="C496" s="2"/>
      <c r="D496" s="2"/>
      <c r="E496" s="2"/>
      <c r="F496" s="2"/>
      <c r="G496" s="2"/>
    </row>
    <row r="497" spans="2:7" ht="15.75" customHeight="1">
      <c r="B497" s="1"/>
      <c r="C497" s="2"/>
      <c r="D497" s="2"/>
      <c r="E497" s="2"/>
      <c r="F497" s="2"/>
      <c r="G497" s="2"/>
    </row>
    <row r="498" spans="2:7" ht="15.75" customHeight="1">
      <c r="B498" s="1"/>
      <c r="C498" s="2"/>
      <c r="D498" s="2"/>
      <c r="E498" s="2"/>
      <c r="F498" s="2"/>
      <c r="G498" s="2"/>
    </row>
    <row r="499" spans="2:7" ht="15.75" customHeight="1">
      <c r="B499" s="1"/>
      <c r="C499" s="2"/>
      <c r="D499" s="2"/>
      <c r="E499" s="2"/>
      <c r="F499" s="2"/>
      <c r="G499" s="2"/>
    </row>
    <row r="500" spans="2:7" ht="15.75" customHeight="1">
      <c r="B500" s="1"/>
      <c r="C500" s="2"/>
      <c r="D500" s="2"/>
      <c r="E500" s="2"/>
      <c r="F500" s="2"/>
      <c r="G500" s="2"/>
    </row>
    <row r="501" spans="2:7" ht="15.75" customHeight="1">
      <c r="B501" s="1"/>
      <c r="C501" s="2"/>
      <c r="D501" s="2"/>
      <c r="E501" s="2"/>
      <c r="F501" s="2"/>
      <c r="G501" s="2"/>
    </row>
    <row r="502" spans="2:7" ht="15.75" customHeight="1">
      <c r="B502" s="1"/>
      <c r="C502" s="2"/>
      <c r="D502" s="2"/>
      <c r="E502" s="2"/>
      <c r="F502" s="2"/>
      <c r="G502" s="2"/>
    </row>
    <row r="503" spans="2:7" ht="15.75" customHeight="1">
      <c r="B503" s="1"/>
      <c r="C503" s="2"/>
      <c r="D503" s="2"/>
      <c r="E503" s="2"/>
      <c r="F503" s="2"/>
      <c r="G503" s="2"/>
    </row>
    <row r="504" spans="2:7" ht="15.75" customHeight="1">
      <c r="B504" s="1"/>
      <c r="C504" s="2"/>
      <c r="D504" s="2"/>
      <c r="E504" s="2"/>
      <c r="F504" s="2"/>
      <c r="G504" s="2"/>
    </row>
    <row r="505" spans="2:7" ht="15.75" customHeight="1">
      <c r="B505" s="1"/>
      <c r="C505" s="2"/>
      <c r="D505" s="2"/>
      <c r="E505" s="2"/>
      <c r="F505" s="2"/>
      <c r="G505" s="2"/>
    </row>
    <row r="506" spans="2:7" ht="15.75" customHeight="1">
      <c r="B506" s="1"/>
      <c r="C506" s="2"/>
      <c r="D506" s="2"/>
      <c r="E506" s="2"/>
      <c r="F506" s="2"/>
      <c r="G506" s="2"/>
    </row>
    <row r="507" spans="2:7" ht="15.75" customHeight="1">
      <c r="B507" s="1"/>
      <c r="C507" s="2"/>
      <c r="D507" s="2"/>
      <c r="E507" s="2"/>
      <c r="F507" s="2"/>
      <c r="G507" s="2"/>
    </row>
    <row r="508" spans="2:7" ht="15.75" customHeight="1">
      <c r="B508" s="1"/>
      <c r="C508" s="2"/>
      <c r="D508" s="2"/>
      <c r="E508" s="2"/>
      <c r="F508" s="2"/>
      <c r="G508" s="2"/>
    </row>
    <row r="509" spans="2:7" ht="15.75" customHeight="1">
      <c r="B509" s="1"/>
      <c r="C509" s="2"/>
      <c r="D509" s="2"/>
      <c r="E509" s="2"/>
      <c r="F509" s="2"/>
      <c r="G509" s="2"/>
    </row>
    <row r="510" spans="2:7" ht="15.75" customHeight="1">
      <c r="B510" s="1"/>
      <c r="C510" s="2"/>
      <c r="D510" s="2"/>
      <c r="E510" s="2"/>
      <c r="F510" s="2"/>
      <c r="G510" s="2"/>
    </row>
    <row r="511" spans="2:7" ht="15.75" customHeight="1">
      <c r="B511" s="1"/>
      <c r="C511" s="2"/>
      <c r="D511" s="2"/>
      <c r="E511" s="2"/>
      <c r="F511" s="2"/>
      <c r="G511" s="2"/>
    </row>
    <row r="512" spans="2:7" ht="15.75" customHeight="1">
      <c r="B512" s="1"/>
      <c r="C512" s="2"/>
      <c r="D512" s="2"/>
      <c r="E512" s="2"/>
      <c r="F512" s="2"/>
      <c r="G512" s="2"/>
    </row>
    <row r="513" spans="2:7" ht="15.75" customHeight="1">
      <c r="B513" s="1"/>
      <c r="C513" s="2"/>
      <c r="D513" s="2"/>
      <c r="E513" s="2"/>
      <c r="F513" s="2"/>
      <c r="G513" s="2"/>
    </row>
    <row r="514" spans="2:7" ht="15.75" customHeight="1">
      <c r="B514" s="1"/>
      <c r="C514" s="2"/>
      <c r="D514" s="2"/>
      <c r="E514" s="2"/>
      <c r="F514" s="2"/>
      <c r="G514" s="2"/>
    </row>
    <row r="515" spans="2:7" ht="15.75" customHeight="1">
      <c r="B515" s="1"/>
      <c r="C515" s="2"/>
      <c r="D515" s="2"/>
      <c r="E515" s="2"/>
      <c r="F515" s="2"/>
      <c r="G515" s="2"/>
    </row>
    <row r="516" spans="2:7" ht="15.75" customHeight="1">
      <c r="B516" s="1"/>
      <c r="C516" s="2"/>
      <c r="D516" s="2"/>
      <c r="E516" s="2"/>
      <c r="F516" s="2"/>
      <c r="G516" s="2"/>
    </row>
    <row r="517" spans="2:7" ht="15.75" customHeight="1">
      <c r="B517" s="1"/>
      <c r="C517" s="2"/>
      <c r="D517" s="2"/>
      <c r="E517" s="2"/>
      <c r="F517" s="2"/>
      <c r="G517" s="2"/>
    </row>
    <row r="518" spans="2:7" ht="15.75" customHeight="1">
      <c r="B518" s="1"/>
      <c r="C518" s="2"/>
      <c r="D518" s="2"/>
      <c r="E518" s="2"/>
      <c r="F518" s="2"/>
      <c r="G518" s="2"/>
    </row>
    <row r="519" spans="2:7" ht="15.75" customHeight="1">
      <c r="B519" s="1"/>
      <c r="C519" s="2"/>
      <c r="D519" s="2"/>
      <c r="E519" s="2"/>
      <c r="F519" s="2"/>
      <c r="G519" s="2"/>
    </row>
    <row r="520" spans="2:7" ht="15.75" customHeight="1">
      <c r="B520" s="1"/>
      <c r="C520" s="2"/>
      <c r="D520" s="2"/>
      <c r="E520" s="2"/>
      <c r="F520" s="2"/>
      <c r="G520" s="2"/>
    </row>
    <row r="521" spans="2:7" ht="15.75" customHeight="1">
      <c r="B521" s="1"/>
      <c r="C521" s="2"/>
      <c r="D521" s="2"/>
      <c r="E521" s="2"/>
      <c r="F521" s="2"/>
      <c r="G521" s="2"/>
    </row>
    <row r="522" spans="2:7" ht="15.75" customHeight="1">
      <c r="B522" s="1"/>
      <c r="C522" s="2"/>
      <c r="D522" s="2"/>
      <c r="E522" s="2"/>
      <c r="F522" s="2"/>
      <c r="G522" s="2"/>
    </row>
    <row r="523" spans="2:7" ht="15.75" customHeight="1">
      <c r="B523" s="1"/>
      <c r="C523" s="2"/>
      <c r="D523" s="2"/>
      <c r="E523" s="2"/>
      <c r="F523" s="2"/>
      <c r="G523" s="2"/>
    </row>
    <row r="524" spans="2:7" ht="15.75" customHeight="1">
      <c r="B524" s="1"/>
      <c r="C524" s="2"/>
      <c r="D524" s="2"/>
      <c r="E524" s="2"/>
      <c r="F524" s="2"/>
      <c r="G524" s="2"/>
    </row>
    <row r="525" spans="2:7" ht="15.75" customHeight="1">
      <c r="B525" s="1"/>
      <c r="C525" s="2"/>
      <c r="D525" s="2"/>
      <c r="E525" s="2"/>
      <c r="F525" s="2"/>
      <c r="G525" s="2"/>
    </row>
    <row r="526" spans="2:7" ht="15.75" customHeight="1">
      <c r="B526" s="1"/>
      <c r="C526" s="2"/>
      <c r="D526" s="2"/>
      <c r="E526" s="2"/>
      <c r="F526" s="2"/>
      <c r="G526" s="2"/>
    </row>
    <row r="527" spans="2:7" ht="15.75" customHeight="1">
      <c r="B527" s="1"/>
      <c r="C527" s="2"/>
      <c r="D527" s="2"/>
      <c r="E527" s="2"/>
      <c r="F527" s="2"/>
      <c r="G527" s="2"/>
    </row>
    <row r="528" spans="2:7" ht="15.75" customHeight="1">
      <c r="B528" s="1"/>
      <c r="C528" s="2"/>
      <c r="D528" s="2"/>
      <c r="E528" s="2"/>
      <c r="F528" s="2"/>
      <c r="G528" s="2"/>
    </row>
    <row r="529" spans="2:7" ht="15.75" customHeight="1">
      <c r="B529" s="1"/>
      <c r="C529" s="2"/>
      <c r="D529" s="2"/>
      <c r="E529" s="2"/>
      <c r="F529" s="2"/>
      <c r="G529" s="2"/>
    </row>
    <row r="530" spans="2:7" ht="15.75" customHeight="1">
      <c r="B530" s="1"/>
      <c r="C530" s="2"/>
      <c r="D530" s="2"/>
      <c r="E530" s="2"/>
      <c r="F530" s="2"/>
      <c r="G530" s="2"/>
    </row>
    <row r="531" spans="2:7" ht="15.75" customHeight="1">
      <c r="B531" s="1"/>
      <c r="C531" s="2"/>
      <c r="D531" s="2"/>
      <c r="E531" s="2"/>
      <c r="F531" s="2"/>
      <c r="G531" s="2"/>
    </row>
    <row r="532" spans="2:7" ht="15.75" customHeight="1">
      <c r="B532" s="1"/>
      <c r="C532" s="2"/>
      <c r="D532" s="2"/>
      <c r="E532" s="2"/>
      <c r="F532" s="2"/>
      <c r="G532" s="2"/>
    </row>
    <row r="533" spans="2:7" ht="15.75" customHeight="1">
      <c r="B533" s="1"/>
      <c r="C533" s="2"/>
      <c r="D533" s="2"/>
      <c r="E533" s="2"/>
      <c r="F533" s="2"/>
      <c r="G533" s="2"/>
    </row>
    <row r="534" spans="2:7" ht="15.75" customHeight="1">
      <c r="B534" s="1"/>
      <c r="C534" s="2"/>
      <c r="D534" s="2"/>
      <c r="E534" s="2"/>
      <c r="F534" s="2"/>
      <c r="G534" s="2"/>
    </row>
    <row r="535" spans="2:7" ht="15.75" customHeight="1">
      <c r="B535" s="1"/>
      <c r="C535" s="2"/>
      <c r="D535" s="2"/>
      <c r="E535" s="2"/>
      <c r="F535" s="2"/>
      <c r="G535" s="2"/>
    </row>
    <row r="536" spans="2:7" ht="15.75" customHeight="1">
      <c r="B536" s="1"/>
      <c r="C536" s="2"/>
      <c r="D536" s="2"/>
      <c r="E536" s="2"/>
      <c r="F536" s="2"/>
      <c r="G536" s="2"/>
    </row>
    <row r="537" spans="2:7" ht="15.75" customHeight="1">
      <c r="B537" s="1"/>
      <c r="C537" s="2"/>
      <c r="D537" s="2"/>
      <c r="E537" s="2"/>
      <c r="F537" s="2"/>
      <c r="G537" s="2"/>
    </row>
    <row r="538" spans="2:7" ht="15.75" customHeight="1">
      <c r="B538" s="1"/>
      <c r="C538" s="2"/>
      <c r="D538" s="2"/>
      <c r="E538" s="2"/>
      <c r="F538" s="2"/>
      <c r="G538" s="2"/>
    </row>
    <row r="539" spans="2:7" ht="15.75" customHeight="1">
      <c r="B539" s="1"/>
      <c r="C539" s="2"/>
      <c r="D539" s="2"/>
      <c r="E539" s="2"/>
      <c r="F539" s="2"/>
      <c r="G539" s="2"/>
    </row>
    <row r="540" spans="2:7" ht="15.75" customHeight="1">
      <c r="B540" s="1"/>
      <c r="C540" s="2"/>
      <c r="D540" s="2"/>
      <c r="E540" s="2"/>
      <c r="F540" s="2"/>
      <c r="G540" s="2"/>
    </row>
    <row r="541" spans="2:7" ht="15.75" customHeight="1">
      <c r="B541" s="1"/>
      <c r="C541" s="2"/>
      <c r="D541" s="2"/>
      <c r="E541" s="2"/>
      <c r="F541" s="2"/>
      <c r="G541" s="2"/>
    </row>
    <row r="542" spans="2:7" ht="15.75" customHeight="1">
      <c r="B542" s="1"/>
      <c r="C542" s="2"/>
      <c r="D542" s="2"/>
      <c r="E542" s="2"/>
      <c r="F542" s="2"/>
      <c r="G542" s="2"/>
    </row>
    <row r="543" spans="2:7" ht="15.75" customHeight="1">
      <c r="B543" s="1"/>
      <c r="C543" s="2"/>
      <c r="D543" s="2"/>
      <c r="E543" s="2"/>
      <c r="F543" s="2"/>
      <c r="G543" s="2"/>
    </row>
    <row r="544" spans="2:7" ht="15.75" customHeight="1">
      <c r="B544" s="1"/>
      <c r="C544" s="2"/>
      <c r="D544" s="2"/>
      <c r="E544" s="2"/>
      <c r="F544" s="2"/>
      <c r="G544" s="2"/>
    </row>
    <row r="545" spans="2:7" ht="15.75" customHeight="1">
      <c r="B545" s="1"/>
      <c r="C545" s="2"/>
      <c r="D545" s="2"/>
      <c r="E545" s="2"/>
      <c r="F545" s="2"/>
      <c r="G545" s="2"/>
    </row>
    <row r="546" spans="2:7" ht="15.75" customHeight="1">
      <c r="B546" s="1"/>
      <c r="C546" s="2"/>
      <c r="D546" s="2"/>
      <c r="E546" s="2"/>
      <c r="F546" s="2"/>
      <c r="G546" s="2"/>
    </row>
    <row r="547" spans="2:7" ht="15.75" customHeight="1">
      <c r="B547" s="1"/>
      <c r="C547" s="2"/>
      <c r="D547" s="2"/>
      <c r="E547" s="2"/>
      <c r="F547" s="2"/>
      <c r="G547" s="2"/>
    </row>
    <row r="548" spans="2:7" ht="15.75" customHeight="1">
      <c r="B548" s="1"/>
      <c r="C548" s="2"/>
      <c r="D548" s="2"/>
      <c r="E548" s="2"/>
      <c r="F548" s="2"/>
      <c r="G548" s="2"/>
    </row>
    <row r="549" spans="2:7" ht="15.75" customHeight="1">
      <c r="B549" s="1"/>
      <c r="C549" s="2"/>
      <c r="D549" s="2"/>
      <c r="E549" s="2"/>
      <c r="F549" s="2"/>
      <c r="G549" s="2"/>
    </row>
    <row r="550" spans="2:7" ht="15.75" customHeight="1">
      <c r="B550" s="1"/>
      <c r="C550" s="2"/>
      <c r="D550" s="2"/>
      <c r="E550" s="2"/>
      <c r="F550" s="2"/>
      <c r="G550" s="2"/>
    </row>
    <row r="551" spans="2:7" ht="15.75" customHeight="1">
      <c r="B551" s="1"/>
      <c r="C551" s="2"/>
      <c r="D551" s="2"/>
      <c r="E551" s="2"/>
      <c r="F551" s="2"/>
      <c r="G551" s="2"/>
    </row>
    <row r="552" spans="2:7" ht="15.75" customHeight="1">
      <c r="B552" s="1"/>
      <c r="C552" s="2"/>
      <c r="D552" s="2"/>
      <c r="E552" s="2"/>
      <c r="F552" s="2"/>
      <c r="G552" s="2"/>
    </row>
    <row r="553" spans="2:7" ht="15.75" customHeight="1">
      <c r="B553" s="1"/>
      <c r="C553" s="2"/>
      <c r="D553" s="2"/>
      <c r="E553" s="2"/>
      <c r="F553" s="2"/>
      <c r="G553" s="2"/>
    </row>
    <row r="554" spans="2:7" ht="15.75" customHeight="1">
      <c r="B554" s="1"/>
      <c r="C554" s="2"/>
      <c r="D554" s="2"/>
      <c r="E554" s="2"/>
      <c r="F554" s="2"/>
      <c r="G554" s="2"/>
    </row>
    <row r="555" spans="2:7" ht="15.75" customHeight="1">
      <c r="B555" s="1"/>
      <c r="C555" s="2"/>
      <c r="D555" s="2"/>
      <c r="E555" s="2"/>
      <c r="F555" s="2"/>
      <c r="G555" s="2"/>
    </row>
    <row r="556" spans="2:7" ht="15.75" customHeight="1">
      <c r="B556" s="1"/>
      <c r="C556" s="2"/>
      <c r="D556" s="2"/>
      <c r="E556" s="2"/>
      <c r="F556" s="2"/>
      <c r="G556" s="2"/>
    </row>
    <row r="557" spans="2:7" ht="15.75" customHeight="1">
      <c r="B557" s="1"/>
      <c r="C557" s="2"/>
      <c r="D557" s="2"/>
      <c r="E557" s="2"/>
      <c r="F557" s="2"/>
      <c r="G557" s="2"/>
    </row>
    <row r="558" spans="2:7" ht="15.75" customHeight="1">
      <c r="B558" s="1"/>
      <c r="C558" s="2"/>
      <c r="D558" s="2"/>
      <c r="E558" s="2"/>
      <c r="F558" s="2"/>
      <c r="G558" s="2"/>
    </row>
    <row r="559" spans="2:7" ht="15.75" customHeight="1">
      <c r="B559" s="1"/>
      <c r="C559" s="2"/>
      <c r="D559" s="2"/>
      <c r="E559" s="2"/>
      <c r="F559" s="2"/>
      <c r="G559" s="2"/>
    </row>
    <row r="560" spans="2:7" ht="15.75" customHeight="1">
      <c r="B560" s="1"/>
      <c r="C560" s="2"/>
      <c r="D560" s="2"/>
      <c r="E560" s="2"/>
      <c r="F560" s="2"/>
      <c r="G560" s="2"/>
    </row>
    <row r="561" spans="2:7" ht="15.75" customHeight="1">
      <c r="B561" s="1"/>
      <c r="C561" s="2"/>
      <c r="D561" s="2"/>
      <c r="E561" s="2"/>
      <c r="F561" s="2"/>
      <c r="G561" s="2"/>
    </row>
    <row r="562" spans="2:7" ht="15.75" customHeight="1">
      <c r="B562" s="1"/>
      <c r="C562" s="2"/>
      <c r="D562" s="2"/>
      <c r="E562" s="2"/>
      <c r="F562" s="2"/>
      <c r="G562" s="2"/>
    </row>
    <row r="563" spans="2:7" ht="15.75" customHeight="1">
      <c r="B563" s="1"/>
      <c r="C563" s="2"/>
      <c r="D563" s="2"/>
      <c r="E563" s="2"/>
      <c r="F563" s="2"/>
      <c r="G563" s="2"/>
    </row>
    <row r="564" spans="2:7" ht="15.75" customHeight="1">
      <c r="B564" s="1"/>
      <c r="C564" s="2"/>
      <c r="D564" s="2"/>
      <c r="E564" s="2"/>
      <c r="F564" s="2"/>
      <c r="G564" s="2"/>
    </row>
    <row r="565" spans="2:7" ht="15.75" customHeight="1">
      <c r="B565" s="1"/>
      <c r="C565" s="2"/>
      <c r="D565" s="2"/>
      <c r="E565" s="2"/>
      <c r="F565" s="2"/>
      <c r="G565" s="2"/>
    </row>
    <row r="566" spans="2:7" ht="15.75" customHeight="1">
      <c r="B566" s="1"/>
      <c r="C566" s="2"/>
      <c r="D566" s="2"/>
      <c r="E566" s="2"/>
      <c r="F566" s="2"/>
      <c r="G566" s="2"/>
    </row>
    <row r="567" spans="2:7" ht="15.75" customHeight="1">
      <c r="B567" s="1"/>
      <c r="C567" s="2"/>
      <c r="D567" s="2"/>
      <c r="E567" s="2"/>
      <c r="F567" s="2"/>
      <c r="G567" s="2"/>
    </row>
    <row r="568" spans="2:7" ht="15.75" customHeight="1">
      <c r="B568" s="1"/>
      <c r="C568" s="2"/>
      <c r="D568" s="2"/>
      <c r="E568" s="2"/>
      <c r="F568" s="2"/>
      <c r="G568" s="2"/>
    </row>
    <row r="569" spans="2:7" ht="15.75" customHeight="1">
      <c r="B569" s="1"/>
      <c r="C569" s="2"/>
      <c r="D569" s="2"/>
      <c r="E569" s="2"/>
      <c r="F569" s="2"/>
      <c r="G569" s="2"/>
    </row>
    <row r="570" spans="2:7" ht="15.75" customHeight="1">
      <c r="B570" s="1"/>
      <c r="C570" s="2"/>
      <c r="D570" s="2"/>
      <c r="E570" s="2"/>
      <c r="F570" s="2"/>
      <c r="G570" s="2"/>
    </row>
    <row r="571" spans="2:7" ht="15.75" customHeight="1">
      <c r="B571" s="1"/>
      <c r="C571" s="2"/>
      <c r="D571" s="2"/>
      <c r="E571" s="2"/>
      <c r="F571" s="2"/>
      <c r="G571" s="2"/>
    </row>
    <row r="572" spans="2:7" ht="15.75" customHeight="1">
      <c r="B572" s="1"/>
      <c r="C572" s="2"/>
      <c r="D572" s="2"/>
      <c r="E572" s="2"/>
      <c r="F572" s="2"/>
      <c r="G572" s="2"/>
    </row>
    <row r="573" spans="2:7" ht="15.75" customHeight="1">
      <c r="B573" s="1"/>
      <c r="C573" s="2"/>
      <c r="D573" s="2"/>
      <c r="E573" s="2"/>
      <c r="F573" s="2"/>
      <c r="G573" s="2"/>
    </row>
    <row r="574" spans="2:7" ht="15.75" customHeight="1">
      <c r="B574" s="1"/>
      <c r="C574" s="2"/>
      <c r="D574" s="2"/>
      <c r="E574" s="2"/>
      <c r="F574" s="2"/>
      <c r="G574" s="2"/>
    </row>
    <row r="575" spans="2:7" ht="15.75" customHeight="1">
      <c r="B575" s="1"/>
      <c r="C575" s="2"/>
      <c r="D575" s="2"/>
      <c r="E575" s="2"/>
      <c r="F575" s="2"/>
      <c r="G575" s="2"/>
    </row>
    <row r="576" spans="2:7" ht="15.75" customHeight="1">
      <c r="B576" s="1"/>
      <c r="C576" s="2"/>
      <c r="D576" s="2"/>
      <c r="E576" s="2"/>
      <c r="F576" s="2"/>
      <c r="G576" s="2"/>
    </row>
    <row r="577" spans="2:7" ht="15.75" customHeight="1">
      <c r="B577" s="1"/>
      <c r="C577" s="2"/>
      <c r="D577" s="2"/>
      <c r="E577" s="2"/>
      <c r="F577" s="2"/>
      <c r="G577" s="2"/>
    </row>
    <row r="578" spans="2:7" ht="15.75" customHeight="1">
      <c r="B578" s="1"/>
      <c r="C578" s="2"/>
      <c r="D578" s="2"/>
      <c r="E578" s="2"/>
      <c r="F578" s="2"/>
      <c r="G578" s="2"/>
    </row>
    <row r="579" spans="2:7" ht="15.75" customHeight="1">
      <c r="B579" s="1"/>
      <c r="C579" s="2"/>
      <c r="D579" s="2"/>
      <c r="E579" s="2"/>
      <c r="F579" s="2"/>
      <c r="G579" s="2"/>
    </row>
    <row r="580" spans="2:7" ht="15.75" customHeight="1">
      <c r="B580" s="1"/>
      <c r="C580" s="2"/>
      <c r="D580" s="2"/>
      <c r="E580" s="2"/>
      <c r="F580" s="2"/>
      <c r="G580" s="2"/>
    </row>
    <row r="581" spans="2:7" ht="15.75" customHeight="1">
      <c r="B581" s="1"/>
      <c r="C581" s="2"/>
      <c r="D581" s="2"/>
      <c r="E581" s="2"/>
      <c r="F581" s="2"/>
      <c r="G581" s="2"/>
    </row>
    <row r="582" spans="2:7" ht="15.75" customHeight="1">
      <c r="B582" s="1"/>
      <c r="C582" s="2"/>
      <c r="D582" s="2"/>
      <c r="E582" s="2"/>
      <c r="F582" s="2"/>
      <c r="G582" s="2"/>
    </row>
    <row r="583" spans="2:7" ht="15.75" customHeight="1">
      <c r="B583" s="1"/>
      <c r="C583" s="2"/>
      <c r="D583" s="2"/>
      <c r="E583" s="2"/>
      <c r="F583" s="2"/>
      <c r="G583" s="2"/>
    </row>
    <row r="584" spans="2:7" ht="15.75" customHeight="1">
      <c r="B584" s="1"/>
      <c r="C584" s="2"/>
      <c r="D584" s="2"/>
      <c r="E584" s="2"/>
      <c r="F584" s="2"/>
      <c r="G584" s="2"/>
    </row>
    <row r="585" spans="2:7" ht="15.75" customHeight="1">
      <c r="B585" s="1"/>
      <c r="C585" s="2"/>
      <c r="D585" s="2"/>
      <c r="E585" s="2"/>
      <c r="F585" s="2"/>
      <c r="G585" s="2"/>
    </row>
    <row r="586" spans="2:7" ht="15.75" customHeight="1">
      <c r="B586" s="1"/>
      <c r="C586" s="2"/>
      <c r="D586" s="2"/>
      <c r="E586" s="2"/>
      <c r="F586" s="2"/>
      <c r="G586" s="2"/>
    </row>
    <row r="587" spans="2:7" ht="15.75" customHeight="1">
      <c r="B587" s="1"/>
      <c r="C587" s="2"/>
      <c r="D587" s="2"/>
      <c r="E587" s="2"/>
      <c r="F587" s="2"/>
      <c r="G587" s="2"/>
    </row>
    <row r="588" spans="2:7" ht="15.75" customHeight="1">
      <c r="B588" s="1"/>
      <c r="C588" s="2"/>
      <c r="D588" s="2"/>
      <c r="E588" s="2"/>
      <c r="F588" s="2"/>
      <c r="G588" s="2"/>
    </row>
    <row r="589" spans="2:7" ht="15.75" customHeight="1">
      <c r="B589" s="1"/>
      <c r="C589" s="2"/>
      <c r="D589" s="2"/>
      <c r="E589" s="2"/>
      <c r="F589" s="2"/>
      <c r="G589" s="2"/>
    </row>
    <row r="590" spans="2:7" ht="15.75" customHeight="1">
      <c r="B590" s="1"/>
      <c r="C590" s="2"/>
      <c r="D590" s="2"/>
      <c r="E590" s="2"/>
      <c r="F590" s="2"/>
      <c r="G590" s="2"/>
    </row>
    <row r="591" spans="2:7" ht="15.75" customHeight="1">
      <c r="B591" s="1"/>
      <c r="C591" s="2"/>
      <c r="D591" s="2"/>
      <c r="E591" s="2"/>
      <c r="F591" s="2"/>
      <c r="G591" s="2"/>
    </row>
    <row r="592" spans="2:7" ht="15.75" customHeight="1">
      <c r="B592" s="1"/>
      <c r="C592" s="2"/>
      <c r="D592" s="2"/>
      <c r="E592" s="2"/>
      <c r="F592" s="2"/>
      <c r="G592" s="2"/>
    </row>
    <row r="593" spans="2:7" ht="15.75" customHeight="1">
      <c r="B593" s="1"/>
      <c r="C593" s="2"/>
      <c r="D593" s="2"/>
      <c r="E593" s="2"/>
      <c r="F593" s="2"/>
      <c r="G593" s="2"/>
    </row>
    <row r="594" spans="2:7" ht="15.75" customHeight="1">
      <c r="B594" s="1"/>
      <c r="C594" s="2"/>
      <c r="D594" s="2"/>
      <c r="E594" s="2"/>
      <c r="F594" s="2"/>
      <c r="G594" s="2"/>
    </row>
    <row r="595" spans="2:7" ht="15.75" customHeight="1">
      <c r="B595" s="1"/>
      <c r="C595" s="2"/>
      <c r="D595" s="2"/>
      <c r="E595" s="2"/>
      <c r="F595" s="2"/>
      <c r="G595" s="2"/>
    </row>
    <row r="596" spans="2:7" ht="15.75" customHeight="1">
      <c r="B596" s="1"/>
      <c r="C596" s="2"/>
      <c r="D596" s="2"/>
      <c r="E596" s="2"/>
      <c r="F596" s="2"/>
      <c r="G596" s="2"/>
    </row>
    <row r="597" spans="2:7" ht="15.75" customHeight="1">
      <c r="B597" s="1"/>
      <c r="C597" s="2"/>
      <c r="D597" s="2"/>
      <c r="E597" s="2"/>
      <c r="F597" s="2"/>
      <c r="G597" s="2"/>
    </row>
    <row r="598" spans="2:7" ht="15.75" customHeight="1">
      <c r="B598" s="1"/>
      <c r="C598" s="2"/>
      <c r="D598" s="2"/>
      <c r="E598" s="2"/>
      <c r="F598" s="2"/>
      <c r="G598" s="2"/>
    </row>
    <row r="599" spans="2:7" ht="15.75" customHeight="1">
      <c r="B599" s="1"/>
      <c r="C599" s="2"/>
      <c r="D599" s="2"/>
      <c r="E599" s="2"/>
      <c r="F599" s="2"/>
      <c r="G599" s="2"/>
    </row>
    <row r="600" spans="2:7" ht="15.75" customHeight="1">
      <c r="B600" s="1"/>
      <c r="C600" s="2"/>
      <c r="D600" s="2"/>
      <c r="E600" s="2"/>
      <c r="F600" s="2"/>
      <c r="G600" s="2"/>
    </row>
    <row r="601" spans="2:7" ht="15.75" customHeight="1">
      <c r="B601" s="1"/>
      <c r="C601" s="2"/>
      <c r="D601" s="2"/>
      <c r="E601" s="2"/>
      <c r="F601" s="2"/>
      <c r="G601" s="2"/>
    </row>
    <row r="602" spans="2:7" ht="15.75" customHeight="1">
      <c r="B602" s="1"/>
      <c r="C602" s="2"/>
      <c r="D602" s="2"/>
      <c r="E602" s="2"/>
      <c r="F602" s="2"/>
      <c r="G602" s="2"/>
    </row>
    <row r="603" spans="2:7" ht="15.75" customHeight="1">
      <c r="B603" s="1"/>
      <c r="C603" s="2"/>
      <c r="D603" s="2"/>
      <c r="E603" s="2"/>
      <c r="F603" s="2"/>
      <c r="G603" s="2"/>
    </row>
    <row r="604" spans="2:7" ht="15.75" customHeight="1">
      <c r="B604" s="1"/>
      <c r="C604" s="2"/>
      <c r="D604" s="2"/>
      <c r="E604" s="2"/>
      <c r="F604" s="2"/>
      <c r="G604" s="2"/>
    </row>
    <row r="605" spans="2:7" ht="15.75" customHeight="1">
      <c r="B605" s="1"/>
      <c r="C605" s="2"/>
      <c r="D605" s="2"/>
      <c r="E605" s="2"/>
      <c r="F605" s="2"/>
      <c r="G605" s="2"/>
    </row>
    <row r="606" spans="2:7" ht="15.75" customHeight="1">
      <c r="B606" s="1"/>
      <c r="C606" s="2"/>
      <c r="D606" s="2"/>
      <c r="E606" s="2"/>
      <c r="F606" s="2"/>
      <c r="G606" s="2"/>
    </row>
    <row r="607" spans="2:7" ht="15.75" customHeight="1">
      <c r="B607" s="1"/>
      <c r="C607" s="2"/>
      <c r="D607" s="2"/>
      <c r="E607" s="2"/>
      <c r="F607" s="2"/>
      <c r="G607" s="2"/>
    </row>
    <row r="608" spans="2:7" ht="15.75" customHeight="1">
      <c r="B608" s="1"/>
      <c r="C608" s="2"/>
      <c r="D608" s="2"/>
      <c r="E608" s="2"/>
      <c r="F608" s="2"/>
      <c r="G608" s="2"/>
    </row>
    <row r="609" spans="2:7" ht="15.75" customHeight="1">
      <c r="B609" s="1"/>
      <c r="C609" s="2"/>
      <c r="D609" s="2"/>
      <c r="E609" s="2"/>
      <c r="F609" s="2"/>
      <c r="G609" s="2"/>
    </row>
    <row r="610" spans="2:7" ht="15.75" customHeight="1">
      <c r="B610" s="1"/>
      <c r="C610" s="2"/>
      <c r="D610" s="2"/>
      <c r="E610" s="2"/>
      <c r="F610" s="2"/>
      <c r="G610" s="2"/>
    </row>
    <row r="611" spans="2:7" ht="15.75" customHeight="1">
      <c r="B611" s="1"/>
      <c r="C611" s="2"/>
      <c r="D611" s="2"/>
      <c r="E611" s="2"/>
      <c r="F611" s="2"/>
      <c r="G611" s="2"/>
    </row>
    <row r="612" spans="2:7" ht="15.75" customHeight="1">
      <c r="B612" s="1"/>
      <c r="C612" s="2"/>
      <c r="D612" s="2"/>
      <c r="E612" s="2"/>
      <c r="F612" s="2"/>
      <c r="G612" s="2"/>
    </row>
    <row r="613" spans="2:7" ht="15.75" customHeight="1">
      <c r="B613" s="1"/>
      <c r="C613" s="2"/>
      <c r="D613" s="2"/>
      <c r="E613" s="2"/>
      <c r="F613" s="2"/>
      <c r="G613" s="2"/>
    </row>
    <row r="614" spans="2:7" ht="15.75" customHeight="1">
      <c r="B614" s="1"/>
      <c r="C614" s="2"/>
      <c r="D614" s="2"/>
      <c r="E614" s="2"/>
      <c r="F614" s="2"/>
      <c r="G614" s="2"/>
    </row>
    <row r="615" spans="2:7" ht="15.75" customHeight="1">
      <c r="B615" s="1"/>
      <c r="C615" s="2"/>
      <c r="D615" s="2"/>
      <c r="E615" s="2"/>
      <c r="F615" s="2"/>
      <c r="G615" s="2"/>
    </row>
    <row r="616" spans="2:7" ht="15.75" customHeight="1">
      <c r="B616" s="1"/>
      <c r="C616" s="2"/>
      <c r="D616" s="2"/>
      <c r="E616" s="2"/>
      <c r="F616" s="2"/>
      <c r="G616" s="2"/>
    </row>
    <row r="617" spans="2:7" ht="15.75" customHeight="1">
      <c r="B617" s="1"/>
      <c r="C617" s="2"/>
      <c r="D617" s="2"/>
      <c r="E617" s="2"/>
      <c r="F617" s="2"/>
      <c r="G617" s="2"/>
    </row>
    <row r="618" spans="2:7" ht="15.75" customHeight="1">
      <c r="B618" s="1"/>
      <c r="C618" s="2"/>
      <c r="D618" s="2"/>
      <c r="E618" s="2"/>
      <c r="F618" s="2"/>
      <c r="G618" s="2"/>
    </row>
    <row r="619" spans="2:7" ht="15.75" customHeight="1">
      <c r="B619" s="1"/>
      <c r="C619" s="2"/>
      <c r="D619" s="2"/>
      <c r="E619" s="2"/>
      <c r="F619" s="2"/>
      <c r="G619" s="2"/>
    </row>
    <row r="620" spans="2:7" ht="15.75" customHeight="1">
      <c r="B620" s="1"/>
      <c r="C620" s="2"/>
      <c r="D620" s="2"/>
      <c r="E620" s="2"/>
      <c r="F620" s="2"/>
      <c r="G620" s="2"/>
    </row>
    <row r="621" spans="2:7" ht="15.75" customHeight="1">
      <c r="B621" s="1"/>
      <c r="C621" s="2"/>
      <c r="D621" s="2"/>
      <c r="E621" s="2"/>
      <c r="F621" s="2"/>
      <c r="G621" s="2"/>
    </row>
    <row r="622" spans="2:7" ht="15.75" customHeight="1">
      <c r="B622" s="1"/>
      <c r="C622" s="2"/>
      <c r="D622" s="2"/>
      <c r="E622" s="2"/>
      <c r="F622" s="2"/>
      <c r="G622" s="2"/>
    </row>
    <row r="623" spans="2:7" ht="15.75" customHeight="1">
      <c r="B623" s="1"/>
      <c r="C623" s="2"/>
      <c r="D623" s="2"/>
      <c r="E623" s="2"/>
      <c r="F623" s="2"/>
      <c r="G623" s="2"/>
    </row>
    <row r="624" spans="2:7" ht="15.75" customHeight="1">
      <c r="B624" s="1"/>
      <c r="C624" s="2"/>
      <c r="D624" s="2"/>
      <c r="E624" s="2"/>
      <c r="F624" s="2"/>
      <c r="G624" s="2"/>
    </row>
    <row r="625" spans="2:7" ht="15.75" customHeight="1">
      <c r="B625" s="1"/>
      <c r="C625" s="2"/>
      <c r="D625" s="2"/>
      <c r="E625" s="2"/>
      <c r="F625" s="2"/>
      <c r="G625" s="2"/>
    </row>
    <row r="626" spans="2:7" ht="15.75" customHeight="1">
      <c r="B626" s="1"/>
      <c r="C626" s="2"/>
      <c r="D626" s="2"/>
      <c r="E626" s="2"/>
      <c r="F626" s="2"/>
      <c r="G626" s="2"/>
    </row>
    <row r="627" spans="2:7" ht="15.75" customHeight="1">
      <c r="B627" s="1"/>
      <c r="C627" s="2"/>
      <c r="D627" s="2"/>
      <c r="E627" s="2"/>
      <c r="F627" s="2"/>
      <c r="G627" s="2"/>
    </row>
    <row r="628" spans="2:7" ht="15.75" customHeight="1">
      <c r="B628" s="1"/>
      <c r="C628" s="2"/>
      <c r="D628" s="2"/>
      <c r="E628" s="2"/>
      <c r="F628" s="2"/>
      <c r="G628" s="2"/>
    </row>
    <row r="629" spans="2:7" ht="15.75" customHeight="1">
      <c r="B629" s="1"/>
      <c r="C629" s="2"/>
      <c r="D629" s="2"/>
      <c r="E629" s="2"/>
      <c r="F629" s="2"/>
      <c r="G629" s="2"/>
    </row>
    <row r="630" spans="2:7" ht="15.75" customHeight="1">
      <c r="B630" s="1"/>
      <c r="C630" s="2"/>
      <c r="D630" s="2"/>
      <c r="E630" s="2"/>
      <c r="F630" s="2"/>
      <c r="G630" s="2"/>
    </row>
    <row r="631" spans="2:7" ht="15.75" customHeight="1">
      <c r="B631" s="1"/>
      <c r="C631" s="2"/>
      <c r="D631" s="2"/>
      <c r="E631" s="2"/>
      <c r="F631" s="2"/>
      <c r="G631" s="2"/>
    </row>
    <row r="632" spans="2:7" ht="15.75" customHeight="1">
      <c r="B632" s="1"/>
      <c r="C632" s="2"/>
      <c r="D632" s="2"/>
      <c r="E632" s="2"/>
      <c r="F632" s="2"/>
      <c r="G632" s="2"/>
    </row>
    <row r="633" spans="2:7" ht="15.75" customHeight="1">
      <c r="B633" s="1"/>
      <c r="C633" s="2"/>
      <c r="D633" s="2"/>
      <c r="E633" s="2"/>
      <c r="F633" s="2"/>
      <c r="G633" s="2"/>
    </row>
    <row r="634" spans="2:7" ht="15.75" customHeight="1">
      <c r="B634" s="1"/>
      <c r="C634" s="2"/>
      <c r="D634" s="2"/>
      <c r="E634" s="2"/>
      <c r="F634" s="2"/>
      <c r="G634" s="2"/>
    </row>
    <row r="635" spans="2:7" ht="15.75" customHeight="1">
      <c r="B635" s="1"/>
      <c r="C635" s="2"/>
      <c r="D635" s="2"/>
      <c r="E635" s="2"/>
      <c r="F635" s="2"/>
      <c r="G635" s="2"/>
    </row>
    <row r="636" spans="2:7" ht="15.75" customHeight="1">
      <c r="B636" s="1"/>
      <c r="C636" s="2"/>
      <c r="D636" s="2"/>
      <c r="E636" s="2"/>
      <c r="F636" s="2"/>
      <c r="G636" s="2"/>
    </row>
    <row r="637" spans="2:7" ht="15.75" customHeight="1">
      <c r="B637" s="1"/>
      <c r="C637" s="2"/>
      <c r="D637" s="2"/>
      <c r="E637" s="2"/>
      <c r="F637" s="2"/>
      <c r="G637" s="2"/>
    </row>
    <row r="638" spans="2:7" ht="15.75" customHeight="1">
      <c r="B638" s="1"/>
      <c r="C638" s="2"/>
      <c r="D638" s="2"/>
      <c r="E638" s="2"/>
      <c r="F638" s="2"/>
      <c r="G638" s="2"/>
    </row>
    <row r="639" spans="2:7" ht="15.75" customHeight="1">
      <c r="B639" s="1"/>
      <c r="C639" s="2"/>
      <c r="D639" s="2"/>
      <c r="E639" s="2"/>
      <c r="F639" s="2"/>
      <c r="G639" s="2"/>
    </row>
    <row r="640" spans="2:7" ht="15.75" customHeight="1">
      <c r="B640" s="1"/>
      <c r="C640" s="2"/>
      <c r="D640" s="2"/>
      <c r="E640" s="2"/>
      <c r="F640" s="2"/>
      <c r="G640" s="2"/>
    </row>
    <row r="641" spans="2:7" ht="15.75" customHeight="1">
      <c r="B641" s="1"/>
      <c r="C641" s="2"/>
      <c r="D641" s="2"/>
      <c r="E641" s="2"/>
      <c r="F641" s="2"/>
      <c r="G641" s="2"/>
    </row>
    <row r="642" spans="2:7" ht="15.75" customHeight="1">
      <c r="B642" s="1"/>
      <c r="C642" s="2"/>
      <c r="D642" s="2"/>
      <c r="E642" s="2"/>
      <c r="F642" s="2"/>
      <c r="G642" s="2"/>
    </row>
    <row r="643" spans="2:7" ht="15.75" customHeight="1">
      <c r="B643" s="1"/>
      <c r="C643" s="2"/>
      <c r="D643" s="2"/>
      <c r="E643" s="2"/>
      <c r="F643" s="2"/>
      <c r="G643" s="2"/>
    </row>
    <row r="644" spans="2:7" ht="15.75" customHeight="1">
      <c r="B644" s="1"/>
      <c r="C644" s="2"/>
      <c r="D644" s="2"/>
      <c r="E644" s="2"/>
      <c r="F644" s="2"/>
      <c r="G644" s="2"/>
    </row>
    <row r="645" spans="2:7" ht="15.75" customHeight="1">
      <c r="B645" s="1"/>
      <c r="C645" s="2"/>
      <c r="D645" s="2"/>
      <c r="E645" s="2"/>
      <c r="F645" s="2"/>
      <c r="G645" s="2"/>
    </row>
    <row r="646" spans="2:7" ht="15.75" customHeight="1">
      <c r="B646" s="1"/>
      <c r="C646" s="2"/>
      <c r="D646" s="2"/>
      <c r="E646" s="2"/>
      <c r="F646" s="2"/>
      <c r="G646" s="2"/>
    </row>
    <row r="647" spans="2:7" ht="15.75" customHeight="1">
      <c r="B647" s="1"/>
      <c r="C647" s="2"/>
      <c r="D647" s="2"/>
      <c r="E647" s="2"/>
      <c r="F647" s="2"/>
      <c r="G647" s="2"/>
    </row>
    <row r="648" spans="2:7" ht="15.75" customHeight="1">
      <c r="B648" s="1"/>
      <c r="C648" s="2"/>
      <c r="D648" s="2"/>
      <c r="E648" s="2"/>
      <c r="F648" s="2"/>
      <c r="G648" s="2"/>
    </row>
    <row r="649" spans="2:7" ht="15.75" customHeight="1">
      <c r="B649" s="1"/>
      <c r="C649" s="2"/>
      <c r="D649" s="2"/>
      <c r="E649" s="2"/>
      <c r="F649" s="2"/>
      <c r="G649" s="2"/>
    </row>
    <row r="650" spans="2:7" ht="15.75" customHeight="1">
      <c r="B650" s="1"/>
      <c r="C650" s="2"/>
      <c r="D650" s="2"/>
      <c r="E650" s="2"/>
      <c r="F650" s="2"/>
      <c r="G650" s="2"/>
    </row>
    <row r="651" spans="2:7" ht="15.75" customHeight="1">
      <c r="B651" s="1"/>
      <c r="C651" s="2"/>
      <c r="D651" s="2"/>
      <c r="E651" s="2"/>
      <c r="F651" s="2"/>
      <c r="G651" s="2"/>
    </row>
    <row r="652" spans="2:7" ht="15.75" customHeight="1">
      <c r="B652" s="1"/>
      <c r="C652" s="2"/>
      <c r="D652" s="2"/>
      <c r="E652" s="2"/>
      <c r="F652" s="2"/>
      <c r="G652" s="2"/>
    </row>
    <row r="653" spans="2:7" ht="15.75" customHeight="1">
      <c r="B653" s="1"/>
      <c r="C653" s="2"/>
      <c r="D653" s="2"/>
      <c r="E653" s="2"/>
      <c r="F653" s="2"/>
      <c r="G653" s="2"/>
    </row>
    <row r="654" spans="2:7" ht="15.75" customHeight="1">
      <c r="B654" s="1"/>
      <c r="C654" s="2"/>
      <c r="D654" s="2"/>
      <c r="E654" s="2"/>
      <c r="F654" s="2"/>
      <c r="G654" s="2"/>
    </row>
    <row r="655" spans="2:7" ht="15.75" customHeight="1">
      <c r="B655" s="1"/>
      <c r="C655" s="2"/>
      <c r="D655" s="2"/>
      <c r="E655" s="2"/>
      <c r="F655" s="2"/>
      <c r="G655" s="2"/>
    </row>
    <row r="656" spans="2:7" ht="15.75" customHeight="1">
      <c r="B656" s="1"/>
      <c r="C656" s="2"/>
      <c r="D656" s="2"/>
      <c r="E656" s="2"/>
      <c r="F656" s="2"/>
      <c r="G656" s="2"/>
    </row>
    <row r="657" spans="2:7" ht="15.75" customHeight="1">
      <c r="B657" s="1"/>
      <c r="C657" s="2"/>
      <c r="D657" s="2"/>
      <c r="E657" s="2"/>
      <c r="F657" s="2"/>
      <c r="G657" s="2"/>
    </row>
    <row r="658" spans="2:7" ht="15.75" customHeight="1">
      <c r="B658" s="1"/>
      <c r="C658" s="2"/>
      <c r="D658" s="2"/>
      <c r="E658" s="2"/>
      <c r="F658" s="2"/>
      <c r="G658" s="2"/>
    </row>
    <row r="659" spans="2:7" ht="15.75" customHeight="1">
      <c r="B659" s="1"/>
      <c r="C659" s="2"/>
      <c r="D659" s="2"/>
      <c r="E659" s="2"/>
      <c r="F659" s="2"/>
      <c r="G659" s="2"/>
    </row>
    <row r="660" spans="2:7" ht="15.75" customHeight="1">
      <c r="B660" s="1"/>
      <c r="C660" s="2"/>
      <c r="D660" s="2"/>
      <c r="E660" s="2"/>
      <c r="F660" s="2"/>
      <c r="G660" s="2"/>
    </row>
    <row r="661" spans="2:7" ht="15.75" customHeight="1">
      <c r="B661" s="1"/>
      <c r="C661" s="2"/>
      <c r="D661" s="2"/>
      <c r="E661" s="2"/>
      <c r="F661" s="2"/>
      <c r="G661" s="2"/>
    </row>
    <row r="662" spans="2:7" ht="15.75" customHeight="1">
      <c r="B662" s="1"/>
      <c r="C662" s="2"/>
      <c r="D662" s="2"/>
      <c r="E662" s="2"/>
      <c r="F662" s="2"/>
      <c r="G662" s="2"/>
    </row>
    <row r="663" spans="2:7" ht="15.75" customHeight="1">
      <c r="B663" s="1"/>
      <c r="C663" s="2"/>
      <c r="D663" s="2"/>
      <c r="E663" s="2"/>
      <c r="F663" s="2"/>
      <c r="G663" s="2"/>
    </row>
    <row r="664" spans="2:7" ht="15.75" customHeight="1">
      <c r="B664" s="1"/>
      <c r="C664" s="2"/>
      <c r="D664" s="2"/>
      <c r="E664" s="2"/>
      <c r="F664" s="2"/>
      <c r="G664" s="2"/>
    </row>
    <row r="665" spans="2:7" ht="15.75" customHeight="1">
      <c r="B665" s="1"/>
      <c r="C665" s="2"/>
      <c r="D665" s="2"/>
      <c r="E665" s="2"/>
      <c r="F665" s="2"/>
      <c r="G665" s="2"/>
    </row>
    <row r="666" spans="2:7" ht="15.75" customHeight="1">
      <c r="B666" s="1"/>
      <c r="C666" s="2"/>
      <c r="D666" s="2"/>
      <c r="E666" s="2"/>
      <c r="F666" s="2"/>
      <c r="G666" s="2"/>
    </row>
    <row r="667" spans="2:7" ht="15.75" customHeight="1">
      <c r="B667" s="1"/>
      <c r="C667" s="2"/>
      <c r="D667" s="2"/>
      <c r="E667" s="2"/>
      <c r="F667" s="2"/>
      <c r="G667" s="2"/>
    </row>
    <row r="668" spans="2:7" ht="15.75" customHeight="1">
      <c r="B668" s="1"/>
      <c r="C668" s="2"/>
      <c r="D668" s="2"/>
      <c r="E668" s="2"/>
      <c r="F668" s="2"/>
      <c r="G668" s="2"/>
    </row>
    <row r="669" spans="2:7" ht="15.75" customHeight="1">
      <c r="B669" s="1"/>
      <c r="C669" s="2"/>
      <c r="D669" s="2"/>
      <c r="E669" s="2"/>
      <c r="F669" s="2"/>
      <c r="G669" s="2"/>
    </row>
    <row r="670" spans="2:7" ht="15.75" customHeight="1">
      <c r="B670" s="1"/>
      <c r="C670" s="2"/>
      <c r="D670" s="2"/>
      <c r="E670" s="2"/>
      <c r="F670" s="2"/>
      <c r="G670" s="2"/>
    </row>
    <row r="671" spans="2:7" ht="15.75" customHeight="1">
      <c r="B671" s="1"/>
      <c r="C671" s="2"/>
      <c r="D671" s="2"/>
      <c r="E671" s="2"/>
      <c r="F671" s="2"/>
      <c r="G671" s="2"/>
    </row>
    <row r="672" spans="2:7" ht="15.75" customHeight="1">
      <c r="B672" s="1"/>
      <c r="C672" s="2"/>
      <c r="D672" s="2"/>
      <c r="E672" s="2"/>
      <c r="F672" s="2"/>
      <c r="G672" s="2"/>
    </row>
    <row r="673" spans="2:7" ht="15.75" customHeight="1">
      <c r="B673" s="1"/>
      <c r="C673" s="2"/>
      <c r="D673" s="2"/>
      <c r="E673" s="2"/>
      <c r="F673" s="2"/>
      <c r="G673" s="2"/>
    </row>
    <row r="674" spans="2:7" ht="15.75" customHeight="1">
      <c r="B674" s="1"/>
      <c r="C674" s="2"/>
      <c r="D674" s="2"/>
      <c r="E674" s="2"/>
      <c r="F674" s="2"/>
      <c r="G674" s="2"/>
    </row>
    <row r="675" spans="2:7" ht="15.75" customHeight="1">
      <c r="B675" s="1"/>
      <c r="C675" s="2"/>
      <c r="D675" s="2"/>
      <c r="E675" s="2"/>
      <c r="F675" s="2"/>
      <c r="G675" s="2"/>
    </row>
    <row r="676" spans="2:7" ht="15.75" customHeight="1">
      <c r="B676" s="1"/>
      <c r="C676" s="2"/>
      <c r="D676" s="2"/>
      <c r="E676" s="2"/>
      <c r="F676" s="2"/>
      <c r="G676" s="2"/>
    </row>
    <row r="677" spans="2:7" ht="15.75" customHeight="1">
      <c r="B677" s="1"/>
      <c r="C677" s="2"/>
      <c r="D677" s="2"/>
      <c r="E677" s="2"/>
      <c r="F677" s="2"/>
      <c r="G677" s="2"/>
    </row>
    <row r="678" spans="2:7" ht="15.75" customHeight="1">
      <c r="B678" s="1"/>
      <c r="C678" s="2"/>
      <c r="D678" s="2"/>
      <c r="E678" s="2"/>
      <c r="F678" s="2"/>
      <c r="G678" s="2"/>
    </row>
    <row r="679" spans="2:7" ht="15.75" customHeight="1">
      <c r="B679" s="1"/>
      <c r="C679" s="2"/>
      <c r="D679" s="2"/>
      <c r="E679" s="2"/>
      <c r="F679" s="2"/>
      <c r="G679" s="2"/>
    </row>
    <row r="680" spans="2:7" ht="15.75" customHeight="1">
      <c r="B680" s="1"/>
      <c r="C680" s="2"/>
      <c r="D680" s="2"/>
      <c r="E680" s="2"/>
      <c r="F680" s="2"/>
      <c r="G680" s="2"/>
    </row>
    <row r="681" spans="2:7" ht="15.75" customHeight="1">
      <c r="B681" s="1"/>
      <c r="C681" s="2"/>
      <c r="D681" s="2"/>
      <c r="E681" s="2"/>
      <c r="F681" s="2"/>
      <c r="G681" s="2"/>
    </row>
    <row r="682" spans="2:7" ht="15.75" customHeight="1">
      <c r="B682" s="1"/>
      <c r="C682" s="2"/>
      <c r="D682" s="2"/>
      <c r="E682" s="2"/>
      <c r="F682" s="2"/>
      <c r="G682" s="2"/>
    </row>
    <row r="683" spans="2:7" ht="15.75" customHeight="1">
      <c r="B683" s="1"/>
      <c r="C683" s="2"/>
      <c r="D683" s="2"/>
      <c r="E683" s="2"/>
      <c r="F683" s="2"/>
      <c r="G683" s="2"/>
    </row>
    <row r="684" spans="2:7" ht="15.75" customHeight="1">
      <c r="B684" s="1"/>
      <c r="C684" s="2"/>
      <c r="D684" s="2"/>
      <c r="E684" s="2"/>
      <c r="F684" s="2"/>
      <c r="G684" s="2"/>
    </row>
    <row r="685" spans="2:7" ht="15.75" customHeight="1">
      <c r="B685" s="1"/>
      <c r="C685" s="2"/>
      <c r="D685" s="2"/>
      <c r="E685" s="2"/>
      <c r="F685" s="2"/>
      <c r="G685" s="2"/>
    </row>
    <row r="686" spans="2:7" ht="15.75" customHeight="1">
      <c r="B686" s="1"/>
      <c r="C686" s="2"/>
      <c r="D686" s="2"/>
      <c r="E686" s="2"/>
      <c r="F686" s="2"/>
      <c r="G686" s="2"/>
    </row>
    <row r="687" spans="2:7" ht="15.75" customHeight="1">
      <c r="B687" s="1"/>
      <c r="C687" s="2"/>
      <c r="D687" s="2"/>
      <c r="E687" s="2"/>
      <c r="F687" s="2"/>
      <c r="G687" s="2"/>
    </row>
    <row r="688" spans="2:7" ht="15.75" customHeight="1">
      <c r="B688" s="1"/>
      <c r="C688" s="2"/>
      <c r="D688" s="2"/>
      <c r="E688" s="2"/>
      <c r="F688" s="2"/>
      <c r="G688" s="2"/>
    </row>
    <row r="689" spans="2:7" ht="15.75" customHeight="1">
      <c r="B689" s="1"/>
      <c r="C689" s="2"/>
      <c r="D689" s="2"/>
      <c r="E689" s="2"/>
      <c r="F689" s="2"/>
      <c r="G689" s="2"/>
    </row>
    <row r="690" spans="2:7" ht="15.75" customHeight="1">
      <c r="B690" s="1"/>
      <c r="C690" s="2"/>
      <c r="D690" s="2"/>
      <c r="E690" s="2"/>
      <c r="F690" s="2"/>
      <c r="G690" s="2"/>
    </row>
    <row r="691" spans="2:7" ht="15.75" customHeight="1">
      <c r="B691" s="1"/>
      <c r="C691" s="2"/>
      <c r="D691" s="2"/>
      <c r="E691" s="2"/>
      <c r="F691" s="2"/>
      <c r="G691" s="2"/>
    </row>
    <row r="692" spans="2:7" ht="15.75" customHeight="1">
      <c r="B692" s="1"/>
      <c r="C692" s="2"/>
      <c r="D692" s="2"/>
      <c r="E692" s="2"/>
      <c r="F692" s="2"/>
      <c r="G692" s="2"/>
    </row>
    <row r="693" spans="2:7" ht="15.75" customHeight="1">
      <c r="B693" s="1"/>
      <c r="C693" s="2"/>
      <c r="D693" s="2"/>
      <c r="E693" s="2"/>
      <c r="F693" s="2"/>
      <c r="G693" s="2"/>
    </row>
    <row r="694" spans="2:7" ht="15.75" customHeight="1">
      <c r="B694" s="1"/>
      <c r="C694" s="2"/>
      <c r="D694" s="2"/>
      <c r="E694" s="2"/>
      <c r="F694" s="2"/>
      <c r="G694" s="2"/>
    </row>
    <row r="695" spans="2:7" ht="15.75" customHeight="1">
      <c r="B695" s="1"/>
      <c r="C695" s="2"/>
      <c r="D695" s="2"/>
      <c r="E695" s="2"/>
      <c r="F695" s="2"/>
      <c r="G695" s="2"/>
    </row>
    <row r="696" spans="2:7" ht="15.75" customHeight="1">
      <c r="B696" s="1"/>
      <c r="C696" s="2"/>
      <c r="D696" s="2"/>
      <c r="E696" s="2"/>
      <c r="F696" s="2"/>
      <c r="G696" s="2"/>
    </row>
    <row r="697" spans="2:7" ht="15.75" customHeight="1">
      <c r="B697" s="1"/>
      <c r="C697" s="2"/>
      <c r="D697" s="2"/>
      <c r="E697" s="2"/>
      <c r="F697" s="2"/>
      <c r="G697" s="2"/>
    </row>
    <row r="698" spans="2:7" ht="15.75" customHeight="1">
      <c r="B698" s="1"/>
      <c r="C698" s="2"/>
      <c r="D698" s="2"/>
      <c r="E698" s="2"/>
      <c r="F698" s="2"/>
      <c r="G698" s="2"/>
    </row>
    <row r="699" spans="2:7" ht="15.75" customHeight="1">
      <c r="B699" s="1"/>
      <c r="C699" s="2"/>
      <c r="D699" s="2"/>
      <c r="E699" s="2"/>
      <c r="F699" s="2"/>
      <c r="G699" s="2"/>
    </row>
    <row r="700" spans="2:7" ht="15.75" customHeight="1">
      <c r="B700" s="1"/>
      <c r="C700" s="2"/>
      <c r="D700" s="2"/>
      <c r="E700" s="2"/>
      <c r="F700" s="2"/>
      <c r="G700" s="2"/>
    </row>
    <row r="701" spans="2:7" ht="15.75" customHeight="1">
      <c r="B701" s="1"/>
      <c r="C701" s="2"/>
      <c r="D701" s="2"/>
      <c r="E701" s="2"/>
      <c r="F701" s="2"/>
      <c r="G701" s="2"/>
    </row>
    <row r="702" spans="2:7" ht="15.75" customHeight="1">
      <c r="B702" s="1"/>
      <c r="C702" s="2"/>
      <c r="D702" s="2"/>
      <c r="E702" s="2"/>
      <c r="F702" s="2"/>
      <c r="G702" s="2"/>
    </row>
    <row r="703" spans="2:7" ht="15.75" customHeight="1">
      <c r="B703" s="1"/>
      <c r="C703" s="2"/>
      <c r="D703" s="2"/>
      <c r="E703" s="2"/>
      <c r="F703" s="2"/>
      <c r="G703" s="2"/>
    </row>
    <row r="704" spans="2:7" ht="15.75" customHeight="1">
      <c r="B704" s="1"/>
      <c r="C704" s="2"/>
      <c r="D704" s="2"/>
      <c r="E704" s="2"/>
      <c r="F704" s="2"/>
      <c r="G704" s="2"/>
    </row>
    <row r="705" spans="2:7" ht="15.75" customHeight="1">
      <c r="B705" s="1"/>
      <c r="C705" s="2"/>
      <c r="D705" s="2"/>
      <c r="E705" s="2"/>
      <c r="F705" s="2"/>
      <c r="G705" s="2"/>
    </row>
    <row r="706" spans="2:7" ht="15.75" customHeight="1">
      <c r="B706" s="1"/>
      <c r="C706" s="2"/>
      <c r="D706" s="2"/>
      <c r="E706" s="2"/>
      <c r="F706" s="2"/>
      <c r="G706" s="2"/>
    </row>
    <row r="707" spans="2:7" ht="15.75" customHeight="1">
      <c r="B707" s="1"/>
      <c r="C707" s="2"/>
      <c r="D707" s="2"/>
      <c r="E707" s="2"/>
      <c r="F707" s="2"/>
      <c r="G707" s="2"/>
    </row>
    <row r="708" spans="2:7" ht="15.75" customHeight="1">
      <c r="B708" s="1"/>
      <c r="C708" s="2"/>
      <c r="D708" s="2"/>
      <c r="E708" s="2"/>
      <c r="F708" s="2"/>
      <c r="G708" s="2"/>
    </row>
    <row r="709" spans="2:7" ht="15.75" customHeight="1">
      <c r="B709" s="1"/>
      <c r="C709" s="2"/>
      <c r="D709" s="2"/>
      <c r="E709" s="2"/>
      <c r="F709" s="2"/>
      <c r="G709" s="2"/>
    </row>
    <row r="710" spans="2:7" ht="15.75" customHeight="1">
      <c r="B710" s="1"/>
      <c r="C710" s="2"/>
      <c r="D710" s="2"/>
      <c r="E710" s="2"/>
      <c r="F710" s="2"/>
      <c r="G710" s="2"/>
    </row>
    <row r="711" spans="2:7" ht="15.75" customHeight="1">
      <c r="B711" s="1"/>
      <c r="C711" s="2"/>
      <c r="D711" s="2"/>
      <c r="E711" s="2"/>
      <c r="F711" s="2"/>
      <c r="G711" s="2"/>
    </row>
    <row r="712" spans="2:7" ht="15.75" customHeight="1">
      <c r="B712" s="1"/>
      <c r="C712" s="2"/>
      <c r="D712" s="2"/>
      <c r="E712" s="2"/>
      <c r="F712" s="2"/>
      <c r="G712" s="2"/>
    </row>
    <row r="713" spans="2:7" ht="15.75" customHeight="1">
      <c r="B713" s="1"/>
      <c r="C713" s="2"/>
      <c r="D713" s="2"/>
      <c r="E713" s="2"/>
      <c r="F713" s="2"/>
      <c r="G713" s="2"/>
    </row>
    <row r="714" spans="2:7" ht="15.75" customHeight="1">
      <c r="B714" s="1"/>
      <c r="C714" s="2"/>
      <c r="D714" s="2"/>
      <c r="E714" s="2"/>
      <c r="F714" s="2"/>
      <c r="G714" s="2"/>
    </row>
    <row r="715" spans="2:7" ht="15.75" customHeight="1">
      <c r="B715" s="1"/>
      <c r="C715" s="2"/>
      <c r="D715" s="2"/>
      <c r="E715" s="2"/>
      <c r="F715" s="2"/>
      <c r="G715" s="2"/>
    </row>
    <row r="716" spans="2:7" ht="15.75" customHeight="1">
      <c r="B716" s="1"/>
      <c r="C716" s="2"/>
      <c r="D716" s="2"/>
      <c r="E716" s="2"/>
      <c r="F716" s="2"/>
      <c r="G716" s="2"/>
    </row>
    <row r="717" spans="2:7" ht="15.75" customHeight="1">
      <c r="B717" s="1"/>
      <c r="C717" s="2"/>
      <c r="D717" s="2"/>
      <c r="E717" s="2"/>
      <c r="F717" s="2"/>
      <c r="G717" s="2"/>
    </row>
    <row r="718" spans="2:7" ht="15.75" customHeight="1">
      <c r="B718" s="1"/>
      <c r="C718" s="2"/>
      <c r="D718" s="2"/>
      <c r="E718" s="2"/>
      <c r="F718" s="2"/>
      <c r="G718" s="2"/>
    </row>
    <row r="719" spans="2:7" ht="15.75" customHeight="1">
      <c r="B719" s="1"/>
      <c r="C719" s="2"/>
      <c r="D719" s="2"/>
      <c r="E719" s="2"/>
      <c r="F719" s="2"/>
      <c r="G719" s="2"/>
    </row>
    <row r="720" spans="2:7" ht="15.75" customHeight="1">
      <c r="B720" s="1"/>
      <c r="C720" s="2"/>
      <c r="D720" s="2"/>
      <c r="E720" s="2"/>
      <c r="F720" s="2"/>
      <c r="G720" s="2"/>
    </row>
    <row r="721" spans="2:7" ht="15.75" customHeight="1">
      <c r="B721" s="1"/>
      <c r="C721" s="2"/>
      <c r="D721" s="2"/>
      <c r="E721" s="2"/>
      <c r="F721" s="2"/>
      <c r="G721" s="2"/>
    </row>
    <row r="722" spans="2:7" ht="15.75" customHeight="1">
      <c r="B722" s="1"/>
      <c r="C722" s="2"/>
      <c r="D722" s="2"/>
      <c r="E722" s="2"/>
      <c r="F722" s="2"/>
      <c r="G722" s="2"/>
    </row>
    <row r="723" spans="2:7" ht="15.75" customHeight="1">
      <c r="B723" s="1"/>
      <c r="C723" s="2"/>
      <c r="D723" s="2"/>
      <c r="E723" s="2"/>
      <c r="F723" s="2"/>
      <c r="G723" s="2"/>
    </row>
    <row r="724" spans="2:7" ht="15.75" customHeight="1">
      <c r="B724" s="1"/>
      <c r="C724" s="2"/>
      <c r="D724" s="2"/>
      <c r="E724" s="2"/>
      <c r="F724" s="2"/>
      <c r="G724" s="2"/>
    </row>
    <row r="725" spans="2:7" ht="15.75" customHeight="1">
      <c r="B725" s="1"/>
      <c r="C725" s="2"/>
      <c r="D725" s="2"/>
      <c r="E725" s="2"/>
      <c r="F725" s="2"/>
      <c r="G725" s="2"/>
    </row>
    <row r="726" spans="2:7" ht="15.75" customHeight="1">
      <c r="B726" s="1"/>
      <c r="C726" s="2"/>
      <c r="D726" s="2"/>
      <c r="E726" s="2"/>
      <c r="F726" s="2"/>
      <c r="G726" s="2"/>
    </row>
    <row r="727" spans="2:7" ht="15.75" customHeight="1">
      <c r="B727" s="1"/>
      <c r="C727" s="2"/>
      <c r="D727" s="2"/>
      <c r="E727" s="2"/>
      <c r="F727" s="2"/>
      <c r="G727" s="2"/>
    </row>
    <row r="728" spans="2:7" ht="15.75" customHeight="1">
      <c r="B728" s="1"/>
      <c r="C728" s="2"/>
      <c r="D728" s="2"/>
      <c r="E728" s="2"/>
      <c r="F728" s="2"/>
      <c r="G728" s="2"/>
    </row>
    <row r="729" spans="2:7" ht="15.75" customHeight="1">
      <c r="B729" s="1"/>
      <c r="C729" s="2"/>
      <c r="D729" s="2"/>
      <c r="E729" s="2"/>
      <c r="F729" s="2"/>
      <c r="G729" s="2"/>
    </row>
    <row r="730" spans="2:7" ht="15.75" customHeight="1">
      <c r="B730" s="1"/>
      <c r="C730" s="2"/>
      <c r="D730" s="2"/>
      <c r="E730" s="2"/>
      <c r="F730" s="2"/>
      <c r="G730" s="2"/>
    </row>
    <row r="731" spans="2:7" ht="15.75" customHeight="1">
      <c r="B731" s="1"/>
      <c r="C731" s="2"/>
      <c r="D731" s="2"/>
      <c r="E731" s="2"/>
      <c r="F731" s="2"/>
      <c r="G731" s="2"/>
    </row>
    <row r="732" spans="2:7" ht="15.75" customHeight="1">
      <c r="B732" s="1"/>
      <c r="C732" s="2"/>
      <c r="D732" s="2"/>
      <c r="E732" s="2"/>
      <c r="F732" s="2"/>
      <c r="G732" s="2"/>
    </row>
    <row r="733" spans="2:7" ht="15.75" customHeight="1">
      <c r="B733" s="1"/>
      <c r="C733" s="2"/>
      <c r="D733" s="2"/>
      <c r="E733" s="2"/>
      <c r="F733" s="2"/>
      <c r="G733" s="2"/>
    </row>
    <row r="734" spans="2:7" ht="15.75" customHeight="1">
      <c r="B734" s="1"/>
      <c r="C734" s="2"/>
      <c r="D734" s="2"/>
      <c r="E734" s="2"/>
      <c r="F734" s="2"/>
      <c r="G734" s="2"/>
    </row>
    <row r="735" spans="2:7" ht="15.75" customHeight="1">
      <c r="B735" s="1"/>
      <c r="C735" s="2"/>
      <c r="D735" s="2"/>
      <c r="E735" s="2"/>
      <c r="F735" s="2"/>
      <c r="G735" s="2"/>
    </row>
    <row r="736" spans="2:7" ht="15.75" customHeight="1">
      <c r="B736" s="1"/>
      <c r="C736" s="2"/>
      <c r="D736" s="2"/>
      <c r="E736" s="2"/>
      <c r="F736" s="2"/>
      <c r="G736" s="2"/>
    </row>
    <row r="737" spans="2:7" ht="15.75" customHeight="1">
      <c r="B737" s="1"/>
      <c r="C737" s="2"/>
      <c r="D737" s="2"/>
      <c r="E737" s="2"/>
      <c r="F737" s="2"/>
      <c r="G737" s="2"/>
    </row>
    <row r="738" spans="2:7" ht="15.75" customHeight="1">
      <c r="B738" s="1"/>
      <c r="C738" s="2"/>
      <c r="D738" s="2"/>
      <c r="E738" s="2"/>
      <c r="F738" s="2"/>
      <c r="G738" s="2"/>
    </row>
    <row r="739" spans="2:7" ht="15.75" customHeight="1">
      <c r="B739" s="1"/>
      <c r="C739" s="2"/>
      <c r="D739" s="2"/>
      <c r="E739" s="2"/>
      <c r="F739" s="2"/>
      <c r="G739" s="2"/>
    </row>
    <row r="740" spans="2:7" ht="15.75" customHeight="1">
      <c r="B740" s="1"/>
      <c r="C740" s="2"/>
      <c r="D740" s="2"/>
      <c r="E740" s="2"/>
      <c r="F740" s="2"/>
      <c r="G740" s="2"/>
    </row>
    <row r="741" spans="2:7" ht="15.75" customHeight="1">
      <c r="B741" s="1"/>
      <c r="C741" s="2"/>
      <c r="D741" s="2"/>
      <c r="E741" s="2"/>
      <c r="F741" s="2"/>
      <c r="G741" s="2"/>
    </row>
    <row r="742" spans="2:7" ht="15.75" customHeight="1">
      <c r="B742" s="1"/>
      <c r="C742" s="2"/>
      <c r="D742" s="2"/>
      <c r="E742" s="2"/>
      <c r="F742" s="2"/>
      <c r="G742" s="2"/>
    </row>
    <row r="743" spans="2:7" ht="15.75" customHeight="1">
      <c r="B743" s="1"/>
      <c r="C743" s="2"/>
      <c r="D743" s="2"/>
      <c r="E743" s="2"/>
      <c r="F743" s="2"/>
      <c r="G743" s="2"/>
    </row>
    <row r="744" spans="2:7" ht="15.75" customHeight="1">
      <c r="B744" s="1"/>
      <c r="C744" s="2"/>
      <c r="D744" s="2"/>
      <c r="E744" s="2"/>
      <c r="F744" s="2"/>
      <c r="G744" s="2"/>
    </row>
    <row r="745" spans="2:7" ht="15.75" customHeight="1">
      <c r="B745" s="1"/>
      <c r="C745" s="2"/>
      <c r="D745" s="2"/>
      <c r="E745" s="2"/>
      <c r="F745" s="2"/>
      <c r="G745" s="2"/>
    </row>
    <row r="746" spans="2:7" ht="15.75" customHeight="1">
      <c r="B746" s="1"/>
      <c r="C746" s="2"/>
      <c r="D746" s="2"/>
      <c r="E746" s="2"/>
      <c r="F746" s="2"/>
      <c r="G746" s="2"/>
    </row>
    <row r="747" spans="2:7" ht="15.75" customHeight="1">
      <c r="B747" s="1"/>
      <c r="C747" s="2"/>
      <c r="D747" s="2"/>
      <c r="E747" s="2"/>
      <c r="F747" s="2"/>
      <c r="G747" s="2"/>
    </row>
    <row r="748" spans="2:7" ht="15.75" customHeight="1">
      <c r="B748" s="1"/>
      <c r="C748" s="2"/>
      <c r="D748" s="2"/>
      <c r="E748" s="2"/>
      <c r="F748" s="2"/>
      <c r="G748" s="2"/>
    </row>
    <row r="749" spans="2:7" ht="15.75" customHeight="1">
      <c r="B749" s="1"/>
      <c r="C749" s="2"/>
      <c r="D749" s="2"/>
      <c r="E749" s="2"/>
      <c r="F749" s="2"/>
      <c r="G749" s="2"/>
    </row>
    <row r="750" spans="2:7" ht="15.75" customHeight="1">
      <c r="B750" s="1"/>
      <c r="C750" s="2"/>
      <c r="D750" s="2"/>
      <c r="E750" s="2"/>
      <c r="F750" s="2"/>
      <c r="G750" s="2"/>
    </row>
    <row r="751" spans="2:7" ht="15.75" customHeight="1">
      <c r="B751" s="1"/>
      <c r="C751" s="2"/>
      <c r="D751" s="2"/>
      <c r="E751" s="2"/>
      <c r="F751" s="2"/>
      <c r="G751" s="2"/>
    </row>
    <row r="752" spans="2:7" ht="15.75" customHeight="1">
      <c r="B752" s="1"/>
      <c r="C752" s="2"/>
      <c r="D752" s="2"/>
      <c r="E752" s="2"/>
      <c r="F752" s="2"/>
      <c r="G752" s="2"/>
    </row>
    <row r="753" spans="2:7" ht="15.75" customHeight="1">
      <c r="B753" s="1"/>
      <c r="C753" s="2"/>
      <c r="D753" s="2"/>
      <c r="E753" s="2"/>
      <c r="F753" s="2"/>
      <c r="G753" s="2"/>
    </row>
    <row r="754" spans="2:7" ht="15.75" customHeight="1">
      <c r="B754" s="1"/>
      <c r="C754" s="2"/>
      <c r="D754" s="2"/>
      <c r="E754" s="2"/>
      <c r="F754" s="2"/>
      <c r="G754" s="2"/>
    </row>
    <row r="755" spans="2:7" ht="15.75" customHeight="1">
      <c r="B755" s="1"/>
      <c r="C755" s="2"/>
      <c r="D755" s="2"/>
      <c r="E755" s="2"/>
      <c r="F755" s="2"/>
      <c r="G755" s="2"/>
    </row>
    <row r="756" spans="2:7" ht="15.75" customHeight="1">
      <c r="B756" s="1"/>
      <c r="C756" s="2"/>
      <c r="D756" s="2"/>
      <c r="E756" s="2"/>
      <c r="F756" s="2"/>
      <c r="G756" s="2"/>
    </row>
    <row r="757" spans="2:7" ht="15.75" customHeight="1">
      <c r="B757" s="1"/>
      <c r="C757" s="2"/>
      <c r="D757" s="2"/>
      <c r="E757" s="2"/>
      <c r="F757" s="2"/>
      <c r="G757" s="2"/>
    </row>
    <row r="758" spans="2:7" ht="15.75" customHeight="1">
      <c r="B758" s="1"/>
      <c r="C758" s="2"/>
      <c r="D758" s="2"/>
      <c r="E758" s="2"/>
      <c r="F758" s="2"/>
      <c r="G758" s="2"/>
    </row>
    <row r="759" spans="2:7" ht="15.75" customHeight="1">
      <c r="B759" s="1"/>
      <c r="C759" s="2"/>
      <c r="D759" s="2"/>
      <c r="E759" s="2"/>
      <c r="F759" s="2"/>
      <c r="G759" s="2"/>
    </row>
    <row r="760" spans="2:7" ht="15.75" customHeight="1">
      <c r="B760" s="1"/>
      <c r="C760" s="2"/>
      <c r="D760" s="2"/>
      <c r="E760" s="2"/>
      <c r="F760" s="2"/>
      <c r="G760" s="2"/>
    </row>
    <row r="761" spans="2:7" ht="15.75" customHeight="1">
      <c r="B761" s="1"/>
      <c r="C761" s="2"/>
      <c r="D761" s="2"/>
      <c r="E761" s="2"/>
      <c r="F761" s="2"/>
      <c r="G761" s="2"/>
    </row>
    <row r="762" spans="2:7" ht="15.75" customHeight="1">
      <c r="B762" s="1"/>
      <c r="C762" s="2"/>
      <c r="D762" s="2"/>
      <c r="E762" s="2"/>
      <c r="F762" s="2"/>
      <c r="G762" s="2"/>
    </row>
    <row r="763" spans="2:7" ht="15.75" customHeight="1">
      <c r="B763" s="1"/>
      <c r="C763" s="2"/>
      <c r="D763" s="2"/>
      <c r="E763" s="2"/>
      <c r="F763" s="2"/>
      <c r="G763" s="2"/>
    </row>
    <row r="764" spans="2:7" ht="15.75" customHeight="1">
      <c r="B764" s="1"/>
      <c r="C764" s="2"/>
      <c r="D764" s="2"/>
      <c r="E764" s="2"/>
      <c r="F764" s="2"/>
      <c r="G764" s="2"/>
    </row>
    <row r="765" spans="2:7" ht="15.75" customHeight="1">
      <c r="B765" s="1"/>
      <c r="C765" s="2"/>
      <c r="D765" s="2"/>
      <c r="E765" s="2"/>
      <c r="F765" s="2"/>
      <c r="G765" s="2"/>
    </row>
    <row r="766" spans="2:7" ht="15.75" customHeight="1">
      <c r="B766" s="1"/>
      <c r="C766" s="2"/>
      <c r="D766" s="2"/>
      <c r="E766" s="2"/>
      <c r="F766" s="2"/>
      <c r="G766" s="2"/>
    </row>
    <row r="767" spans="2:7" ht="15.75" customHeight="1">
      <c r="B767" s="1"/>
      <c r="C767" s="2"/>
      <c r="D767" s="2"/>
      <c r="E767" s="2"/>
      <c r="F767" s="2"/>
      <c r="G767" s="2"/>
    </row>
    <row r="768" spans="2:7" ht="15.75" customHeight="1">
      <c r="B768" s="1"/>
      <c r="C768" s="2"/>
      <c r="D768" s="2"/>
      <c r="E768" s="2"/>
      <c r="F768" s="2"/>
      <c r="G768" s="2"/>
    </row>
    <row r="769" spans="2:7" ht="15.75" customHeight="1">
      <c r="B769" s="1"/>
      <c r="C769" s="2"/>
      <c r="D769" s="2"/>
      <c r="E769" s="2"/>
      <c r="F769" s="2"/>
      <c r="G769" s="2"/>
    </row>
    <row r="770" spans="2:7" ht="15.75" customHeight="1">
      <c r="B770" s="1"/>
      <c r="C770" s="2"/>
      <c r="D770" s="2"/>
      <c r="E770" s="2"/>
      <c r="F770" s="2"/>
      <c r="G770" s="2"/>
    </row>
    <row r="771" spans="2:7" ht="15.75" customHeight="1">
      <c r="B771" s="1"/>
      <c r="C771" s="2"/>
      <c r="D771" s="2"/>
      <c r="E771" s="2"/>
      <c r="F771" s="2"/>
      <c r="G771" s="2"/>
    </row>
    <row r="772" spans="2:7" ht="15.75" customHeight="1">
      <c r="B772" s="1"/>
      <c r="C772" s="2"/>
      <c r="D772" s="2"/>
      <c r="E772" s="2"/>
      <c r="F772" s="2"/>
      <c r="G772" s="2"/>
    </row>
    <row r="773" spans="2:7" ht="15.75" customHeight="1">
      <c r="B773" s="1"/>
      <c r="C773" s="2"/>
      <c r="D773" s="2"/>
      <c r="E773" s="2"/>
      <c r="F773" s="2"/>
      <c r="G773" s="2"/>
    </row>
    <row r="774" spans="2:7" ht="15.75" customHeight="1">
      <c r="B774" s="1"/>
      <c r="C774" s="2"/>
      <c r="D774" s="2"/>
      <c r="E774" s="2"/>
      <c r="F774" s="2"/>
      <c r="G774" s="2"/>
    </row>
    <row r="775" spans="2:7" ht="15.75" customHeight="1">
      <c r="B775" s="1"/>
      <c r="C775" s="2"/>
      <c r="D775" s="2"/>
      <c r="E775" s="2"/>
      <c r="F775" s="2"/>
      <c r="G775" s="2"/>
    </row>
    <row r="776" spans="2:7" ht="15.75" customHeight="1">
      <c r="B776" s="1"/>
      <c r="C776" s="2"/>
      <c r="D776" s="2"/>
      <c r="E776" s="2"/>
      <c r="F776" s="2"/>
      <c r="G776" s="2"/>
    </row>
    <row r="777" spans="2:7" ht="15.75" customHeight="1">
      <c r="B777" s="1"/>
      <c r="C777" s="2"/>
      <c r="D777" s="2"/>
      <c r="E777" s="2"/>
      <c r="F777" s="2"/>
      <c r="G777" s="2"/>
    </row>
    <row r="778" spans="2:7" ht="15.75" customHeight="1">
      <c r="B778" s="1"/>
      <c r="C778" s="2"/>
      <c r="D778" s="2"/>
      <c r="E778" s="2"/>
      <c r="F778" s="2"/>
      <c r="G778" s="2"/>
    </row>
    <row r="779" spans="2:7" ht="15.75" customHeight="1">
      <c r="B779" s="1"/>
      <c r="C779" s="2"/>
      <c r="D779" s="2"/>
      <c r="E779" s="2"/>
      <c r="F779" s="2"/>
      <c r="G779" s="2"/>
    </row>
    <row r="780" spans="2:7" ht="15.75" customHeight="1">
      <c r="B780" s="1"/>
      <c r="C780" s="2"/>
      <c r="D780" s="2"/>
      <c r="E780" s="2"/>
      <c r="F780" s="2"/>
      <c r="G780" s="2"/>
    </row>
    <row r="781" spans="2:7" ht="15.75" customHeight="1">
      <c r="B781" s="1"/>
      <c r="C781" s="2"/>
      <c r="D781" s="2"/>
      <c r="E781" s="2"/>
      <c r="F781" s="2"/>
      <c r="G781" s="2"/>
    </row>
    <row r="782" spans="2:7" ht="15.75" customHeight="1">
      <c r="B782" s="1"/>
      <c r="C782" s="2"/>
      <c r="D782" s="2"/>
      <c r="E782" s="2"/>
      <c r="F782" s="2"/>
      <c r="G782" s="2"/>
    </row>
    <row r="783" spans="2:7" ht="15.75" customHeight="1">
      <c r="B783" s="1"/>
      <c r="C783" s="2"/>
      <c r="D783" s="2"/>
      <c r="E783" s="2"/>
      <c r="F783" s="2"/>
      <c r="G783" s="2"/>
    </row>
    <row r="784" spans="2:7" ht="15.75" customHeight="1">
      <c r="B784" s="1"/>
      <c r="C784" s="2"/>
      <c r="D784" s="2"/>
      <c r="E784" s="2"/>
      <c r="F784" s="2"/>
      <c r="G784" s="2"/>
    </row>
    <row r="785" spans="2:7" ht="15.75" customHeight="1">
      <c r="B785" s="1"/>
      <c r="C785" s="2"/>
      <c r="D785" s="2"/>
      <c r="E785" s="2"/>
      <c r="F785" s="2"/>
      <c r="G785" s="2"/>
    </row>
    <row r="786" spans="2:7" ht="15.75" customHeight="1">
      <c r="B786" s="1"/>
      <c r="C786" s="2"/>
      <c r="D786" s="2"/>
      <c r="E786" s="2"/>
      <c r="F786" s="2"/>
      <c r="G786" s="2"/>
    </row>
    <row r="787" spans="2:7" ht="15.75" customHeight="1">
      <c r="B787" s="1"/>
      <c r="C787" s="2"/>
      <c r="D787" s="2"/>
      <c r="E787" s="2"/>
      <c r="F787" s="2"/>
      <c r="G787" s="2"/>
    </row>
    <row r="788" spans="2:7" ht="15.75" customHeight="1">
      <c r="B788" s="1"/>
      <c r="C788" s="2"/>
      <c r="D788" s="2"/>
      <c r="E788" s="2"/>
      <c r="F788" s="2"/>
      <c r="G788" s="2"/>
    </row>
    <row r="789" spans="2:7" ht="15.75" customHeight="1">
      <c r="B789" s="1"/>
      <c r="C789" s="2"/>
      <c r="D789" s="2"/>
      <c r="E789" s="2"/>
      <c r="F789" s="2"/>
      <c r="G789" s="2"/>
    </row>
    <row r="790" spans="2:7" ht="15.75" customHeight="1">
      <c r="B790" s="1"/>
      <c r="C790" s="2"/>
      <c r="D790" s="2"/>
      <c r="E790" s="2"/>
      <c r="F790" s="2"/>
      <c r="G790" s="2"/>
    </row>
    <row r="791" spans="2:7" ht="15.75" customHeight="1">
      <c r="B791" s="1"/>
      <c r="C791" s="2"/>
      <c r="D791" s="2"/>
      <c r="E791" s="2"/>
      <c r="F791" s="2"/>
      <c r="G791" s="2"/>
    </row>
    <row r="792" spans="2:7" ht="15.75" customHeight="1">
      <c r="B792" s="1"/>
      <c r="C792" s="2"/>
      <c r="D792" s="2"/>
      <c r="E792" s="2"/>
      <c r="F792" s="2"/>
      <c r="G792" s="2"/>
    </row>
    <row r="793" spans="2:7" ht="15.75" customHeight="1">
      <c r="B793" s="1"/>
      <c r="C793" s="2"/>
      <c r="D793" s="2"/>
      <c r="E793" s="2"/>
      <c r="F793" s="2"/>
      <c r="G793" s="2"/>
    </row>
    <row r="794" spans="2:7" ht="15.75" customHeight="1">
      <c r="B794" s="1"/>
      <c r="C794" s="2"/>
      <c r="D794" s="2"/>
      <c r="E794" s="2"/>
      <c r="F794" s="2"/>
      <c r="G794" s="2"/>
    </row>
    <row r="795" spans="2:7" ht="15.75" customHeight="1">
      <c r="B795" s="1"/>
      <c r="C795" s="2"/>
      <c r="D795" s="2"/>
      <c r="E795" s="2"/>
      <c r="F795" s="2"/>
      <c r="G795" s="2"/>
    </row>
    <row r="796" spans="2:7" ht="15.75" customHeight="1">
      <c r="B796" s="1"/>
      <c r="C796" s="2"/>
      <c r="D796" s="2"/>
      <c r="E796" s="2"/>
      <c r="F796" s="2"/>
      <c r="G796" s="2"/>
    </row>
    <row r="797" spans="2:7" ht="15.75" customHeight="1">
      <c r="B797" s="1"/>
      <c r="C797" s="2"/>
      <c r="D797" s="2"/>
      <c r="E797" s="2"/>
      <c r="F797" s="2"/>
      <c r="G797" s="2"/>
    </row>
    <row r="798" spans="2:7" ht="15.75" customHeight="1">
      <c r="B798" s="1"/>
      <c r="C798" s="2"/>
      <c r="D798" s="2"/>
      <c r="E798" s="2"/>
      <c r="F798" s="2"/>
      <c r="G798" s="2"/>
    </row>
    <row r="799" spans="2:7" ht="15.75" customHeight="1">
      <c r="B799" s="1"/>
      <c r="C799" s="2"/>
      <c r="D799" s="2"/>
      <c r="E799" s="2"/>
      <c r="F799" s="2"/>
      <c r="G799" s="2"/>
    </row>
    <row r="800" spans="2:7" ht="15.75" customHeight="1">
      <c r="B800" s="1"/>
      <c r="C800" s="2"/>
      <c r="D800" s="2"/>
      <c r="E800" s="2"/>
      <c r="F800" s="2"/>
      <c r="G800" s="2"/>
    </row>
    <row r="801" spans="2:7" ht="15.75" customHeight="1">
      <c r="B801" s="1"/>
      <c r="C801" s="2"/>
      <c r="D801" s="2"/>
      <c r="E801" s="2"/>
      <c r="F801" s="2"/>
      <c r="G801" s="2"/>
    </row>
    <row r="802" spans="2:7" ht="15.75" customHeight="1">
      <c r="B802" s="1"/>
      <c r="C802" s="2"/>
      <c r="D802" s="2"/>
      <c r="E802" s="2"/>
      <c r="F802" s="2"/>
      <c r="G802" s="2"/>
    </row>
    <row r="803" spans="2:7" ht="15.75" customHeight="1">
      <c r="B803" s="1"/>
      <c r="C803" s="2"/>
      <c r="D803" s="2"/>
      <c r="E803" s="2"/>
      <c r="F803" s="2"/>
      <c r="G803" s="2"/>
    </row>
    <row r="804" spans="2:7" ht="15.75" customHeight="1">
      <c r="B804" s="1"/>
      <c r="C804" s="2"/>
      <c r="D804" s="2"/>
      <c r="E804" s="2"/>
      <c r="F804" s="2"/>
      <c r="G804" s="2"/>
    </row>
    <row r="805" spans="2:7" ht="15.75" customHeight="1">
      <c r="B805" s="1"/>
      <c r="C805" s="2"/>
      <c r="D805" s="2"/>
      <c r="E805" s="2"/>
      <c r="F805" s="2"/>
      <c r="G805" s="2"/>
    </row>
    <row r="806" spans="2:7" ht="15.75" customHeight="1">
      <c r="B806" s="1"/>
      <c r="C806" s="2"/>
      <c r="D806" s="2"/>
      <c r="E806" s="2"/>
      <c r="F806" s="2"/>
      <c r="G806" s="2"/>
    </row>
    <row r="807" spans="2:7" ht="15.75" customHeight="1">
      <c r="B807" s="1"/>
      <c r="C807" s="2"/>
      <c r="D807" s="2"/>
      <c r="E807" s="2"/>
      <c r="F807" s="2"/>
      <c r="G807" s="2"/>
    </row>
    <row r="808" spans="2:7" ht="15.75" customHeight="1">
      <c r="B808" s="1"/>
      <c r="C808" s="2"/>
      <c r="D808" s="2"/>
      <c r="E808" s="2"/>
      <c r="F808" s="2"/>
      <c r="G808" s="2"/>
    </row>
    <row r="809" spans="2:7" ht="15.75" customHeight="1">
      <c r="B809" s="1"/>
      <c r="C809" s="2"/>
      <c r="D809" s="2"/>
      <c r="E809" s="2"/>
      <c r="F809" s="2"/>
      <c r="G809" s="2"/>
    </row>
    <row r="810" spans="2:7" ht="15.75" customHeight="1">
      <c r="B810" s="1"/>
      <c r="C810" s="2"/>
      <c r="D810" s="2"/>
      <c r="E810" s="2"/>
      <c r="F810" s="2"/>
      <c r="G810" s="2"/>
    </row>
    <row r="811" spans="2:7" ht="15.75" customHeight="1">
      <c r="B811" s="1"/>
      <c r="C811" s="2"/>
      <c r="D811" s="2"/>
      <c r="E811" s="2"/>
      <c r="F811" s="2"/>
      <c r="G811" s="2"/>
    </row>
    <row r="812" spans="2:7" ht="15.75" customHeight="1">
      <c r="B812" s="1"/>
      <c r="C812" s="2"/>
      <c r="D812" s="2"/>
      <c r="E812" s="2"/>
      <c r="F812" s="2"/>
      <c r="G812" s="2"/>
    </row>
    <row r="813" spans="2:7" ht="15.75" customHeight="1">
      <c r="B813" s="1"/>
      <c r="C813" s="2"/>
      <c r="D813" s="2"/>
      <c r="E813" s="2"/>
      <c r="F813" s="2"/>
      <c r="G813" s="2"/>
    </row>
    <row r="814" spans="2:7" ht="15.75" customHeight="1">
      <c r="B814" s="1"/>
      <c r="C814" s="2"/>
      <c r="D814" s="2"/>
      <c r="E814" s="2"/>
      <c r="F814" s="2"/>
      <c r="G814" s="2"/>
    </row>
    <row r="815" spans="2:7" ht="15.75" customHeight="1">
      <c r="B815" s="1"/>
      <c r="C815" s="2"/>
      <c r="D815" s="2"/>
      <c r="E815" s="2"/>
      <c r="F815" s="2"/>
      <c r="G815" s="2"/>
    </row>
    <row r="816" spans="2:7" ht="15.75" customHeight="1">
      <c r="B816" s="1"/>
      <c r="C816" s="2"/>
      <c r="D816" s="2"/>
      <c r="E816" s="2"/>
      <c r="F816" s="2"/>
      <c r="G816" s="2"/>
    </row>
    <row r="817" spans="2:7" ht="15.75" customHeight="1">
      <c r="B817" s="1"/>
      <c r="C817" s="2"/>
      <c r="D817" s="2"/>
      <c r="E817" s="2"/>
      <c r="F817" s="2"/>
      <c r="G817" s="2"/>
    </row>
    <row r="818" spans="2:7" ht="15.75" customHeight="1">
      <c r="B818" s="1"/>
      <c r="C818" s="2"/>
      <c r="D818" s="2"/>
      <c r="E818" s="2"/>
      <c r="F818" s="2"/>
      <c r="G818" s="2"/>
    </row>
    <row r="819" spans="2:7" ht="15.75" customHeight="1">
      <c r="B819" s="1"/>
      <c r="C819" s="2"/>
      <c r="D819" s="2"/>
      <c r="E819" s="2"/>
      <c r="F819" s="2"/>
      <c r="G819" s="2"/>
    </row>
    <row r="820" spans="2:7" ht="15.75" customHeight="1">
      <c r="B820" s="1"/>
      <c r="C820" s="2"/>
      <c r="D820" s="2"/>
      <c r="E820" s="2"/>
      <c r="F820" s="2"/>
      <c r="G820" s="2"/>
    </row>
    <row r="821" spans="2:7" ht="15.75" customHeight="1">
      <c r="B821" s="1"/>
      <c r="C821" s="2"/>
      <c r="D821" s="2"/>
      <c r="E821" s="2"/>
      <c r="F821" s="2"/>
      <c r="G821" s="2"/>
    </row>
    <row r="822" spans="2:7" ht="15.75" customHeight="1">
      <c r="B822" s="1"/>
      <c r="C822" s="2"/>
      <c r="D822" s="2"/>
      <c r="E822" s="2"/>
      <c r="F822" s="2"/>
      <c r="G822" s="2"/>
    </row>
    <row r="823" spans="2:7" ht="15.75" customHeight="1">
      <c r="B823" s="1"/>
      <c r="C823" s="2"/>
      <c r="D823" s="2"/>
      <c r="E823" s="2"/>
      <c r="F823" s="2"/>
      <c r="G823" s="2"/>
    </row>
    <row r="824" spans="2:7" ht="15.75" customHeight="1">
      <c r="B824" s="1"/>
      <c r="C824" s="2"/>
      <c r="D824" s="2"/>
      <c r="E824" s="2"/>
      <c r="F824" s="2"/>
      <c r="G824" s="2"/>
    </row>
    <row r="825" spans="2:7" ht="15.75" customHeight="1">
      <c r="B825" s="1"/>
      <c r="C825" s="2"/>
      <c r="D825" s="2"/>
      <c r="E825" s="2"/>
      <c r="F825" s="2"/>
      <c r="G825" s="2"/>
    </row>
    <row r="826" spans="2:7" ht="15.75" customHeight="1">
      <c r="B826" s="1"/>
      <c r="C826" s="2"/>
      <c r="D826" s="2"/>
      <c r="E826" s="2"/>
      <c r="F826" s="2"/>
      <c r="G826" s="2"/>
    </row>
    <row r="827" spans="2:7" ht="15.75" customHeight="1">
      <c r="B827" s="1"/>
      <c r="C827" s="2"/>
      <c r="D827" s="2"/>
      <c r="E827" s="2"/>
      <c r="F827" s="2"/>
      <c r="G827" s="2"/>
    </row>
    <row r="828" spans="2:7" ht="15.75" customHeight="1">
      <c r="B828" s="1"/>
      <c r="C828" s="2"/>
      <c r="D828" s="2"/>
      <c r="E828" s="2"/>
      <c r="F828" s="2"/>
      <c r="G828" s="2"/>
    </row>
    <row r="829" spans="2:7" ht="15.75" customHeight="1">
      <c r="B829" s="1"/>
      <c r="C829" s="2"/>
      <c r="D829" s="2"/>
      <c r="E829" s="2"/>
      <c r="F829" s="2"/>
      <c r="G829" s="2"/>
    </row>
    <row r="830" spans="2:7" ht="15.75" customHeight="1">
      <c r="B830" s="1"/>
      <c r="C830" s="2"/>
      <c r="D830" s="2"/>
      <c r="E830" s="2"/>
      <c r="F830" s="2"/>
      <c r="G830" s="2"/>
    </row>
    <row r="831" spans="2:7" ht="15.75" customHeight="1">
      <c r="B831" s="1"/>
      <c r="C831" s="2"/>
      <c r="D831" s="2"/>
      <c r="E831" s="2"/>
      <c r="F831" s="2"/>
      <c r="G831" s="2"/>
    </row>
    <row r="832" spans="2:7" ht="15.75" customHeight="1">
      <c r="B832" s="1"/>
      <c r="C832" s="2"/>
      <c r="D832" s="2"/>
      <c r="E832" s="2"/>
      <c r="F832" s="2"/>
      <c r="G832" s="2"/>
    </row>
    <row r="833" spans="2:7" ht="15.75" customHeight="1">
      <c r="B833" s="1"/>
      <c r="C833" s="2"/>
      <c r="D833" s="2"/>
      <c r="E833" s="2"/>
      <c r="F833" s="2"/>
      <c r="G833" s="2"/>
    </row>
    <row r="834" spans="2:7" ht="15.75" customHeight="1">
      <c r="B834" s="1"/>
      <c r="C834" s="2"/>
      <c r="D834" s="2"/>
      <c r="E834" s="2"/>
      <c r="F834" s="2"/>
      <c r="G834" s="2"/>
    </row>
    <row r="835" spans="2:7" ht="15.75" customHeight="1">
      <c r="B835" s="1"/>
      <c r="C835" s="2"/>
      <c r="D835" s="2"/>
      <c r="E835" s="2"/>
      <c r="F835" s="2"/>
      <c r="G835" s="2"/>
    </row>
    <row r="836" spans="2:7" ht="15.75" customHeight="1">
      <c r="B836" s="1"/>
      <c r="C836" s="2"/>
      <c r="D836" s="2"/>
      <c r="E836" s="2"/>
      <c r="F836" s="2"/>
      <c r="G836" s="2"/>
    </row>
    <row r="837" spans="2:7" ht="15.75" customHeight="1">
      <c r="B837" s="1"/>
      <c r="C837" s="2"/>
      <c r="D837" s="2"/>
      <c r="E837" s="2"/>
      <c r="F837" s="2"/>
      <c r="G837" s="2"/>
    </row>
    <row r="838" spans="2:7" ht="15.75" customHeight="1">
      <c r="B838" s="1"/>
      <c r="C838" s="2"/>
      <c r="D838" s="2"/>
      <c r="E838" s="2"/>
      <c r="F838" s="2"/>
      <c r="G838" s="2"/>
    </row>
    <row r="839" spans="2:7" ht="15.75" customHeight="1">
      <c r="B839" s="1"/>
      <c r="C839" s="2"/>
      <c r="D839" s="2"/>
      <c r="E839" s="2"/>
      <c r="F839" s="2"/>
      <c r="G839" s="2"/>
    </row>
    <row r="840" spans="2:7" ht="15.75" customHeight="1">
      <c r="B840" s="1"/>
      <c r="C840" s="2"/>
      <c r="D840" s="2"/>
      <c r="E840" s="2"/>
      <c r="F840" s="2"/>
      <c r="G840" s="2"/>
    </row>
    <row r="841" spans="2:7" ht="15.75" customHeight="1">
      <c r="B841" s="1"/>
      <c r="C841" s="2"/>
      <c r="D841" s="2"/>
      <c r="E841" s="2"/>
      <c r="F841" s="2"/>
      <c r="G841" s="2"/>
    </row>
    <row r="842" spans="2:7" ht="15.75" customHeight="1">
      <c r="B842" s="1"/>
      <c r="C842" s="2"/>
      <c r="D842" s="2"/>
      <c r="E842" s="2"/>
      <c r="F842" s="2"/>
      <c r="G842" s="2"/>
    </row>
    <row r="843" spans="2:7" ht="15.75" customHeight="1">
      <c r="B843" s="1"/>
      <c r="C843" s="2"/>
      <c r="D843" s="2"/>
      <c r="E843" s="2"/>
      <c r="F843" s="2"/>
      <c r="G843" s="2"/>
    </row>
    <row r="844" spans="2:7" ht="15.75" customHeight="1">
      <c r="B844" s="1"/>
      <c r="C844" s="2"/>
      <c r="D844" s="2"/>
      <c r="E844" s="2"/>
      <c r="F844" s="2"/>
      <c r="G844" s="2"/>
    </row>
    <row r="845" spans="2:7" ht="15.75" customHeight="1">
      <c r="B845" s="1"/>
      <c r="C845" s="2"/>
      <c r="D845" s="2"/>
      <c r="E845" s="2"/>
      <c r="F845" s="2"/>
      <c r="G845" s="2"/>
    </row>
    <row r="846" spans="2:7" ht="15.75" customHeight="1">
      <c r="B846" s="1"/>
      <c r="C846" s="2"/>
      <c r="D846" s="2"/>
      <c r="E846" s="2"/>
      <c r="F846" s="2"/>
      <c r="G846" s="2"/>
    </row>
    <row r="847" spans="2:7" ht="15.75" customHeight="1">
      <c r="B847" s="1"/>
      <c r="C847" s="2"/>
      <c r="D847" s="2"/>
      <c r="E847" s="2"/>
      <c r="F847" s="2"/>
      <c r="G847" s="2"/>
    </row>
    <row r="848" spans="2:7" ht="15.75" customHeight="1">
      <c r="B848" s="1"/>
      <c r="C848" s="2"/>
      <c r="D848" s="2"/>
      <c r="E848" s="2"/>
      <c r="F848" s="2"/>
      <c r="G848" s="2"/>
    </row>
    <row r="849" spans="2:7" ht="15.75" customHeight="1">
      <c r="B849" s="1"/>
      <c r="C849" s="2"/>
      <c r="D849" s="2"/>
      <c r="E849" s="2"/>
      <c r="F849" s="2"/>
      <c r="G849" s="2"/>
    </row>
    <row r="850" spans="2:7" ht="15.75" customHeight="1">
      <c r="B850" s="1"/>
      <c r="C850" s="2"/>
      <c r="D850" s="2"/>
      <c r="E850" s="2"/>
      <c r="F850" s="2"/>
      <c r="G850" s="2"/>
    </row>
    <row r="851" spans="2:7" ht="15.75" customHeight="1">
      <c r="B851" s="1"/>
      <c r="C851" s="2"/>
      <c r="D851" s="2"/>
      <c r="E851" s="2"/>
      <c r="F851" s="2"/>
      <c r="G851" s="2"/>
    </row>
    <row r="852" spans="2:7" ht="15.75" customHeight="1">
      <c r="B852" s="1"/>
      <c r="C852" s="2"/>
      <c r="D852" s="2"/>
      <c r="E852" s="2"/>
      <c r="F852" s="2"/>
      <c r="G852" s="2"/>
    </row>
    <row r="853" spans="2:7" ht="15.75" customHeight="1">
      <c r="B853" s="1"/>
      <c r="C853" s="2"/>
      <c r="D853" s="2"/>
      <c r="E853" s="2"/>
      <c r="F853" s="2"/>
      <c r="G853" s="2"/>
    </row>
    <row r="854" spans="2:7" ht="15.75" customHeight="1">
      <c r="B854" s="1"/>
      <c r="C854" s="2"/>
      <c r="D854" s="2"/>
      <c r="E854" s="2"/>
      <c r="F854" s="2"/>
      <c r="G854" s="2"/>
    </row>
    <row r="855" spans="2:7" ht="15.75" customHeight="1">
      <c r="B855" s="1"/>
      <c r="C855" s="2"/>
      <c r="D855" s="2"/>
      <c r="E855" s="2"/>
      <c r="F855" s="2"/>
      <c r="G855" s="2"/>
    </row>
    <row r="856" spans="2:7" ht="15.75" customHeight="1">
      <c r="B856" s="1"/>
      <c r="C856" s="2"/>
      <c r="D856" s="2"/>
      <c r="E856" s="2"/>
      <c r="F856" s="2"/>
      <c r="G856" s="2"/>
    </row>
    <row r="857" spans="2:7" ht="15.75" customHeight="1">
      <c r="B857" s="1"/>
      <c r="C857" s="2"/>
      <c r="D857" s="2"/>
      <c r="E857" s="2"/>
      <c r="F857" s="2"/>
      <c r="G857" s="2"/>
    </row>
    <row r="858" spans="2:7" ht="15.75" customHeight="1">
      <c r="B858" s="1"/>
      <c r="C858" s="2"/>
      <c r="D858" s="2"/>
      <c r="E858" s="2"/>
      <c r="F858" s="2"/>
      <c r="G858" s="2"/>
    </row>
    <row r="859" spans="2:7" ht="15.75" customHeight="1">
      <c r="B859" s="1"/>
      <c r="C859" s="2"/>
      <c r="D859" s="2"/>
      <c r="E859" s="2"/>
      <c r="F859" s="2"/>
      <c r="G859" s="2"/>
    </row>
    <row r="860" spans="2:7" ht="15.75" customHeight="1">
      <c r="B860" s="1"/>
      <c r="C860" s="2"/>
      <c r="D860" s="2"/>
      <c r="E860" s="2"/>
      <c r="F860" s="2"/>
      <c r="G860" s="2"/>
    </row>
    <row r="861" spans="2:7" ht="15.75" customHeight="1">
      <c r="B861" s="1"/>
      <c r="C861" s="2"/>
      <c r="D861" s="2"/>
      <c r="E861" s="2"/>
      <c r="F861" s="2"/>
      <c r="G861" s="2"/>
    </row>
    <row r="862" spans="2:7" ht="15.75" customHeight="1">
      <c r="B862" s="1"/>
      <c r="C862" s="2"/>
      <c r="D862" s="2"/>
      <c r="E862" s="2"/>
      <c r="F862" s="2"/>
      <c r="G862" s="2"/>
    </row>
    <row r="863" spans="2:7" ht="15.75" customHeight="1">
      <c r="B863" s="1"/>
      <c r="C863" s="2"/>
      <c r="D863" s="2"/>
      <c r="E863" s="2"/>
      <c r="F863" s="2"/>
      <c r="G863" s="2"/>
    </row>
    <row r="864" spans="2:7" ht="15.75" customHeight="1">
      <c r="B864" s="1"/>
      <c r="C864" s="2"/>
      <c r="D864" s="2"/>
      <c r="E864" s="2"/>
      <c r="F864" s="2"/>
      <c r="G864" s="2"/>
    </row>
    <row r="865" spans="2:7" ht="15.75" customHeight="1">
      <c r="B865" s="1"/>
      <c r="C865" s="2"/>
      <c r="D865" s="2"/>
      <c r="E865" s="2"/>
      <c r="F865" s="2"/>
      <c r="G865" s="2"/>
    </row>
    <row r="866" spans="2:7" ht="15.75" customHeight="1">
      <c r="B866" s="1"/>
      <c r="C866" s="2"/>
      <c r="D866" s="2"/>
      <c r="E866" s="2"/>
      <c r="F866" s="2"/>
      <c r="G866" s="2"/>
    </row>
    <row r="867" spans="2:7" ht="15.75" customHeight="1">
      <c r="B867" s="1"/>
      <c r="C867" s="2"/>
      <c r="D867" s="2"/>
      <c r="E867" s="2"/>
      <c r="F867" s="2"/>
      <c r="G867" s="2"/>
    </row>
    <row r="868" spans="2:7" ht="15.75" customHeight="1">
      <c r="B868" s="1"/>
      <c r="C868" s="2"/>
      <c r="D868" s="2"/>
      <c r="E868" s="2"/>
      <c r="F868" s="2"/>
      <c r="G868" s="2"/>
    </row>
    <row r="869" spans="2:7" ht="15.75" customHeight="1">
      <c r="B869" s="1"/>
      <c r="C869" s="2"/>
      <c r="D869" s="2"/>
      <c r="E869" s="2"/>
      <c r="F869" s="2"/>
      <c r="G869" s="2"/>
    </row>
    <row r="870" spans="2:7" ht="15.75" customHeight="1">
      <c r="B870" s="1"/>
      <c r="C870" s="2"/>
      <c r="D870" s="2"/>
      <c r="E870" s="2"/>
      <c r="F870" s="2"/>
      <c r="G870" s="2"/>
    </row>
    <row r="871" spans="2:7" ht="15.75" customHeight="1">
      <c r="B871" s="1"/>
      <c r="C871" s="2"/>
      <c r="D871" s="2"/>
      <c r="E871" s="2"/>
      <c r="F871" s="2"/>
      <c r="G871" s="2"/>
    </row>
    <row r="872" spans="2:7" ht="15.75" customHeight="1">
      <c r="B872" s="1"/>
      <c r="C872" s="2"/>
      <c r="D872" s="2"/>
      <c r="E872" s="2"/>
      <c r="F872" s="2"/>
      <c r="G872" s="2"/>
    </row>
    <row r="873" spans="2:7" ht="15.75" customHeight="1">
      <c r="B873" s="1"/>
      <c r="C873" s="2"/>
      <c r="D873" s="2"/>
      <c r="E873" s="2"/>
      <c r="F873" s="2"/>
      <c r="G873" s="2"/>
    </row>
    <row r="874" spans="2:7" ht="15.75" customHeight="1">
      <c r="B874" s="1"/>
      <c r="C874" s="2"/>
      <c r="D874" s="2"/>
      <c r="E874" s="2"/>
      <c r="F874" s="2"/>
      <c r="G874" s="2"/>
    </row>
    <row r="875" spans="2:7" ht="15.75" customHeight="1">
      <c r="B875" s="1"/>
      <c r="C875" s="2"/>
      <c r="D875" s="2"/>
      <c r="E875" s="2"/>
      <c r="F875" s="2"/>
      <c r="G875" s="2"/>
    </row>
    <row r="876" spans="2:7" ht="15.75" customHeight="1">
      <c r="B876" s="1"/>
      <c r="C876" s="2"/>
      <c r="D876" s="2"/>
      <c r="E876" s="2"/>
      <c r="F876" s="2"/>
      <c r="G876" s="2"/>
    </row>
    <row r="877" spans="2:7" ht="15.75" customHeight="1">
      <c r="B877" s="1"/>
      <c r="C877" s="2"/>
      <c r="D877" s="2"/>
      <c r="E877" s="2"/>
      <c r="F877" s="2"/>
      <c r="G877" s="2"/>
    </row>
    <row r="878" spans="2:7" ht="15.75" customHeight="1">
      <c r="B878" s="1"/>
      <c r="C878" s="2"/>
      <c r="D878" s="2"/>
      <c r="E878" s="2"/>
      <c r="F878" s="2"/>
      <c r="G878" s="2"/>
    </row>
    <row r="879" spans="2:7" ht="15.75" customHeight="1">
      <c r="B879" s="1"/>
      <c r="C879" s="2"/>
      <c r="D879" s="2"/>
      <c r="E879" s="2"/>
      <c r="F879" s="2"/>
      <c r="G879" s="2"/>
    </row>
    <row r="880" spans="2:7" ht="15.75" customHeight="1">
      <c r="B880" s="1"/>
      <c r="C880" s="2"/>
      <c r="D880" s="2"/>
      <c r="E880" s="2"/>
      <c r="F880" s="2"/>
      <c r="G880" s="2"/>
    </row>
    <row r="881" spans="2:7" ht="15.75" customHeight="1">
      <c r="B881" s="1"/>
      <c r="C881" s="2"/>
      <c r="D881" s="2"/>
      <c r="E881" s="2"/>
      <c r="F881" s="2"/>
      <c r="G881" s="2"/>
    </row>
    <row r="882" spans="2:7" ht="15.75" customHeight="1">
      <c r="B882" s="1"/>
      <c r="C882" s="2"/>
      <c r="D882" s="2"/>
      <c r="E882" s="2"/>
      <c r="F882" s="2"/>
      <c r="G882" s="2"/>
    </row>
    <row r="883" spans="2:7" ht="15.75" customHeight="1">
      <c r="B883" s="1"/>
      <c r="C883" s="2"/>
      <c r="D883" s="2"/>
      <c r="E883" s="2"/>
      <c r="F883" s="2"/>
      <c r="G883" s="2"/>
    </row>
    <row r="884" spans="2:7" ht="15.75" customHeight="1">
      <c r="B884" s="1"/>
      <c r="C884" s="2"/>
      <c r="D884" s="2"/>
      <c r="E884" s="2"/>
      <c r="F884" s="2"/>
      <c r="G884" s="2"/>
    </row>
    <row r="885" spans="2:7" ht="15.75" customHeight="1">
      <c r="B885" s="1"/>
      <c r="C885" s="2"/>
      <c r="D885" s="2"/>
      <c r="E885" s="2"/>
      <c r="F885" s="2"/>
      <c r="G885" s="2"/>
    </row>
    <row r="886" spans="2:7" ht="15.75" customHeight="1">
      <c r="B886" s="1"/>
      <c r="C886" s="2"/>
      <c r="D886" s="2"/>
      <c r="E886" s="2"/>
      <c r="F886" s="2"/>
      <c r="G886" s="2"/>
    </row>
    <row r="887" spans="2:7" ht="15.75" customHeight="1">
      <c r="B887" s="1"/>
      <c r="C887" s="2"/>
      <c r="D887" s="2"/>
      <c r="E887" s="2"/>
      <c r="F887" s="2"/>
      <c r="G887" s="2"/>
    </row>
    <row r="888" spans="2:7" ht="15.75" customHeight="1">
      <c r="B888" s="1"/>
      <c r="C888" s="2"/>
      <c r="D888" s="2"/>
      <c r="E888" s="2"/>
      <c r="F888" s="2"/>
      <c r="G888" s="2"/>
    </row>
    <row r="889" spans="2:7" ht="15.75" customHeight="1">
      <c r="B889" s="1"/>
      <c r="C889" s="2"/>
      <c r="D889" s="2"/>
      <c r="E889" s="2"/>
      <c r="F889" s="2"/>
      <c r="G889" s="2"/>
    </row>
    <row r="890" spans="2:7" ht="15.75" customHeight="1">
      <c r="B890" s="1"/>
      <c r="C890" s="2"/>
      <c r="D890" s="2"/>
      <c r="E890" s="2"/>
      <c r="F890" s="2"/>
      <c r="G890" s="2"/>
    </row>
    <row r="891" spans="2:7" ht="15.75" customHeight="1">
      <c r="B891" s="1"/>
      <c r="C891" s="2"/>
      <c r="D891" s="2"/>
      <c r="E891" s="2"/>
      <c r="F891" s="2"/>
      <c r="G891" s="2"/>
    </row>
    <row r="892" spans="2:7" ht="15.75" customHeight="1">
      <c r="B892" s="1"/>
      <c r="C892" s="2"/>
      <c r="D892" s="2"/>
      <c r="E892" s="2"/>
      <c r="F892" s="2"/>
      <c r="G892" s="2"/>
    </row>
    <row r="893" spans="2:7" ht="15.75" customHeight="1">
      <c r="B893" s="1"/>
      <c r="C893" s="2"/>
      <c r="D893" s="2"/>
      <c r="E893" s="2"/>
      <c r="F893" s="2"/>
      <c r="G893" s="2"/>
    </row>
    <row r="894" spans="2:7" ht="15.75" customHeight="1">
      <c r="B894" s="1"/>
      <c r="C894" s="2"/>
      <c r="D894" s="2"/>
      <c r="E894" s="2"/>
      <c r="F894" s="2"/>
      <c r="G894" s="2"/>
    </row>
    <row r="895" spans="2:7" ht="15.75" customHeight="1">
      <c r="B895" s="1"/>
      <c r="C895" s="2"/>
      <c r="D895" s="2"/>
      <c r="E895" s="2"/>
      <c r="F895" s="2"/>
      <c r="G895" s="2"/>
    </row>
    <row r="896" spans="2:7" ht="15.75" customHeight="1">
      <c r="B896" s="1"/>
      <c r="C896" s="2"/>
      <c r="D896" s="2"/>
      <c r="E896" s="2"/>
      <c r="F896" s="2"/>
      <c r="G896" s="2"/>
    </row>
    <row r="897" spans="2:7" ht="15.75" customHeight="1">
      <c r="B897" s="1"/>
      <c r="C897" s="2"/>
      <c r="D897" s="2"/>
      <c r="E897" s="2"/>
      <c r="F897" s="2"/>
      <c r="G897" s="2"/>
    </row>
    <row r="898" spans="2:7" ht="15.75" customHeight="1">
      <c r="B898" s="1"/>
      <c r="C898" s="2"/>
      <c r="D898" s="2"/>
      <c r="E898" s="2"/>
      <c r="F898" s="2"/>
      <c r="G898" s="2"/>
    </row>
    <row r="899" spans="2:7" ht="15.75" customHeight="1">
      <c r="B899" s="1"/>
      <c r="C899" s="2"/>
      <c r="D899" s="2"/>
      <c r="E899" s="2"/>
      <c r="F899" s="2"/>
      <c r="G899" s="2"/>
    </row>
    <row r="900" spans="2:7" ht="15.75" customHeight="1">
      <c r="B900" s="1"/>
      <c r="C900" s="2"/>
      <c r="D900" s="2"/>
      <c r="E900" s="2"/>
      <c r="F900" s="2"/>
      <c r="G900" s="2"/>
    </row>
    <row r="901" spans="2:7" ht="15.75" customHeight="1">
      <c r="B901" s="1"/>
      <c r="C901" s="2"/>
      <c r="D901" s="2"/>
      <c r="E901" s="2"/>
      <c r="F901" s="2"/>
      <c r="G901" s="2"/>
    </row>
    <row r="902" spans="2:7" ht="15.75" customHeight="1">
      <c r="B902" s="1"/>
      <c r="C902" s="2"/>
      <c r="D902" s="2"/>
      <c r="E902" s="2"/>
      <c r="F902" s="2"/>
      <c r="G902" s="2"/>
    </row>
    <row r="903" spans="2:7" ht="15.75" customHeight="1">
      <c r="B903" s="1"/>
      <c r="C903" s="2"/>
      <c r="D903" s="2"/>
      <c r="E903" s="2"/>
      <c r="F903" s="2"/>
      <c r="G903" s="2"/>
    </row>
    <row r="904" spans="2:7" ht="15.75" customHeight="1">
      <c r="B904" s="1"/>
      <c r="C904" s="2"/>
      <c r="D904" s="2"/>
      <c r="E904" s="2"/>
      <c r="F904" s="2"/>
      <c r="G904" s="2"/>
    </row>
    <row r="905" spans="2:7" ht="15.75" customHeight="1">
      <c r="B905" s="1"/>
      <c r="C905" s="2"/>
      <c r="D905" s="2"/>
      <c r="E905" s="2"/>
      <c r="F905" s="2"/>
      <c r="G905" s="2"/>
    </row>
    <row r="906" spans="2:7" ht="15.75" customHeight="1">
      <c r="B906" s="1"/>
      <c r="C906" s="2"/>
      <c r="D906" s="2"/>
      <c r="E906" s="2"/>
      <c r="F906" s="2"/>
      <c r="G906" s="2"/>
    </row>
    <row r="907" spans="2:7" ht="15.75" customHeight="1">
      <c r="B907" s="1"/>
      <c r="C907" s="2"/>
      <c r="D907" s="2"/>
      <c r="E907" s="2"/>
      <c r="F907" s="2"/>
      <c r="G907" s="2"/>
    </row>
    <row r="908" spans="2:7" ht="15.75" customHeight="1">
      <c r="B908" s="1"/>
      <c r="C908" s="2"/>
      <c r="D908" s="2"/>
      <c r="E908" s="2"/>
      <c r="F908" s="2"/>
      <c r="G908" s="2"/>
    </row>
    <row r="909" spans="2:7" ht="15.75" customHeight="1">
      <c r="B909" s="1"/>
      <c r="C909" s="2"/>
      <c r="D909" s="2"/>
      <c r="E909" s="2"/>
      <c r="F909" s="2"/>
      <c r="G909" s="2"/>
    </row>
    <row r="910" spans="2:7" ht="15.75" customHeight="1">
      <c r="B910" s="1"/>
      <c r="C910" s="2"/>
      <c r="D910" s="2"/>
      <c r="E910" s="2"/>
      <c r="F910" s="2"/>
      <c r="G910" s="2"/>
    </row>
    <row r="911" spans="2:7" ht="15.75" customHeight="1">
      <c r="B911" s="1"/>
      <c r="C911" s="2"/>
      <c r="D911" s="2"/>
      <c r="E911" s="2"/>
      <c r="F911" s="2"/>
      <c r="G911" s="2"/>
    </row>
    <row r="912" spans="2:7" ht="15.75" customHeight="1">
      <c r="B912" s="1"/>
      <c r="C912" s="2"/>
      <c r="D912" s="2"/>
      <c r="E912" s="2"/>
      <c r="F912" s="2"/>
      <c r="G912" s="2"/>
    </row>
    <row r="913" spans="2:7" ht="15.75" customHeight="1">
      <c r="B913" s="1"/>
      <c r="C913" s="2"/>
      <c r="D913" s="2"/>
      <c r="E913" s="2"/>
      <c r="F913" s="2"/>
      <c r="G913" s="2"/>
    </row>
    <row r="914" spans="2:7" ht="15.75" customHeight="1">
      <c r="B914" s="1"/>
      <c r="C914" s="2"/>
      <c r="D914" s="2"/>
      <c r="E914" s="2"/>
      <c r="F914" s="2"/>
      <c r="G914" s="2"/>
    </row>
    <row r="915" spans="2:7" ht="15.75" customHeight="1">
      <c r="B915" s="1"/>
      <c r="C915" s="2"/>
      <c r="D915" s="2"/>
      <c r="E915" s="2"/>
      <c r="F915" s="2"/>
      <c r="G915" s="2"/>
    </row>
    <row r="916" spans="2:7" ht="15.75" customHeight="1">
      <c r="B916" s="1"/>
      <c r="C916" s="2"/>
      <c r="D916" s="2"/>
      <c r="E916" s="2"/>
      <c r="F916" s="2"/>
      <c r="G916" s="2"/>
    </row>
    <row r="917" spans="2:7" ht="15.75" customHeight="1">
      <c r="B917" s="1"/>
      <c r="C917" s="2"/>
      <c r="D917" s="2"/>
      <c r="E917" s="2"/>
      <c r="F917" s="2"/>
      <c r="G917" s="2"/>
    </row>
    <row r="918" spans="2:7" ht="15.75" customHeight="1">
      <c r="B918" s="1"/>
      <c r="C918" s="2"/>
      <c r="D918" s="2"/>
      <c r="E918" s="2"/>
      <c r="F918" s="2"/>
      <c r="G918" s="2"/>
    </row>
    <row r="919" spans="2:7" ht="15.75" customHeight="1">
      <c r="B919" s="1"/>
      <c r="C919" s="2"/>
      <c r="D919" s="2"/>
      <c r="E919" s="2"/>
      <c r="F919" s="2"/>
      <c r="G919" s="2"/>
    </row>
    <row r="920" spans="2:7" ht="15.75" customHeight="1">
      <c r="B920" s="1"/>
      <c r="C920" s="2"/>
      <c r="D920" s="2"/>
      <c r="E920" s="2"/>
      <c r="F920" s="2"/>
      <c r="G920" s="2"/>
    </row>
    <row r="921" spans="2:7" ht="15.75" customHeight="1">
      <c r="B921" s="1"/>
      <c r="C921" s="2"/>
      <c r="D921" s="2"/>
      <c r="E921" s="2"/>
      <c r="F921" s="2"/>
      <c r="G921" s="2"/>
    </row>
    <row r="922" spans="2:7" ht="15.75" customHeight="1">
      <c r="B922" s="1"/>
      <c r="C922" s="2"/>
      <c r="D922" s="2"/>
      <c r="E922" s="2"/>
      <c r="F922" s="2"/>
      <c r="G922" s="2"/>
    </row>
    <row r="923" spans="2:7" ht="15.75" customHeight="1">
      <c r="B923" s="1"/>
      <c r="C923" s="2"/>
      <c r="D923" s="2"/>
      <c r="E923" s="2"/>
      <c r="F923" s="2"/>
      <c r="G923" s="2"/>
    </row>
    <row r="924" spans="2:7" ht="15.75" customHeight="1">
      <c r="B924" s="1"/>
      <c r="C924" s="2"/>
      <c r="D924" s="2"/>
      <c r="E924" s="2"/>
      <c r="F924" s="2"/>
      <c r="G924" s="2"/>
    </row>
    <row r="925" spans="2:7" ht="15.75" customHeight="1">
      <c r="B925" s="1"/>
      <c r="C925" s="2"/>
      <c r="D925" s="2"/>
      <c r="E925" s="2"/>
      <c r="F925" s="2"/>
      <c r="G925" s="2"/>
    </row>
    <row r="926" spans="2:7" ht="15.75" customHeight="1">
      <c r="B926" s="1"/>
      <c r="C926" s="2"/>
      <c r="D926" s="2"/>
      <c r="E926" s="2"/>
      <c r="F926" s="2"/>
      <c r="G926" s="2"/>
    </row>
    <row r="927" spans="2:7" ht="15.75" customHeight="1">
      <c r="B927" s="1"/>
      <c r="C927" s="2"/>
      <c r="D927" s="2"/>
      <c r="E927" s="2"/>
      <c r="F927" s="2"/>
      <c r="G927" s="2"/>
    </row>
    <row r="928" spans="2:7" ht="15.75" customHeight="1">
      <c r="B928" s="1"/>
      <c r="C928" s="2"/>
      <c r="D928" s="2"/>
      <c r="E928" s="2"/>
      <c r="F928" s="2"/>
      <c r="G928" s="2"/>
    </row>
    <row r="929" spans="2:7" ht="15.75" customHeight="1">
      <c r="B929" s="1"/>
      <c r="C929" s="2"/>
      <c r="D929" s="2"/>
      <c r="E929" s="2"/>
      <c r="F929" s="2"/>
      <c r="G929" s="2"/>
    </row>
    <row r="930" spans="2:7" ht="15.75" customHeight="1">
      <c r="B930" s="1"/>
      <c r="C930" s="2"/>
      <c r="D930" s="2"/>
      <c r="E930" s="2"/>
      <c r="F930" s="2"/>
      <c r="G930" s="2"/>
    </row>
    <row r="931" spans="2:7" ht="15.75" customHeight="1">
      <c r="B931" s="1"/>
      <c r="C931" s="2"/>
      <c r="D931" s="2"/>
      <c r="E931" s="2"/>
      <c r="F931" s="2"/>
      <c r="G931" s="2"/>
    </row>
    <row r="932" spans="2:7" ht="15.75" customHeight="1">
      <c r="B932" s="1"/>
      <c r="C932" s="2"/>
      <c r="D932" s="2"/>
      <c r="E932" s="2"/>
      <c r="F932" s="2"/>
      <c r="G932" s="2"/>
    </row>
    <row r="933" spans="2:7" ht="15.75" customHeight="1">
      <c r="B933" s="1"/>
      <c r="C933" s="2"/>
      <c r="D933" s="2"/>
      <c r="E933" s="2"/>
      <c r="F933" s="2"/>
      <c r="G933" s="2"/>
    </row>
    <row r="934" spans="2:7" ht="15.75" customHeight="1">
      <c r="B934" s="1"/>
      <c r="C934" s="2"/>
      <c r="D934" s="2"/>
      <c r="E934" s="2"/>
      <c r="F934" s="2"/>
      <c r="G934" s="2"/>
    </row>
    <row r="935" spans="2:7" ht="15.75" customHeight="1">
      <c r="B935" s="1"/>
      <c r="C935" s="2"/>
      <c r="D935" s="2"/>
      <c r="E935" s="2"/>
      <c r="F935" s="2"/>
      <c r="G935" s="2"/>
    </row>
    <row r="936" spans="2:7" ht="15.75" customHeight="1">
      <c r="B936" s="1"/>
      <c r="C936" s="2"/>
      <c r="D936" s="2"/>
      <c r="E936" s="2"/>
      <c r="F936" s="2"/>
      <c r="G936" s="2"/>
    </row>
    <row r="937" spans="2:7" ht="15.75" customHeight="1">
      <c r="B937" s="1"/>
      <c r="C937" s="2"/>
      <c r="D937" s="2"/>
      <c r="E937" s="2"/>
      <c r="F937" s="2"/>
      <c r="G937" s="2"/>
    </row>
    <row r="938" spans="2:7" ht="15.75" customHeight="1">
      <c r="B938" s="1"/>
      <c r="C938" s="2"/>
      <c r="D938" s="2"/>
      <c r="E938" s="2"/>
      <c r="F938" s="2"/>
      <c r="G938" s="2"/>
    </row>
    <row r="939" spans="2:7" ht="15.75" customHeight="1">
      <c r="B939" s="1"/>
      <c r="C939" s="2"/>
      <c r="D939" s="2"/>
      <c r="E939" s="2"/>
      <c r="F939" s="2"/>
      <c r="G939" s="2"/>
    </row>
    <row r="940" spans="2:7" ht="15.75" customHeight="1">
      <c r="B940" s="1"/>
      <c r="C940" s="2"/>
      <c r="D940" s="2"/>
      <c r="E940" s="2"/>
      <c r="F940" s="2"/>
      <c r="G940" s="2"/>
    </row>
    <row r="941" spans="2:7" ht="15.75" customHeight="1">
      <c r="B941" s="1"/>
      <c r="C941" s="2"/>
      <c r="D941" s="2"/>
      <c r="E941" s="2"/>
      <c r="F941" s="2"/>
      <c r="G941" s="2"/>
    </row>
    <row r="942" spans="2:7" ht="15.75" customHeight="1">
      <c r="B942" s="1"/>
      <c r="C942" s="2"/>
      <c r="D942" s="2"/>
      <c r="E942" s="2"/>
      <c r="F942" s="2"/>
      <c r="G942" s="2"/>
    </row>
    <row r="943" spans="2:7" ht="15.75" customHeight="1">
      <c r="B943" s="1"/>
      <c r="C943" s="2"/>
      <c r="D943" s="2"/>
      <c r="E943" s="2"/>
      <c r="F943" s="2"/>
      <c r="G943" s="2"/>
    </row>
    <row r="944" spans="2:7" ht="15.75" customHeight="1">
      <c r="B944" s="1"/>
      <c r="C944" s="2"/>
      <c r="D944" s="2"/>
      <c r="E944" s="2"/>
      <c r="F944" s="2"/>
      <c r="G944" s="2"/>
    </row>
    <row r="945" spans="2:7" ht="15.75" customHeight="1">
      <c r="B945" s="1"/>
      <c r="C945" s="2"/>
      <c r="D945" s="2"/>
      <c r="E945" s="2"/>
      <c r="F945" s="2"/>
      <c r="G945" s="2"/>
    </row>
    <row r="946" spans="2:7" ht="15.75" customHeight="1">
      <c r="B946" s="1"/>
      <c r="C946" s="2"/>
      <c r="D946" s="2"/>
      <c r="E946" s="2"/>
      <c r="F946" s="2"/>
      <c r="G946" s="2"/>
    </row>
    <row r="947" spans="2:7" ht="15.75" customHeight="1">
      <c r="B947" s="1"/>
      <c r="C947" s="2"/>
      <c r="D947" s="2"/>
      <c r="E947" s="2"/>
      <c r="F947" s="2"/>
      <c r="G947" s="2"/>
    </row>
    <row r="948" spans="2:7" ht="15.75" customHeight="1">
      <c r="B948" s="1"/>
      <c r="C948" s="2"/>
      <c r="D948" s="2"/>
      <c r="E948" s="2"/>
      <c r="F948" s="2"/>
      <c r="G948" s="2"/>
    </row>
    <row r="949" spans="2:7" ht="15.75" customHeight="1">
      <c r="B949" s="1"/>
      <c r="C949" s="2"/>
      <c r="D949" s="2"/>
      <c r="E949" s="2"/>
      <c r="F949" s="2"/>
      <c r="G949" s="2"/>
    </row>
    <row r="950" spans="2:7" ht="15.75" customHeight="1">
      <c r="B950" s="1"/>
      <c r="C950" s="2"/>
      <c r="D950" s="2"/>
      <c r="E950" s="2"/>
      <c r="F950" s="2"/>
      <c r="G950" s="2"/>
    </row>
    <row r="951" spans="2:7" ht="15.75" customHeight="1">
      <c r="B951" s="1"/>
      <c r="C951" s="2"/>
      <c r="D951" s="2"/>
      <c r="E951" s="2"/>
      <c r="F951" s="2"/>
      <c r="G951" s="2"/>
    </row>
    <row r="952" spans="2:7" ht="15.75" customHeight="1">
      <c r="B952" s="1"/>
      <c r="C952" s="2"/>
      <c r="D952" s="2"/>
      <c r="E952" s="2"/>
      <c r="F952" s="2"/>
      <c r="G952" s="2"/>
    </row>
    <row r="953" spans="2:7" ht="15.75" customHeight="1">
      <c r="B953" s="1"/>
      <c r="C953" s="2"/>
      <c r="D953" s="2"/>
      <c r="E953" s="2"/>
      <c r="F953" s="2"/>
      <c r="G953" s="2"/>
    </row>
    <row r="954" spans="2:7" ht="15.75" customHeight="1">
      <c r="B954" s="1"/>
      <c r="C954" s="2"/>
      <c r="D954" s="2"/>
      <c r="E954" s="2"/>
      <c r="F954" s="2"/>
      <c r="G954" s="2"/>
    </row>
    <row r="955" spans="2:7" ht="15.75" customHeight="1">
      <c r="B955" s="1"/>
      <c r="C955" s="2"/>
      <c r="D955" s="2"/>
      <c r="E955" s="2"/>
      <c r="F955" s="2"/>
      <c r="G955" s="2"/>
    </row>
    <row r="956" spans="2:7" ht="15.75" customHeight="1">
      <c r="B956" s="1"/>
      <c r="C956" s="2"/>
      <c r="D956" s="2"/>
      <c r="E956" s="2"/>
      <c r="F956" s="2"/>
      <c r="G956" s="2"/>
    </row>
    <row r="957" spans="2:7" ht="15.75" customHeight="1">
      <c r="B957" s="1"/>
      <c r="C957" s="2"/>
      <c r="D957" s="2"/>
      <c r="E957" s="2"/>
      <c r="F957" s="2"/>
      <c r="G957" s="2"/>
    </row>
    <row r="958" spans="2:7" ht="15.75" customHeight="1">
      <c r="B958" s="1"/>
      <c r="C958" s="2"/>
      <c r="D958" s="2"/>
      <c r="E958" s="2"/>
      <c r="F958" s="2"/>
      <c r="G958" s="2"/>
    </row>
    <row r="959" spans="2:7" ht="15.75" customHeight="1">
      <c r="B959" s="1"/>
      <c r="C959" s="2"/>
      <c r="D959" s="2"/>
      <c r="E959" s="2"/>
      <c r="F959" s="2"/>
      <c r="G959" s="2"/>
    </row>
    <row r="960" spans="2:7" ht="15.75" customHeight="1">
      <c r="B960" s="1"/>
      <c r="C960" s="2"/>
      <c r="D960" s="2"/>
      <c r="E960" s="2"/>
      <c r="F960" s="2"/>
      <c r="G960" s="2"/>
    </row>
    <row r="961" spans="2:7" ht="15.75" customHeight="1">
      <c r="B961" s="1"/>
      <c r="C961" s="2"/>
      <c r="D961" s="2"/>
      <c r="E961" s="2"/>
      <c r="F961" s="2"/>
      <c r="G961" s="2"/>
    </row>
    <row r="962" spans="2:7" ht="15.75" customHeight="1">
      <c r="B962" s="1"/>
      <c r="C962" s="2"/>
      <c r="D962" s="2"/>
      <c r="E962" s="2"/>
      <c r="F962" s="2"/>
      <c r="G962" s="2"/>
    </row>
    <row r="963" spans="2:7" ht="15.75" customHeight="1">
      <c r="B963" s="1"/>
      <c r="C963" s="2"/>
      <c r="D963" s="2"/>
      <c r="E963" s="2"/>
      <c r="F963" s="2"/>
      <c r="G963" s="2"/>
    </row>
    <row r="964" spans="2:7" ht="15.75" customHeight="1">
      <c r="B964" s="1"/>
      <c r="C964" s="2"/>
      <c r="D964" s="2"/>
      <c r="E964" s="2"/>
      <c r="F964" s="2"/>
      <c r="G964" s="2"/>
    </row>
    <row r="965" spans="2:7" ht="15.75" customHeight="1">
      <c r="B965" s="1"/>
      <c r="C965" s="2"/>
      <c r="D965" s="2"/>
      <c r="E965" s="2"/>
      <c r="F965" s="2"/>
      <c r="G965" s="2"/>
    </row>
    <row r="966" spans="2:7" ht="15.75" customHeight="1">
      <c r="B966" s="1"/>
      <c r="C966" s="2"/>
      <c r="D966" s="2"/>
      <c r="E966" s="2"/>
      <c r="F966" s="2"/>
      <c r="G966" s="2"/>
    </row>
    <row r="967" spans="2:7" ht="15.75" customHeight="1">
      <c r="B967" s="1"/>
      <c r="C967" s="2"/>
      <c r="D967" s="2"/>
      <c r="E967" s="2"/>
      <c r="F967" s="2"/>
      <c r="G967" s="2"/>
    </row>
    <row r="968" spans="2:7" ht="15.75" customHeight="1">
      <c r="B968" s="1"/>
      <c r="C968" s="2"/>
      <c r="D968" s="2"/>
      <c r="E968" s="2"/>
      <c r="F968" s="2"/>
      <c r="G968" s="2"/>
    </row>
    <row r="969" spans="2:7" ht="15.75" customHeight="1">
      <c r="B969" s="1"/>
      <c r="C969" s="2"/>
      <c r="D969" s="2"/>
      <c r="E969" s="2"/>
      <c r="F969" s="2"/>
      <c r="G969" s="2"/>
    </row>
    <row r="970" spans="2:7" ht="15.75" customHeight="1">
      <c r="B970" s="1"/>
      <c r="C970" s="2"/>
      <c r="D970" s="2"/>
      <c r="E970" s="2"/>
      <c r="F970" s="2"/>
      <c r="G970" s="2"/>
    </row>
    <row r="971" spans="2:7" ht="15.75" customHeight="1">
      <c r="B971" s="1"/>
      <c r="C971" s="2"/>
      <c r="D971" s="2"/>
      <c r="E971" s="2"/>
      <c r="F971" s="2"/>
      <c r="G971" s="2"/>
    </row>
    <row r="972" spans="2:7" ht="15.75" customHeight="1">
      <c r="B972" s="1"/>
      <c r="C972" s="2"/>
      <c r="D972" s="2"/>
      <c r="E972" s="2"/>
      <c r="F972" s="2"/>
      <c r="G972" s="2"/>
    </row>
    <row r="973" spans="2:7" ht="15.75" customHeight="1">
      <c r="B973" s="1"/>
      <c r="C973" s="2"/>
      <c r="D973" s="2"/>
      <c r="E973" s="2"/>
      <c r="F973" s="2"/>
      <c r="G973" s="2"/>
    </row>
    <row r="974" spans="2:7" ht="15.75" customHeight="1">
      <c r="B974" s="1"/>
      <c r="C974" s="2"/>
      <c r="D974" s="2"/>
      <c r="E974" s="2"/>
      <c r="F974" s="2"/>
      <c r="G974" s="2"/>
    </row>
    <row r="975" spans="2:7" ht="15.75" customHeight="1">
      <c r="B975" s="1"/>
      <c r="C975" s="2"/>
      <c r="D975" s="2"/>
      <c r="E975" s="2"/>
      <c r="F975" s="2"/>
      <c r="G975" s="2"/>
    </row>
    <row r="976" spans="2:7" ht="15.75" customHeight="1">
      <c r="B976" s="1"/>
      <c r="C976" s="2"/>
      <c r="D976" s="2"/>
      <c r="E976" s="2"/>
      <c r="F976" s="2"/>
      <c r="G976" s="2"/>
    </row>
    <row r="977" spans="2:7" ht="15.75" customHeight="1">
      <c r="B977" s="1"/>
      <c r="C977" s="2"/>
      <c r="D977" s="2"/>
      <c r="E977" s="2"/>
      <c r="F977" s="2"/>
      <c r="G977" s="2"/>
    </row>
    <row r="978" spans="2:7" ht="15.75" customHeight="1">
      <c r="B978" s="1"/>
      <c r="C978" s="2"/>
      <c r="D978" s="2"/>
      <c r="E978" s="2"/>
      <c r="F978" s="2"/>
      <c r="G978" s="2"/>
    </row>
    <row r="979" spans="2:7" ht="15.75" customHeight="1">
      <c r="B979" s="1"/>
      <c r="C979" s="2"/>
      <c r="D979" s="2"/>
      <c r="E979" s="2"/>
      <c r="F979" s="2"/>
      <c r="G979" s="2"/>
    </row>
    <row r="980" spans="2:7" ht="15.75" customHeight="1">
      <c r="B980" s="1"/>
      <c r="C980" s="2"/>
      <c r="D980" s="2"/>
      <c r="E980" s="2"/>
      <c r="F980" s="2"/>
      <c r="G980" s="2"/>
    </row>
    <row r="981" spans="2:7" ht="15.75" customHeight="1">
      <c r="B981" s="1"/>
      <c r="C981" s="2"/>
      <c r="D981" s="2"/>
      <c r="E981" s="2"/>
      <c r="F981" s="2"/>
      <c r="G981" s="2"/>
    </row>
    <row r="982" spans="2:7" ht="15.75" customHeight="1">
      <c r="B982" s="1"/>
      <c r="C982" s="2"/>
      <c r="D982" s="2"/>
      <c r="E982" s="2"/>
      <c r="F982" s="2"/>
      <c r="G982" s="2"/>
    </row>
    <row r="983" spans="2:7" ht="15.75" customHeight="1">
      <c r="B983" s="1"/>
      <c r="C983" s="2"/>
      <c r="D983" s="2"/>
      <c r="E983" s="2"/>
      <c r="F983" s="2"/>
      <c r="G983" s="2"/>
    </row>
    <row r="984" spans="2:7" ht="15.75" customHeight="1">
      <c r="B984" s="1"/>
      <c r="C984" s="2"/>
      <c r="D984" s="2"/>
      <c r="E984" s="2"/>
      <c r="F984" s="2"/>
      <c r="G984" s="2"/>
    </row>
    <row r="985" spans="2:7" ht="15.75" customHeight="1">
      <c r="B985" s="1"/>
      <c r="C985" s="2"/>
      <c r="D985" s="2"/>
      <c r="E985" s="2"/>
      <c r="F985" s="2"/>
      <c r="G985" s="2"/>
    </row>
    <row r="986" spans="2:7" ht="15.75" customHeight="1">
      <c r="B986" s="1"/>
      <c r="C986" s="2"/>
      <c r="D986" s="2"/>
      <c r="E986" s="2"/>
      <c r="F986" s="2"/>
      <c r="G986" s="2"/>
    </row>
    <row r="987" spans="2:7" ht="15.75" customHeight="1">
      <c r="B987" s="1"/>
      <c r="C987" s="2"/>
      <c r="D987" s="2"/>
      <c r="E987" s="2"/>
      <c r="F987" s="2"/>
      <c r="G987" s="2"/>
    </row>
    <row r="988" spans="2:7" ht="15.75" customHeight="1">
      <c r="B988" s="1"/>
      <c r="C988" s="2"/>
      <c r="D988" s="2"/>
      <c r="E988" s="2"/>
      <c r="F988" s="2"/>
      <c r="G988" s="2"/>
    </row>
    <row r="989" spans="2:7" ht="15.75" customHeight="1">
      <c r="B989" s="1"/>
      <c r="C989" s="2"/>
      <c r="D989" s="2"/>
      <c r="E989" s="2"/>
      <c r="F989" s="2"/>
      <c r="G989" s="2"/>
    </row>
    <row r="990" spans="2:7" ht="15.75" customHeight="1">
      <c r="B990" s="1"/>
      <c r="C990" s="2"/>
      <c r="D990" s="2"/>
      <c r="E990" s="2"/>
      <c r="F990" s="2"/>
      <c r="G990" s="2"/>
    </row>
    <row r="991" spans="2:7" ht="15.75" customHeight="1">
      <c r="B991" s="1"/>
      <c r="C991" s="2"/>
      <c r="D991" s="2"/>
      <c r="E991" s="2"/>
      <c r="F991" s="2"/>
      <c r="G991" s="2"/>
    </row>
    <row r="992" spans="2:7" ht="15.75" customHeight="1">
      <c r="B992" s="1"/>
      <c r="C992" s="2"/>
      <c r="D992" s="2"/>
      <c r="E992" s="2"/>
      <c r="F992" s="2"/>
      <c r="G992" s="2"/>
    </row>
    <row r="993" spans="2:7" ht="15.75" customHeight="1">
      <c r="B993" s="1"/>
      <c r="C993" s="2"/>
      <c r="D993" s="2"/>
      <c r="E993" s="2"/>
      <c r="F993" s="2"/>
      <c r="G993" s="2"/>
    </row>
    <row r="994" spans="2:7" ht="15.75" customHeight="1">
      <c r="B994" s="1"/>
      <c r="C994" s="2"/>
      <c r="D994" s="2"/>
      <c r="E994" s="2"/>
      <c r="F994" s="2"/>
      <c r="G994" s="2"/>
    </row>
    <row r="995" spans="2:7" ht="15.75" customHeight="1">
      <c r="B995" s="1"/>
      <c r="C995" s="2"/>
      <c r="D995" s="2"/>
      <c r="E995" s="2"/>
      <c r="F995" s="2"/>
      <c r="G995" s="2"/>
    </row>
    <row r="996" spans="2:7" ht="15.75" customHeight="1">
      <c r="B996" s="1"/>
      <c r="C996" s="2"/>
      <c r="D996" s="2"/>
      <c r="E996" s="2"/>
      <c r="F996" s="2"/>
      <c r="G996" s="2"/>
    </row>
    <row r="997" spans="2:7" ht="15.75" customHeight="1">
      <c r="B997" s="1"/>
      <c r="C997" s="2"/>
      <c r="D997" s="2"/>
      <c r="E997" s="2"/>
      <c r="F997" s="2"/>
      <c r="G997" s="2"/>
    </row>
    <row r="998" spans="2:7" ht="15.75" customHeight="1">
      <c r="B998" s="1"/>
      <c r="C998" s="2"/>
      <c r="D998" s="2"/>
      <c r="E998" s="2"/>
      <c r="F998" s="2"/>
      <c r="G998" s="2"/>
    </row>
    <row r="999" spans="2:7" ht="15.75" customHeight="1">
      <c r="B999" s="1"/>
      <c r="C999" s="2"/>
      <c r="D999" s="2"/>
      <c r="E999" s="2"/>
      <c r="F999" s="2"/>
      <c r="G999" s="2"/>
    </row>
    <row r="1000" spans="2:7" ht="15.75" customHeight="1">
      <c r="B1000" s="1"/>
      <c r="C1000" s="2"/>
      <c r="D1000" s="2"/>
      <c r="E1000" s="2"/>
      <c r="F1000" s="2"/>
      <c r="G1000" s="2"/>
    </row>
    <row r="1001" spans="2:7" ht="15.75" customHeight="1">
      <c r="B1001" s="1"/>
      <c r="C1001" s="2"/>
      <c r="D1001" s="2"/>
      <c r="E1001" s="2"/>
      <c r="F1001" s="2"/>
      <c r="G1001" s="2"/>
    </row>
    <row r="1002" spans="2:7" ht="15.75" customHeight="1">
      <c r="B1002" s="1"/>
      <c r="C1002" s="2"/>
      <c r="D1002" s="2"/>
      <c r="E1002" s="2"/>
      <c r="F1002" s="2"/>
      <c r="G1002" s="2"/>
    </row>
    <row r="1003" spans="2:7" ht="15.75" customHeight="1">
      <c r="B1003" s="1"/>
      <c r="C1003" s="2"/>
      <c r="D1003" s="2"/>
      <c r="E1003" s="2"/>
      <c r="F1003" s="2"/>
      <c r="G1003" s="2"/>
    </row>
    <row r="1004" spans="2:7" ht="15.75" customHeight="1">
      <c r="B1004" s="1"/>
      <c r="C1004" s="2"/>
      <c r="D1004" s="2"/>
      <c r="E1004" s="2"/>
      <c r="F1004" s="2"/>
      <c r="G1004" s="2"/>
    </row>
    <row r="1005" spans="2:7" ht="15.75" customHeight="1">
      <c r="B1005" s="1"/>
      <c r="C1005" s="2"/>
      <c r="D1005" s="2"/>
      <c r="E1005" s="2"/>
      <c r="F1005" s="2"/>
      <c r="G1005" s="2"/>
    </row>
    <row r="1006" spans="2:7" ht="15.75" customHeight="1">
      <c r="B1006" s="1"/>
      <c r="C1006" s="2"/>
      <c r="D1006" s="2"/>
      <c r="E1006" s="2"/>
      <c r="F1006" s="2"/>
      <c r="G1006" s="2"/>
    </row>
    <row r="1007" spans="2:7" ht="15.75" customHeight="1">
      <c r="B1007" s="1"/>
      <c r="C1007" s="2"/>
      <c r="D1007" s="2"/>
      <c r="E1007" s="2"/>
      <c r="F1007" s="2"/>
      <c r="G1007" s="2"/>
    </row>
    <row r="1008" spans="2:7" ht="15.75" customHeight="1">
      <c r="B1008" s="1"/>
      <c r="C1008" s="2"/>
      <c r="D1008" s="2"/>
      <c r="E1008" s="2"/>
      <c r="F1008" s="2"/>
      <c r="G1008" s="2"/>
    </row>
    <row r="1009" spans="2:7" ht="15.75" customHeight="1">
      <c r="B1009" s="1"/>
      <c r="C1009" s="2"/>
      <c r="D1009" s="2"/>
      <c r="E1009" s="2"/>
      <c r="F1009" s="2"/>
      <c r="G1009" s="2"/>
    </row>
    <row r="1010" spans="2:7" ht="15.75" customHeight="1">
      <c r="B1010" s="1"/>
      <c r="C1010" s="2"/>
      <c r="D1010" s="2"/>
      <c r="E1010" s="2"/>
      <c r="F1010" s="2"/>
      <c r="G1010" s="2"/>
    </row>
    <row r="1011" spans="2:7" ht="15.75" customHeight="1">
      <c r="B1011" s="1"/>
      <c r="C1011" s="2"/>
      <c r="D1011" s="2"/>
      <c r="E1011" s="2"/>
      <c r="F1011" s="2"/>
      <c r="G1011" s="2"/>
    </row>
    <row r="1012" spans="2:7" ht="15.75" customHeight="1">
      <c r="B1012" s="1"/>
      <c r="C1012" s="2"/>
      <c r="D1012" s="2"/>
      <c r="E1012" s="2"/>
      <c r="F1012" s="2"/>
      <c r="G1012" s="2"/>
    </row>
    <row r="1013" spans="2:7" ht="15.75" customHeight="1">
      <c r="B1013" s="1"/>
      <c r="C1013" s="2"/>
      <c r="D1013" s="2"/>
      <c r="E1013" s="2"/>
      <c r="F1013" s="2"/>
      <c r="G1013" s="2"/>
    </row>
    <row r="1014" spans="2:7" ht="15.75" customHeight="1">
      <c r="B1014" s="1"/>
      <c r="C1014" s="2"/>
      <c r="D1014" s="2"/>
      <c r="E1014" s="2"/>
      <c r="F1014" s="2"/>
      <c r="G1014" s="2"/>
    </row>
    <row r="1015" spans="2:7" ht="15.75" customHeight="1">
      <c r="B1015" s="1"/>
      <c r="C1015" s="2"/>
      <c r="D1015" s="2"/>
      <c r="E1015" s="2"/>
      <c r="F1015" s="2"/>
      <c r="G1015" s="2"/>
    </row>
    <row r="1016" spans="2:7" ht="15.75" customHeight="1">
      <c r="B1016" s="1"/>
      <c r="C1016" s="2"/>
      <c r="D1016" s="2"/>
      <c r="E1016" s="2"/>
      <c r="F1016" s="2"/>
      <c r="G1016" s="2"/>
    </row>
    <row r="1017" spans="2:7" ht="15.75" customHeight="1">
      <c r="B1017" s="1"/>
      <c r="C1017" s="2"/>
      <c r="D1017" s="2"/>
      <c r="E1017" s="2"/>
      <c r="F1017" s="2"/>
      <c r="G1017" s="2"/>
    </row>
    <row r="1018" spans="2:7" ht="15.75" customHeight="1">
      <c r="B1018" s="1"/>
      <c r="C1018" s="2"/>
      <c r="D1018" s="2"/>
      <c r="E1018" s="2"/>
      <c r="F1018" s="2"/>
      <c r="G1018" s="2"/>
    </row>
    <row r="1019" spans="2:7" ht="15.75" customHeight="1">
      <c r="B1019" s="1"/>
      <c r="C1019" s="2"/>
      <c r="D1019" s="2"/>
      <c r="E1019" s="2"/>
      <c r="F1019" s="2"/>
      <c r="G1019" s="2"/>
    </row>
    <row r="1020" spans="2:7" ht="15.75" customHeight="1">
      <c r="B1020" s="1"/>
      <c r="C1020" s="2"/>
      <c r="D1020" s="2"/>
      <c r="E1020" s="2"/>
      <c r="F1020" s="2"/>
      <c r="G1020" s="2"/>
    </row>
    <row r="1021" spans="2:7" ht="15.75" customHeight="1">
      <c r="B1021" s="1"/>
      <c r="C1021" s="2"/>
      <c r="D1021" s="2"/>
      <c r="E1021" s="2"/>
      <c r="F1021" s="2"/>
      <c r="G1021" s="2"/>
    </row>
    <row r="1022" spans="2:7" ht="15.75" customHeight="1">
      <c r="B1022" s="1"/>
      <c r="C1022" s="2"/>
      <c r="D1022" s="2"/>
      <c r="E1022" s="2"/>
      <c r="F1022" s="2"/>
      <c r="G1022" s="2"/>
    </row>
    <row r="1023" spans="2:7" ht="15.75" customHeight="1">
      <c r="B1023" s="1"/>
      <c r="C1023" s="2"/>
      <c r="D1023" s="2"/>
      <c r="E1023" s="2"/>
      <c r="F1023" s="2"/>
      <c r="G1023" s="2"/>
    </row>
    <row r="1024" spans="2:7" ht="15.75" customHeight="1">
      <c r="B1024" s="1"/>
      <c r="C1024" s="2"/>
      <c r="D1024" s="2"/>
      <c r="E1024" s="2"/>
      <c r="F1024" s="2"/>
      <c r="G1024" s="2"/>
    </row>
    <row r="1025" spans="2:7" ht="15.75" customHeight="1">
      <c r="B1025" s="1"/>
      <c r="C1025" s="2"/>
      <c r="D1025" s="2"/>
      <c r="E1025" s="2"/>
      <c r="F1025" s="2"/>
      <c r="G1025" s="2"/>
    </row>
    <row r="1026" spans="2:7" ht="15.75" customHeight="1">
      <c r="B1026" s="1"/>
      <c r="C1026" s="2"/>
      <c r="D1026" s="2"/>
      <c r="E1026" s="2"/>
      <c r="F1026" s="2"/>
      <c r="G1026" s="2"/>
    </row>
    <row r="1027" spans="2:7" ht="15.75" customHeight="1">
      <c r="B1027" s="1"/>
      <c r="C1027" s="2"/>
      <c r="D1027" s="2"/>
      <c r="E1027" s="2"/>
      <c r="F1027" s="2"/>
      <c r="G1027" s="2"/>
    </row>
    <row r="1028" spans="2:7" ht="15.75" customHeight="1">
      <c r="B1028" s="1"/>
      <c r="C1028" s="2"/>
      <c r="D1028" s="2"/>
      <c r="E1028" s="2"/>
      <c r="F1028" s="2"/>
      <c r="G1028" s="2"/>
    </row>
    <row r="1029" spans="2:7" ht="15.75" customHeight="1">
      <c r="B1029" s="1"/>
      <c r="C1029" s="2"/>
      <c r="D1029" s="2"/>
      <c r="E1029" s="2"/>
      <c r="F1029" s="2"/>
      <c r="G1029" s="2"/>
    </row>
    <row r="1030" spans="2:7" ht="15.75" customHeight="1">
      <c r="B1030" s="1"/>
      <c r="C1030" s="2"/>
      <c r="D1030" s="2"/>
      <c r="E1030" s="2"/>
      <c r="F1030" s="2"/>
      <c r="G1030" s="2"/>
    </row>
    <row r="1031" spans="2:7" ht="15.75" customHeight="1">
      <c r="B1031" s="1"/>
      <c r="C1031" s="2"/>
      <c r="D1031" s="2"/>
      <c r="E1031" s="2"/>
      <c r="F1031" s="2"/>
      <c r="G1031" s="2"/>
    </row>
  </sheetData>
  <mergeCells count="57">
    <mergeCell ref="B109:C109"/>
    <mergeCell ref="B110:C110"/>
    <mergeCell ref="E45:G47"/>
    <mergeCell ref="E58:G60"/>
    <mergeCell ref="B23:B25"/>
    <mergeCell ref="B96:C96"/>
    <mergeCell ref="B92:B93"/>
    <mergeCell ref="B79:B80"/>
    <mergeCell ref="B27:C27"/>
    <mergeCell ref="B40:C40"/>
    <mergeCell ref="B83:C83"/>
    <mergeCell ref="D106:G106"/>
    <mergeCell ref="D93:G93"/>
    <mergeCell ref="B105:B106"/>
    <mergeCell ref="B71:C71"/>
    <mergeCell ref="B84:C84"/>
    <mergeCell ref="C6:H6"/>
    <mergeCell ref="B30:B34"/>
    <mergeCell ref="B43:B47"/>
    <mergeCell ref="B8:C8"/>
    <mergeCell ref="B17:B19"/>
    <mergeCell ref="B9:C9"/>
    <mergeCell ref="B97:C97"/>
    <mergeCell ref="M2:M3"/>
    <mergeCell ref="B21:C21"/>
    <mergeCell ref="J2:L3"/>
    <mergeCell ref="D80:G80"/>
    <mergeCell ref="E17:G19"/>
    <mergeCell ref="E23:G25"/>
    <mergeCell ref="E32:G34"/>
    <mergeCell ref="B56:B60"/>
    <mergeCell ref="B28:C28"/>
    <mergeCell ref="B41:C41"/>
    <mergeCell ref="B53:C53"/>
    <mergeCell ref="B70:C70"/>
    <mergeCell ref="B54:C54"/>
    <mergeCell ref="C2:H3"/>
    <mergeCell ref="D68:H68"/>
    <mergeCell ref="M79:M80"/>
    <mergeCell ref="M92:M93"/>
    <mergeCell ref="M105:M106"/>
    <mergeCell ref="M119:M120"/>
    <mergeCell ref="M133:M134"/>
    <mergeCell ref="D148:G148"/>
    <mergeCell ref="B146:B148"/>
    <mergeCell ref="M147:M148"/>
    <mergeCell ref="D120:G120"/>
    <mergeCell ref="B118:B120"/>
    <mergeCell ref="E118:G118"/>
    <mergeCell ref="B123:C123"/>
    <mergeCell ref="B124:C124"/>
    <mergeCell ref="E146:G146"/>
    <mergeCell ref="B132:B134"/>
    <mergeCell ref="E132:G132"/>
    <mergeCell ref="D134:G134"/>
    <mergeCell ref="B137:C137"/>
    <mergeCell ref="B138:C138"/>
  </mergeCells>
  <printOptions horizontalCentered="1"/>
  <pageMargins left="0.2" right="0.2" top="0.25" bottom="0.25" header="0.05" footer="0.05"/>
  <pageSetup paperSize="3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M35"/>
  <sheetViews>
    <sheetView workbookViewId="0"/>
  </sheetViews>
  <sheetFormatPr defaultColWidth="14.42578125" defaultRowHeight="15" customHeight="1"/>
  <cols>
    <col min="1" max="1" width="40.85546875" customWidth="1"/>
    <col min="2" max="2" width="22.85546875" customWidth="1"/>
    <col min="3" max="3" width="16.28515625" customWidth="1"/>
    <col min="4" max="4" width="19.28515625" customWidth="1"/>
    <col min="5" max="5" width="16" customWidth="1"/>
    <col min="6" max="6" width="16.85546875" customWidth="1"/>
    <col min="7" max="7" width="16" customWidth="1"/>
    <col min="8" max="9" width="15.7109375" customWidth="1"/>
    <col min="10" max="10" width="15.85546875" customWidth="1"/>
  </cols>
  <sheetData>
    <row r="3" spans="1:13" ht="15" customHeight="1">
      <c r="A3" s="4" t="s">
        <v>18</v>
      </c>
    </row>
    <row r="4" spans="1:13" ht="15" customHeight="1">
      <c r="A4" s="5"/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7" t="s">
        <v>28</v>
      </c>
      <c r="L4" s="7" t="s">
        <v>29</v>
      </c>
      <c r="M4" s="7" t="s">
        <v>30</v>
      </c>
    </row>
    <row r="5" spans="1:13" ht="15" customHeight="1">
      <c r="A5" s="8" t="s">
        <v>31</v>
      </c>
      <c r="B5" s="9">
        <v>4.3</v>
      </c>
      <c r="C5" s="10">
        <v>956</v>
      </c>
      <c r="D5" s="10">
        <v>956</v>
      </c>
      <c r="E5" s="10">
        <v>1743</v>
      </c>
      <c r="F5" s="10">
        <v>1743</v>
      </c>
      <c r="G5" s="10">
        <v>2015</v>
      </c>
      <c r="H5" s="10">
        <v>2005</v>
      </c>
      <c r="I5" s="10">
        <v>2007</v>
      </c>
      <c r="J5" s="10">
        <v>2013</v>
      </c>
      <c r="K5" s="11">
        <f>AVERAGE((G5:J5))</f>
        <v>2010</v>
      </c>
      <c r="L5" s="11">
        <f t="shared" ref="L5:L9" si="0">AVERAGE(E5,F5)</f>
        <v>1743</v>
      </c>
      <c r="M5" s="11">
        <f t="shared" ref="M5:M9" si="1">AVERAGE(C5,D5)</f>
        <v>956</v>
      </c>
    </row>
    <row r="6" spans="1:13" ht="15" customHeight="1">
      <c r="A6" s="8" t="s">
        <v>31</v>
      </c>
      <c r="B6" s="10">
        <v>48.3</v>
      </c>
      <c r="C6" s="10">
        <v>85</v>
      </c>
      <c r="D6" s="10">
        <v>86</v>
      </c>
      <c r="E6" s="10">
        <v>150</v>
      </c>
      <c r="F6" s="10">
        <v>150</v>
      </c>
      <c r="G6" s="10">
        <v>170</v>
      </c>
      <c r="H6" s="10">
        <v>170</v>
      </c>
      <c r="I6" s="10">
        <v>170</v>
      </c>
      <c r="J6" s="10">
        <v>170</v>
      </c>
      <c r="K6" s="11">
        <f t="shared" ref="K6:K9" si="2">AVERAGE(G6:J6)</f>
        <v>170</v>
      </c>
      <c r="L6" s="11">
        <f t="shared" si="0"/>
        <v>150</v>
      </c>
      <c r="M6" s="11">
        <f t="shared" si="1"/>
        <v>85.5</v>
      </c>
    </row>
    <row r="7" spans="1:13" ht="15" customHeight="1">
      <c r="A7" s="8" t="s">
        <v>32</v>
      </c>
      <c r="B7" s="10">
        <v>4.3</v>
      </c>
      <c r="C7" s="10">
        <v>331</v>
      </c>
      <c r="D7" s="10">
        <v>332</v>
      </c>
      <c r="E7" s="10">
        <v>607</v>
      </c>
      <c r="F7" s="10">
        <v>606</v>
      </c>
      <c r="G7" s="10">
        <v>700</v>
      </c>
      <c r="H7" s="10">
        <v>701</v>
      </c>
      <c r="I7" s="10">
        <v>701</v>
      </c>
      <c r="J7" s="10">
        <v>700</v>
      </c>
      <c r="K7" s="11">
        <f t="shared" si="2"/>
        <v>700.5</v>
      </c>
      <c r="L7" s="11">
        <f t="shared" si="0"/>
        <v>606.5</v>
      </c>
      <c r="M7" s="11">
        <f t="shared" si="1"/>
        <v>331.5</v>
      </c>
    </row>
    <row r="8" spans="1:13" ht="15" customHeight="1">
      <c r="A8" s="8" t="s">
        <v>32</v>
      </c>
      <c r="B8" s="10">
        <v>48.3</v>
      </c>
      <c r="C8" s="12">
        <f>58.1/2</f>
        <v>29.05</v>
      </c>
      <c r="D8" s="12">
        <f>58.5/2</f>
        <v>29.25</v>
      </c>
      <c r="E8" s="13">
        <f>48.88+3.15</f>
        <v>52.03</v>
      </c>
      <c r="F8" s="12">
        <f>48.88+2.84</f>
        <v>51.72</v>
      </c>
      <c r="G8" s="14">
        <f>117/2 + 0.6</f>
        <v>59.1</v>
      </c>
      <c r="H8" s="14">
        <f>117/2 + 1.1</f>
        <v>59.6</v>
      </c>
      <c r="I8" s="14">
        <f>117/2 + 0.7</f>
        <v>59.2</v>
      </c>
      <c r="J8" s="14">
        <f>117/2 + 0.4</f>
        <v>58.9</v>
      </c>
      <c r="K8" s="11">
        <f t="shared" si="2"/>
        <v>59.2</v>
      </c>
      <c r="L8" s="15">
        <f t="shared" si="0"/>
        <v>51.875</v>
      </c>
      <c r="M8" s="15">
        <f t="shared" si="1"/>
        <v>29.15</v>
      </c>
    </row>
    <row r="9" spans="1:13" ht="15" customHeight="1">
      <c r="A9" s="8" t="s">
        <v>33</v>
      </c>
      <c r="B9" s="16">
        <v>48.3</v>
      </c>
      <c r="C9" s="16">
        <f>7*2.5 + 0.93</f>
        <v>18.43</v>
      </c>
      <c r="D9" s="16">
        <f>7*2.5+0.97</f>
        <v>18.47</v>
      </c>
      <c r="E9" s="17">
        <f t="shared" ref="E9:F9" si="3">31.11 + 1.35</f>
        <v>32.46</v>
      </c>
      <c r="F9" s="17">
        <f t="shared" si="3"/>
        <v>32.46</v>
      </c>
      <c r="G9" s="14">
        <f>71.38/2 + 1.25</f>
        <v>36.94</v>
      </c>
      <c r="H9" s="14">
        <f>71.38/2 + 1.33</f>
        <v>37.019999999999996</v>
      </c>
      <c r="I9" s="14">
        <f>71.38/2 + 1.29</f>
        <v>36.979999999999997</v>
      </c>
      <c r="J9" s="14">
        <f>71.38/2 + 1.32</f>
        <v>37.01</v>
      </c>
      <c r="K9" s="11">
        <f t="shared" si="2"/>
        <v>36.987499999999997</v>
      </c>
      <c r="L9" s="18">
        <f t="shared" si="0"/>
        <v>32.46</v>
      </c>
      <c r="M9" s="18">
        <f t="shared" si="1"/>
        <v>18.45</v>
      </c>
    </row>
    <row r="10" spans="1:13" ht="15" customHeight="1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1:13" ht="15" customHeight="1">
      <c r="A11" s="21" t="s">
        <v>34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3" ht="15" customHeight="1">
      <c r="A12" s="22"/>
      <c r="B12" s="23" t="s">
        <v>19</v>
      </c>
      <c r="C12" s="23" t="s">
        <v>20</v>
      </c>
      <c r="D12" s="23" t="s">
        <v>21</v>
      </c>
      <c r="E12" s="23" t="s">
        <v>22</v>
      </c>
      <c r="F12" s="23" t="s">
        <v>23</v>
      </c>
      <c r="G12" s="23" t="s">
        <v>24</v>
      </c>
      <c r="H12" s="23" t="s">
        <v>25</v>
      </c>
      <c r="I12" s="23" t="s">
        <v>26</v>
      </c>
      <c r="J12" s="23" t="s">
        <v>27</v>
      </c>
      <c r="K12" s="24" t="s">
        <v>28</v>
      </c>
      <c r="L12" s="24" t="s">
        <v>29</v>
      </c>
      <c r="M12" s="24" t="s">
        <v>30</v>
      </c>
    </row>
    <row r="13" spans="1:13" ht="15" customHeight="1">
      <c r="A13" s="25" t="s">
        <v>35</v>
      </c>
      <c r="B13" s="26">
        <v>4.3</v>
      </c>
      <c r="C13" s="27">
        <f>10*2.5+1.27</f>
        <v>26.27</v>
      </c>
      <c r="D13" s="27">
        <f>10*2.5 + 1.25</f>
        <v>26.25</v>
      </c>
      <c r="E13" s="27">
        <f>101.79/2 + 1.62</f>
        <v>52.515000000000001</v>
      </c>
      <c r="F13" s="27">
        <f>101.79/2 + 0.84</f>
        <v>51.735000000000007</v>
      </c>
      <c r="G13" s="27">
        <f>123/2 + 1.81</f>
        <v>63.31</v>
      </c>
      <c r="H13" s="27">
        <f>123/2 + 1.93</f>
        <v>63.43</v>
      </c>
      <c r="I13" s="27">
        <f>123/2 + 1.17</f>
        <v>62.67</v>
      </c>
      <c r="J13" s="27">
        <f>123/2 + 0.86</f>
        <v>62.36</v>
      </c>
      <c r="K13" s="28">
        <f t="shared" ref="K13:K18" si="4">AVERAGE(G13:J13)</f>
        <v>62.94250000000001</v>
      </c>
      <c r="L13" s="28">
        <f t="shared" ref="L13:L18" si="5">AVERAGE(E13,F13)</f>
        <v>52.125</v>
      </c>
      <c r="M13" s="28">
        <f t="shared" ref="M13:M18" si="6">AVERAGE(C13,D13)</f>
        <v>26.259999999999998</v>
      </c>
    </row>
    <row r="14" spans="1:13" ht="15" customHeight="1">
      <c r="A14" s="25" t="s">
        <v>35</v>
      </c>
      <c r="B14" s="27">
        <v>48.3</v>
      </c>
      <c r="C14" s="27">
        <f>2*2.5 + 0.77</f>
        <v>5.77</v>
      </c>
      <c r="D14" s="27">
        <f>2*2.5+0.95</f>
        <v>5.95</v>
      </c>
      <c r="E14" s="27">
        <f>20.39/2 + 0.39</f>
        <v>10.585000000000001</v>
      </c>
      <c r="F14" s="27">
        <f>20.39/2 + 0.47</f>
        <v>10.665000000000001</v>
      </c>
      <c r="G14" s="27">
        <f>20.39/2 + 2.07</f>
        <v>12.265000000000001</v>
      </c>
      <c r="H14" s="27">
        <f>20.39/2 + 1.87</f>
        <v>12.065000000000001</v>
      </c>
      <c r="I14" s="27">
        <f>20.39/2 + 1.97</f>
        <v>12.165000000000001</v>
      </c>
      <c r="J14" s="27">
        <f>20.39/2 + 2.05</f>
        <v>12.245000000000001</v>
      </c>
      <c r="K14" s="28">
        <f t="shared" si="4"/>
        <v>12.185000000000002</v>
      </c>
      <c r="L14" s="28">
        <f t="shared" si="5"/>
        <v>10.625</v>
      </c>
      <c r="M14" s="28">
        <f t="shared" si="6"/>
        <v>5.8599999999999994</v>
      </c>
    </row>
    <row r="15" spans="1:13" ht="15" customHeight="1">
      <c r="A15" s="25" t="s">
        <v>36</v>
      </c>
      <c r="B15" s="27">
        <v>4.3</v>
      </c>
      <c r="C15" s="27">
        <f t="shared" ref="C15:D15" si="7">10*2.5+1.37</f>
        <v>26.37</v>
      </c>
      <c r="D15" s="27">
        <f t="shared" si="7"/>
        <v>26.37</v>
      </c>
      <c r="E15" s="27">
        <f>101.79/2 + 1.42</f>
        <v>52.315000000000005</v>
      </c>
      <c r="F15" s="27">
        <f>101.79/2 + 0.71</f>
        <v>51.605000000000004</v>
      </c>
      <c r="G15" s="27">
        <f>123/2 + 1.02</f>
        <v>62.52</v>
      </c>
      <c r="H15" s="27">
        <f>123/2 + 1.18</f>
        <v>62.68</v>
      </c>
      <c r="I15" s="27">
        <f>123/2 + 0.41</f>
        <v>61.91</v>
      </c>
      <c r="J15" s="27">
        <f>123/2 + 0.38</f>
        <v>61.88</v>
      </c>
      <c r="K15" s="28">
        <f t="shared" si="4"/>
        <v>62.247500000000002</v>
      </c>
      <c r="L15" s="28">
        <f t="shared" si="5"/>
        <v>51.960000000000008</v>
      </c>
      <c r="M15" s="28">
        <f t="shared" si="6"/>
        <v>26.37</v>
      </c>
    </row>
    <row r="16" spans="1:13" ht="15" customHeight="1">
      <c r="A16" s="25" t="s">
        <v>36</v>
      </c>
      <c r="B16" s="27">
        <v>48.3</v>
      </c>
      <c r="C16" s="29">
        <f>2*2.5+0.75</f>
        <v>5.75</v>
      </c>
      <c r="D16" s="29">
        <f>2*2.5+0.64</f>
        <v>5.64</v>
      </c>
      <c r="E16" s="30">
        <f>8.89+1.27</f>
        <v>10.16</v>
      </c>
      <c r="F16" s="29">
        <f>8.89+1.32</f>
        <v>10.210000000000001</v>
      </c>
      <c r="G16" s="31">
        <f>20.39/2+1.61</f>
        <v>11.805</v>
      </c>
      <c r="H16" s="31">
        <f>20.39/2+1.55</f>
        <v>11.745000000000001</v>
      </c>
      <c r="I16" s="31">
        <f>20.39/2+1.59</f>
        <v>11.785</v>
      </c>
      <c r="J16" s="31">
        <f>20.39/2+1.643</f>
        <v>11.838000000000001</v>
      </c>
      <c r="K16" s="28">
        <f t="shared" si="4"/>
        <v>11.79325</v>
      </c>
      <c r="L16" s="32">
        <f t="shared" si="5"/>
        <v>10.185</v>
      </c>
      <c r="M16" s="32">
        <f t="shared" si="6"/>
        <v>5.6950000000000003</v>
      </c>
    </row>
    <row r="17" spans="1:13" ht="15" customHeight="1">
      <c r="A17" s="25" t="s">
        <v>37</v>
      </c>
      <c r="B17" s="33">
        <v>4.3</v>
      </c>
      <c r="C17" s="33">
        <f>10*2.5+1.28</f>
        <v>26.28</v>
      </c>
      <c r="D17" s="33">
        <f>10*2.5+1.27</f>
        <v>26.27</v>
      </c>
      <c r="E17" s="34">
        <f>101.79/2+0.63</f>
        <v>51.525000000000006</v>
      </c>
      <c r="F17" s="34">
        <f>101.79/2+1.16</f>
        <v>52.055</v>
      </c>
      <c r="G17" s="31">
        <f>123/2+1.03</f>
        <v>62.53</v>
      </c>
      <c r="H17" s="31">
        <f>123/2+0.77</f>
        <v>62.27</v>
      </c>
      <c r="I17" s="27">
        <v>62.53</v>
      </c>
      <c r="J17" s="31">
        <f>123/2</f>
        <v>61.5</v>
      </c>
      <c r="K17" s="28">
        <f t="shared" si="4"/>
        <v>62.207500000000003</v>
      </c>
      <c r="L17" s="35">
        <f t="shared" si="5"/>
        <v>51.790000000000006</v>
      </c>
      <c r="M17" s="35">
        <f t="shared" si="6"/>
        <v>26.274999999999999</v>
      </c>
    </row>
    <row r="18" spans="1:13" ht="15" customHeight="1">
      <c r="A18" s="25" t="s">
        <v>37</v>
      </c>
      <c r="B18" s="33">
        <v>48.3</v>
      </c>
      <c r="C18" s="33">
        <f t="shared" ref="C18:D18" si="8">5+0.51</f>
        <v>5.51</v>
      </c>
      <c r="D18" s="33">
        <f t="shared" si="8"/>
        <v>5.51</v>
      </c>
      <c r="E18" s="34">
        <f>8.89+0.91</f>
        <v>9.8000000000000007</v>
      </c>
      <c r="F18" s="34">
        <f>8.89+0.95</f>
        <v>9.84</v>
      </c>
      <c r="G18" s="31">
        <f t="shared" ref="G18:H18" si="9">20.39/2+1.3</f>
        <v>11.495000000000001</v>
      </c>
      <c r="H18" s="31">
        <f t="shared" si="9"/>
        <v>11.495000000000001</v>
      </c>
      <c r="I18" s="31">
        <f>20.39/2+1.17</f>
        <v>11.365</v>
      </c>
      <c r="J18" s="31">
        <f>20.39/2+1.14</f>
        <v>11.335000000000001</v>
      </c>
      <c r="K18" s="28">
        <f t="shared" si="4"/>
        <v>11.422500000000001</v>
      </c>
      <c r="L18" s="35">
        <f t="shared" si="5"/>
        <v>9.82</v>
      </c>
      <c r="M18" s="35">
        <f t="shared" si="6"/>
        <v>5.51</v>
      </c>
    </row>
    <row r="20" spans="1:13" ht="15" customHeight="1">
      <c r="A20" s="36" t="s">
        <v>38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3" ht="15" customHeight="1">
      <c r="A21" s="37"/>
      <c r="B21" s="38" t="s">
        <v>19</v>
      </c>
      <c r="C21" s="38" t="s">
        <v>39</v>
      </c>
      <c r="D21" s="38" t="s">
        <v>40</v>
      </c>
      <c r="E21" s="38" t="s">
        <v>41</v>
      </c>
      <c r="F21" s="38" t="s">
        <v>42</v>
      </c>
      <c r="G21" s="38" t="s">
        <v>43</v>
      </c>
      <c r="H21" s="38" t="s">
        <v>44</v>
      </c>
      <c r="I21" s="39"/>
      <c r="J21" s="39"/>
      <c r="K21" s="39"/>
    </row>
    <row r="22" spans="1:13" ht="15" customHeight="1">
      <c r="A22" s="40" t="s">
        <v>35</v>
      </c>
      <c r="B22" s="41">
        <v>4.3</v>
      </c>
      <c r="C22" s="42">
        <f>ATAN((AVERAGE(C5,D5) - AVERAGE(C13,D13))/(1500-B35))*180/PI()</f>
        <v>32.001644517495784</v>
      </c>
      <c r="D22" s="42">
        <f>ATAN((AVERAGE(E5,F5) - AVERAGE(E13,F13))/(1500-B35))*180/PI()</f>
        <v>48.655469390715659</v>
      </c>
      <c r="E22" s="42">
        <f>ATAN((K5 - K13)/(1500-B35))*180/PI()</f>
        <v>52.615563316574793</v>
      </c>
      <c r="F22" s="42">
        <f>AVERAGE(C13,D13)/TAN(C22*PI()/180)-B35</f>
        <v>29.822100802374859</v>
      </c>
      <c r="G22" s="42">
        <f>AVERAGE(E13,F13)/TAN(D22*PI()/180)-B35</f>
        <v>33.664759370148587</v>
      </c>
      <c r="H22" s="42">
        <f>K13/TAN(E22*PI()/180)-B35</f>
        <v>35.896089355347755</v>
      </c>
      <c r="I22" s="43"/>
      <c r="J22" s="43"/>
      <c r="K22" s="44"/>
    </row>
    <row r="23" spans="1:13" ht="15" customHeight="1">
      <c r="A23" s="40" t="s">
        <v>35</v>
      </c>
      <c r="B23" s="45">
        <v>48.3</v>
      </c>
      <c r="C23" s="42">
        <f>ATAN((AVERAGE(C6,D6) - AVERAGE(C14,D14))/(1500-B35))*180/PI()</f>
        <v>3.0640443400067849</v>
      </c>
      <c r="D23" s="42">
        <f>ATAN((AVERAGE(E6,F6) - AVERAGE(E14,F14))/(1500-B35))*180/PI()</f>
        <v>5.3517689346381339</v>
      </c>
      <c r="E23" s="42">
        <f>ATAN((K6 - K14)/(1500-B35))*180/PI()</f>
        <v>6.0548785236968978</v>
      </c>
      <c r="F23" s="42">
        <f t="shared" ref="F23:F25" si="10">AVERAGE(C14,D14)/TAN(C23*PI()/180)-B$35</f>
        <v>97.273982923154179</v>
      </c>
      <c r="G23" s="42">
        <f t="shared" ref="G23:G25" si="11">AVERAGE(E14,F14)/TAN(D23*PI()/180)-B$35</f>
        <v>101.21973094170403</v>
      </c>
      <c r="H23" s="42">
        <f t="shared" ref="H23:H25" si="12">K14/TAN(E23*PI()/180)-B$35</f>
        <v>102.67401704527457</v>
      </c>
      <c r="I23" s="43"/>
      <c r="J23" s="43"/>
      <c r="K23" s="44"/>
    </row>
    <row r="24" spans="1:13" ht="15" customHeight="1">
      <c r="A24" s="40" t="s">
        <v>36</v>
      </c>
      <c r="B24" s="45">
        <v>4.3</v>
      </c>
      <c r="C24" s="42">
        <f>ATAN((AVERAGE(C7,D7) - AVERAGE(C15,D15))/(500-B35))*180/PI()</f>
        <v>32.026916426219593</v>
      </c>
      <c r="D24" s="42">
        <f>ATAN((AVERAGE(E7,F7) - AVERAGE(E15,F15))/(500-B35))*180/PI()</f>
        <v>48.663591036599449</v>
      </c>
      <c r="E24" s="42">
        <f>ATAN((K7 - K15)/500)*180/PI()</f>
        <v>51.925240895599288</v>
      </c>
      <c r="F24" s="42">
        <f t="shared" si="10"/>
        <v>29.956739750270376</v>
      </c>
      <c r="G24" s="42">
        <f t="shared" si="11"/>
        <v>33.50650990009737</v>
      </c>
      <c r="H24" s="42">
        <f t="shared" si="12"/>
        <v>36.564007974900221</v>
      </c>
      <c r="I24" s="43"/>
      <c r="J24" s="43"/>
      <c r="K24" s="44"/>
    </row>
    <row r="25" spans="1:13" ht="15" customHeight="1">
      <c r="A25" s="40" t="s">
        <v>36</v>
      </c>
      <c r="B25" s="45">
        <v>48.3</v>
      </c>
      <c r="C25" s="42">
        <f>ATAN((AVERAGE(C8,D8) - AVERAGE(C16,D16))/(500-B35))*180/PI()</f>
        <v>2.7528459744932587</v>
      </c>
      <c r="D25" s="42">
        <f>ATAN((AVERAGE(E8,F8) - AVERAGE(E16,F16))/(500-B35))*180/PI()</f>
        <v>4.8849334779274667</v>
      </c>
      <c r="E25" s="42">
        <f>ATAN((K8 - K16)/(500-B35))*180/PI()</f>
        <v>5.5508474975251554</v>
      </c>
      <c r="F25" s="42">
        <f t="shared" si="10"/>
        <v>106.24046045619272</v>
      </c>
      <c r="G25" s="42">
        <f t="shared" si="11"/>
        <v>106.97109618613578</v>
      </c>
      <c r="H25" s="42">
        <f t="shared" si="12"/>
        <v>109.14869717919916</v>
      </c>
      <c r="I25" s="44"/>
      <c r="J25" s="44"/>
      <c r="K25" s="44"/>
    </row>
    <row r="26" spans="1:13" ht="15" customHeight="1">
      <c r="A26" s="40" t="s">
        <v>37</v>
      </c>
      <c r="B26" s="46">
        <v>48.3</v>
      </c>
      <c r="C26" s="42">
        <f>ATAN((AVERAGE(C9,D9) - AVERAGE(C18,D18))/(300-B35))*180/PI()</f>
        <v>2.5743863508745051</v>
      </c>
      <c r="D26" s="42">
        <f>ATAN((AVERAGE(E9,F9) - AVERAGE(E18,F18))/300)*180/PI()</f>
        <v>4.3157408718457297</v>
      </c>
      <c r="E26" s="42">
        <f>ATAN((K9 - K18)/(300-B35))*180/PI()</f>
        <v>5.0762060868888934</v>
      </c>
      <c r="F26" s="42">
        <f>AVERAGE(C18,D18)/TAN(C26*PI()/180)-B$35</f>
        <v>110.3485316846986</v>
      </c>
      <c r="G26" s="42">
        <f>AVERAGE(E18,F18)/TAN(D26*PI()/180)-B$35</f>
        <v>117.92367491166077</v>
      </c>
      <c r="H26" s="42">
        <f>K18/TAN(E26*PI()/180)-B$35</f>
        <v>116.38969293956585</v>
      </c>
      <c r="I26" s="43"/>
      <c r="J26" s="44"/>
      <c r="K26" s="44"/>
    </row>
    <row r="35" spans="1:2" ht="15" customHeight="1">
      <c r="A35" s="47" t="s">
        <v>45</v>
      </c>
      <c r="B35" s="48">
        <f>12.2</f>
        <v>12.2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3:M28"/>
  <sheetViews>
    <sheetView workbookViewId="0">
      <selection activeCell="A3" sqref="A3:M7"/>
    </sheetView>
  </sheetViews>
  <sheetFormatPr defaultColWidth="14.42578125" defaultRowHeight="15" customHeight="1"/>
  <cols>
    <col min="1" max="1" width="40.85546875" customWidth="1"/>
    <col min="2" max="2" width="22.85546875" customWidth="1"/>
    <col min="3" max="3" width="16.28515625" customWidth="1"/>
    <col min="4" max="4" width="19.28515625" customWidth="1"/>
    <col min="5" max="5" width="16" customWidth="1"/>
    <col min="6" max="6" width="16.85546875" customWidth="1"/>
    <col min="7" max="7" width="16" customWidth="1"/>
    <col min="8" max="9" width="15.7109375" customWidth="1"/>
    <col min="10" max="10" width="15.85546875" customWidth="1"/>
  </cols>
  <sheetData>
    <row r="3" spans="1:13" ht="15" customHeight="1">
      <c r="A3" s="4" t="s">
        <v>18</v>
      </c>
    </row>
    <row r="4" spans="1:13" ht="15" customHeight="1">
      <c r="A4" s="5"/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7" t="s">
        <v>28</v>
      </c>
      <c r="L4" s="7" t="s">
        <v>29</v>
      </c>
      <c r="M4" s="7" t="s">
        <v>30</v>
      </c>
    </row>
    <row r="5" spans="1:13" ht="15" customHeight="1">
      <c r="A5" s="8" t="s">
        <v>31</v>
      </c>
      <c r="B5" s="9">
        <v>5.2</v>
      </c>
      <c r="C5" s="10">
        <v>788</v>
      </c>
      <c r="D5" s="10">
        <v>789</v>
      </c>
      <c r="E5" s="10">
        <v>1390</v>
      </c>
      <c r="F5" s="10">
        <v>1397</v>
      </c>
      <c r="G5" s="10">
        <v>1592</v>
      </c>
      <c r="H5" s="10">
        <v>1582</v>
      </c>
      <c r="I5" s="10">
        <v>1585</v>
      </c>
      <c r="J5" s="10">
        <v>1592</v>
      </c>
      <c r="K5" s="11">
        <f>AVERAGE((G5:J5))</f>
        <v>1587.75</v>
      </c>
      <c r="L5" s="11">
        <f t="shared" ref="L5:L7" si="0">AVERAGE(E5,F5)</f>
        <v>1393.5</v>
      </c>
      <c r="M5" s="11">
        <f t="shared" ref="M5:M7" si="1">AVERAGE(C5,D5)</f>
        <v>788.5</v>
      </c>
    </row>
    <row r="6" spans="1:13" ht="15" customHeight="1">
      <c r="A6" s="8" t="s">
        <v>32</v>
      </c>
      <c r="B6" s="10">
        <v>5.2</v>
      </c>
      <c r="C6" s="10">
        <v>274</v>
      </c>
      <c r="D6" s="10">
        <v>274</v>
      </c>
      <c r="E6" s="10">
        <v>487</v>
      </c>
      <c r="F6" s="10">
        <v>483</v>
      </c>
      <c r="G6" s="10">
        <v>556</v>
      </c>
      <c r="H6" s="10">
        <v>556</v>
      </c>
      <c r="I6" s="10">
        <v>558</v>
      </c>
      <c r="J6" s="10">
        <v>557</v>
      </c>
      <c r="K6" s="11">
        <f t="shared" ref="K6:K7" si="2">AVERAGE(G6:J6)</f>
        <v>556.75</v>
      </c>
      <c r="L6" s="11">
        <f t="shared" si="0"/>
        <v>485</v>
      </c>
      <c r="M6" s="11">
        <f t="shared" si="1"/>
        <v>274</v>
      </c>
    </row>
    <row r="7" spans="1:13" ht="15" customHeight="1">
      <c r="A7" s="8" t="s">
        <v>33</v>
      </c>
      <c r="B7" s="12">
        <v>5.2</v>
      </c>
      <c r="C7" s="16">
        <v>170</v>
      </c>
      <c r="D7" s="49">
        <v>172</v>
      </c>
      <c r="E7" s="49">
        <v>304</v>
      </c>
      <c r="F7" s="49">
        <v>302</v>
      </c>
      <c r="G7" s="10">
        <v>344</v>
      </c>
      <c r="H7" s="10">
        <v>347</v>
      </c>
      <c r="I7" s="10">
        <v>347</v>
      </c>
      <c r="J7" s="10">
        <v>346</v>
      </c>
      <c r="K7" s="11">
        <f t="shared" si="2"/>
        <v>346</v>
      </c>
      <c r="L7" s="50">
        <f t="shared" si="0"/>
        <v>303</v>
      </c>
      <c r="M7" s="18">
        <f t="shared" si="1"/>
        <v>171</v>
      </c>
    </row>
    <row r="8" spans="1:13" ht="15" customHeight="1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3" ht="15" customHeight="1">
      <c r="A9" s="21" t="s">
        <v>34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3" ht="15" customHeight="1">
      <c r="A10" s="22"/>
      <c r="B10" s="23" t="s">
        <v>19</v>
      </c>
      <c r="C10" s="23" t="s">
        <v>20</v>
      </c>
      <c r="D10" s="23" t="s">
        <v>21</v>
      </c>
      <c r="E10" s="23" t="s">
        <v>22</v>
      </c>
      <c r="F10" s="23" t="s">
        <v>23</v>
      </c>
      <c r="G10" s="23" t="s">
        <v>24</v>
      </c>
      <c r="H10" s="23" t="s">
        <v>25</v>
      </c>
      <c r="I10" s="23" t="s">
        <v>26</v>
      </c>
      <c r="J10" s="23" t="s">
        <v>27</v>
      </c>
      <c r="K10" s="24" t="s">
        <v>28</v>
      </c>
      <c r="L10" s="24" t="s">
        <v>29</v>
      </c>
      <c r="M10" s="24" t="s">
        <v>30</v>
      </c>
    </row>
    <row r="11" spans="1:13" ht="15" customHeight="1">
      <c r="A11" s="25" t="s">
        <v>35</v>
      </c>
      <c r="B11" s="26">
        <v>5.2</v>
      </c>
      <c r="C11" s="27">
        <f>9*2.5+0.4</f>
        <v>22.9</v>
      </c>
      <c r="D11" s="27">
        <f>9*2.5 + 0.1</f>
        <v>22.6</v>
      </c>
      <c r="E11" s="33">
        <f>81.43/2 + 2.49</f>
        <v>43.205000000000005</v>
      </c>
      <c r="F11" s="33">
        <f>81.43/2 + 2.9</f>
        <v>43.615000000000002</v>
      </c>
      <c r="G11" s="27">
        <f>101.79/2 + 1.2</f>
        <v>52.095000000000006</v>
      </c>
      <c r="H11" s="27">
        <f>101.72/2 + 0.8</f>
        <v>51.66</v>
      </c>
      <c r="I11" s="27">
        <f>101.72/2 + 0.6</f>
        <v>51.46</v>
      </c>
      <c r="J11" s="27">
        <f>101.72/2 + 0.96</f>
        <v>51.82</v>
      </c>
      <c r="K11" s="28">
        <f t="shared" ref="K11:K13" si="3">AVERAGE(G11:J11)</f>
        <v>51.758749999999999</v>
      </c>
      <c r="L11" s="35">
        <f t="shared" ref="L11:L13" si="4">AVERAGE(E11,F11)</f>
        <v>43.410000000000004</v>
      </c>
      <c r="M11" s="28">
        <f t="shared" ref="M11:M13" si="5">AVERAGE(C11,D11)</f>
        <v>22.75</v>
      </c>
    </row>
    <row r="12" spans="1:13" ht="15" customHeight="1">
      <c r="A12" s="25" t="s">
        <v>36</v>
      </c>
      <c r="B12" s="27">
        <v>5.2</v>
      </c>
      <c r="C12" s="27">
        <f>9*2.5+0.24</f>
        <v>22.74</v>
      </c>
      <c r="D12" s="27">
        <f>9*2.5</f>
        <v>22.5</v>
      </c>
      <c r="E12" s="33">
        <f>81.43/2 + 2.21</f>
        <v>42.925000000000004</v>
      </c>
      <c r="F12" s="33">
        <f>81.43/2 + 2.52</f>
        <v>43.235000000000007</v>
      </c>
      <c r="G12" s="27">
        <f>91.78/2 + 5.21</f>
        <v>51.1</v>
      </c>
      <c r="H12" s="27">
        <f>91.78/2 + 4.62</f>
        <v>50.51</v>
      </c>
      <c r="I12" s="27">
        <f>91.78/2 + 4.5</f>
        <v>50.39</v>
      </c>
      <c r="J12" s="27">
        <f>91.78/2 + 4.99</f>
        <v>50.88</v>
      </c>
      <c r="K12" s="28">
        <f t="shared" si="3"/>
        <v>50.72</v>
      </c>
      <c r="L12" s="35">
        <f t="shared" si="4"/>
        <v>43.080000000000005</v>
      </c>
      <c r="M12" s="28">
        <f t="shared" si="5"/>
        <v>22.619999999999997</v>
      </c>
    </row>
    <row r="13" spans="1:13" ht="15" customHeight="1">
      <c r="A13" s="25" t="s">
        <v>37</v>
      </c>
      <c r="B13" s="29">
        <v>5.2</v>
      </c>
      <c r="C13" s="27">
        <f>9*2.5+0.22</f>
        <v>22.72</v>
      </c>
      <c r="D13" s="27">
        <f>8*2.5 + 2.28</f>
        <v>22.28</v>
      </c>
      <c r="E13" s="33">
        <f>81.43/2 + 2.16</f>
        <v>42.875</v>
      </c>
      <c r="F13" s="33">
        <f>81.43/2 + 2.76</f>
        <v>43.475000000000001</v>
      </c>
      <c r="G13" s="27">
        <f>91.78/2 + 4.48</f>
        <v>50.370000000000005</v>
      </c>
      <c r="H13" s="27">
        <f>91.78/2 + 5.14</f>
        <v>51.03</v>
      </c>
      <c r="I13" s="27">
        <f>91.78/2 + 4.74</f>
        <v>50.63</v>
      </c>
      <c r="J13" s="27">
        <f>91.78/2 + 4.34</f>
        <v>50.230000000000004</v>
      </c>
      <c r="K13" s="28">
        <f t="shared" si="3"/>
        <v>50.564999999999998</v>
      </c>
      <c r="L13" s="35">
        <f t="shared" si="4"/>
        <v>43.174999999999997</v>
      </c>
      <c r="M13" s="28">
        <f t="shared" si="5"/>
        <v>22.5</v>
      </c>
    </row>
    <row r="15" spans="1:13" ht="15" customHeight="1">
      <c r="A15" s="36" t="s">
        <v>38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3" ht="15" customHeight="1">
      <c r="A16" s="37"/>
      <c r="B16" s="38" t="s">
        <v>19</v>
      </c>
      <c r="C16" s="38" t="s">
        <v>39</v>
      </c>
      <c r="D16" s="38" t="s">
        <v>40</v>
      </c>
      <c r="E16" s="38" t="s">
        <v>41</v>
      </c>
      <c r="F16" s="38" t="s">
        <v>42</v>
      </c>
      <c r="G16" s="38" t="s">
        <v>43</v>
      </c>
      <c r="H16" s="38" t="s">
        <v>44</v>
      </c>
      <c r="I16" s="39"/>
      <c r="J16" s="39"/>
      <c r="K16" s="39"/>
    </row>
    <row r="17" spans="1:11" ht="15" customHeight="1">
      <c r="A17" s="40" t="s">
        <v>35</v>
      </c>
      <c r="B17" s="41">
        <v>5.2</v>
      </c>
      <c r="C17" s="42">
        <f>ATAN((M5 - M11)/(1500-B28))*180/PI()</f>
        <v>27.234251254420659</v>
      </c>
      <c r="D17" s="42">
        <f>ATAN((AVERAGE(E5,F5) - AVERAGE(E11,F11))/(1500-B28))*180/PI()</f>
        <v>42.221873486375877</v>
      </c>
      <c r="E17" s="42">
        <f>ATAN((K5 - K11)/(1500-B28))*180/PI()</f>
        <v>45.913066169094947</v>
      </c>
      <c r="F17" s="42">
        <f>AVERAGE(C11,D11)/TAN(C17*PI()/180)-B28</f>
        <v>32.001697682011098</v>
      </c>
      <c r="G17" s="42">
        <f>AVERAGE(E11,F11)/TAN(D17*PI()/180)-B28</f>
        <v>35.637846365797841</v>
      </c>
      <c r="H17" s="42">
        <f>K11/TAN(E17*PI()/180)-B28</f>
        <v>37.934835240760634</v>
      </c>
      <c r="I17" s="43"/>
      <c r="J17" s="43"/>
      <c r="K17" s="44"/>
    </row>
    <row r="18" spans="1:11" ht="15" customHeight="1">
      <c r="A18" s="40" t="s">
        <v>36</v>
      </c>
      <c r="B18" s="45">
        <v>5.2</v>
      </c>
      <c r="C18" s="42">
        <f>ATAN((AVERAGE(C6,D6) - AVERAGE(C12,D12))/(500-B28))*180/PI()</f>
        <v>27.263597519721387</v>
      </c>
      <c r="D18" s="42">
        <f>ATAN((AVERAGE(E6,F6) - AVERAGE(E12,F12))/(500-B28))*180/PI()</f>
        <v>42.174848760944172</v>
      </c>
      <c r="E18" s="42">
        <f>ATAN((K6 - K12)/(500-B28))*180/PI()</f>
        <v>46.05086879601906</v>
      </c>
      <c r="F18" s="42">
        <f t="shared" ref="F18:F19" si="6">AVERAGE(C12,D12)/TAN(C18*PI()/180)-B$28</f>
        <v>31.693849948285457</v>
      </c>
      <c r="G18" s="42">
        <f t="shared" ref="G18:G19" si="7">AVERAGE(E12,F12)/TAN(D18*PI()/180)-B$28</f>
        <v>35.352552498189738</v>
      </c>
      <c r="H18" s="42">
        <f t="shared" ref="H18:H19" si="8">K12/TAN(E18*PI()/180)-B$28</f>
        <v>36.692785012746285</v>
      </c>
      <c r="I18" s="43"/>
      <c r="J18" s="43"/>
      <c r="K18" s="44"/>
    </row>
    <row r="19" spans="1:11" ht="15" customHeight="1">
      <c r="A19" s="40" t="s">
        <v>37</v>
      </c>
      <c r="B19" s="42">
        <v>5.2</v>
      </c>
      <c r="C19" s="42">
        <f>ATAN((AVERAGE(C7,D7) - AVERAGE(C13,D13))/(300-B28))*180/PI()</f>
        <v>27.292979377945926</v>
      </c>
      <c r="D19" s="42">
        <f>ATAN((AVERAGE(E7,F7) - AVERAGE(E13,F13))/(300-B28))*180/PI()</f>
        <v>42.075631414701583</v>
      </c>
      <c r="E19" s="42">
        <f>ATAN((K7 - K13)/(300-B28))*180/PI()</f>
        <v>45.750003498735126</v>
      </c>
      <c r="F19" s="42">
        <f t="shared" si="6"/>
        <v>31.40606060606061</v>
      </c>
      <c r="G19" s="42">
        <f t="shared" si="7"/>
        <v>35.62359280284808</v>
      </c>
      <c r="H19" s="42">
        <f t="shared" si="8"/>
        <v>37.058236160238266</v>
      </c>
      <c r="I19" s="43"/>
      <c r="J19" s="44"/>
      <c r="K19" s="44"/>
    </row>
    <row r="28" spans="1:11" ht="15" customHeight="1">
      <c r="A28" s="47" t="s">
        <v>45</v>
      </c>
      <c r="B28" s="48">
        <f>12.2</f>
        <v>12.2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FBCEB-1DFA-46A5-91C7-41127C1BEC4C}">
  <dimension ref="A1:M24"/>
  <sheetViews>
    <sheetView tabSelected="1" workbookViewId="0">
      <selection activeCell="E12" sqref="E12"/>
    </sheetView>
  </sheetViews>
  <sheetFormatPr defaultRowHeight="15"/>
  <cols>
    <col min="1" max="1" width="36.42578125" customWidth="1"/>
    <col min="2" max="2" width="29.42578125" customWidth="1"/>
    <col min="3" max="3" width="24.7109375" customWidth="1"/>
    <col min="4" max="4" width="27.28515625" customWidth="1"/>
    <col min="5" max="5" width="25" customWidth="1"/>
    <col min="6" max="6" width="24.42578125" customWidth="1"/>
    <col min="7" max="7" width="22" customWidth="1"/>
    <col min="8" max="8" width="28" customWidth="1"/>
  </cols>
  <sheetData>
    <row r="1" spans="1:13" ht="23.25">
      <c r="A1" s="4" t="s">
        <v>82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</row>
    <row r="2" spans="1:13" ht="18.75">
      <c r="A2" s="5"/>
      <c r="B2" s="6" t="s">
        <v>19</v>
      </c>
      <c r="C2" s="6" t="s">
        <v>80</v>
      </c>
      <c r="D2" s="6" t="s">
        <v>84</v>
      </c>
      <c r="E2" s="6" t="s">
        <v>81</v>
      </c>
      <c r="F2" s="6" t="s">
        <v>85</v>
      </c>
      <c r="G2" s="6" t="s">
        <v>83</v>
      </c>
      <c r="H2" s="6" t="s">
        <v>86</v>
      </c>
      <c r="I2" s="267"/>
      <c r="J2" s="267"/>
      <c r="K2" s="268"/>
      <c r="L2" s="268"/>
      <c r="M2" s="268"/>
    </row>
    <row r="3" spans="1:13" ht="18.75">
      <c r="A3" s="8" t="s">
        <v>31</v>
      </c>
      <c r="B3" s="9">
        <v>5.2</v>
      </c>
      <c r="C3" s="14">
        <v>120</v>
      </c>
      <c r="D3" s="14">
        <v>1500</v>
      </c>
      <c r="E3" s="14">
        <f>13*2.5-0.1</f>
        <v>32.4</v>
      </c>
      <c r="F3" s="14">
        <v>378</v>
      </c>
      <c r="G3" s="14">
        <f>180/PI()*ATAN((C3-E3)/(D3-F3))</f>
        <v>4.4643040271164214</v>
      </c>
      <c r="H3" s="14">
        <f>E3/TAN(G3*PI()/180) - F3</f>
        <v>36.986301369863043</v>
      </c>
      <c r="I3" s="269"/>
      <c r="J3" s="269"/>
      <c r="K3" s="270"/>
      <c r="L3" s="270"/>
      <c r="M3" s="270"/>
    </row>
    <row r="4" spans="1:13" ht="18.75">
      <c r="A4" s="8" t="s">
        <v>32</v>
      </c>
      <c r="B4" s="14">
        <v>5.2</v>
      </c>
      <c r="C4" s="14">
        <v>60</v>
      </c>
      <c r="D4" s="14">
        <v>500</v>
      </c>
      <c r="E4" s="14">
        <v>7.5</v>
      </c>
      <c r="F4" s="14">
        <v>31.5</v>
      </c>
      <c r="G4" s="14">
        <f>180/PI()*ATAN((C4-E4)/(D4-F4))</f>
        <v>6.3938771642707088</v>
      </c>
      <c r="H4" s="14">
        <f>E4/TAN(G4*PI()/180) - F4</f>
        <v>35.428571428571431</v>
      </c>
      <c r="I4" s="269"/>
      <c r="J4" s="269"/>
      <c r="K4" s="270"/>
      <c r="L4" s="270"/>
      <c r="M4" s="270"/>
    </row>
    <row r="5" spans="1:13" ht="18.75">
      <c r="A5" s="8" t="s">
        <v>33</v>
      </c>
      <c r="B5" s="13">
        <v>5.2</v>
      </c>
      <c r="C5" s="17">
        <v>30</v>
      </c>
      <c r="D5" s="17">
        <v>300.5</v>
      </c>
      <c r="E5" s="17">
        <v>7.31</v>
      </c>
      <c r="F5" s="17">
        <v>48</v>
      </c>
      <c r="G5" s="14">
        <f>180/PI()*ATAN((C5-E5)/(D5-F5))</f>
        <v>5.1348862844264538</v>
      </c>
      <c r="H5" s="14">
        <f>E5/TAN(G5*PI()/180) - F5</f>
        <v>33.347509916262666</v>
      </c>
      <c r="I5" s="269"/>
      <c r="J5" s="269"/>
      <c r="K5" s="270"/>
      <c r="L5" s="271"/>
      <c r="M5" s="272"/>
    </row>
    <row r="6" spans="1:13">
      <c r="A6" s="274"/>
      <c r="B6" s="274"/>
      <c r="C6" s="274"/>
      <c r="D6" s="274"/>
      <c r="E6" s="274"/>
      <c r="F6" s="274"/>
      <c r="G6" s="274"/>
      <c r="H6" s="274"/>
    </row>
    <row r="7" spans="1:13" ht="23.25">
      <c r="A7" s="4" t="s">
        <v>87</v>
      </c>
      <c r="B7" s="131"/>
      <c r="C7" s="131"/>
      <c r="D7" s="131"/>
      <c r="E7" s="131"/>
      <c r="F7" s="131"/>
      <c r="G7" s="131"/>
      <c r="H7" s="131"/>
    </row>
    <row r="8" spans="1:13" ht="18.75">
      <c r="A8" s="5"/>
      <c r="B8" s="6" t="s">
        <v>19</v>
      </c>
      <c r="C8" s="6" t="s">
        <v>80</v>
      </c>
      <c r="D8" s="6" t="s">
        <v>84</v>
      </c>
      <c r="E8" s="6" t="s">
        <v>81</v>
      </c>
      <c r="F8" s="6" t="s">
        <v>85</v>
      </c>
      <c r="G8" s="6" t="s">
        <v>83</v>
      </c>
      <c r="H8" s="6" t="s">
        <v>86</v>
      </c>
    </row>
    <row r="9" spans="1:13" ht="18.75">
      <c r="A9" s="8" t="s">
        <v>31</v>
      </c>
      <c r="B9" s="9">
        <v>48.3</v>
      </c>
      <c r="C9" s="14">
        <v>40</v>
      </c>
      <c r="D9" s="14">
        <v>1500</v>
      </c>
      <c r="E9" s="14">
        <v>12.1</v>
      </c>
      <c r="F9" s="14">
        <v>378</v>
      </c>
      <c r="G9" s="14">
        <f>180/PI()*ATAN((C9-E9)/(D9-F9))</f>
        <v>1.4244410794941329</v>
      </c>
      <c r="H9" s="14">
        <f>E9/TAN(G9*PI()/180) - F9</f>
        <v>108.60215053763437</v>
      </c>
    </row>
    <row r="10" spans="1:13" ht="18.75">
      <c r="A10" s="8" t="s">
        <v>32</v>
      </c>
      <c r="B10" s="14">
        <v>48.3</v>
      </c>
      <c r="C10" s="14">
        <v>20</v>
      </c>
      <c r="D10" s="14">
        <v>500</v>
      </c>
      <c r="E10" s="14">
        <v>4.5999999999999996</v>
      </c>
      <c r="F10" s="14">
        <v>31.5</v>
      </c>
      <c r="G10" s="14">
        <f>180/PI()*ATAN((C10-E10)/(D10-F10))</f>
        <v>1.882683921771237</v>
      </c>
      <c r="H10" s="14">
        <f>E10/TAN(G10*PI()/180) - F10</f>
        <v>108.44155844155844</v>
      </c>
    </row>
    <row r="11" spans="1:13" ht="18.75">
      <c r="A11" s="8" t="s">
        <v>33</v>
      </c>
      <c r="B11" s="13">
        <v>48.3</v>
      </c>
      <c r="C11" s="17">
        <v>10</v>
      </c>
      <c r="D11" s="17">
        <v>300.5</v>
      </c>
      <c r="E11" s="17">
        <v>3.82</v>
      </c>
      <c r="F11" s="17">
        <v>48</v>
      </c>
      <c r="G11" s="14">
        <f>180/PI()*ATAN((C11-E11)/(D11-F11))</f>
        <v>1.4020484704310439</v>
      </c>
      <c r="H11" s="14">
        <f>E11/TAN(G11*PI()/180) - F11</f>
        <v>108.07605177993531</v>
      </c>
    </row>
    <row r="12" spans="1:13">
      <c r="A12" s="274"/>
      <c r="B12" s="274"/>
      <c r="C12" s="274"/>
      <c r="D12" s="274"/>
      <c r="E12" s="274"/>
      <c r="F12" s="274"/>
      <c r="G12" s="274"/>
      <c r="H12" s="274"/>
    </row>
    <row r="13" spans="1:13" ht="23.25">
      <c r="A13" s="273"/>
      <c r="B13" s="274"/>
      <c r="C13" s="274"/>
      <c r="D13" s="274"/>
      <c r="E13" s="274"/>
      <c r="F13" s="274"/>
      <c r="G13" s="274"/>
      <c r="H13" s="274"/>
    </row>
    <row r="14" spans="1:13" ht="18.75">
      <c r="A14" s="281"/>
      <c r="B14" s="281"/>
      <c r="C14" s="281"/>
      <c r="D14" s="282"/>
      <c r="E14" s="274"/>
      <c r="F14" s="274"/>
      <c r="G14" s="274"/>
      <c r="H14" s="274"/>
    </row>
    <row r="15" spans="1:13" ht="18.75">
      <c r="A15" s="280"/>
      <c r="B15" s="277"/>
      <c r="C15" s="269"/>
      <c r="D15" s="274"/>
      <c r="E15" s="274"/>
      <c r="F15" s="274"/>
      <c r="G15" s="274"/>
      <c r="H15" s="274"/>
    </row>
    <row r="16" spans="1:13" ht="18.75">
      <c r="A16" s="280"/>
      <c r="B16" s="269"/>
      <c r="C16" s="269"/>
      <c r="D16" s="274"/>
      <c r="E16" s="274"/>
      <c r="F16" s="274"/>
      <c r="G16" s="274"/>
      <c r="H16" s="274"/>
    </row>
    <row r="17" spans="1:8" ht="18.75">
      <c r="A17" s="280"/>
      <c r="B17" s="278"/>
      <c r="C17" s="269"/>
      <c r="D17" s="274"/>
      <c r="E17" s="274"/>
      <c r="F17" s="274"/>
      <c r="G17" s="267"/>
      <c r="H17" s="274"/>
    </row>
    <row r="18" spans="1:8" ht="18.75">
      <c r="A18" s="274"/>
      <c r="B18" s="274"/>
      <c r="C18" s="274"/>
      <c r="D18" s="274"/>
      <c r="E18" s="274"/>
      <c r="F18" s="274"/>
      <c r="G18" s="269"/>
      <c r="H18" s="274"/>
    </row>
    <row r="19" spans="1:8" ht="23.25">
      <c r="A19" s="273"/>
      <c r="B19" s="274"/>
      <c r="C19" s="274"/>
      <c r="D19" s="274"/>
      <c r="E19" s="274"/>
      <c r="F19" s="274"/>
      <c r="G19" s="269"/>
      <c r="H19" s="274"/>
    </row>
    <row r="20" spans="1:8" ht="18.75">
      <c r="A20" s="275"/>
      <c r="B20" s="267"/>
      <c r="C20" s="267"/>
      <c r="D20" s="274"/>
      <c r="E20" s="274"/>
      <c r="F20" s="274"/>
      <c r="G20" s="279"/>
      <c r="H20" s="274"/>
    </row>
    <row r="21" spans="1:8" ht="18.75">
      <c r="A21" s="276"/>
      <c r="B21" s="277"/>
      <c r="C21" s="269"/>
      <c r="D21" s="274"/>
      <c r="E21" s="274"/>
      <c r="F21" s="274"/>
      <c r="G21" s="274"/>
      <c r="H21" s="274"/>
    </row>
    <row r="22" spans="1:8" ht="18.75">
      <c r="A22" s="276"/>
      <c r="B22" s="269"/>
      <c r="C22" s="269"/>
      <c r="D22" s="274"/>
      <c r="E22" s="274"/>
      <c r="F22" s="274"/>
      <c r="G22" s="274"/>
      <c r="H22" s="274"/>
    </row>
    <row r="23" spans="1:8" ht="18.75">
      <c r="A23" s="276"/>
      <c r="B23" s="278"/>
      <c r="C23" s="279"/>
      <c r="D23" s="274"/>
      <c r="E23" s="274"/>
      <c r="F23" s="274"/>
      <c r="G23" s="274"/>
      <c r="H23" s="274"/>
    </row>
    <row r="24" spans="1:8">
      <c r="A24" s="274"/>
      <c r="B24" s="274"/>
      <c r="C24" s="274"/>
      <c r="D24" s="274"/>
      <c r="E24" s="274"/>
      <c r="F24" s="274"/>
      <c r="G24" s="274"/>
      <c r="H24" s="27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Data Table</vt:lpstr>
      <vt:lpstr>Measurements</vt:lpstr>
      <vt:lpstr>5.2mm_Measurements</vt:lpstr>
      <vt:lpstr>Axis Measurements</vt:lpstr>
      <vt:lpstr>'Data Table'!Print_Area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 Roberts</cp:lastModifiedBy>
  <cp:lastPrinted>2022-04-11T18:55:10Z</cp:lastPrinted>
  <dcterms:created xsi:type="dcterms:W3CDTF">2015-06-05T18:17:20Z</dcterms:created>
  <dcterms:modified xsi:type="dcterms:W3CDTF">2022-04-19T22:18:38Z</dcterms:modified>
</cp:coreProperties>
</file>