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tlas\ProjectLibrary\902001_4K_ROVCameraDevelopment\ProjectManagement\Budget\"/>
    </mc:Choice>
  </mc:AlternateContent>
  <bookViews>
    <workbookView xWindow="0" yWindow="0" windowWidth="29268" windowHeight="14232" tabRatio="729" activeTab="1"/>
  </bookViews>
  <sheets>
    <sheet name="MBARI&amp;VendorSummary" sheetId="3" r:id="rId1"/>
    <sheet name="Raw&amp;ProposalFormatedCosts" sheetId="1" r:id="rId2"/>
    <sheet name="VendorCostComparsion_NRE_Share" sheetId="4" r:id="rId3"/>
    <sheet name="VendorCostComparisonGraphic" sheetId="10" r:id="rId4"/>
    <sheet name="SharedNREBreakdown" sheetId="9" r:id="rId5"/>
    <sheet name="ComparisonMatrix" sheetId="5" r:id="rId6"/>
    <sheet name="CostBuyAhead+2020Summary" sheetId="8"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6" i="1" l="1"/>
  <c r="F34" i="1"/>
  <c r="F33" i="1"/>
  <c r="F32" i="1"/>
  <c r="F31" i="1"/>
  <c r="F30" i="1"/>
  <c r="F26" i="1" l="1"/>
  <c r="F23" i="1"/>
  <c r="J15" i="3" l="1"/>
  <c r="J14" i="3"/>
  <c r="I15" i="3"/>
  <c r="I14" i="3"/>
  <c r="H8" i="3" l="1"/>
  <c r="H7" i="3"/>
  <c r="H5" i="3"/>
  <c r="H4" i="3"/>
  <c r="F118" i="1"/>
  <c r="D18" i="10"/>
  <c r="F14" i="10" s="1"/>
  <c r="D13" i="10"/>
  <c r="F9" i="10"/>
  <c r="D8" i="10"/>
  <c r="F4" i="10"/>
  <c r="F3" i="10"/>
  <c r="B12" i="9"/>
  <c r="D27" i="3" l="1"/>
  <c r="H88" i="1"/>
  <c r="B6" i="9"/>
  <c r="E5" i="5" l="1"/>
  <c r="D5" i="5"/>
  <c r="E6" i="5"/>
  <c r="E4" i="5"/>
  <c r="D6" i="5"/>
  <c r="D4" i="5"/>
  <c r="J14" i="4"/>
  <c r="H15" i="4"/>
  <c r="H18" i="4"/>
  <c r="G18" i="4"/>
  <c r="H3" i="4"/>
  <c r="H5" i="4"/>
  <c r="H7" i="4"/>
  <c r="H8" i="4"/>
  <c r="H10" i="4"/>
  <c r="H13" i="4" s="1"/>
  <c r="D29" i="3" s="1"/>
  <c r="H12" i="4"/>
  <c r="G84" i="1"/>
  <c r="G81" i="1"/>
  <c r="G80" i="1"/>
  <c r="G79" i="1"/>
  <c r="G78" i="1"/>
  <c r="G77" i="1"/>
  <c r="G13" i="4"/>
  <c r="J9" i="4"/>
  <c r="G8" i="4"/>
  <c r="J4" i="4"/>
  <c r="J3" i="4"/>
  <c r="F16" i="3"/>
  <c r="D16" i="3"/>
  <c r="F15" i="3"/>
  <c r="D15" i="3"/>
  <c r="F14" i="3"/>
  <c r="D14" i="3"/>
  <c r="F13" i="3"/>
  <c r="D13" i="3"/>
  <c r="F7" i="3"/>
  <c r="F6" i="3"/>
  <c r="F5" i="3"/>
  <c r="F4" i="3"/>
  <c r="D7" i="3"/>
  <c r="D6" i="3"/>
  <c r="D5" i="3"/>
  <c r="D4" i="3"/>
  <c r="D8" i="3" l="1"/>
  <c r="F8" i="3"/>
  <c r="F10" i="3" s="1"/>
  <c r="F17" i="3"/>
  <c r="G85" i="1"/>
  <c r="D17" i="3"/>
  <c r="C6" i="9" l="1"/>
  <c r="C12" i="9"/>
  <c r="F3" i="5"/>
  <c r="H116" i="1"/>
  <c r="B4" i="8"/>
  <c r="B5" i="8"/>
  <c r="B3" i="8"/>
  <c r="B7" i="8" l="1"/>
  <c r="B6" i="8"/>
  <c r="F70" i="1"/>
  <c r="B8" i="8" l="1"/>
  <c r="E83" i="1"/>
  <c r="D83" i="1"/>
  <c r="C83" i="1"/>
  <c r="B83" i="1"/>
  <c r="A83" i="1"/>
  <c r="E82" i="1"/>
  <c r="D82" i="1"/>
  <c r="C82" i="1"/>
  <c r="B82" i="1"/>
  <c r="A82" i="1"/>
  <c r="F99" i="1"/>
  <c r="F98" i="1"/>
  <c r="F97" i="1"/>
  <c r="F96" i="1"/>
  <c r="F101" i="1"/>
  <c r="F102" i="1"/>
  <c r="F103" i="1"/>
  <c r="E92" i="1"/>
  <c r="D92" i="1"/>
  <c r="C92" i="1"/>
  <c r="E91" i="1"/>
  <c r="D91" i="1"/>
  <c r="B92" i="1"/>
  <c r="F49" i="1"/>
  <c r="F92" i="1" s="1"/>
  <c r="F67" i="1"/>
  <c r="F55" i="1"/>
  <c r="B91" i="1"/>
  <c r="B110" i="1"/>
  <c r="F57" i="1"/>
  <c r="F53" i="1"/>
  <c r="F36" i="1"/>
  <c r="F69" i="1"/>
  <c r="F104" i="1" l="1"/>
  <c r="F59" i="1"/>
  <c r="G59" i="1" s="1"/>
  <c r="F66" i="1"/>
  <c r="F68" i="1"/>
  <c r="F48" i="1"/>
  <c r="F47" i="1"/>
  <c r="F43" i="1"/>
  <c r="I61" i="1" s="1"/>
  <c r="F42" i="1"/>
  <c r="F110" i="1" s="1"/>
  <c r="F112" i="1" s="1"/>
  <c r="F41" i="1"/>
  <c r="F40" i="1"/>
  <c r="F39" i="1"/>
  <c r="F91" i="1" l="1"/>
  <c r="F93" i="1" s="1"/>
  <c r="D9" i="3"/>
  <c r="F44" i="1"/>
  <c r="I59" i="1" s="1"/>
  <c r="F71" i="1"/>
  <c r="F85" i="1"/>
  <c r="F107" i="1" s="1"/>
  <c r="F50" i="1"/>
  <c r="F11" i="1"/>
  <c r="F13" i="1" s="1"/>
  <c r="H13" i="1" s="1"/>
  <c r="F62" i="1"/>
  <c r="F63" i="1" s="1"/>
  <c r="H63" i="1" s="1"/>
  <c r="F16" i="1"/>
  <c r="F17" i="1" s="1"/>
  <c r="H17" i="1" s="1"/>
  <c r="F25" i="1"/>
  <c r="F24" i="1"/>
  <c r="F22" i="1"/>
  <c r="F21" i="1"/>
  <c r="F20" i="1"/>
  <c r="I63" i="1" l="1"/>
  <c r="D18" i="3"/>
  <c r="D19" i="3" s="1"/>
  <c r="D10" i="3"/>
  <c r="F27" i="1"/>
  <c r="F5" i="1"/>
  <c r="F6" i="1"/>
  <c r="F7" i="1"/>
  <c r="D3" i="5" l="1"/>
  <c r="D20" i="10"/>
  <c r="D25" i="3"/>
  <c r="G20" i="4"/>
  <c r="D22" i="3"/>
  <c r="G22" i="4"/>
  <c r="D22" i="10"/>
  <c r="E19" i="10" s="1"/>
  <c r="D23" i="3"/>
  <c r="F8" i="1"/>
  <c r="G8" i="1" s="1"/>
  <c r="G73" i="1" s="1"/>
  <c r="F73" i="1" l="1"/>
  <c r="F116" i="1" s="1"/>
  <c r="F19" i="10"/>
  <c r="H22" i="4"/>
  <c r="I19" i="4"/>
  <c r="J19" i="4" s="1"/>
  <c r="D23" i="10"/>
  <c r="B7" i="9"/>
  <c r="B8" i="9" s="1"/>
  <c r="B13" i="9"/>
  <c r="B14" i="9" s="1"/>
  <c r="H20" i="4"/>
  <c r="H23" i="4" s="1"/>
  <c r="G23" i="4"/>
  <c r="H73" i="1"/>
  <c r="C7" i="9" l="1"/>
  <c r="C8" i="9" s="1"/>
  <c r="D8" i="9" s="1"/>
  <c r="C13" i="9"/>
  <c r="C14" i="9" s="1"/>
  <c r="D14" i="9" s="1"/>
  <c r="I73" i="1"/>
  <c r="F18" i="3" s="1"/>
  <c r="F19" i="3" s="1"/>
  <c r="F114" i="1"/>
  <c r="F117" i="1" s="1"/>
  <c r="F27" i="3" l="1"/>
  <c r="B27" i="3" s="1"/>
  <c r="F23" i="3"/>
  <c r="B23" i="3" s="1"/>
  <c r="F25" i="3"/>
  <c r="B25" i="3" s="1"/>
  <c r="F22" i="3"/>
  <c r="B22" i="3" s="1"/>
  <c r="F29" i="3"/>
  <c r="B29" i="3" s="1"/>
  <c r="C3" i="8"/>
  <c r="C2" i="8"/>
  <c r="D2" i="8" s="1"/>
  <c r="E2" i="8" s="1"/>
  <c r="C5" i="8" l="1"/>
  <c r="C4" i="8"/>
  <c r="D3" i="8"/>
  <c r="E3" i="8" s="1"/>
  <c r="D4" i="8" l="1"/>
  <c r="C6" i="8"/>
  <c r="D5" i="8"/>
  <c r="C7" i="8"/>
  <c r="E5" i="8" l="1"/>
  <c r="D7" i="8"/>
  <c r="C8" i="8"/>
  <c r="E4" i="8"/>
  <c r="D6" i="8"/>
  <c r="D8" i="8" l="1"/>
</calcChain>
</file>

<file path=xl/comments1.xml><?xml version="1.0" encoding="utf-8"?>
<comments xmlns="http://schemas.openxmlformats.org/spreadsheetml/2006/main">
  <authors>
    <author>chma</author>
  </authors>
  <commentList>
    <comment ref="I6" authorId="0" shapeId="0">
      <text>
        <r>
          <rPr>
            <b/>
            <sz val="9"/>
            <color indexed="81"/>
            <rFont val="Tahoma"/>
            <family val="2"/>
          </rPr>
          <t>chma:</t>
        </r>
        <r>
          <rPr>
            <sz val="9"/>
            <color indexed="81"/>
            <rFont val="Tahoma"/>
            <family val="2"/>
          </rPr>
          <t xml:space="preserve">
Note that SE hours were shifted to ME by MTeam</t>
        </r>
      </text>
    </comment>
  </commentList>
</comments>
</file>

<file path=xl/comments2.xml><?xml version="1.0" encoding="utf-8"?>
<comments xmlns="http://schemas.openxmlformats.org/spreadsheetml/2006/main">
  <authors>
    <author>chma</author>
  </authors>
  <commentList>
    <comment ref="F88" authorId="0" shapeId="0">
      <text>
        <r>
          <rPr>
            <b/>
            <sz val="9"/>
            <color indexed="81"/>
            <rFont val="Tahoma"/>
            <family val="2"/>
          </rPr>
          <t>chma:</t>
        </r>
        <r>
          <rPr>
            <sz val="9"/>
            <color indexed="81"/>
            <rFont val="Tahoma"/>
            <family val="2"/>
          </rPr>
          <t xml:space="preserve">
Verified 11/1/19 mrc</t>
        </r>
      </text>
    </comment>
  </commentList>
</comments>
</file>

<file path=xl/sharedStrings.xml><?xml version="1.0" encoding="utf-8"?>
<sst xmlns="http://schemas.openxmlformats.org/spreadsheetml/2006/main" count="419" uniqueCount="299">
  <si>
    <t>Vendor</t>
  </si>
  <si>
    <t>Cost</t>
  </si>
  <si>
    <t>Notes</t>
  </si>
  <si>
    <t>Cost Each</t>
  </si>
  <si>
    <t>Qty.</t>
  </si>
  <si>
    <t>Sony</t>
  </si>
  <si>
    <t>Fujinon</t>
  </si>
  <si>
    <t>Date</t>
  </si>
  <si>
    <t>Item Description</t>
  </si>
  <si>
    <t>Part Number</t>
  </si>
  <si>
    <t>4K Global Shutter CMOS POV Camera</t>
  </si>
  <si>
    <t xml:space="preserve">HDCP50 </t>
  </si>
  <si>
    <t>HZCUHD50</t>
  </si>
  <si>
    <t>4K Permanent Software for the HDC-P50</t>
  </si>
  <si>
    <t>UA13x4.5BERD</t>
  </si>
  <si>
    <t>4K Plus Ultra HD Lens</t>
  </si>
  <si>
    <t>Total</t>
  </si>
  <si>
    <t>Lens control electronics</t>
  </si>
  <si>
    <t>CAMERA &amp; LENS</t>
  </si>
  <si>
    <t>T-POV-3244-R4-BS-12</t>
  </si>
  <si>
    <t xml:space="preserve">Grass Valley </t>
  </si>
  <si>
    <t>base station, T-POV 4K, 1RU, 4x 3G SDI Outputs, bi-di HD/SDI, VBS,
10/100 E-Net, 4 audios, 3 data's (232/422/485), GPI, 12VDC, (ADD UFP
MTO</t>
  </si>
  <si>
    <t>UFP-2STSM</t>
  </si>
  <si>
    <t>Universal Fiber Plate with 2 STs both SingleMod</t>
  </si>
  <si>
    <t>ADAP-AC-0</t>
  </si>
  <si>
    <t>AC Power Adapter (Indoor); 120/240 VAC in; 4-pin XLR; 4A; 15 VDC</t>
  </si>
  <si>
    <t>TELEMETRY SYSTEM (Grass Valley)</t>
  </si>
  <si>
    <t>T-POV-3244-TDL-C $6,185.83 1 $6,185.83 A-12V</t>
  </si>
  <si>
    <t>12VT-POV 4K, Throwdown, 4x 3G SDI Inputs, Bidi: HD/SDI, VBS, 10/100 E-Net, 4 audios, 3 data's (232/422/485), GPI, 12VDC, (ADD UFP MTO)</t>
  </si>
  <si>
    <t>Universal Fiber Plate with 2 STs both SingleMode</t>
  </si>
  <si>
    <t>AJA</t>
  </si>
  <si>
    <t>CAMERA CONTROL</t>
  </si>
  <si>
    <t>RMB-170</t>
  </si>
  <si>
    <t>Camera remote control</t>
  </si>
  <si>
    <t>Teltec AG</t>
  </si>
  <si>
    <t>Wireless RCP</t>
  </si>
  <si>
    <t>Sony RCP to Ethernet converter</t>
  </si>
  <si>
    <t>GrassValley Telemetry Option</t>
  </si>
  <si>
    <t>Fathom Imaging</t>
  </si>
  <si>
    <t>Adapter Lens set and spares</t>
  </si>
  <si>
    <t>Optical Dome port and spares (price based on previous + inflation)</t>
  </si>
  <si>
    <t>Tooling costs for lens manufacture</t>
  </si>
  <si>
    <t>Optical design consulting fees</t>
  </si>
  <si>
    <t>6AL4V Titanium trepanned barrel material</t>
  </si>
  <si>
    <t>6AL4V Titanium dome support and bulkhead material</t>
  </si>
  <si>
    <t>TOPSIDE CONTROL BOX COMPONENTS</t>
  </si>
  <si>
    <t>CAMERA HOUSING COMPONENTS</t>
  </si>
  <si>
    <t>Topside control box electronic components</t>
  </si>
  <si>
    <t>TOPSIDE AND SHORESIDE MISC. COMPONENTS</t>
  </si>
  <si>
    <t>4K/UHD capture box</t>
  </si>
  <si>
    <t>Black Magic Design</t>
  </si>
  <si>
    <t>Panasonic</t>
  </si>
  <si>
    <t>4K Production video monitor</t>
  </si>
  <si>
    <t>BT-4LH310 or equivalent</t>
  </si>
  <si>
    <t>Tektronix Video WFM8200</t>
  </si>
  <si>
    <t>4K Waveform monitor with WFM8200 4K-PRODPAC (4K, 3G and 2SDI) option</t>
  </si>
  <si>
    <t>SubTotal</t>
  </si>
  <si>
    <t>4K Global Shutter CMOS POV Camera, quote #Q-00046426  3/14/2019</t>
  </si>
  <si>
    <t>4K Permanent Software for the HDC-P50 quote #Q-00046426  3/14/2019</t>
  </si>
  <si>
    <t>CAMERA CHASSIS and ELECTRICAL COMPONENTS</t>
  </si>
  <si>
    <t>OPTICAL DOME and ADAPTER LENSES COMPONENTS</t>
  </si>
  <si>
    <t>Chassis raw materials and anodizing</t>
  </si>
  <si>
    <t>Capital Expenses</t>
  </si>
  <si>
    <t>Misc. Supplies &amp; Equipment</t>
  </si>
  <si>
    <t>Telemetery base station</t>
  </si>
  <si>
    <t>Telemetery camera uplink module</t>
  </si>
  <si>
    <t>Outside Services</t>
  </si>
  <si>
    <t>Sales Taxes</t>
  </si>
  <si>
    <t>Total Capital Expenses</t>
  </si>
  <si>
    <t>Travel, international</t>
  </si>
  <si>
    <t>Shipping &amp; Customs</t>
  </si>
  <si>
    <t>Misc. shipping costs</t>
  </si>
  <si>
    <t>Total Travel Expenses</t>
  </si>
  <si>
    <t>Total Shipping Expenses</t>
  </si>
  <si>
    <t>BDLKULSR4KEXTR3</t>
  </si>
  <si>
    <t>Mac Pro 2019 for capture management</t>
  </si>
  <si>
    <t>Apple Computer</t>
  </si>
  <si>
    <t>Seacon electrical bulkhead connector Ti</t>
  </si>
  <si>
    <t>Seacon optical bulkhead connector Ti</t>
  </si>
  <si>
    <t>Trip to visit vendor - Meals</t>
  </si>
  <si>
    <t>Molded camera to ROV optical cable (use existing parts)</t>
  </si>
  <si>
    <t>Molded camera to ROV electrical cable (use existing parts)</t>
  </si>
  <si>
    <t>Optical glass shipping and customs costs</t>
  </si>
  <si>
    <t>Pressure testing of camera housing and dome per hour</t>
  </si>
  <si>
    <t>Travel, domestic</t>
  </si>
  <si>
    <t>Trip to pressure test facility in Santa Barbara - hotel</t>
  </si>
  <si>
    <t>Trip to pressure test facility in Santa Barbara - car</t>
  </si>
  <si>
    <t>Trip to pressure test facility in Santa Barbara - meals</t>
  </si>
  <si>
    <t>Total Outside Services</t>
  </si>
  <si>
    <t>Maripro S.B.</t>
  </si>
  <si>
    <t>Quantity</t>
  </si>
  <si>
    <t>Total Sales Taxes</t>
  </si>
  <si>
    <t>Total Supplies &amp; Equipment</t>
  </si>
  <si>
    <t xml:space="preserve"> </t>
  </si>
  <si>
    <t>Trip visit vendor in St. Johns, Newfoundland - Car rental</t>
  </si>
  <si>
    <t>Trip visit vendor in St. Johns, Newfoundland - hotel</t>
  </si>
  <si>
    <t>Trip visit vendor in St. Johns, Newfoundland - airfare</t>
  </si>
  <si>
    <t>4K2HD</t>
  </si>
  <si>
    <t>4K/UltraHD to HD-SDI and HDMI Down-Converter</t>
  </si>
  <si>
    <t>MacPro 2019</t>
  </si>
  <si>
    <t>Sales tax on supplies and equipment @ 7.75%</t>
  </si>
  <si>
    <t>T-POV-3244-TDL-CA-12V</t>
  </si>
  <si>
    <t>Total resource costs</t>
  </si>
  <si>
    <t>NRE Costs</t>
  </si>
  <si>
    <t>Camera housing costs</t>
  </si>
  <si>
    <t>Camera and chassis costs</t>
  </si>
  <si>
    <t>Total NRE</t>
  </si>
  <si>
    <t>Total Recurring</t>
  </si>
  <si>
    <t>Camera Vendors Contacted for 4K RFP</t>
  </si>
  <si>
    <t>Vendor name</t>
  </si>
  <si>
    <t>Address</t>
  </si>
  <si>
    <t>Contact</t>
  </si>
  <si>
    <t>Phone</t>
  </si>
  <si>
    <t>email</t>
  </si>
  <si>
    <t>RFP sent with requirements</t>
  </si>
  <si>
    <t>Pricing 1st unit</t>
  </si>
  <si>
    <t>Pricing each units 2 &amp; 3</t>
  </si>
  <si>
    <t>Total price for 3 units</t>
  </si>
  <si>
    <t>Sulis Subsea Corporation</t>
  </si>
  <si>
    <t>6-40 O'Leary Avenue
St. John's, NL  A1B 2C7
Canada</t>
  </si>
  <si>
    <t>Adam Gobi</t>
  </si>
  <si>
    <t>709.745.5080</t>
  </si>
  <si>
    <t>gobi@sulissubsea.com</t>
  </si>
  <si>
    <t>SIDUS Solutions, LLC</t>
  </si>
  <si>
    <t>7352 Trade Street, San Diego, CA 92121, 619.275-5533</t>
  </si>
  <si>
    <t>Sheldon Rubin Technical Chief</t>
  </si>
  <si>
    <t>619 275-5533 x304</t>
  </si>
  <si>
    <t>Sheldon_Rubin@sidus-solutions.com</t>
  </si>
  <si>
    <t>NRE</t>
  </si>
  <si>
    <t>Leonard Pool Director</t>
  </si>
  <si>
    <t>619.275-5533 x306</t>
  </si>
  <si>
    <t>L.Pool@sidus-solutions.com</t>
  </si>
  <si>
    <t>Housing</t>
  </si>
  <si>
    <t>Insite</t>
  </si>
  <si>
    <t>6837 Nancy Ridge Drive, Suite G, San Diego, California 92121</t>
  </si>
  <si>
    <t>Bob Galambos</t>
  </si>
  <si>
    <t>(858) 523-0642</t>
  </si>
  <si>
    <t>bob@insitepacific.com</t>
  </si>
  <si>
    <t>Oct. 9, Bob declines.</t>
  </si>
  <si>
    <t>Deep Sea Power &amp; Light</t>
  </si>
  <si>
    <t>4033 Ruffin Road, San Diego, California, USA 92123</t>
  </si>
  <si>
    <t>Mark Olsson</t>
  </si>
  <si>
    <t>858-576-1261</t>
  </si>
  <si>
    <t>Mark.Olsson@seescan.com</t>
  </si>
  <si>
    <t>Plans on retaining Paul Remijan. Several emails and discussions on design. MBARI signed NDA w/DSP&amp;L.</t>
  </si>
  <si>
    <t>Stan Logan</t>
  </si>
  <si>
    <t>Stan.Logan@deepsea.com</t>
  </si>
  <si>
    <t>Aaron Steiner</t>
  </si>
  <si>
    <t>Aaron.Steiner@deepsea.com</t>
  </si>
  <si>
    <t>Jon Simmons</t>
  </si>
  <si>
    <t>Jon.Simmons@deepsea.com</t>
  </si>
  <si>
    <t>SubC Imaging Inc.</t>
  </si>
  <si>
    <t>Genesis Centre Ste. 3003, Bruneau Innovation Bldg, St. John's, NL Canada, A1C 5S7</t>
  </si>
  <si>
    <t>Ron Collier, VP business development</t>
  </si>
  <si>
    <t>1-709-864-7805</t>
  </si>
  <si>
    <t>rtc@subccontrol.com</t>
  </si>
  <si>
    <t>Carlos L. Sanyer, engineer</t>
  </si>
  <si>
    <t>1-709-702-0394</t>
  </si>
  <si>
    <t>carlos.sanyer@subcimaging.com</t>
  </si>
  <si>
    <t>Chad Collett</t>
  </si>
  <si>
    <t>cjc@subcimaging.com</t>
  </si>
  <si>
    <t>MBARI</t>
  </si>
  <si>
    <t>MBARI Internal</t>
  </si>
  <si>
    <t>Discussions with Paul Remijan predict feasibility. Used MBARI labor + fringe cost for comparison price estimate.</t>
  </si>
  <si>
    <t>Pricing 1st &amp; 2nd unit, split housing NRE w/ OET</t>
  </si>
  <si>
    <t>Optical Quality</t>
  </si>
  <si>
    <t>Mechanical Quality</t>
  </si>
  <si>
    <t>Capital Cost</t>
  </si>
  <si>
    <t>Resource (labor) Cost</t>
  </si>
  <si>
    <t>Technical Risk</t>
  </si>
  <si>
    <t>Delivery Schedule</t>
  </si>
  <si>
    <t>Build camera housing in-house</t>
  </si>
  <si>
    <t>High</t>
  </si>
  <si>
    <t>In-house</t>
  </si>
  <si>
    <t>Warranty</t>
  </si>
  <si>
    <t>Contract with Sidus Solutions</t>
  </si>
  <si>
    <t>Unknown</t>
  </si>
  <si>
    <t>Contract with DSP&amp;L</t>
  </si>
  <si>
    <t>High/Remijan</t>
  </si>
  <si>
    <t>none</t>
  </si>
  <si>
    <t>Operational Support after warranty</t>
  </si>
  <si>
    <t>time &amp; materials</t>
  </si>
  <si>
    <t>1 year</t>
  </si>
  <si>
    <t>1.5 years</t>
  </si>
  <si>
    <t>NA</t>
  </si>
  <si>
    <t>Medium-high</t>
  </si>
  <si>
    <t>low</t>
  </si>
  <si>
    <t>Contract with SubC Imaging</t>
  </si>
  <si>
    <t>3rd qtr 2020</t>
  </si>
  <si>
    <t>16 weeks from order</t>
  </si>
  <si>
    <t>scheduled 3rd qtr 2020</t>
  </si>
  <si>
    <t>Unknown/Synopsis Optical Engineering</t>
  </si>
  <si>
    <t>OET Labor split ratio on MBARI NRE = 1:N</t>
  </si>
  <si>
    <t>Build vs Buy Decision Matrix - 1st unit only</t>
  </si>
  <si>
    <t>Pricing Fixed</t>
  </si>
  <si>
    <t>now</t>
  </si>
  <si>
    <t>Firm quote Feb. CDR</t>
  </si>
  <si>
    <r>
      <t xml:space="preserve">Total </t>
    </r>
    <r>
      <rPr>
        <b/>
        <sz val="11"/>
        <color theme="1"/>
        <rFont val="Calibri"/>
        <family val="2"/>
        <scheme val="minor"/>
      </rPr>
      <t>MBARI</t>
    </r>
    <r>
      <rPr>
        <sz val="11"/>
        <color theme="1"/>
        <rFont val="Calibri"/>
        <family val="2"/>
        <scheme val="minor"/>
      </rPr>
      <t xml:space="preserve"> internal build camera 1st unit cost w/ fringe</t>
    </r>
  </si>
  <si>
    <r>
      <t xml:space="preserve">Total </t>
    </r>
    <r>
      <rPr>
        <b/>
        <sz val="11"/>
        <color theme="1"/>
        <rFont val="Calibri"/>
        <family val="2"/>
        <scheme val="minor"/>
      </rPr>
      <t>MBARI &amp; DSPL</t>
    </r>
    <r>
      <rPr>
        <sz val="11"/>
        <color theme="1"/>
        <rFont val="Calibri"/>
        <family val="2"/>
        <scheme val="minor"/>
      </rPr>
      <t xml:space="preserve"> build camera 1 unit cost w/ fringe</t>
    </r>
  </si>
  <si>
    <t>2020 Capital and Expense</t>
  </si>
  <si>
    <t>Project budget distribution with housing supplied by outside vendor with third party shared NRE</t>
  </si>
  <si>
    <t>Project budget distribution with housing supplied by outside vendor (Deep Sea Power &amp; Light)</t>
  </si>
  <si>
    <t>Total Project Capital and Expense Budget</t>
  </si>
  <si>
    <t>2019 buy-ahead Capital and Expense</t>
  </si>
  <si>
    <r>
      <rPr>
        <b/>
        <sz val="14"/>
        <color theme="1"/>
        <rFont val="Calibri"/>
        <family val="2"/>
        <scheme val="minor"/>
      </rPr>
      <t xml:space="preserve">902001 4K ROV Camera Project
</t>
    </r>
    <r>
      <rPr>
        <b/>
        <sz val="11"/>
        <color theme="1"/>
        <rFont val="Calibri"/>
        <family val="2"/>
        <scheme val="minor"/>
      </rPr>
      <t>10/23/2019 m. chaffey</t>
    </r>
  </si>
  <si>
    <t>Additional funds above 2020 project approval</t>
  </si>
  <si>
    <t>Cost breakdown MBARI + NRE Partner 2019 and 2020</t>
  </si>
  <si>
    <t>2019 Costs</t>
  </si>
  <si>
    <t>2020 Costs</t>
  </si>
  <si>
    <t>Total Fiscal year Cost</t>
  </si>
  <si>
    <t>in 2020 with tax</t>
  </si>
  <si>
    <t>MBARI 4K Camera Budget by subsystem</t>
  </si>
  <si>
    <t>Project 2020 Expenses Total</t>
  </si>
  <si>
    <t>in 2019 budget</t>
  </si>
  <si>
    <t>2019 Buy Ahead w/ST+shipping</t>
  </si>
  <si>
    <t>Total material and outside consulting costs</t>
  </si>
  <si>
    <t>Housing Recurring (Material) Costs</t>
  </si>
  <si>
    <t>Total system cost per camera</t>
  </si>
  <si>
    <r>
      <t xml:space="preserve">Camera System Cost with shared NRE between </t>
    </r>
    <r>
      <rPr>
        <b/>
        <sz val="11"/>
        <color rgb="FFFF0000"/>
        <rFont val="Calibri"/>
        <family val="2"/>
        <scheme val="minor"/>
      </rPr>
      <t>two</t>
    </r>
    <r>
      <rPr>
        <b/>
        <sz val="11"/>
        <color theme="1"/>
        <rFont val="Calibri"/>
        <family val="2"/>
        <scheme val="minor"/>
      </rPr>
      <t xml:space="preserve"> units</t>
    </r>
  </si>
  <si>
    <r>
      <t xml:space="preserve">Camera System Cost with shared NRE between </t>
    </r>
    <r>
      <rPr>
        <b/>
        <sz val="11"/>
        <color rgb="FFFF0000"/>
        <rFont val="Calibri"/>
        <family val="2"/>
        <scheme val="minor"/>
      </rPr>
      <t>three</t>
    </r>
    <r>
      <rPr>
        <b/>
        <sz val="11"/>
        <color theme="1"/>
        <rFont val="Calibri"/>
        <family val="2"/>
        <scheme val="minor"/>
      </rPr>
      <t xml:space="preserve"> units</t>
    </r>
  </si>
  <si>
    <t>MBARI Hourly labor rate with fringe</t>
  </si>
  <si>
    <t>Camera housing resource request (Hours)</t>
  </si>
  <si>
    <r>
      <t xml:space="preserve">MBARI 4K camera design and build internal cost estimate </t>
    </r>
    <r>
      <rPr>
        <b/>
        <sz val="12"/>
        <color theme="1"/>
        <rFont val="Calibri"/>
        <family val="2"/>
        <scheme val="minor"/>
      </rPr>
      <t>(these numbers are for comparison with outside vendors and budgeting costs for outside partners. They do not include support equipment, travel, etc. that are budgeted in the proposal)</t>
    </r>
  </si>
  <si>
    <t>Non-Recurring Engineering (NRE) Costs</t>
  </si>
  <si>
    <t>Recurring Costs per Unit</t>
  </si>
  <si>
    <t>MBARI EE</t>
  </si>
  <si>
    <t>MBARI ME</t>
  </si>
  <si>
    <t>MBARI machine shop</t>
  </si>
  <si>
    <t>MBARI E-tech</t>
  </si>
  <si>
    <t>Camera and chassis resource request (Hours)</t>
  </si>
  <si>
    <t>Total material costs w/ sales tax</t>
  </si>
  <si>
    <r>
      <t xml:space="preserve">Total </t>
    </r>
    <r>
      <rPr>
        <b/>
        <sz val="11"/>
        <color theme="1"/>
        <rFont val="Calibri"/>
        <family val="2"/>
        <scheme val="minor"/>
      </rPr>
      <t>MBARI</t>
    </r>
    <r>
      <rPr>
        <sz val="11"/>
        <color theme="1"/>
        <rFont val="Calibri"/>
        <family val="2"/>
        <scheme val="minor"/>
      </rPr>
      <t xml:space="preserve"> internal build camera 2st unit cost w/ fringe</t>
    </r>
  </si>
  <si>
    <t>Recurring (per unit) Costs</t>
  </si>
  <si>
    <t>MBARI Internal Build capital and resource cost w/fringe</t>
  </si>
  <si>
    <t>Insite Pacific Inc.</t>
  </si>
  <si>
    <t>-</t>
  </si>
  <si>
    <t>Discussions with Paul Remijan predict feasibility. Used proposal request for MBARI labor + fringe cost for comparison price estimate.</t>
  </si>
  <si>
    <t>Oct. 9, Bob Galambos declines.</t>
  </si>
  <si>
    <t>Responded 10/10/2019: One (1) housing: $335,000. Price for each additional housing: $99,000. Additional units ordered as part of the first contract, receive a $16,000 discount (per additional unit).</t>
  </si>
  <si>
    <t>Will retain Dr. Paul Remijan for optical design. Several emails back and forth on technical questions.</t>
  </si>
  <si>
    <t>Will retain optical consulting firm Synopsis Optical Engineering. Several emails back and forth on questions.</t>
  </si>
  <si>
    <r>
      <t xml:space="preserve">Will retain Dr. Paul Remijan for optical design. Several emails and discussions on design. MBARI signed NDA w/DSP&amp;L. </t>
    </r>
    <r>
      <rPr>
        <sz val="11"/>
        <color rgb="FFFF0000"/>
        <rFont val="Calibri"/>
        <family val="2"/>
        <scheme val="minor"/>
      </rPr>
      <t>THIS IS THE PREFERRED VENDOR</t>
    </r>
  </si>
  <si>
    <t>Original approved project budget request</t>
  </si>
  <si>
    <t>Buy-ahead budget distribution as proposed and approved, internal build</t>
  </si>
  <si>
    <r>
      <rPr>
        <b/>
        <u/>
        <sz val="11"/>
        <color theme="1"/>
        <rFont val="Calibri"/>
        <family val="2"/>
        <scheme val="minor"/>
      </rPr>
      <t>Additional funds</t>
    </r>
    <r>
      <rPr>
        <b/>
        <sz val="11"/>
        <color theme="1"/>
        <rFont val="Calibri"/>
        <family val="2"/>
        <scheme val="minor"/>
      </rPr>
      <t xml:space="preserve"> for Vendor supplied housing above current project approval if we go it alone - by FY year</t>
    </r>
  </si>
  <si>
    <r>
      <rPr>
        <b/>
        <u/>
        <sz val="11"/>
        <color theme="1"/>
        <rFont val="Calibri"/>
        <family val="2"/>
        <scheme val="minor"/>
      </rPr>
      <t>Additional funds</t>
    </r>
    <r>
      <rPr>
        <b/>
        <sz val="11"/>
        <color theme="1"/>
        <rFont val="Calibri"/>
        <family val="2"/>
        <scheme val="minor"/>
      </rPr>
      <t xml:space="preserve"> for Vendor supplied housing above current project approval if we get one partner - by FY year</t>
    </r>
  </si>
  <si>
    <t>Total MBARI capital savings for finding one partner</t>
  </si>
  <si>
    <t>Outside Institution Cost for Camera &amp; Control Box Only</t>
  </si>
  <si>
    <t>Expense Costs Broken Out as NRE and Recurring Costs</t>
  </si>
  <si>
    <t>MBARI 4K CAMERA PROJECT BUDGET SUMMARY in Proposal Format</t>
  </si>
  <si>
    <t>Total Camera and Housing Expense</t>
  </si>
  <si>
    <t>check value, line item expense + other project costs should = proposal total</t>
  </si>
  <si>
    <t>check value, 2019 and 2020 budget total</t>
  </si>
  <si>
    <t>Offical 2019 and 2020 budget total of record</t>
  </si>
  <si>
    <t>Housing Non Recurring (NRE) Costs including labor + fringe</t>
  </si>
  <si>
    <t>Total 1st Article Housing NRE + Material Cost</t>
  </si>
  <si>
    <t>MBARI &amp; 3rd party camera only recurring material cost (no tax or shipping)</t>
  </si>
  <si>
    <r>
      <t xml:space="preserve">Total </t>
    </r>
    <r>
      <rPr>
        <b/>
        <sz val="11"/>
        <color theme="1"/>
        <rFont val="Calibri"/>
        <family val="2"/>
        <scheme val="minor"/>
      </rPr>
      <t>MBARI</t>
    </r>
    <r>
      <rPr>
        <sz val="11"/>
        <color theme="1"/>
        <rFont val="Calibri"/>
        <family val="2"/>
        <scheme val="minor"/>
      </rPr>
      <t xml:space="preserve"> internal build camera 1&amp;2 unit cost w/ fringe &amp; Split NRE w/ one additional user</t>
    </r>
  </si>
  <si>
    <r>
      <t xml:space="preserve">Total </t>
    </r>
    <r>
      <rPr>
        <b/>
        <sz val="11"/>
        <color theme="1"/>
        <rFont val="Calibri"/>
        <family val="2"/>
        <scheme val="minor"/>
      </rPr>
      <t>MBARI &amp; DSPL</t>
    </r>
    <r>
      <rPr>
        <sz val="11"/>
        <color theme="1"/>
        <rFont val="Calibri"/>
        <family val="2"/>
        <scheme val="minor"/>
      </rPr>
      <t xml:space="preserve"> build camera 1&amp;2 unit cost w/ fringe &amp; Split NRE w/ one additional user</t>
    </r>
  </si>
  <si>
    <t>Labor hour checksums</t>
  </si>
  <si>
    <t>Proposal request</t>
  </si>
  <si>
    <t>EE</t>
  </si>
  <si>
    <t>ME</t>
  </si>
  <si>
    <t>SE</t>
  </si>
  <si>
    <t>ET</t>
  </si>
  <si>
    <t>Machine shop</t>
  </si>
  <si>
    <t>Capital Cost/split NRE w/additional user</t>
  </si>
  <si>
    <t>Contacted at recommendation of Chris Gech. Company founded 2000 and "refounded" 2010. First product was copy of ROS pan &amp; Tilt. Has several cameras in line, mostly flat plate ports but a few small domes. Reports from users of Pan &amp; Tilts (Jon Howland from WHOI) and reference lasers (Brett Hobson) describe poor performance and poor customer service although this was a few years ago. Plans on contracting with Dr. Paul Remijan for the optical design (designed i2MAP optics).</t>
  </si>
  <si>
    <t>Extensive experience with optical dome ports going back to the first Titanic expeditions. Well established company with long experience as MBARI vendor. Excellent customer service. Manufactures lights and cameras for deepwater. Experience with domes and flat port designs.  Plans on contracting with Dr. Paul Remijan for the optical design (designed i2MAP optics).</t>
  </si>
  <si>
    <t xml:space="preserve">Founded 2010. Has line of innovtive small ROV cameras. </t>
  </si>
  <si>
    <t>Several emails back and forth on questions. Mentions having to contract outside optical expert. Sent rejection email 11/5/19.</t>
  </si>
  <si>
    <t>Retained Paul Remijan. Several emails back and forth on questions. Sent rejection email 11/6/19.</t>
  </si>
  <si>
    <t>Responded 10/10/2019: One (1) housing: $335,000. Payment terms: 50% prepayment, 40% on design acceptance, 10% on delivery. Price for each additional housing: $99,000. Payment terms: 100% prepayment. Additional units ordered as part of the first contract, receive a $16,000 discount (per additional unit).  Sent rejection email 11/6/19.</t>
  </si>
  <si>
    <t>MBARI NRE total costs</t>
  </si>
  <si>
    <t>Internals</t>
  </si>
  <si>
    <t>divided by N units</t>
  </si>
  <si>
    <t>$15,377+$178.65 shipping.</t>
  </si>
  <si>
    <t>W8-TX-ST</t>
  </si>
  <si>
    <t>Grass Valley Python+ Rear Plate TX 8CH CWDM 1 ST/UPC</t>
  </si>
  <si>
    <t>Actual cost (includes 7.75% sales tax and nominal shipping charges)</t>
  </si>
  <si>
    <t>PO 1911305. Includes 7.75% tax and shipping</t>
  </si>
  <si>
    <t>PO 2010150. Includes 7.75% tax and shipping</t>
  </si>
  <si>
    <t>PO 2010207. Includes 7.75% tax and shipping</t>
  </si>
  <si>
    <t>CJ15EX4.3B IASES</t>
  </si>
  <si>
    <t>Canon</t>
  </si>
  <si>
    <t>TELEMETRY SYSTEM (Focal and DSP&amp;L)</t>
  </si>
  <si>
    <t>DSP&amp;L</t>
  </si>
  <si>
    <t>HDE-M1,REM,SM,CWDM,1471,24DB</t>
  </si>
  <si>
    <t>Focal</t>
  </si>
  <si>
    <t>914-0026-47</t>
  </si>
  <si>
    <t>HDE-M1,CON,SM,CWDM,1491,24DB</t>
  </si>
  <si>
    <t>914-0027-49</t>
  </si>
  <si>
    <t>Video SFP Module 12G-SDI CWDM RxTx Non-MSA</t>
  </si>
  <si>
    <t>100-00523-XX</t>
  </si>
  <si>
    <t>0-100-901-0A-03</t>
  </si>
  <si>
    <t>DSPL OEM Level 12G-SDI Optical Media Converter PCBA</t>
  </si>
  <si>
    <t>COLOR CUBE CWDM mux or demux 4+1310 channel Z-99999, 1471-1531nm</t>
  </si>
  <si>
    <t>C-4B-A-F-S-S-11-1-A25</t>
  </si>
  <si>
    <t>HUBER+SUHNER Cube Optics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</si>
</sst>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164" formatCode="&quot;$&quot;#,##0.00"/>
    <numFmt numFmtId="165" formatCode="&quot;$&quot;#,##0"/>
  </numFmts>
  <fonts count="14"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u/>
      <sz val="11"/>
      <color theme="10"/>
      <name val="Calibri"/>
      <family val="2"/>
      <scheme val="minor"/>
    </font>
    <font>
      <sz val="11"/>
      <color rgb="FFFF0000"/>
      <name val="Calibri"/>
      <family val="2"/>
      <scheme val="minor"/>
    </font>
    <font>
      <sz val="12"/>
      <color theme="1"/>
      <name val="Calibri"/>
      <family val="2"/>
      <scheme val="minor"/>
    </font>
    <font>
      <b/>
      <sz val="11"/>
      <color rgb="FFFF0000"/>
      <name val="Calibri"/>
      <family val="2"/>
      <scheme val="minor"/>
    </font>
    <font>
      <b/>
      <u/>
      <sz val="11"/>
      <color theme="1"/>
      <name val="Calibri"/>
      <family val="2"/>
      <scheme val="minor"/>
    </font>
    <font>
      <b/>
      <sz val="20"/>
      <color theme="1"/>
      <name val="Calibri"/>
      <family val="2"/>
      <scheme val="minor"/>
    </font>
    <font>
      <sz val="9"/>
      <color indexed="81"/>
      <name val="Tahoma"/>
      <family val="2"/>
    </font>
    <font>
      <b/>
      <sz val="9"/>
      <color indexed="81"/>
      <name val="Tahoma"/>
      <family val="2"/>
    </font>
    <font>
      <sz val="10"/>
      <color rgb="FF000000"/>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s>
  <cellStyleXfs count="2">
    <xf numFmtId="0" fontId="0" fillId="0" borderId="0"/>
    <xf numFmtId="0" fontId="5" fillId="0" borderId="0" applyNumberFormat="0" applyFill="0" applyBorder="0" applyAlignment="0" applyProtection="0"/>
  </cellStyleXfs>
  <cellXfs count="250">
    <xf numFmtId="0" fontId="0" fillId="0" borderId="0" xfId="0"/>
    <xf numFmtId="0" fontId="0" fillId="0" borderId="0" xfId="0" applyAlignment="1">
      <alignment wrapText="1"/>
    </xf>
    <xf numFmtId="14" fontId="0" fillId="0" borderId="0" xfId="0" applyNumberFormat="1" applyAlignment="1">
      <alignment wrapText="1"/>
    </xf>
    <xf numFmtId="0" fontId="0" fillId="0" borderId="0" xfId="0" applyFont="1" applyAlignment="1">
      <alignment wrapText="1"/>
    </xf>
    <xf numFmtId="0" fontId="0" fillId="0" borderId="8" xfId="0" applyBorder="1" applyAlignment="1">
      <alignment wrapText="1"/>
    </xf>
    <xf numFmtId="0" fontId="0" fillId="2" borderId="10" xfId="0" applyFill="1" applyBorder="1" applyAlignment="1">
      <alignment wrapText="1"/>
    </xf>
    <xf numFmtId="0" fontId="1" fillId="2" borderId="9" xfId="0" applyFont="1" applyFill="1" applyBorder="1" applyAlignment="1">
      <alignment wrapText="1"/>
    </xf>
    <xf numFmtId="0" fontId="0" fillId="2" borderId="10" xfId="0" applyFill="1" applyBorder="1" applyAlignment="1">
      <alignment wrapText="1"/>
    </xf>
    <xf numFmtId="164" fontId="0" fillId="0" borderId="0" xfId="0" applyNumberFormat="1" applyAlignment="1">
      <alignment wrapText="1"/>
    </xf>
    <xf numFmtId="164" fontId="0" fillId="0" borderId="0" xfId="0" quotePrefix="1" applyNumberFormat="1" applyAlignment="1">
      <alignment wrapText="1"/>
    </xf>
    <xf numFmtId="164" fontId="0" fillId="2" borderId="10" xfId="0" applyNumberFormat="1" applyFill="1" applyBorder="1" applyAlignment="1">
      <alignment wrapText="1"/>
    </xf>
    <xf numFmtId="0" fontId="1" fillId="0" borderId="0" xfId="0" applyFont="1" applyAlignment="1">
      <alignment horizontal="right" wrapText="1"/>
    </xf>
    <xf numFmtId="164" fontId="0" fillId="2" borderId="1" xfId="0" applyNumberFormat="1" applyFill="1" applyBorder="1" applyAlignment="1">
      <alignment wrapText="1"/>
    </xf>
    <xf numFmtId="0" fontId="1" fillId="0" borderId="0" xfId="0" applyFont="1" applyAlignment="1">
      <alignment wrapText="1"/>
    </xf>
    <xf numFmtId="164" fontId="1" fillId="0" borderId="0" xfId="0" applyNumberFormat="1" applyFont="1" applyAlignment="1">
      <alignment wrapText="1"/>
    </xf>
    <xf numFmtId="0" fontId="0" fillId="0" borderId="0" xfId="0" applyAlignment="1">
      <alignment wrapText="1"/>
    </xf>
    <xf numFmtId="0" fontId="1" fillId="0" borderId="0" xfId="0" applyFont="1" applyFill="1" applyBorder="1" applyAlignment="1">
      <alignment wrapText="1"/>
    </xf>
    <xf numFmtId="0" fontId="0" fillId="0" borderId="0" xfId="0" applyFill="1" applyBorder="1" applyAlignment="1">
      <alignment wrapText="1"/>
    </xf>
    <xf numFmtId="164" fontId="0" fillId="0" borderId="0" xfId="0" applyNumberFormat="1" applyFill="1" applyBorder="1" applyAlignment="1">
      <alignment wrapText="1"/>
    </xf>
    <xf numFmtId="0" fontId="0" fillId="0" borderId="0" xfId="0" applyBorder="1" applyAlignment="1">
      <alignment wrapText="1"/>
    </xf>
    <xf numFmtId="164" fontId="1" fillId="2" borderId="1" xfId="0" applyNumberFormat="1" applyFont="1" applyFill="1" applyBorder="1" applyAlignment="1">
      <alignment wrapText="1"/>
    </xf>
    <xf numFmtId="164" fontId="1" fillId="0" borderId="8" xfId="0" applyNumberFormat="1" applyFont="1" applyBorder="1" applyAlignment="1">
      <alignment wrapText="1"/>
    </xf>
    <xf numFmtId="164" fontId="0" fillId="0" borderId="8" xfId="0" applyNumberFormat="1" applyBorder="1" applyAlignment="1">
      <alignment wrapText="1"/>
    </xf>
    <xf numFmtId="164" fontId="1" fillId="0" borderId="12" xfId="0" applyNumberFormat="1" applyFont="1" applyBorder="1" applyAlignment="1">
      <alignment wrapText="1"/>
    </xf>
    <xf numFmtId="164" fontId="0" fillId="0" borderId="8" xfId="0" applyNumberFormat="1" applyFill="1" applyBorder="1" applyAlignment="1">
      <alignment wrapText="1"/>
    </xf>
    <xf numFmtId="164" fontId="0" fillId="0" borderId="0" xfId="0" applyNumberFormat="1" applyBorder="1" applyAlignment="1">
      <alignment wrapText="1"/>
    </xf>
    <xf numFmtId="164" fontId="1" fillId="0" borderId="0" xfId="0" applyNumberFormat="1" applyFont="1" applyFill="1" applyBorder="1" applyAlignment="1">
      <alignment wrapText="1"/>
    </xf>
    <xf numFmtId="164" fontId="3" fillId="0" borderId="0" xfId="0" applyNumberFormat="1" applyFont="1" applyFill="1" applyBorder="1" applyAlignment="1">
      <alignment wrapText="1"/>
    </xf>
    <xf numFmtId="164" fontId="1" fillId="0" borderId="17" xfId="0" applyNumberFormat="1" applyFont="1" applyBorder="1" applyAlignment="1">
      <alignment wrapText="1"/>
    </xf>
    <xf numFmtId="164" fontId="1" fillId="0" borderId="18" xfId="0" applyNumberFormat="1" applyFont="1" applyBorder="1" applyAlignment="1">
      <alignment wrapText="1"/>
    </xf>
    <xf numFmtId="165" fontId="3" fillId="0" borderId="12" xfId="0" applyNumberFormat="1" applyFont="1" applyBorder="1" applyAlignment="1">
      <alignment wrapText="1"/>
    </xf>
    <xf numFmtId="0" fontId="0" fillId="0" borderId="22" xfId="0" applyBorder="1" applyAlignment="1">
      <alignment wrapText="1"/>
    </xf>
    <xf numFmtId="164" fontId="0" fillId="0" borderId="19" xfId="0" applyNumberFormat="1" applyBorder="1" applyAlignment="1">
      <alignment wrapText="1"/>
    </xf>
    <xf numFmtId="0" fontId="2" fillId="0" borderId="22" xfId="0" applyFont="1" applyFill="1" applyBorder="1" applyAlignment="1">
      <alignment wrapText="1"/>
    </xf>
    <xf numFmtId="0" fontId="0" fillId="0" borderId="24" xfId="0" applyBorder="1" applyAlignment="1">
      <alignment wrapText="1"/>
    </xf>
    <xf numFmtId="0" fontId="0" fillId="0" borderId="25" xfId="0" applyBorder="1" applyAlignment="1">
      <alignment wrapText="1"/>
    </xf>
    <xf numFmtId="164" fontId="1" fillId="0" borderId="14" xfId="0" applyNumberFormat="1" applyFont="1" applyBorder="1" applyAlignment="1">
      <alignment wrapText="1"/>
    </xf>
    <xf numFmtId="0" fontId="0" fillId="0" borderId="1" xfId="0" applyBorder="1" applyAlignment="1">
      <alignment wrapText="1"/>
    </xf>
    <xf numFmtId="164" fontId="0" fillId="0" borderId="1" xfId="0" applyNumberFormat="1" applyBorder="1" applyAlignment="1">
      <alignment wrapText="1"/>
    </xf>
    <xf numFmtId="0" fontId="0" fillId="0" borderId="1" xfId="0" applyFont="1" applyBorder="1" applyAlignment="1">
      <alignment wrapText="1"/>
    </xf>
    <xf numFmtId="0" fontId="2" fillId="2" borderId="26" xfId="0" applyFont="1" applyFill="1" applyBorder="1" applyAlignment="1">
      <alignment wrapText="1"/>
    </xf>
    <xf numFmtId="0" fontId="0" fillId="0" borderId="29" xfId="0" applyFont="1" applyBorder="1" applyAlignment="1">
      <alignment wrapText="1"/>
    </xf>
    <xf numFmtId="0" fontId="0" fillId="0" borderId="30" xfId="0" applyFont="1" applyBorder="1" applyAlignment="1">
      <alignment wrapText="1"/>
    </xf>
    <xf numFmtId="0" fontId="0" fillId="0" borderId="31" xfId="0" applyFont="1" applyBorder="1" applyAlignment="1">
      <alignment wrapText="1"/>
    </xf>
    <xf numFmtId="0" fontId="0" fillId="0" borderId="23" xfId="0" applyBorder="1" applyAlignment="1">
      <alignment wrapText="1"/>
    </xf>
    <xf numFmtId="164" fontId="0" fillId="0" borderId="32" xfId="0" applyNumberFormat="1" applyBorder="1" applyAlignment="1">
      <alignment wrapText="1"/>
    </xf>
    <xf numFmtId="0" fontId="0" fillId="0" borderId="29" xfId="0" applyBorder="1" applyAlignment="1">
      <alignment wrapText="1"/>
    </xf>
    <xf numFmtId="0" fontId="0" fillId="0" borderId="30" xfId="0" applyBorder="1" applyAlignment="1">
      <alignment wrapText="1"/>
    </xf>
    <xf numFmtId="164" fontId="0" fillId="0" borderId="30" xfId="0" applyNumberFormat="1" applyBorder="1" applyAlignment="1">
      <alignment wrapText="1"/>
    </xf>
    <xf numFmtId="164" fontId="0" fillId="0" borderId="33" xfId="0" applyNumberFormat="1" applyBorder="1" applyAlignment="1">
      <alignment wrapText="1"/>
    </xf>
    <xf numFmtId="0" fontId="0" fillId="2" borderId="27" xfId="0" applyFill="1" applyBorder="1" applyAlignment="1">
      <alignment wrapText="1"/>
    </xf>
    <xf numFmtId="164" fontId="0" fillId="2" borderId="27" xfId="0" applyNumberFormat="1" applyFill="1" applyBorder="1" applyAlignment="1">
      <alignment wrapText="1"/>
    </xf>
    <xf numFmtId="0" fontId="0" fillId="0" borderId="23" xfId="0" applyFont="1" applyBorder="1" applyAlignment="1">
      <alignment wrapText="1"/>
    </xf>
    <xf numFmtId="0" fontId="0" fillId="0" borderId="31" xfId="0" applyBorder="1" applyAlignment="1">
      <alignment wrapText="1"/>
    </xf>
    <xf numFmtId="0" fontId="2" fillId="0" borderId="23" xfId="0" applyFont="1" applyFill="1" applyBorder="1" applyAlignment="1">
      <alignment wrapText="1"/>
    </xf>
    <xf numFmtId="0" fontId="2" fillId="0" borderId="29" xfId="0" applyFont="1" applyFill="1" applyBorder="1" applyAlignment="1">
      <alignment wrapText="1"/>
    </xf>
    <xf numFmtId="164" fontId="0" fillId="0" borderId="34" xfId="0" applyNumberFormat="1"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35" xfId="0" applyBorder="1" applyAlignment="1">
      <alignment wrapText="1"/>
    </xf>
    <xf numFmtId="0" fontId="0" fillId="0" borderId="4" xfId="0" applyBorder="1" applyAlignment="1">
      <alignment wrapText="1"/>
    </xf>
    <xf numFmtId="164" fontId="0" fillId="0" borderId="5" xfId="0" applyNumberFormat="1" applyBorder="1" applyAlignment="1">
      <alignment wrapText="1"/>
    </xf>
    <xf numFmtId="0" fontId="0" fillId="0" borderId="36" xfId="0" applyBorder="1" applyAlignment="1">
      <alignment wrapText="1"/>
    </xf>
    <xf numFmtId="0" fontId="0" fillId="0" borderId="11" xfId="0" applyBorder="1" applyAlignment="1">
      <alignment wrapText="1"/>
    </xf>
    <xf numFmtId="0" fontId="0" fillId="0" borderId="15" xfId="0" applyBorder="1" applyAlignment="1">
      <alignment wrapText="1"/>
    </xf>
    <xf numFmtId="0" fontId="0" fillId="0" borderId="6" xfId="0" applyBorder="1" applyAlignment="1">
      <alignment wrapText="1"/>
    </xf>
    <xf numFmtId="164" fontId="0" fillId="0" borderId="37" xfId="0" applyNumberFormat="1" applyBorder="1" applyAlignment="1">
      <alignment wrapText="1"/>
    </xf>
    <xf numFmtId="0" fontId="0" fillId="0" borderId="38" xfId="0" applyBorder="1" applyAlignment="1">
      <alignment wrapText="1"/>
    </xf>
    <xf numFmtId="164" fontId="0" fillId="2" borderId="28" xfId="0" applyNumberFormat="1" applyFill="1" applyBorder="1" applyAlignment="1">
      <alignment wrapText="1"/>
    </xf>
    <xf numFmtId="0" fontId="0" fillId="2" borderId="27" xfId="0" applyFont="1" applyFill="1" applyBorder="1" applyAlignment="1">
      <alignment wrapText="1"/>
    </xf>
    <xf numFmtId="164" fontId="0" fillId="2" borderId="27" xfId="0" applyNumberFormat="1" applyFont="1" applyFill="1" applyBorder="1" applyAlignment="1">
      <alignment wrapText="1"/>
    </xf>
    <xf numFmtId="164" fontId="0" fillId="2" borderId="28" xfId="0" applyNumberFormat="1" applyFont="1" applyFill="1" applyBorder="1" applyAlignment="1">
      <alignment wrapText="1"/>
    </xf>
    <xf numFmtId="164" fontId="0" fillId="0" borderId="41" xfId="0" applyNumberFormat="1" applyFont="1" applyBorder="1" applyAlignment="1">
      <alignment wrapText="1"/>
    </xf>
    <xf numFmtId="0" fontId="0" fillId="0" borderId="0" xfId="0" applyAlignment="1">
      <alignment horizontal="center" vertical="center" wrapText="1"/>
    </xf>
    <xf numFmtId="165" fontId="0" fillId="0" borderId="0" xfId="0" applyNumberFormat="1" applyAlignment="1">
      <alignment horizontal="center" vertical="center" wrapText="1"/>
    </xf>
    <xf numFmtId="3" fontId="0" fillId="0" borderId="0" xfId="0" applyNumberFormat="1" applyAlignment="1">
      <alignment horizontal="center" vertical="center" wrapText="1"/>
    </xf>
    <xf numFmtId="165" fontId="1" fillId="0" borderId="12" xfId="0" applyNumberFormat="1" applyFont="1" applyBorder="1" applyAlignment="1">
      <alignment horizontal="center" vertical="center" wrapText="1"/>
    </xf>
    <xf numFmtId="0" fontId="1" fillId="3" borderId="0" xfId="0" applyFont="1" applyFill="1" applyAlignment="1">
      <alignment horizontal="center" vertical="center" wrapText="1"/>
    </xf>
    <xf numFmtId="165" fontId="1" fillId="3" borderId="0" xfId="0" applyNumberFormat="1" applyFont="1" applyFill="1" applyAlignment="1">
      <alignment horizontal="center" vertical="center" wrapText="1"/>
    </xf>
    <xf numFmtId="165" fontId="0" fillId="0" borderId="25" xfId="0" applyNumberFormat="1" applyBorder="1" applyAlignment="1">
      <alignment horizontal="center" vertical="center" wrapText="1"/>
    </xf>
    <xf numFmtId="165" fontId="0" fillId="0" borderId="25" xfId="0" applyNumberFormat="1" applyFont="1" applyBorder="1" applyAlignment="1">
      <alignment horizontal="center" vertical="center" wrapText="1"/>
    </xf>
    <xf numFmtId="0" fontId="0" fillId="0" borderId="0" xfId="0" applyBorder="1" applyAlignment="1">
      <alignment horizontal="center" vertical="center" wrapText="1"/>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0" fillId="0" borderId="40" xfId="0" applyBorder="1" applyAlignment="1">
      <alignment horizontal="center" vertical="center" wrapText="1"/>
    </xf>
    <xf numFmtId="0" fontId="5" fillId="0" borderId="40" xfId="1" applyBorder="1" applyAlignment="1">
      <alignment horizontal="center" vertical="center" wrapText="1"/>
    </xf>
    <xf numFmtId="14" fontId="0" fillId="0" borderId="40" xfId="0" applyNumberFormat="1" applyBorder="1" applyAlignment="1">
      <alignment horizontal="center" vertical="center" wrapText="1"/>
    </xf>
    <xf numFmtId="165" fontId="0" fillId="0" borderId="40" xfId="0" applyNumberFormat="1" applyBorder="1" applyAlignment="1">
      <alignment horizontal="center" vertical="center" wrapText="1"/>
    </xf>
    <xf numFmtId="0" fontId="0" fillId="0" borderId="13" xfId="0" applyBorder="1" applyAlignment="1">
      <alignment horizontal="left" vertical="top" wrapText="1"/>
    </xf>
    <xf numFmtId="0" fontId="5" fillId="0" borderId="0" xfId="1" applyBorder="1" applyAlignment="1">
      <alignment horizontal="center" vertical="center" wrapText="1"/>
    </xf>
    <xf numFmtId="165" fontId="0" fillId="0" borderId="0" xfId="0" applyNumberFormat="1" applyBorder="1" applyAlignment="1">
      <alignment horizontal="center" vertical="center" wrapText="1"/>
    </xf>
    <xf numFmtId="0" fontId="1" fillId="0" borderId="16" xfId="0" applyFont="1" applyBorder="1" applyAlignment="1">
      <alignment horizontal="center" vertical="center" wrapText="1"/>
    </xf>
    <xf numFmtId="165" fontId="0" fillId="0" borderId="27" xfId="0" applyNumberFormat="1" applyFont="1" applyBorder="1" applyAlignment="1">
      <alignment horizontal="center" vertical="center" wrapText="1"/>
    </xf>
    <xf numFmtId="0" fontId="0" fillId="0" borderId="0" xfId="0" applyFont="1" applyBorder="1" applyAlignment="1">
      <alignment horizontal="center" vertical="center" wrapText="1"/>
    </xf>
    <xf numFmtId="0" fontId="5" fillId="0" borderId="27" xfId="1" applyBorder="1" applyAlignment="1">
      <alignment horizontal="center" vertical="center" wrapText="1"/>
    </xf>
    <xf numFmtId="165" fontId="0" fillId="0" borderId="0" xfId="0" applyNumberFormat="1" applyFont="1" applyBorder="1" applyAlignment="1">
      <alignment horizontal="center" vertical="center" wrapText="1"/>
    </xf>
    <xf numFmtId="0" fontId="0" fillId="0" borderId="24" xfId="0" applyBorder="1" applyAlignment="1">
      <alignment horizontal="center" vertical="center" wrapText="1"/>
    </xf>
    <xf numFmtId="0" fontId="5" fillId="0" borderId="25" xfId="1" applyBorder="1" applyAlignment="1">
      <alignment horizontal="center" vertical="center" wrapText="1"/>
    </xf>
    <xf numFmtId="0" fontId="1" fillId="0" borderId="25" xfId="0" applyFont="1" applyBorder="1" applyAlignment="1">
      <alignment horizontal="right" vertical="center" wrapText="1"/>
    </xf>
    <xf numFmtId="165"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32" xfId="0" applyBorder="1" applyAlignment="1">
      <alignment horizontal="center" vertical="center" wrapText="1"/>
    </xf>
    <xf numFmtId="0" fontId="0" fillId="0" borderId="30" xfId="0" applyBorder="1" applyAlignment="1">
      <alignment horizontal="center" vertical="center" wrapText="1"/>
    </xf>
    <xf numFmtId="165" fontId="0" fillId="0" borderId="30" xfId="0" applyNumberFormat="1" applyBorder="1" applyAlignment="1">
      <alignment horizontal="center" vertical="center" wrapText="1"/>
    </xf>
    <xf numFmtId="0" fontId="0" fillId="0" borderId="33" xfId="0" applyBorder="1" applyAlignment="1">
      <alignment horizontal="center" vertical="center" wrapText="1"/>
    </xf>
    <xf numFmtId="0" fontId="1" fillId="0" borderId="23" xfId="0" applyFont="1" applyBorder="1" applyAlignment="1">
      <alignment horizontal="center" vertical="center" wrapText="1"/>
    </xf>
    <xf numFmtId="0" fontId="1" fillId="0" borderId="29" xfId="0" applyFont="1" applyBorder="1" applyAlignment="1">
      <alignment horizontal="center" vertical="center" wrapText="1"/>
    </xf>
    <xf numFmtId="0" fontId="0" fillId="0" borderId="42" xfId="0" applyBorder="1" applyAlignment="1">
      <alignment horizontal="center" vertical="center" wrapText="1"/>
    </xf>
    <xf numFmtId="0" fontId="1" fillId="0" borderId="18" xfId="0" applyFont="1" applyBorder="1" applyAlignment="1">
      <alignment horizontal="center" vertical="center" wrapText="1"/>
    </xf>
    <xf numFmtId="165" fontId="1" fillId="0" borderId="18" xfId="0" applyNumberFormat="1" applyFont="1" applyBorder="1" applyAlignment="1">
      <alignment horizontal="center" vertical="center" wrapText="1"/>
    </xf>
    <xf numFmtId="0" fontId="1" fillId="0" borderId="45" xfId="0" applyFont="1" applyBorder="1" applyAlignment="1">
      <alignment horizontal="center" vertical="center" wrapText="1"/>
    </xf>
    <xf numFmtId="0" fontId="0" fillId="0" borderId="0" xfId="0" applyAlignment="1">
      <alignment wrapText="1"/>
    </xf>
    <xf numFmtId="0" fontId="0" fillId="0" borderId="24" xfId="0" applyBorder="1" applyAlignment="1">
      <alignment horizontal="center" vertical="center" wrapText="1"/>
    </xf>
    <xf numFmtId="0" fontId="0" fillId="0" borderId="0" xfId="0" applyBorder="1" applyAlignment="1">
      <alignment horizontal="center" vertical="center" wrapText="1"/>
    </xf>
    <xf numFmtId="0" fontId="0" fillId="0" borderId="27" xfId="0" applyBorder="1" applyAlignment="1">
      <alignment horizontal="center" vertical="center" wrapText="1"/>
    </xf>
    <xf numFmtId="0" fontId="0" fillId="0" borderId="25" xfId="0" applyBorder="1" applyAlignment="1">
      <alignment horizontal="center" vertical="center" wrapText="1"/>
    </xf>
    <xf numFmtId="165" fontId="0" fillId="0" borderId="27" xfId="0" applyNumberFormat="1" applyBorder="1" applyAlignment="1">
      <alignment horizontal="center" vertical="center" wrapText="1"/>
    </xf>
    <xf numFmtId="165" fontId="0" fillId="0" borderId="0" xfId="0" applyNumberFormat="1" applyBorder="1" applyAlignment="1">
      <alignment horizontal="center" vertical="center" wrapText="1"/>
    </xf>
    <xf numFmtId="165" fontId="0" fillId="0" borderId="0" xfId="0" applyNumberFormat="1" applyAlignment="1">
      <alignment wrapText="1"/>
    </xf>
    <xf numFmtId="0" fontId="1" fillId="4" borderId="46" xfId="0" applyFont="1" applyFill="1" applyBorder="1" applyAlignment="1">
      <alignment horizontal="center" vertical="center" wrapText="1"/>
    </xf>
    <xf numFmtId="0" fontId="1" fillId="4" borderId="47" xfId="0" applyFont="1" applyFill="1" applyBorder="1" applyAlignment="1">
      <alignment horizontal="center" vertical="center" wrapText="1"/>
    </xf>
    <xf numFmtId="165" fontId="1" fillId="0" borderId="1" xfId="0" applyNumberFormat="1" applyFont="1" applyBorder="1" applyAlignment="1">
      <alignment wrapText="1"/>
    </xf>
    <xf numFmtId="165" fontId="1" fillId="0" borderId="18" xfId="0" applyNumberFormat="1" applyFont="1" applyBorder="1" applyAlignment="1">
      <alignment wrapText="1"/>
    </xf>
    <xf numFmtId="0" fontId="7" fillId="0" borderId="4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9" xfId="0" applyFont="1" applyBorder="1" applyAlignment="1">
      <alignment horizontal="center" vertical="center" wrapText="1"/>
    </xf>
    <xf numFmtId="165" fontId="1" fillId="0" borderId="18" xfId="0" applyNumberFormat="1" applyFont="1" applyBorder="1" applyAlignment="1">
      <alignment horizontal="right" vertical="center" wrapText="1"/>
    </xf>
    <xf numFmtId="165" fontId="1" fillId="0" borderId="1" xfId="0" applyNumberFormat="1" applyFont="1" applyBorder="1" applyAlignment="1">
      <alignment horizontal="right" vertical="center" wrapText="1"/>
    </xf>
    <xf numFmtId="165" fontId="1" fillId="0" borderId="30" xfId="0" applyNumberFormat="1" applyFont="1" applyBorder="1" applyAlignment="1">
      <alignment horizontal="right" vertical="center" wrapText="1"/>
    </xf>
    <xf numFmtId="165" fontId="1" fillId="0" borderId="49" xfId="0" applyNumberFormat="1" applyFont="1" applyBorder="1" applyAlignment="1">
      <alignment horizontal="right" vertical="center" wrapText="1"/>
    </xf>
    <xf numFmtId="165" fontId="1" fillId="0" borderId="9" xfId="0" applyNumberFormat="1" applyFont="1" applyBorder="1" applyAlignment="1">
      <alignment horizontal="right" vertical="center" wrapText="1"/>
    </xf>
    <xf numFmtId="165" fontId="1" fillId="0" borderId="31" xfId="0" applyNumberFormat="1" applyFont="1" applyBorder="1" applyAlignment="1">
      <alignment horizontal="right" vertical="center" wrapText="1"/>
    </xf>
    <xf numFmtId="0" fontId="1" fillId="4" borderId="48" xfId="0" applyFont="1" applyFill="1" applyBorder="1" applyAlignment="1">
      <alignment horizontal="center" vertical="center" wrapText="1"/>
    </xf>
    <xf numFmtId="165" fontId="0" fillId="0" borderId="0" xfId="0" applyNumberFormat="1"/>
    <xf numFmtId="3" fontId="0" fillId="0" borderId="0" xfId="0" applyNumberFormat="1" applyAlignment="1">
      <alignment wrapText="1"/>
    </xf>
    <xf numFmtId="165" fontId="1" fillId="0" borderId="0" xfId="0" applyNumberFormat="1" applyFont="1" applyAlignment="1">
      <alignment horizontal="center" vertical="center" wrapText="1"/>
    </xf>
    <xf numFmtId="165" fontId="3" fillId="2" borderId="43" xfId="0" applyNumberFormat="1" applyFont="1" applyFill="1" applyBorder="1" applyAlignment="1">
      <alignment wrapText="1"/>
    </xf>
    <xf numFmtId="165" fontId="0" fillId="0" borderId="27" xfId="0" applyNumberFormat="1" applyBorder="1" applyAlignment="1">
      <alignment wrapText="1"/>
    </xf>
    <xf numFmtId="165" fontId="0" fillId="0" borderId="28" xfId="0" applyNumberFormat="1" applyBorder="1" applyAlignment="1">
      <alignment wrapText="1"/>
    </xf>
    <xf numFmtId="165" fontId="0" fillId="0" borderId="22" xfId="0" applyNumberFormat="1" applyBorder="1" applyAlignment="1">
      <alignment wrapText="1"/>
    </xf>
    <xf numFmtId="165" fontId="1" fillId="0" borderId="0" xfId="0" applyNumberFormat="1" applyFont="1" applyBorder="1" applyAlignment="1">
      <alignment horizontal="center" vertical="center" wrapText="1"/>
    </xf>
    <xf numFmtId="165" fontId="1" fillId="0" borderId="19" xfId="0" applyNumberFormat="1" applyFont="1" applyBorder="1" applyAlignment="1">
      <alignment horizontal="center" vertical="center" wrapText="1"/>
    </xf>
    <xf numFmtId="165" fontId="0" fillId="0" borderId="0" xfId="0" applyNumberFormat="1" applyBorder="1" applyAlignment="1">
      <alignment wrapText="1"/>
    </xf>
    <xf numFmtId="165" fontId="0" fillId="0" borderId="19" xfId="0" applyNumberFormat="1" applyBorder="1" applyAlignment="1">
      <alignment wrapText="1"/>
    </xf>
    <xf numFmtId="165" fontId="1" fillId="0" borderId="12" xfId="0" applyNumberFormat="1" applyFont="1" applyBorder="1" applyAlignment="1">
      <alignment wrapText="1"/>
    </xf>
    <xf numFmtId="165" fontId="0" fillId="0" borderId="24" xfId="0" applyNumberFormat="1" applyBorder="1" applyAlignment="1">
      <alignment wrapText="1"/>
    </xf>
    <xf numFmtId="165" fontId="1" fillId="0" borderId="25" xfId="0" applyNumberFormat="1" applyFont="1" applyBorder="1" applyAlignment="1">
      <alignment horizontal="right" wrapText="1"/>
    </xf>
    <xf numFmtId="165" fontId="0" fillId="0" borderId="25" xfId="0" applyNumberFormat="1" applyBorder="1" applyAlignment="1">
      <alignment wrapText="1"/>
    </xf>
    <xf numFmtId="0" fontId="1" fillId="2" borderId="27" xfId="0" applyFont="1" applyFill="1" applyBorder="1" applyAlignment="1">
      <alignment horizontal="center" wrapText="1"/>
    </xf>
    <xf numFmtId="164" fontId="1" fillId="2" borderId="28" xfId="0" applyNumberFormat="1" applyFont="1" applyFill="1" applyBorder="1" applyAlignment="1">
      <alignment horizontal="center" wrapText="1"/>
    </xf>
    <xf numFmtId="1" fontId="0" fillId="0" borderId="0" xfId="0" applyNumberFormat="1" applyAlignment="1">
      <alignment wrapText="1"/>
    </xf>
    <xf numFmtId="164" fontId="0" fillId="0" borderId="0" xfId="0" applyNumberFormat="1" applyFont="1" applyFill="1" applyBorder="1" applyAlignment="1">
      <alignment wrapText="1"/>
    </xf>
    <xf numFmtId="164" fontId="0" fillId="0" borderId="0" xfId="0" applyNumberFormat="1" applyFill="1" applyBorder="1" applyAlignment="1">
      <alignment horizontal="right" wrapText="1"/>
    </xf>
    <xf numFmtId="0" fontId="0" fillId="0" borderId="0" xfId="0" applyAlignment="1">
      <alignment horizontal="right" wrapText="1"/>
    </xf>
    <xf numFmtId="165" fontId="0" fillId="0" borderId="1" xfId="0" applyNumberFormat="1" applyBorder="1"/>
    <xf numFmtId="0" fontId="1" fillId="0" borderId="7" xfId="0" applyFont="1" applyBorder="1" applyAlignment="1">
      <alignment horizontal="center" vertical="center"/>
    </xf>
    <xf numFmtId="165" fontId="1" fillId="0" borderId="13" xfId="0" applyNumberFormat="1" applyFont="1" applyBorder="1" applyAlignment="1">
      <alignment horizontal="center"/>
    </xf>
    <xf numFmtId="165" fontId="0" fillId="0" borderId="30" xfId="0" applyNumberFormat="1" applyBorder="1"/>
    <xf numFmtId="0" fontId="0" fillId="0" borderId="22" xfId="0" applyBorder="1"/>
    <xf numFmtId="0" fontId="0" fillId="0" borderId="19" xfId="0" applyBorder="1"/>
    <xf numFmtId="0" fontId="0" fillId="0" borderId="23" xfId="0" applyBorder="1"/>
    <xf numFmtId="165" fontId="0" fillId="0" borderId="38" xfId="0" applyNumberFormat="1" applyBorder="1"/>
    <xf numFmtId="3" fontId="0" fillId="0" borderId="0" xfId="0" applyNumberFormat="1" applyBorder="1" applyAlignment="1">
      <alignment wrapText="1"/>
    </xf>
    <xf numFmtId="165" fontId="0" fillId="0" borderId="22" xfId="0" applyNumberFormat="1" applyBorder="1" applyAlignment="1">
      <alignment horizontal="center" vertical="center" wrapText="1"/>
    </xf>
    <xf numFmtId="165" fontId="0" fillId="0" borderId="22" xfId="0" applyNumberFormat="1" applyBorder="1" applyAlignment="1">
      <alignment horizontal="right" wrapText="1"/>
    </xf>
    <xf numFmtId="165" fontId="3" fillId="2" borderId="43" xfId="0" applyNumberFormat="1"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40" xfId="0" applyFont="1" applyFill="1" applyBorder="1" applyAlignment="1">
      <alignment horizontal="center" vertical="center" wrapText="1"/>
    </xf>
    <xf numFmtId="165" fontId="1" fillId="3" borderId="40" xfId="0" applyNumberFormat="1"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5" borderId="48" xfId="0" applyFont="1" applyFill="1" applyBorder="1" applyAlignment="1">
      <alignment horizontal="center" vertical="center" wrapText="1"/>
    </xf>
    <xf numFmtId="165" fontId="1" fillId="5" borderId="50" xfId="0" applyNumberFormat="1" applyFont="1" applyFill="1" applyBorder="1" applyAlignment="1">
      <alignment horizontal="right" vertical="center" wrapText="1"/>
    </xf>
    <xf numFmtId="165" fontId="1" fillId="5" borderId="51" xfId="0" applyNumberFormat="1" applyFont="1" applyFill="1" applyBorder="1" applyAlignment="1">
      <alignment horizontal="right" vertical="center" wrapText="1"/>
    </xf>
    <xf numFmtId="165" fontId="1" fillId="5" borderId="52" xfId="0" applyNumberFormat="1" applyFont="1" applyFill="1" applyBorder="1" applyAlignment="1">
      <alignment horizontal="right" vertical="center" wrapText="1"/>
    </xf>
    <xf numFmtId="0" fontId="1" fillId="2" borderId="16" xfId="0" applyFont="1" applyFill="1" applyBorder="1" applyAlignment="1">
      <alignment horizontal="center" vertical="center" wrapText="1"/>
    </xf>
    <xf numFmtId="0" fontId="1" fillId="2" borderId="16" xfId="0" applyFont="1" applyFill="1" applyBorder="1" applyAlignment="1">
      <alignment horizontal="right" wrapText="1"/>
    </xf>
    <xf numFmtId="0" fontId="1" fillId="2" borderId="15" xfId="0" applyFont="1" applyFill="1" applyBorder="1" applyAlignment="1">
      <alignment horizontal="center" vertical="center" wrapText="1"/>
    </xf>
    <xf numFmtId="165" fontId="1" fillId="0" borderId="42" xfId="0" applyNumberFormat="1" applyFont="1" applyBorder="1" applyAlignment="1">
      <alignment wrapText="1"/>
    </xf>
    <xf numFmtId="165" fontId="1" fillId="0" borderId="23" xfId="0" applyNumberFormat="1" applyFont="1" applyBorder="1" applyAlignment="1">
      <alignment wrapText="1"/>
    </xf>
    <xf numFmtId="165" fontId="1" fillId="5" borderId="45" xfId="0" applyNumberFormat="1" applyFont="1" applyFill="1" applyBorder="1" applyAlignment="1">
      <alignment wrapText="1"/>
    </xf>
    <xf numFmtId="165" fontId="1" fillId="5" borderId="32" xfId="0" applyNumberFormat="1" applyFont="1" applyFill="1" applyBorder="1" applyAlignment="1">
      <alignment wrapText="1"/>
    </xf>
    <xf numFmtId="165" fontId="1" fillId="6" borderId="29" xfId="0" applyNumberFormat="1" applyFont="1" applyFill="1" applyBorder="1" applyAlignment="1">
      <alignment wrapText="1"/>
    </xf>
    <xf numFmtId="165" fontId="1" fillId="6" borderId="30" xfId="0" applyNumberFormat="1" applyFont="1" applyFill="1" applyBorder="1" applyAlignment="1">
      <alignment wrapText="1"/>
    </xf>
    <xf numFmtId="165" fontId="1" fillId="6" borderId="33" xfId="0" applyNumberFormat="1" applyFont="1" applyFill="1" applyBorder="1" applyAlignment="1">
      <alignment wrapText="1"/>
    </xf>
    <xf numFmtId="0" fontId="1" fillId="2" borderId="1" xfId="0" applyFont="1" applyFill="1" applyBorder="1" applyAlignment="1">
      <alignment horizontal="center" wrapText="1"/>
    </xf>
    <xf numFmtId="1" fontId="1" fillId="0" borderId="0" xfId="0" applyNumberFormat="1" applyFont="1" applyFill="1" applyBorder="1" applyAlignment="1">
      <alignment horizontal="center" wrapText="1"/>
    </xf>
    <xf numFmtId="1" fontId="1" fillId="0" borderId="0" xfId="0" applyNumberFormat="1" applyFont="1" applyAlignment="1">
      <alignment horizontal="center" wrapText="1"/>
    </xf>
    <xf numFmtId="164" fontId="1" fillId="2" borderId="12" xfId="0" applyNumberFormat="1" applyFont="1" applyFill="1" applyBorder="1" applyAlignment="1">
      <alignment horizontal="center" wrapText="1"/>
    </xf>
    <xf numFmtId="164" fontId="1" fillId="5" borderId="12" xfId="0" applyNumberFormat="1" applyFont="1" applyFill="1" applyBorder="1" applyAlignment="1">
      <alignment horizontal="center" wrapText="1"/>
    </xf>
    <xf numFmtId="0" fontId="0" fillId="2" borderId="6" xfId="0" applyFill="1" applyBorder="1" applyAlignment="1">
      <alignment wrapText="1"/>
    </xf>
    <xf numFmtId="0" fontId="0" fillId="5" borderId="8" xfId="0" applyFill="1" applyBorder="1" applyAlignment="1">
      <alignment horizontal="center" vertical="center" wrapText="1"/>
    </xf>
    <xf numFmtId="0" fontId="0" fillId="2" borderId="8" xfId="0" applyFill="1" applyBorder="1" applyAlignment="1">
      <alignment horizontal="left" vertical="center" wrapText="1"/>
    </xf>
    <xf numFmtId="164" fontId="1" fillId="2" borderId="12" xfId="0" applyNumberFormat="1" applyFont="1" applyFill="1" applyBorder="1" applyAlignment="1">
      <alignment horizontal="left" wrapText="1"/>
    </xf>
    <xf numFmtId="0" fontId="0" fillId="0" borderId="0" xfId="0" applyAlignment="1">
      <alignment wrapText="1"/>
    </xf>
    <xf numFmtId="6" fontId="0" fillId="0" borderId="0" xfId="0" applyNumberFormat="1" applyAlignment="1">
      <alignment wrapText="1"/>
    </xf>
    <xf numFmtId="164" fontId="1" fillId="2" borderId="1" xfId="0" applyNumberFormat="1" applyFont="1" applyFill="1" applyBorder="1" applyAlignment="1">
      <alignment horizontal="center" wrapText="1"/>
    </xf>
    <xf numFmtId="0" fontId="0" fillId="0" borderId="0" xfId="0" applyAlignment="1">
      <alignment wrapText="1"/>
    </xf>
    <xf numFmtId="165" fontId="4" fillId="2" borderId="16" xfId="0" applyNumberFormat="1" applyFont="1" applyFill="1" applyBorder="1" applyAlignment="1">
      <alignment horizontal="center" vertical="center" wrapText="1"/>
    </xf>
    <xf numFmtId="165" fontId="4" fillId="2" borderId="40" xfId="0" applyNumberFormat="1" applyFont="1" applyFill="1" applyBorder="1" applyAlignment="1">
      <alignment horizontal="center" vertical="center" wrapText="1"/>
    </xf>
    <xf numFmtId="165" fontId="0" fillId="2" borderId="40" xfId="0" applyNumberFormat="1" applyFill="1" applyBorder="1" applyAlignment="1">
      <alignment horizontal="center" vertical="center" wrapText="1"/>
    </xf>
    <xf numFmtId="165" fontId="0" fillId="2" borderId="13" xfId="0" applyNumberFormat="1" applyFill="1" applyBorder="1" applyAlignment="1">
      <alignment horizontal="center" vertical="center" wrapText="1"/>
    </xf>
    <xf numFmtId="0" fontId="0" fillId="0" borderId="0" xfId="0" applyAlignment="1">
      <alignment horizontal="right" wrapText="1"/>
    </xf>
    <xf numFmtId="0" fontId="1" fillId="0" borderId="0" xfId="0" applyFont="1" applyAlignment="1">
      <alignment horizontal="right" wrapText="1"/>
    </xf>
    <xf numFmtId="0" fontId="0" fillId="0" borderId="0" xfId="0" applyAlignment="1">
      <alignment wrapText="1"/>
    </xf>
    <xf numFmtId="0" fontId="0" fillId="0" borderId="53" xfId="0" applyBorder="1" applyAlignment="1">
      <alignment wrapText="1"/>
    </xf>
    <xf numFmtId="0" fontId="1" fillId="0" borderId="30" xfId="0" applyFont="1" applyBorder="1" applyAlignment="1">
      <alignment horizontal="right" wrapText="1"/>
    </xf>
    <xf numFmtId="0" fontId="1" fillId="0" borderId="31" xfId="0" applyFont="1" applyBorder="1" applyAlignment="1">
      <alignment horizontal="right" wrapText="1"/>
    </xf>
    <xf numFmtId="0" fontId="2" fillId="2" borderId="20" xfId="0" applyFont="1" applyFill="1" applyBorder="1" applyAlignment="1">
      <alignment wrapText="1"/>
    </xf>
    <xf numFmtId="0" fontId="0" fillId="0" borderId="21" xfId="0" applyBorder="1" applyAlignment="1">
      <alignment wrapText="1"/>
    </xf>
    <xf numFmtId="0" fontId="0" fillId="0" borderId="39" xfId="0" applyBorder="1" applyAlignment="1">
      <alignment wrapText="1"/>
    </xf>
    <xf numFmtId="0" fontId="1" fillId="0" borderId="1" xfId="0" applyFont="1" applyBorder="1" applyAlignment="1">
      <alignment horizontal="right" wrapText="1"/>
    </xf>
    <xf numFmtId="0" fontId="1" fillId="0" borderId="9" xfId="0" applyFont="1" applyBorder="1" applyAlignment="1">
      <alignment horizontal="right" wrapText="1"/>
    </xf>
    <xf numFmtId="0" fontId="1" fillId="0" borderId="7" xfId="0" applyFont="1" applyBorder="1" applyAlignment="1">
      <alignment horizontal="right" wrapText="1"/>
    </xf>
    <xf numFmtId="0" fontId="1" fillId="0" borderId="4" xfId="0" applyFont="1" applyBorder="1" applyAlignment="1">
      <alignment horizontal="right" wrapText="1"/>
    </xf>
    <xf numFmtId="0" fontId="0" fillId="0" borderId="31" xfId="0" applyBorder="1" applyAlignment="1">
      <alignment horizontal="right" wrapText="1"/>
    </xf>
    <xf numFmtId="0" fontId="10" fillId="0" borderId="0" xfId="0" applyFont="1" applyAlignment="1">
      <alignment wrapText="1"/>
    </xf>
    <xf numFmtId="0" fontId="1" fillId="2" borderId="9" xfId="0" applyFont="1" applyFill="1" applyBorder="1" applyAlignment="1">
      <alignment wrapText="1"/>
    </xf>
    <xf numFmtId="0" fontId="0" fillId="2" borderId="10" xfId="0" applyFill="1" applyBorder="1" applyAlignment="1">
      <alignment wrapText="1"/>
    </xf>
    <xf numFmtId="0" fontId="1" fillId="2" borderId="16" xfId="0" applyFont="1" applyFill="1" applyBorder="1" applyAlignment="1">
      <alignment wrapText="1"/>
    </xf>
    <xf numFmtId="0" fontId="0" fillId="2" borderId="40" xfId="0" applyFill="1" applyBorder="1" applyAlignment="1">
      <alignment wrapText="1"/>
    </xf>
    <xf numFmtId="0" fontId="0" fillId="0" borderId="40" xfId="0" applyBorder="1" applyAlignment="1">
      <alignment wrapText="1"/>
    </xf>
    <xf numFmtId="0" fontId="0" fillId="0" borderId="13" xfId="0" applyBorder="1" applyAlignment="1">
      <alignment wrapText="1"/>
    </xf>
    <xf numFmtId="0" fontId="1" fillId="2" borderId="9" xfId="0" applyFont="1" applyFill="1" applyBorder="1" applyAlignment="1">
      <alignment horizontal="center" wrapText="1"/>
    </xf>
    <xf numFmtId="0" fontId="1" fillId="2" borderId="11" xfId="0" applyFont="1" applyFill="1" applyBorder="1" applyAlignment="1">
      <alignment wrapText="1"/>
    </xf>
    <xf numFmtId="0" fontId="1" fillId="0" borderId="43" xfId="0" applyFont="1" applyBorder="1" applyAlignment="1">
      <alignment horizontal="center" vertical="center" wrapText="1"/>
    </xf>
    <xf numFmtId="0" fontId="0" fillId="0" borderId="22" xfId="0" applyBorder="1" applyAlignment="1">
      <alignment horizontal="center" vertical="center" wrapText="1"/>
    </xf>
    <xf numFmtId="0" fontId="0" fillId="0" borderId="27" xfId="0" applyBorder="1" applyAlignment="1">
      <alignment horizontal="center" vertical="center" wrapText="1"/>
    </xf>
    <xf numFmtId="0" fontId="0" fillId="0" borderId="0" xfId="0" applyBorder="1" applyAlignment="1">
      <alignment horizontal="center" vertical="center" wrapText="1"/>
    </xf>
    <xf numFmtId="14" fontId="0" fillId="0" borderId="27" xfId="0" applyNumberFormat="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8" xfId="0" applyBorder="1" applyAlignment="1">
      <alignment horizontal="left" vertical="top" wrapText="1"/>
    </xf>
    <xf numFmtId="0" fontId="0" fillId="0" borderId="19" xfId="0" applyBorder="1" applyAlignment="1">
      <alignment horizontal="left" vertical="top" wrapText="1"/>
    </xf>
    <xf numFmtId="0" fontId="0" fillId="0" borderId="44" xfId="0" applyBorder="1" applyAlignment="1">
      <alignment horizontal="left" vertical="top" wrapText="1"/>
    </xf>
    <xf numFmtId="0" fontId="1" fillId="0" borderId="22" xfId="0" applyFont="1" applyBorder="1" applyAlignment="1">
      <alignment horizontal="center" vertical="center" wrapText="1"/>
    </xf>
    <xf numFmtId="165" fontId="0" fillId="0" borderId="27" xfId="0" applyNumberFormat="1" applyBorder="1" applyAlignment="1">
      <alignment horizontal="center" vertical="center" wrapText="1"/>
    </xf>
    <xf numFmtId="0" fontId="4" fillId="3" borderId="16"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5" fillId="0" borderId="27" xfId="1" applyBorder="1" applyAlignment="1">
      <alignment horizontal="center" vertical="center" wrapText="1"/>
    </xf>
    <xf numFmtId="165" fontId="0" fillId="0" borderId="0" xfId="0" applyNumberFormat="1" applyBorder="1" applyAlignment="1">
      <alignment horizontal="center" vertical="center" wrapText="1"/>
    </xf>
    <xf numFmtId="0" fontId="5" fillId="0" borderId="0" xfId="1" applyBorder="1" applyAlignment="1">
      <alignment horizontal="center" vertical="center" wrapText="1"/>
    </xf>
    <xf numFmtId="0" fontId="1" fillId="2" borderId="40" xfId="0" applyFont="1" applyFill="1" applyBorder="1" applyAlignment="1"/>
    <xf numFmtId="0" fontId="1" fillId="2" borderId="13" xfId="0" applyFont="1" applyFill="1" applyBorder="1" applyAlignment="1"/>
    <xf numFmtId="0" fontId="1" fillId="0" borderId="19" xfId="0" applyFont="1" applyBorder="1" applyAlignment="1">
      <alignment horizontal="center" vertical="center" wrapText="1"/>
    </xf>
    <xf numFmtId="0" fontId="3" fillId="2" borderId="43"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0" borderId="27" xfId="0" applyFont="1" applyBorder="1" applyAlignment="1">
      <alignment horizontal="center" vertical="center" wrapText="1"/>
    </xf>
    <xf numFmtId="0" fontId="0" fillId="0" borderId="28" xfId="0" applyBorder="1" applyAlignment="1">
      <alignment horizontal="center" vertical="center" wrapText="1"/>
    </xf>
    <xf numFmtId="0" fontId="13"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rtc@subccontrol.com" TargetMode="External"/><Relationship Id="rId3" Type="http://schemas.openxmlformats.org/officeDocument/2006/relationships/hyperlink" Target="mailto:L.Pool@sidus-solutions.com" TargetMode="External"/><Relationship Id="rId7" Type="http://schemas.openxmlformats.org/officeDocument/2006/relationships/hyperlink" Target="mailto:Jon.Simmons@deepsea.com" TargetMode="External"/><Relationship Id="rId12" Type="http://schemas.openxmlformats.org/officeDocument/2006/relationships/printerSettings" Target="../printerSettings/printerSettings3.bin"/><Relationship Id="rId2" Type="http://schemas.openxmlformats.org/officeDocument/2006/relationships/hyperlink" Target="mailto:Sheldon_Rubin@sidus-solutions.com" TargetMode="External"/><Relationship Id="rId1" Type="http://schemas.openxmlformats.org/officeDocument/2006/relationships/hyperlink" Target="mailto:gobi@sulissubsea.com" TargetMode="External"/><Relationship Id="rId6" Type="http://schemas.openxmlformats.org/officeDocument/2006/relationships/hyperlink" Target="mailto:Aaron.Steiner@deepsea.com" TargetMode="External"/><Relationship Id="rId11" Type="http://schemas.openxmlformats.org/officeDocument/2006/relationships/hyperlink" Target="mailto:cjc@subcimaging.com" TargetMode="External"/><Relationship Id="rId5" Type="http://schemas.openxmlformats.org/officeDocument/2006/relationships/hyperlink" Target="mailto:Stan.Logan@deepsea.com" TargetMode="External"/><Relationship Id="rId10" Type="http://schemas.openxmlformats.org/officeDocument/2006/relationships/hyperlink" Target="mailto:bob@insitepacific.com" TargetMode="External"/><Relationship Id="rId4" Type="http://schemas.openxmlformats.org/officeDocument/2006/relationships/hyperlink" Target="mailto:Mark.Olsson@seescan.com" TargetMode="External"/><Relationship Id="rId9" Type="http://schemas.openxmlformats.org/officeDocument/2006/relationships/hyperlink" Target="mailto:carlos.sanyer@subcimaging.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32"/>
  <sheetViews>
    <sheetView workbookViewId="0">
      <selection activeCell="F18" sqref="F18"/>
    </sheetView>
  </sheetViews>
  <sheetFormatPr defaultColWidth="39.5546875" defaultRowHeight="14.4" x14ac:dyDescent="0.3"/>
  <cols>
    <col min="1" max="1" width="47.77734375" style="118" customWidth="1"/>
    <col min="2" max="2" width="13.21875" style="74" customWidth="1"/>
    <col min="3" max="4" width="14.77734375" style="118" customWidth="1"/>
    <col min="5" max="5" width="15.88671875" style="118" customWidth="1"/>
    <col min="6" max="6" width="22" style="118" customWidth="1"/>
    <col min="7" max="7" width="14.44140625" style="118" customWidth="1"/>
    <col min="8" max="8" width="11.109375" style="118" customWidth="1"/>
    <col min="9" max="9" width="12.109375" style="118" customWidth="1"/>
    <col min="10" max="16384" width="39.5546875" style="118"/>
  </cols>
  <sheetData>
    <row r="1" spans="1:10" ht="48.6" customHeight="1" thickBot="1" x14ac:dyDescent="0.35">
      <c r="A1" s="197" t="s">
        <v>222</v>
      </c>
      <c r="B1" s="198"/>
      <c r="C1" s="199"/>
      <c r="D1" s="199"/>
      <c r="E1" s="199"/>
      <c r="F1" s="200"/>
    </row>
    <row r="2" spans="1:10" ht="18" x14ac:dyDescent="0.35">
      <c r="A2" s="136" t="s">
        <v>223</v>
      </c>
      <c r="B2" s="137"/>
      <c r="C2" s="137"/>
      <c r="D2" s="137"/>
      <c r="E2" s="137"/>
      <c r="F2" s="138"/>
    </row>
    <row r="3" spans="1:10" ht="43.2" x14ac:dyDescent="0.3">
      <c r="A3" s="163"/>
      <c r="B3" s="117" t="s">
        <v>220</v>
      </c>
      <c r="C3" s="140" t="s">
        <v>221</v>
      </c>
      <c r="D3" s="140" t="s">
        <v>104</v>
      </c>
      <c r="E3" s="140" t="s">
        <v>229</v>
      </c>
      <c r="F3" s="141" t="s">
        <v>105</v>
      </c>
      <c r="H3" s="118" t="s">
        <v>259</v>
      </c>
      <c r="I3" s="118" t="s">
        <v>260</v>
      </c>
    </row>
    <row r="4" spans="1:10" x14ac:dyDescent="0.3">
      <c r="A4" s="164" t="s">
        <v>226</v>
      </c>
      <c r="B4" s="117">
        <v>108</v>
      </c>
      <c r="C4" s="162">
        <v>280</v>
      </c>
      <c r="D4" s="142">
        <f>C4*B4</f>
        <v>30240</v>
      </c>
      <c r="E4" s="162">
        <v>300</v>
      </c>
      <c r="F4" s="143">
        <f>E4*B4</f>
        <v>32400</v>
      </c>
      <c r="G4" s="134" t="s">
        <v>261</v>
      </c>
      <c r="H4" s="150">
        <f>SUM(C5,E5,C14,E14)</f>
        <v>1080</v>
      </c>
      <c r="I4" s="150">
        <v>1080</v>
      </c>
    </row>
    <row r="5" spans="1:10" x14ac:dyDescent="0.3">
      <c r="A5" s="164" t="s">
        <v>225</v>
      </c>
      <c r="B5" s="117">
        <v>135</v>
      </c>
      <c r="C5" s="162">
        <v>80</v>
      </c>
      <c r="D5" s="142">
        <f t="shared" ref="D5:D7" si="0">C5*B5</f>
        <v>10800</v>
      </c>
      <c r="E5" s="162">
        <v>800</v>
      </c>
      <c r="F5" s="143">
        <f t="shared" ref="F5:F7" si="1">E5*B5</f>
        <v>108000</v>
      </c>
      <c r="G5" s="134" t="s">
        <v>262</v>
      </c>
      <c r="H5" s="150">
        <f>SUM(C4,E4,C13,E13)</f>
        <v>600</v>
      </c>
      <c r="I5" s="150">
        <v>300</v>
      </c>
    </row>
    <row r="6" spans="1:10" x14ac:dyDescent="0.3">
      <c r="A6" s="164" t="s">
        <v>227</v>
      </c>
      <c r="B6" s="117">
        <v>81</v>
      </c>
      <c r="C6" s="162">
        <v>0</v>
      </c>
      <c r="D6" s="142">
        <f t="shared" si="0"/>
        <v>0</v>
      </c>
      <c r="E6" s="162">
        <v>0</v>
      </c>
      <c r="F6" s="143">
        <f t="shared" si="1"/>
        <v>0</v>
      </c>
      <c r="G6" s="134" t="s">
        <v>263</v>
      </c>
      <c r="H6" s="150"/>
      <c r="I6" s="150">
        <v>300</v>
      </c>
    </row>
    <row r="7" spans="1:10" ht="15" thickBot="1" x14ac:dyDescent="0.35">
      <c r="A7" s="164" t="s">
        <v>228</v>
      </c>
      <c r="B7" s="117">
        <v>70</v>
      </c>
      <c r="C7" s="162"/>
      <c r="D7" s="142">
        <f t="shared" si="0"/>
        <v>0</v>
      </c>
      <c r="E7" s="162">
        <v>0</v>
      </c>
      <c r="F7" s="143">
        <f t="shared" si="1"/>
        <v>0</v>
      </c>
      <c r="G7" s="134" t="s">
        <v>264</v>
      </c>
      <c r="H7" s="150">
        <f>SUM(C7,E7,C16,E16)</f>
        <v>90</v>
      </c>
      <c r="I7" s="150">
        <v>90</v>
      </c>
    </row>
    <row r="8" spans="1:10" ht="18.600000000000001" customHeight="1" thickBot="1" x14ac:dyDescent="0.35">
      <c r="A8" s="164" t="s">
        <v>102</v>
      </c>
      <c r="B8" s="117"/>
      <c r="C8" s="142"/>
      <c r="D8" s="144">
        <f>SUM(D4:D7)</f>
        <v>41040</v>
      </c>
      <c r="E8" s="142"/>
      <c r="F8" s="144">
        <f>SUM(F4:F7)</f>
        <v>140400</v>
      </c>
      <c r="G8" s="134" t="s">
        <v>265</v>
      </c>
      <c r="H8" s="150">
        <f>SUM(C6,E6,C15,E15)</f>
        <v>322</v>
      </c>
      <c r="I8" s="150">
        <v>322</v>
      </c>
    </row>
    <row r="9" spans="1:10" ht="15" thickBot="1" x14ac:dyDescent="0.35">
      <c r="A9" s="164" t="s">
        <v>215</v>
      </c>
      <c r="B9" s="117"/>
      <c r="C9" s="142"/>
      <c r="D9" s="144">
        <f>'Raw&amp;ProposalFormatedCosts'!F43</f>
        <v>8000</v>
      </c>
      <c r="E9" s="142"/>
      <c r="F9" s="144">
        <v>0</v>
      </c>
      <c r="G9" s="134"/>
      <c r="H9" s="134"/>
      <c r="I9" s="134"/>
    </row>
    <row r="10" spans="1:10" ht="15" thickBot="1" x14ac:dyDescent="0.35">
      <c r="A10" s="145"/>
      <c r="B10" s="79"/>
      <c r="C10" s="146" t="s">
        <v>106</v>
      </c>
      <c r="D10" s="144">
        <f>D8+D9</f>
        <v>49040</v>
      </c>
      <c r="E10" s="147"/>
      <c r="F10" s="144">
        <f>F8+F9</f>
        <v>140400</v>
      </c>
    </row>
    <row r="11" spans="1:10" ht="18" x14ac:dyDescent="0.3">
      <c r="A11" s="165" t="s">
        <v>224</v>
      </c>
      <c r="B11" s="116"/>
      <c r="C11" s="137"/>
      <c r="D11" s="137"/>
      <c r="E11" s="137"/>
      <c r="F11" s="138"/>
    </row>
    <row r="12" spans="1:10" x14ac:dyDescent="0.3">
      <c r="A12" s="139"/>
      <c r="B12" s="117"/>
      <c r="C12" s="142"/>
      <c r="D12" s="142"/>
      <c r="E12" s="142"/>
      <c r="F12" s="143"/>
    </row>
    <row r="13" spans="1:10" ht="28.8" x14ac:dyDescent="0.3">
      <c r="A13" s="164" t="s">
        <v>226</v>
      </c>
      <c r="B13" s="117">
        <v>108</v>
      </c>
      <c r="C13" s="162">
        <v>20</v>
      </c>
      <c r="D13" s="142">
        <f>C13*B13</f>
        <v>2160</v>
      </c>
      <c r="E13" s="162">
        <v>0</v>
      </c>
      <c r="F13" s="143">
        <f>E13*B13</f>
        <v>0</v>
      </c>
      <c r="H13" s="118" t="s">
        <v>273</v>
      </c>
      <c r="I13" s="118" t="s">
        <v>275</v>
      </c>
      <c r="J13" s="134">
        <v>5</v>
      </c>
    </row>
    <row r="14" spans="1:10" x14ac:dyDescent="0.3">
      <c r="A14" s="164" t="s">
        <v>225</v>
      </c>
      <c r="B14" s="117">
        <v>135</v>
      </c>
      <c r="C14" s="162">
        <v>0</v>
      </c>
      <c r="D14" s="142">
        <f t="shared" ref="D14:D16" si="2">C14*B14</f>
        <v>0</v>
      </c>
      <c r="E14" s="162">
        <v>200</v>
      </c>
      <c r="F14" s="143">
        <f t="shared" ref="F14:F16" si="3">E14*B14</f>
        <v>27000</v>
      </c>
      <c r="H14" s="142" t="s">
        <v>132</v>
      </c>
      <c r="I14" s="118">
        <f>VendorCostComparsion_NRE_Share!G10</f>
        <v>137000</v>
      </c>
      <c r="J14" s="8">
        <f>I14/$J$13</f>
        <v>27400</v>
      </c>
    </row>
    <row r="15" spans="1:10" x14ac:dyDescent="0.3">
      <c r="A15" s="164" t="s">
        <v>227</v>
      </c>
      <c r="B15" s="117">
        <v>81</v>
      </c>
      <c r="C15" s="162">
        <v>280</v>
      </c>
      <c r="D15" s="142">
        <f t="shared" si="2"/>
        <v>22680</v>
      </c>
      <c r="E15" s="162">
        <v>42</v>
      </c>
      <c r="F15" s="143">
        <f t="shared" si="3"/>
        <v>3402</v>
      </c>
      <c r="H15" s="118" t="s">
        <v>274</v>
      </c>
      <c r="I15" s="118">
        <f>F10</f>
        <v>140400</v>
      </c>
      <c r="J15" s="8">
        <f>I15/$J$13</f>
        <v>28080</v>
      </c>
    </row>
    <row r="16" spans="1:10" ht="15" thickBot="1" x14ac:dyDescent="0.35">
      <c r="A16" s="164" t="s">
        <v>228</v>
      </c>
      <c r="B16" s="117">
        <v>70</v>
      </c>
      <c r="C16" s="142"/>
      <c r="D16" s="142">
        <f t="shared" si="2"/>
        <v>0</v>
      </c>
      <c r="E16" s="162">
        <v>90</v>
      </c>
      <c r="F16" s="143">
        <f t="shared" si="3"/>
        <v>6300</v>
      </c>
    </row>
    <row r="17" spans="1:6" ht="15" thickBot="1" x14ac:dyDescent="0.35">
      <c r="A17" s="164" t="s">
        <v>102</v>
      </c>
      <c r="B17" s="117"/>
      <c r="C17" s="142"/>
      <c r="D17" s="144">
        <f>SUM(D13:D16)</f>
        <v>24840</v>
      </c>
      <c r="E17" s="142"/>
      <c r="F17" s="144">
        <f>SUM(F13:F16)</f>
        <v>36702</v>
      </c>
    </row>
    <row r="18" spans="1:6" ht="15" thickBot="1" x14ac:dyDescent="0.35">
      <c r="A18" s="164" t="s">
        <v>230</v>
      </c>
      <c r="B18" s="117"/>
      <c r="C18" s="142"/>
      <c r="D18" s="144">
        <f>('Raw&amp;ProposalFormatedCosts'!I59)*1.0775</f>
        <v>28838.21</v>
      </c>
      <c r="E18" s="142"/>
      <c r="F18" s="144">
        <f>('Raw&amp;ProposalFormatedCosts'!I73)*1.0775</f>
        <v>102585.04685</v>
      </c>
    </row>
    <row r="19" spans="1:6" ht="15" thickBot="1" x14ac:dyDescent="0.35">
      <c r="A19" s="145"/>
      <c r="B19" s="79"/>
      <c r="C19" s="146" t="s">
        <v>107</v>
      </c>
      <c r="D19" s="144">
        <f>D17+D18</f>
        <v>53678.21</v>
      </c>
      <c r="E19" s="147"/>
      <c r="F19" s="144">
        <f>F17+F18</f>
        <v>139287.04684999998</v>
      </c>
    </row>
    <row r="20" spans="1:6" x14ac:dyDescent="0.3">
      <c r="C20" s="74"/>
      <c r="D20" s="74"/>
      <c r="E20" s="74"/>
    </row>
    <row r="21" spans="1:6" ht="29.4" thickBot="1" x14ac:dyDescent="0.35">
      <c r="C21" s="74"/>
      <c r="D21" s="140" t="s">
        <v>104</v>
      </c>
      <c r="E21" s="74"/>
      <c r="F21" s="140" t="s">
        <v>105</v>
      </c>
    </row>
    <row r="22" spans="1:6" ht="29.4" thickBot="1" x14ac:dyDescent="0.35">
      <c r="A22" s="74" t="s">
        <v>197</v>
      </c>
      <c r="B22" s="76">
        <f>D22+F22</f>
        <v>382405.25685000001</v>
      </c>
      <c r="C22" s="74"/>
      <c r="D22" s="76">
        <f>D10+D19</f>
        <v>102718.20999999999</v>
      </c>
      <c r="E22" s="74"/>
      <c r="F22" s="76">
        <f>F10+F19</f>
        <v>279687.04684999998</v>
      </c>
    </row>
    <row r="23" spans="1:6" ht="29.4" thickBot="1" x14ac:dyDescent="0.35">
      <c r="A23" s="74" t="s">
        <v>231</v>
      </c>
      <c r="B23" s="76">
        <f>D23+F23</f>
        <v>192965.25684999998</v>
      </c>
      <c r="C23" s="74"/>
      <c r="D23" s="76">
        <f>D19</f>
        <v>53678.21</v>
      </c>
      <c r="E23" s="74"/>
      <c r="F23" s="76">
        <f>F19</f>
        <v>139287.04684999998</v>
      </c>
    </row>
    <row r="24" spans="1:6" ht="15" thickBot="1" x14ac:dyDescent="0.35">
      <c r="A24" s="74"/>
      <c r="C24" s="74"/>
      <c r="D24" s="74"/>
      <c r="E24" s="74"/>
    </row>
    <row r="25" spans="1:6" ht="29.4" thickBot="1" x14ac:dyDescent="0.35">
      <c r="A25" s="74" t="s">
        <v>257</v>
      </c>
      <c r="B25" s="76">
        <f>D25+F25</f>
        <v>287685.25685000001</v>
      </c>
      <c r="C25" s="74"/>
      <c r="D25" s="76">
        <f>(D10/B32)+D19</f>
        <v>78198.209999999992</v>
      </c>
      <c r="E25" s="74"/>
      <c r="F25" s="76">
        <f>(F10/B32)+F19</f>
        <v>209487.04684999998</v>
      </c>
    </row>
    <row r="26" spans="1:6" ht="15" thickBot="1" x14ac:dyDescent="0.35">
      <c r="A26" s="74"/>
      <c r="C26" s="74"/>
      <c r="D26" s="74"/>
      <c r="E26" s="74"/>
    </row>
    <row r="27" spans="1:6" ht="27.6" customHeight="1" thickBot="1" x14ac:dyDescent="0.35">
      <c r="A27" s="74" t="s">
        <v>198</v>
      </c>
      <c r="B27" s="76">
        <f>D27+F27</f>
        <v>481687.04684999998</v>
      </c>
      <c r="C27" s="74"/>
      <c r="D27" s="76">
        <f>VendorCostComparsion_NRE_Share!G13</f>
        <v>202000</v>
      </c>
      <c r="E27" s="135"/>
      <c r="F27" s="76">
        <f>F10+F19</f>
        <v>279687.04684999998</v>
      </c>
    </row>
    <row r="28" spans="1:6" ht="15" thickBot="1" x14ac:dyDescent="0.35">
      <c r="A28" s="74"/>
      <c r="C28" s="74"/>
      <c r="D28" s="74"/>
      <c r="E28" s="74"/>
    </row>
    <row r="29" spans="1:6" ht="29.4" thickBot="1" x14ac:dyDescent="0.35">
      <c r="A29" s="74" t="s">
        <v>258</v>
      </c>
      <c r="B29" s="76">
        <f>D29+F29</f>
        <v>336487.04684999998</v>
      </c>
      <c r="C29" s="74"/>
      <c r="D29" s="76">
        <f>VendorCostComparsion_NRE_Share!H13</f>
        <v>127000</v>
      </c>
      <c r="E29" s="74"/>
      <c r="F29" s="76">
        <f>(F10/B32)+F19</f>
        <v>209487.04684999998</v>
      </c>
    </row>
    <row r="30" spans="1:6" x14ac:dyDescent="0.3">
      <c r="A30" s="74"/>
      <c r="C30" s="74"/>
      <c r="D30" s="74"/>
      <c r="E30" s="74"/>
    </row>
    <row r="31" spans="1:6" x14ac:dyDescent="0.3">
      <c r="A31" s="74"/>
    </row>
    <row r="32" spans="1:6" x14ac:dyDescent="0.3">
      <c r="A32" s="74" t="s">
        <v>192</v>
      </c>
      <c r="B32" s="75">
        <v>2</v>
      </c>
    </row>
  </sheetData>
  <mergeCells count="1">
    <mergeCell ref="A1:F1"/>
  </mergeCells>
  <pageMargins left="0.7" right="0.7" top="0.75" bottom="0.75" header="0.3" footer="0.3"/>
  <pageSetup scale="74"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18"/>
  <sheetViews>
    <sheetView tabSelected="1" topLeftCell="A19" workbookViewId="0">
      <selection activeCell="H27" sqref="H27"/>
    </sheetView>
  </sheetViews>
  <sheetFormatPr defaultRowHeight="14.4" x14ac:dyDescent="0.3"/>
  <cols>
    <col min="1" max="1" width="21.88671875" style="1" customWidth="1"/>
    <col min="2" max="2" width="47.88671875" style="1" customWidth="1"/>
    <col min="3" max="3" width="17.21875" style="1" customWidth="1"/>
    <col min="4" max="4" width="11.77734375" style="8" customWidth="1"/>
    <col min="5" max="5" width="13.21875" style="1" customWidth="1"/>
    <col min="6" max="6" width="15.33203125" style="8" customWidth="1"/>
    <col min="7" max="7" width="11.5546875" style="18" customWidth="1"/>
    <col min="8" max="8" width="11.109375" style="1" customWidth="1"/>
    <col min="9" max="9" width="23.88671875" style="1" customWidth="1"/>
    <col min="10" max="10" width="15.77734375" style="8" customWidth="1"/>
    <col min="11" max="11" width="42.6640625" style="1" customWidth="1"/>
    <col min="12" max="16384" width="8.88671875" style="1"/>
  </cols>
  <sheetData>
    <row r="1" spans="1:11" x14ac:dyDescent="0.3">
      <c r="A1" s="203"/>
      <c r="B1" s="203"/>
      <c r="H1" s="2"/>
    </row>
    <row r="2" spans="1:11" ht="74.400000000000006" x14ac:dyDescent="0.5">
      <c r="A2" s="215" t="s">
        <v>211</v>
      </c>
      <c r="B2" s="215"/>
      <c r="D2" s="1" t="s">
        <v>7</v>
      </c>
      <c r="E2" s="2">
        <v>43658</v>
      </c>
      <c r="F2" s="20" t="s">
        <v>37</v>
      </c>
      <c r="G2" s="222" t="s">
        <v>247</v>
      </c>
      <c r="H2" s="223"/>
      <c r="I2" s="184" t="s">
        <v>248</v>
      </c>
      <c r="J2" s="195" t="s">
        <v>279</v>
      </c>
      <c r="K2" s="184" t="s">
        <v>2</v>
      </c>
    </row>
    <row r="3" spans="1:11" x14ac:dyDescent="0.3">
      <c r="A3" s="13" t="s">
        <v>9</v>
      </c>
      <c r="B3" s="13" t="s">
        <v>8</v>
      </c>
      <c r="C3" s="13" t="s">
        <v>0</v>
      </c>
      <c r="D3" s="14" t="s">
        <v>3</v>
      </c>
      <c r="E3" s="13" t="s">
        <v>4</v>
      </c>
      <c r="F3" s="21" t="s">
        <v>1</v>
      </c>
      <c r="G3" s="185">
        <v>2019</v>
      </c>
      <c r="H3" s="186">
        <v>2020</v>
      </c>
    </row>
    <row r="4" spans="1:11" x14ac:dyDescent="0.3">
      <c r="A4" s="6" t="s">
        <v>18</v>
      </c>
      <c r="B4" s="7"/>
      <c r="C4" s="7"/>
      <c r="D4" s="10"/>
      <c r="E4" s="7"/>
      <c r="F4" s="12"/>
    </row>
    <row r="5" spans="1:11" ht="28.8" x14ac:dyDescent="0.3">
      <c r="A5" s="1" t="s">
        <v>11</v>
      </c>
      <c r="B5" s="1" t="s">
        <v>57</v>
      </c>
      <c r="C5" s="1" t="s">
        <v>5</v>
      </c>
      <c r="D5" s="8">
        <v>32625</v>
      </c>
      <c r="E5" s="1">
        <v>1</v>
      </c>
      <c r="F5" s="22">
        <f>D5*E5</f>
        <v>32625</v>
      </c>
      <c r="H5" s="8"/>
    </row>
    <row r="6" spans="1:11" ht="45.6" customHeight="1" x14ac:dyDescent="0.3">
      <c r="A6" s="1" t="s">
        <v>12</v>
      </c>
      <c r="B6" s="1" t="s">
        <v>58</v>
      </c>
      <c r="C6" s="1" t="s">
        <v>5</v>
      </c>
      <c r="D6" s="8">
        <v>12975</v>
      </c>
      <c r="E6" s="1">
        <v>1</v>
      </c>
      <c r="F6" s="22">
        <f>D6*E6</f>
        <v>12975</v>
      </c>
      <c r="J6" s="8">
        <v>49184</v>
      </c>
      <c r="K6" s="1" t="s">
        <v>280</v>
      </c>
    </row>
    <row r="7" spans="1:11" ht="15" thickBot="1" x14ac:dyDescent="0.35">
      <c r="A7" s="1" t="s">
        <v>283</v>
      </c>
      <c r="B7" s="1" t="s">
        <v>15</v>
      </c>
      <c r="C7" s="1" t="s">
        <v>284</v>
      </c>
      <c r="D7" s="8">
        <v>28275</v>
      </c>
      <c r="E7" s="1">
        <v>1</v>
      </c>
      <c r="F7" s="22">
        <f>D7*E7</f>
        <v>28275</v>
      </c>
      <c r="J7" s="8">
        <v>25829.19</v>
      </c>
      <c r="K7" s="196" t="s">
        <v>282</v>
      </c>
    </row>
    <row r="8" spans="1:11" ht="15" thickBot="1" x14ac:dyDescent="0.35">
      <c r="E8" s="11" t="s">
        <v>56</v>
      </c>
      <c r="F8" s="23">
        <f>SUM(F5:F7)</f>
        <v>73875</v>
      </c>
      <c r="G8" s="151">
        <f>F8</f>
        <v>73875</v>
      </c>
      <c r="H8" s="8"/>
    </row>
    <row r="9" spans="1:11" x14ac:dyDescent="0.3">
      <c r="E9" s="11"/>
      <c r="F9" s="21"/>
      <c r="G9" s="26"/>
    </row>
    <row r="10" spans="1:11" x14ac:dyDescent="0.3">
      <c r="A10" s="216" t="s">
        <v>31</v>
      </c>
      <c r="B10" s="217"/>
      <c r="C10" s="5"/>
      <c r="D10" s="10"/>
      <c r="E10" s="5"/>
      <c r="F10" s="12"/>
    </row>
    <row r="11" spans="1:11" x14ac:dyDescent="0.3">
      <c r="A11" s="1" t="s">
        <v>32</v>
      </c>
      <c r="B11" s="1" t="s">
        <v>33</v>
      </c>
      <c r="C11" s="1" t="s">
        <v>5</v>
      </c>
      <c r="D11" s="8">
        <v>1560</v>
      </c>
      <c r="E11" s="1">
        <v>1</v>
      </c>
      <c r="F11" s="22">
        <f>D11*E11</f>
        <v>1560</v>
      </c>
      <c r="J11" s="8">
        <v>1627.67</v>
      </c>
      <c r="K11" s="196" t="s">
        <v>281</v>
      </c>
    </row>
    <row r="12" spans="1:11" ht="15" thickBot="1" x14ac:dyDescent="0.35">
      <c r="A12" s="1" t="s">
        <v>35</v>
      </c>
      <c r="B12" s="1" t="s">
        <v>36</v>
      </c>
      <c r="C12" s="1" t="s">
        <v>34</v>
      </c>
      <c r="D12" s="8">
        <v>2370</v>
      </c>
      <c r="E12" s="1">
        <v>1</v>
      </c>
      <c r="F12" s="22"/>
    </row>
    <row r="13" spans="1:11" ht="15" thickBot="1" x14ac:dyDescent="0.35">
      <c r="E13" s="11" t="s">
        <v>56</v>
      </c>
      <c r="F13" s="23">
        <f>SUM(F11:F12)</f>
        <v>1560</v>
      </c>
      <c r="G13" s="26"/>
      <c r="H13" s="8">
        <f>F13</f>
        <v>1560</v>
      </c>
    </row>
    <row r="14" spans="1:11" x14ac:dyDescent="0.3">
      <c r="E14" s="11"/>
      <c r="F14" s="21"/>
      <c r="G14" s="26"/>
    </row>
    <row r="15" spans="1:11" x14ac:dyDescent="0.3">
      <c r="A15" s="216" t="s">
        <v>45</v>
      </c>
      <c r="B15" s="217"/>
      <c r="C15" s="5"/>
      <c r="D15" s="10"/>
      <c r="E15" s="5"/>
      <c r="F15" s="12"/>
    </row>
    <row r="16" spans="1:11" ht="15" thickBot="1" x14ac:dyDescent="0.35">
      <c r="B16" s="1" t="s">
        <v>17</v>
      </c>
      <c r="D16" s="8">
        <v>3500</v>
      </c>
      <c r="E16" s="1">
        <v>1</v>
      </c>
      <c r="F16" s="22">
        <f>D16*E16</f>
        <v>3500</v>
      </c>
    </row>
    <row r="17" spans="1:10" ht="15" thickBot="1" x14ac:dyDescent="0.35">
      <c r="E17" s="11" t="s">
        <v>56</v>
      </c>
      <c r="F17" s="23">
        <f>SUM(F16)</f>
        <v>3500</v>
      </c>
      <c r="G17" s="26"/>
      <c r="H17" s="8">
        <f>F17</f>
        <v>3500</v>
      </c>
    </row>
    <row r="18" spans="1:10" x14ac:dyDescent="0.3">
      <c r="E18" s="11"/>
      <c r="F18" s="21"/>
      <c r="G18" s="26"/>
    </row>
    <row r="19" spans="1:10" x14ac:dyDescent="0.3">
      <c r="A19" s="216" t="s">
        <v>26</v>
      </c>
      <c r="B19" s="217"/>
      <c r="C19" s="5"/>
      <c r="D19" s="10"/>
      <c r="E19" s="5"/>
      <c r="F19" s="12"/>
    </row>
    <row r="20" spans="1:10" ht="72" x14ac:dyDescent="0.3">
      <c r="A20" s="3" t="s">
        <v>19</v>
      </c>
      <c r="B20" s="1" t="s">
        <v>21</v>
      </c>
      <c r="C20" s="1" t="s">
        <v>20</v>
      </c>
      <c r="D20" s="8">
        <v>5568.33</v>
      </c>
      <c r="E20" s="1">
        <v>1</v>
      </c>
      <c r="F20" s="22">
        <f>D20*E20</f>
        <v>5568.33</v>
      </c>
    </row>
    <row r="21" spans="1:10" x14ac:dyDescent="0.3">
      <c r="A21" s="3" t="s">
        <v>22</v>
      </c>
      <c r="B21" s="1" t="s">
        <v>23</v>
      </c>
      <c r="C21" s="1" t="s">
        <v>20</v>
      </c>
      <c r="D21" s="8">
        <v>133.06</v>
      </c>
      <c r="E21" s="1">
        <v>1</v>
      </c>
      <c r="F21" s="22">
        <f t="shared" ref="F21:F62" si="0">D21*E21</f>
        <v>133.06</v>
      </c>
    </row>
    <row r="22" spans="1:10" ht="28.8" x14ac:dyDescent="0.3">
      <c r="A22" s="3" t="s">
        <v>24</v>
      </c>
      <c r="B22" s="1" t="s">
        <v>25</v>
      </c>
      <c r="D22" s="8">
        <v>105</v>
      </c>
      <c r="E22" s="1">
        <v>1</v>
      </c>
      <c r="F22" s="22">
        <f t="shared" si="0"/>
        <v>105</v>
      </c>
    </row>
    <row r="23" spans="1:10" s="193" customFormat="1" ht="28.8" x14ac:dyDescent="0.3">
      <c r="A23" s="3" t="s">
        <v>277</v>
      </c>
      <c r="B23" s="193" t="s">
        <v>278</v>
      </c>
      <c r="D23" s="8">
        <v>1592.5</v>
      </c>
      <c r="E23" s="193">
        <v>0</v>
      </c>
      <c r="F23" s="22">
        <f t="shared" ref="F23" si="1">D23*E23</f>
        <v>0</v>
      </c>
      <c r="G23" s="18"/>
      <c r="J23" s="8"/>
    </row>
    <row r="24" spans="1:10" ht="43.2" x14ac:dyDescent="0.3">
      <c r="A24" s="3" t="s">
        <v>27</v>
      </c>
      <c r="B24" s="1" t="s">
        <v>28</v>
      </c>
      <c r="D24" s="8">
        <v>6185.83</v>
      </c>
      <c r="E24" s="1">
        <v>1</v>
      </c>
      <c r="F24" s="22">
        <f t="shared" si="0"/>
        <v>6185.83</v>
      </c>
    </row>
    <row r="25" spans="1:10" x14ac:dyDescent="0.3">
      <c r="A25" s="3" t="s">
        <v>22</v>
      </c>
      <c r="B25" s="1" t="s">
        <v>29</v>
      </c>
      <c r="D25" s="8">
        <v>133.06</v>
      </c>
      <c r="E25" s="1">
        <v>1</v>
      </c>
      <c r="F25" s="22">
        <f t="shared" si="0"/>
        <v>133.06</v>
      </c>
    </row>
    <row r="26" spans="1:10" s="193" customFormat="1" ht="29.4" thickBot="1" x14ac:dyDescent="0.35">
      <c r="A26" s="3" t="s">
        <v>277</v>
      </c>
      <c r="B26" s="193" t="s">
        <v>278</v>
      </c>
      <c r="D26" s="8">
        <v>1592.5</v>
      </c>
      <c r="E26" s="193">
        <v>0</v>
      </c>
      <c r="F26" s="22">
        <f t="shared" ref="F26" si="2">D26*E26</f>
        <v>0</v>
      </c>
      <c r="G26" s="18"/>
      <c r="J26" s="8"/>
    </row>
    <row r="27" spans="1:10" ht="15" thickBot="1" x14ac:dyDescent="0.35">
      <c r="A27" s="3"/>
      <c r="E27" s="11" t="s">
        <v>56</v>
      </c>
      <c r="F27" s="23">
        <f>SUM(F20:F25)</f>
        <v>12125.28</v>
      </c>
      <c r="G27" s="26"/>
      <c r="H27" s="8" t="s">
        <v>93</v>
      </c>
    </row>
    <row r="28" spans="1:10" x14ac:dyDescent="0.3">
      <c r="A28" s="3"/>
      <c r="E28" s="11"/>
      <c r="F28" s="21"/>
      <c r="G28" s="26"/>
    </row>
    <row r="29" spans="1:10" x14ac:dyDescent="0.3">
      <c r="A29" s="216" t="s">
        <v>285</v>
      </c>
      <c r="B29" s="217"/>
      <c r="C29" s="5"/>
      <c r="D29" s="10"/>
      <c r="E29" s="5"/>
      <c r="F29" s="12"/>
    </row>
    <row r="30" spans="1:10" x14ac:dyDescent="0.3">
      <c r="A30" s="3" t="s">
        <v>294</v>
      </c>
      <c r="B30" s="1" t="s">
        <v>295</v>
      </c>
      <c r="C30" s="1" t="s">
        <v>286</v>
      </c>
      <c r="D30" s="8">
        <v>430</v>
      </c>
      <c r="E30" s="1">
        <v>2</v>
      </c>
      <c r="F30" s="22">
        <f t="shared" si="0"/>
        <v>860</v>
      </c>
    </row>
    <row r="31" spans="1:10" x14ac:dyDescent="0.3">
      <c r="A31" s="3" t="s">
        <v>293</v>
      </c>
      <c r="B31" s="1" t="s">
        <v>292</v>
      </c>
      <c r="C31" s="196" t="s">
        <v>286</v>
      </c>
      <c r="D31" s="8">
        <v>1260</v>
      </c>
      <c r="E31" s="1">
        <v>2</v>
      </c>
      <c r="F31" s="22">
        <f t="shared" si="0"/>
        <v>2520</v>
      </c>
    </row>
    <row r="32" spans="1:10" x14ac:dyDescent="0.3">
      <c r="A32" s="249" t="s">
        <v>289</v>
      </c>
      <c r="B32" s="1" t="s">
        <v>287</v>
      </c>
      <c r="C32" s="1" t="s">
        <v>288</v>
      </c>
      <c r="D32" s="8">
        <v>2125</v>
      </c>
      <c r="E32" s="1">
        <v>1</v>
      </c>
      <c r="F32" s="22">
        <f t="shared" si="0"/>
        <v>2125</v>
      </c>
    </row>
    <row r="33" spans="1:10" x14ac:dyDescent="0.3">
      <c r="A33" s="3" t="s">
        <v>291</v>
      </c>
      <c r="B33" s="1" t="s">
        <v>290</v>
      </c>
      <c r="C33" s="1" t="s">
        <v>288</v>
      </c>
      <c r="D33" s="8">
        <v>2125</v>
      </c>
      <c r="E33" s="1">
        <v>1</v>
      </c>
      <c r="F33" s="22">
        <f t="shared" si="0"/>
        <v>2125</v>
      </c>
    </row>
    <row r="34" spans="1:10" s="196" customFormat="1" ht="30.6" customHeight="1" x14ac:dyDescent="0.3">
      <c r="A34" s="3" t="s">
        <v>297</v>
      </c>
      <c r="B34" s="196" t="s">
        <v>296</v>
      </c>
      <c r="C34" s="196" t="s">
        <v>298</v>
      </c>
      <c r="D34" s="8">
        <v>445.77</v>
      </c>
      <c r="E34" s="196">
        <v>2</v>
      </c>
      <c r="F34" s="22">
        <f t="shared" si="0"/>
        <v>891.54</v>
      </c>
      <c r="G34" s="18"/>
      <c r="J34" s="8"/>
    </row>
    <row r="35" spans="1:10" s="196" customFormat="1" ht="15" thickBot="1" x14ac:dyDescent="0.35">
      <c r="A35" s="3"/>
      <c r="D35" s="8"/>
      <c r="F35" s="22"/>
      <c r="G35" s="18"/>
      <c r="J35" s="8"/>
    </row>
    <row r="36" spans="1:10" ht="15" thickBot="1" x14ac:dyDescent="0.35">
      <c r="A36" s="3"/>
      <c r="E36" s="11" t="s">
        <v>56</v>
      </c>
      <c r="F36" s="28">
        <f>SUM(F30:F35)</f>
        <v>8521.5400000000009</v>
      </c>
      <c r="G36" s="26"/>
      <c r="H36" s="8">
        <f>F36</f>
        <v>8521.5400000000009</v>
      </c>
    </row>
    <row r="37" spans="1:10" x14ac:dyDescent="0.3">
      <c r="A37" s="3"/>
      <c r="E37" s="11"/>
      <c r="F37" s="21"/>
      <c r="G37" s="26"/>
    </row>
    <row r="38" spans="1:10" x14ac:dyDescent="0.3">
      <c r="A38" s="216" t="s">
        <v>60</v>
      </c>
      <c r="B38" s="217"/>
      <c r="C38" s="5"/>
      <c r="D38" s="10"/>
      <c r="E38" s="5"/>
      <c r="F38" s="12"/>
    </row>
    <row r="39" spans="1:10" ht="28.8" x14ac:dyDescent="0.3">
      <c r="A39" s="3"/>
      <c r="B39" s="3" t="s">
        <v>40</v>
      </c>
      <c r="C39" s="1" t="s">
        <v>38</v>
      </c>
      <c r="D39" s="8">
        <v>1728</v>
      </c>
      <c r="E39" s="1">
        <v>3</v>
      </c>
      <c r="F39" s="22">
        <f t="shared" si="0"/>
        <v>5184</v>
      </c>
    </row>
    <row r="40" spans="1:10" x14ac:dyDescent="0.3">
      <c r="A40" s="3"/>
      <c r="B40" s="3" t="s">
        <v>39</v>
      </c>
      <c r="C40" s="1" t="s">
        <v>38</v>
      </c>
      <c r="D40" s="8">
        <v>1392</v>
      </c>
      <c r="E40" s="1">
        <v>2</v>
      </c>
      <c r="F40" s="22">
        <f t="shared" ref="F40" si="3">D40*E40</f>
        <v>2784</v>
      </c>
    </row>
    <row r="41" spans="1:10" x14ac:dyDescent="0.3">
      <c r="A41" s="3"/>
      <c r="B41" s="1" t="s">
        <v>41</v>
      </c>
      <c r="C41" s="1" t="s">
        <v>38</v>
      </c>
      <c r="D41" s="8">
        <v>5046</v>
      </c>
      <c r="E41" s="1">
        <v>1</v>
      </c>
      <c r="F41" s="22">
        <f t="shared" ref="F41" si="4">D41*E41</f>
        <v>5046</v>
      </c>
    </row>
    <row r="42" spans="1:10" x14ac:dyDescent="0.3">
      <c r="A42" s="3"/>
      <c r="B42" s="1" t="s">
        <v>82</v>
      </c>
      <c r="D42" s="8">
        <v>950</v>
      </c>
      <c r="E42" s="1">
        <v>1</v>
      </c>
      <c r="F42" s="22">
        <f t="shared" ref="F42:F43" si="5">D42*E42</f>
        <v>950</v>
      </c>
    </row>
    <row r="43" spans="1:10" ht="15" thickBot="1" x14ac:dyDescent="0.35">
      <c r="A43" s="3"/>
      <c r="B43" s="1" t="s">
        <v>42</v>
      </c>
      <c r="D43" s="8">
        <v>8000</v>
      </c>
      <c r="E43" s="1">
        <v>1</v>
      </c>
      <c r="F43" s="22">
        <f t="shared" si="5"/>
        <v>8000</v>
      </c>
    </row>
    <row r="44" spans="1:10" ht="15" thickBot="1" x14ac:dyDescent="0.35">
      <c r="A44" s="3"/>
      <c r="E44" s="11" t="s">
        <v>56</v>
      </c>
      <c r="F44" s="28">
        <f>SUM(F39:F43)</f>
        <v>21964</v>
      </c>
      <c r="G44" s="26"/>
    </row>
    <row r="45" spans="1:10" x14ac:dyDescent="0.3">
      <c r="A45" s="3"/>
      <c r="F45" s="22"/>
    </row>
    <row r="46" spans="1:10" x14ac:dyDescent="0.3">
      <c r="A46" s="216" t="s">
        <v>46</v>
      </c>
      <c r="B46" s="217"/>
      <c r="C46" s="5"/>
      <c r="D46" s="10"/>
      <c r="E46" s="5"/>
      <c r="F46" s="12"/>
    </row>
    <row r="47" spans="1:10" x14ac:dyDescent="0.3">
      <c r="B47" s="1" t="s">
        <v>43</v>
      </c>
      <c r="D47" s="8">
        <v>7000</v>
      </c>
      <c r="E47" s="1">
        <v>1</v>
      </c>
      <c r="F47" s="22">
        <f t="shared" ref="F47:F48" si="6">D47*E47</f>
        <v>7000</v>
      </c>
    </row>
    <row r="48" spans="1:10" x14ac:dyDescent="0.3">
      <c r="B48" s="1" t="s">
        <v>44</v>
      </c>
      <c r="D48" s="8">
        <v>500</v>
      </c>
      <c r="E48" s="1">
        <v>3</v>
      </c>
      <c r="F48" s="22">
        <f t="shared" si="6"/>
        <v>1500</v>
      </c>
    </row>
    <row r="49" spans="1:9" ht="15" thickBot="1" x14ac:dyDescent="0.35">
      <c r="B49" s="1" t="s">
        <v>83</v>
      </c>
      <c r="C49" s="1" t="s">
        <v>89</v>
      </c>
      <c r="D49" s="8">
        <v>175</v>
      </c>
      <c r="E49" s="1">
        <v>6</v>
      </c>
      <c r="F49" s="22">
        <f t="shared" ref="F49" si="7">D49*E49</f>
        <v>1050</v>
      </c>
    </row>
    <row r="50" spans="1:9" ht="15" thickBot="1" x14ac:dyDescent="0.35">
      <c r="E50" s="11" t="s">
        <v>56</v>
      </c>
      <c r="F50" s="28">
        <f>SUM(F47:F49)</f>
        <v>9550</v>
      </c>
      <c r="G50" s="26"/>
    </row>
    <row r="51" spans="1:9" x14ac:dyDescent="0.3">
      <c r="E51" s="11"/>
      <c r="F51" s="21"/>
      <c r="G51" s="26"/>
    </row>
    <row r="52" spans="1:9" x14ac:dyDescent="0.3">
      <c r="A52" s="216" t="s">
        <v>59</v>
      </c>
      <c r="B52" s="217"/>
      <c r="C52" s="7"/>
      <c r="D52" s="10"/>
      <c r="E52" s="7"/>
      <c r="F52" s="12"/>
    </row>
    <row r="53" spans="1:9" x14ac:dyDescent="0.3">
      <c r="A53" s="16"/>
      <c r="B53" s="17" t="s">
        <v>78</v>
      </c>
      <c r="C53" s="17"/>
      <c r="D53" s="18">
        <v>1600</v>
      </c>
      <c r="E53" s="17">
        <v>1</v>
      </c>
      <c r="F53" s="22">
        <f t="shared" ref="F53" si="8">D53*E53</f>
        <v>1600</v>
      </c>
    </row>
    <row r="54" spans="1:9" x14ac:dyDescent="0.3">
      <c r="A54" s="16"/>
      <c r="B54" s="17" t="s">
        <v>80</v>
      </c>
      <c r="C54" s="17"/>
      <c r="D54" s="18"/>
      <c r="E54" s="17"/>
      <c r="F54" s="22"/>
    </row>
    <row r="55" spans="1:9" x14ac:dyDescent="0.3">
      <c r="A55" s="16"/>
      <c r="B55" s="17" t="s">
        <v>77</v>
      </c>
      <c r="C55" s="17"/>
      <c r="D55" s="18">
        <v>1400</v>
      </c>
      <c r="E55" s="17">
        <v>1</v>
      </c>
      <c r="F55" s="22">
        <f t="shared" ref="F55" si="9">D55*E55</f>
        <v>1400</v>
      </c>
    </row>
    <row r="56" spans="1:9" ht="28.8" x14ac:dyDescent="0.3">
      <c r="A56" s="16"/>
      <c r="B56" s="17" t="s">
        <v>81</v>
      </c>
      <c r="C56" s="17"/>
      <c r="D56" s="18"/>
      <c r="E56" s="17"/>
      <c r="F56" s="22"/>
    </row>
    <row r="57" spans="1:9" x14ac:dyDescent="0.3">
      <c r="A57" s="16"/>
      <c r="B57" s="17" t="s">
        <v>61</v>
      </c>
      <c r="C57" s="17"/>
      <c r="D57" s="18">
        <v>250</v>
      </c>
      <c r="E57" s="17">
        <v>1</v>
      </c>
      <c r="F57" s="22">
        <f t="shared" ref="F57" si="10">D57*E57</f>
        <v>250</v>
      </c>
    </row>
    <row r="58" spans="1:9" ht="29.4" thickBot="1" x14ac:dyDescent="0.35">
      <c r="A58" s="16"/>
      <c r="B58" s="17"/>
      <c r="C58" s="17"/>
      <c r="D58" s="18"/>
      <c r="E58" s="17"/>
      <c r="F58" s="24"/>
      <c r="I58" s="189" t="s">
        <v>216</v>
      </c>
    </row>
    <row r="59" spans="1:9" ht="15" thickBot="1" x14ac:dyDescent="0.35">
      <c r="A59" s="16"/>
      <c r="B59" s="17"/>
      <c r="C59" s="17"/>
      <c r="D59" s="18"/>
      <c r="E59" s="11" t="s">
        <v>56</v>
      </c>
      <c r="F59" s="28">
        <f>SUM(F53:F58)</f>
        <v>3250</v>
      </c>
      <c r="G59" s="151">
        <f>F59</f>
        <v>3250</v>
      </c>
      <c r="H59" s="8"/>
      <c r="I59" s="187">
        <f>(F44-F43)+F50+F59</f>
        <v>26764</v>
      </c>
    </row>
    <row r="60" spans="1:9" ht="52.8" customHeight="1" thickBot="1" x14ac:dyDescent="0.35">
      <c r="F60" s="22"/>
      <c r="I60" s="190" t="s">
        <v>254</v>
      </c>
    </row>
    <row r="61" spans="1:9" ht="15" thickBot="1" x14ac:dyDescent="0.35">
      <c r="A61" s="216" t="s">
        <v>45</v>
      </c>
      <c r="B61" s="217"/>
      <c r="C61" s="5"/>
      <c r="D61" s="10"/>
      <c r="E61" s="5"/>
      <c r="F61" s="12"/>
      <c r="I61" s="188">
        <f>F43+'MBARI&amp;VendorSummary'!D17</f>
        <v>32840</v>
      </c>
    </row>
    <row r="62" spans="1:9" ht="29.4" thickBot="1" x14ac:dyDescent="0.35">
      <c r="B62" s="1" t="s">
        <v>47</v>
      </c>
      <c r="D62" s="8">
        <v>4500</v>
      </c>
      <c r="E62" s="1">
        <v>1</v>
      </c>
      <c r="F62" s="22">
        <f t="shared" si="0"/>
        <v>4500</v>
      </c>
      <c r="I62" s="191" t="s">
        <v>255</v>
      </c>
    </row>
    <row r="63" spans="1:9" ht="15" thickBot="1" x14ac:dyDescent="0.35">
      <c r="E63" s="11" t="s">
        <v>56</v>
      </c>
      <c r="F63" s="28">
        <f>SUM(F62)</f>
        <v>4500</v>
      </c>
      <c r="G63" s="26"/>
      <c r="H63" s="8">
        <f>F63</f>
        <v>4500</v>
      </c>
      <c r="I63" s="187">
        <f>I59+I61</f>
        <v>59604</v>
      </c>
    </row>
    <row r="64" spans="1:9" x14ac:dyDescent="0.3">
      <c r="F64" s="22"/>
    </row>
    <row r="65" spans="1:11" x14ac:dyDescent="0.3">
      <c r="A65" s="216" t="s">
        <v>48</v>
      </c>
      <c r="B65" s="217"/>
      <c r="C65" s="5"/>
      <c r="D65" s="10"/>
      <c r="E65" s="5"/>
      <c r="F65" s="12"/>
    </row>
    <row r="66" spans="1:11" ht="28.8" x14ac:dyDescent="0.3">
      <c r="A66" s="1" t="s">
        <v>74</v>
      </c>
      <c r="B66" s="1" t="s">
        <v>49</v>
      </c>
      <c r="C66" s="1" t="s">
        <v>50</v>
      </c>
      <c r="D66" s="9">
        <v>3000</v>
      </c>
      <c r="E66" s="1">
        <v>1</v>
      </c>
      <c r="F66" s="22">
        <f t="shared" ref="F66" si="11">D66*E66</f>
        <v>3000</v>
      </c>
    </row>
    <row r="67" spans="1:11" x14ac:dyDescent="0.3">
      <c r="A67" s="1" t="s">
        <v>99</v>
      </c>
      <c r="B67" s="1" t="s">
        <v>75</v>
      </c>
      <c r="C67" s="1" t="s">
        <v>76</v>
      </c>
      <c r="D67" s="9">
        <v>6000</v>
      </c>
      <c r="E67" s="1">
        <v>1</v>
      </c>
      <c r="F67" s="22">
        <f t="shared" ref="F67" si="12">D67*E67</f>
        <v>6000</v>
      </c>
    </row>
    <row r="68" spans="1:11" ht="28.8" x14ac:dyDescent="0.3">
      <c r="A68" s="1" t="s">
        <v>53</v>
      </c>
      <c r="B68" s="1" t="s">
        <v>52</v>
      </c>
      <c r="C68" s="1" t="s">
        <v>51</v>
      </c>
      <c r="D68" s="8">
        <v>12500</v>
      </c>
      <c r="E68" s="1">
        <v>1</v>
      </c>
      <c r="F68" s="22">
        <f t="shared" ref="F68" si="13">D68*E68</f>
        <v>12500</v>
      </c>
      <c r="J68" s="8">
        <v>15555.65</v>
      </c>
      <c r="K68" s="194" t="s">
        <v>276</v>
      </c>
    </row>
    <row r="69" spans="1:11" ht="28.8" x14ac:dyDescent="0.3">
      <c r="A69" s="1" t="s">
        <v>54</v>
      </c>
      <c r="B69" s="1" t="s">
        <v>55</v>
      </c>
      <c r="D69" s="8">
        <v>17404</v>
      </c>
      <c r="E69" s="1">
        <v>0</v>
      </c>
      <c r="F69" s="22">
        <f t="shared" ref="F69:F70" si="14">D69*E69</f>
        <v>0</v>
      </c>
    </row>
    <row r="70" spans="1:11" s="15" customFormat="1" ht="15" thickBot="1" x14ac:dyDescent="0.35">
      <c r="A70" s="15" t="s">
        <v>97</v>
      </c>
      <c r="B70" s="15" t="s">
        <v>98</v>
      </c>
      <c r="C70" s="15" t="s">
        <v>30</v>
      </c>
      <c r="D70" s="8">
        <v>795</v>
      </c>
      <c r="E70" s="15">
        <v>1</v>
      </c>
      <c r="F70" s="22">
        <f t="shared" si="14"/>
        <v>795</v>
      </c>
      <c r="G70" s="18"/>
      <c r="J70" s="8"/>
    </row>
    <row r="71" spans="1:11" ht="15" thickBot="1" x14ac:dyDescent="0.35">
      <c r="E71" s="11" t="s">
        <v>56</v>
      </c>
      <c r="F71" s="28">
        <f>SUM(F66:F70)</f>
        <v>22295</v>
      </c>
      <c r="G71" s="26"/>
    </row>
    <row r="72" spans="1:11" ht="43.8" thickBot="1" x14ac:dyDescent="0.35">
      <c r="E72" s="11"/>
      <c r="F72" s="21"/>
      <c r="G72" s="26"/>
      <c r="I72" s="189" t="s">
        <v>256</v>
      </c>
    </row>
    <row r="73" spans="1:11" ht="15" thickBot="1" x14ac:dyDescent="0.35">
      <c r="C73" s="202" t="s">
        <v>250</v>
      </c>
      <c r="D73" s="203"/>
      <c r="E73" s="204"/>
      <c r="F73" s="29">
        <f>SUM(F8,F13,F17,F27,F36,F44,F50,F59,F63,F71)</f>
        <v>161140.82</v>
      </c>
      <c r="G73" s="14">
        <f>SUM(G5:G70)</f>
        <v>77125</v>
      </c>
      <c r="H73" s="14">
        <f>SUM(H5:H70)</f>
        <v>18081.54</v>
      </c>
      <c r="I73" s="192">
        <f>G73+H73</f>
        <v>95206.540000000008</v>
      </c>
    </row>
    <row r="74" spans="1:11" ht="15" thickBot="1" x14ac:dyDescent="0.35"/>
    <row r="75" spans="1:11" ht="15" thickBot="1" x14ac:dyDescent="0.35">
      <c r="A75" s="218" t="s">
        <v>249</v>
      </c>
      <c r="B75" s="219"/>
      <c r="C75" s="220"/>
      <c r="D75" s="220"/>
      <c r="E75" s="220"/>
      <c r="F75" s="220"/>
      <c r="G75" s="221"/>
    </row>
    <row r="76" spans="1:11" ht="57.6" x14ac:dyDescent="0.3">
      <c r="A76" s="207" t="s">
        <v>62</v>
      </c>
      <c r="B76" s="208"/>
      <c r="C76" s="50"/>
      <c r="D76" s="51"/>
      <c r="E76" s="148" t="s">
        <v>90</v>
      </c>
      <c r="F76" s="149" t="s">
        <v>16</v>
      </c>
      <c r="G76" s="149" t="s">
        <v>214</v>
      </c>
    </row>
    <row r="77" spans="1:11" x14ac:dyDescent="0.3">
      <c r="A77" s="44" t="s">
        <v>11</v>
      </c>
      <c r="B77" s="37" t="s">
        <v>10</v>
      </c>
      <c r="C77" s="37" t="s">
        <v>5</v>
      </c>
      <c r="D77" s="38">
        <v>32625</v>
      </c>
      <c r="E77" s="37">
        <v>1</v>
      </c>
      <c r="F77" s="45"/>
      <c r="G77" s="45">
        <f>ROUNDUP((D77*E77)+(D77*E77*7.75%)+50,0)</f>
        <v>35204</v>
      </c>
    </row>
    <row r="78" spans="1:11" x14ac:dyDescent="0.3">
      <c r="A78" s="44" t="s">
        <v>12</v>
      </c>
      <c r="B78" s="37" t="s">
        <v>13</v>
      </c>
      <c r="C78" s="37" t="s">
        <v>5</v>
      </c>
      <c r="D78" s="38">
        <v>12975</v>
      </c>
      <c r="E78" s="37">
        <v>1</v>
      </c>
      <c r="F78" s="45"/>
      <c r="G78" s="45">
        <f t="shared" ref="G78:G84" si="15">ROUNDUP((D78*E78)+(D78*E78*7.75%)+50,0)</f>
        <v>14031</v>
      </c>
    </row>
    <row r="79" spans="1:11" x14ac:dyDescent="0.3">
      <c r="A79" s="44" t="s">
        <v>14</v>
      </c>
      <c r="B79" s="37" t="s">
        <v>15</v>
      </c>
      <c r="C79" s="37" t="s">
        <v>6</v>
      </c>
      <c r="D79" s="38">
        <v>28275</v>
      </c>
      <c r="E79" s="37">
        <v>1</v>
      </c>
      <c r="F79" s="45"/>
      <c r="G79" s="45">
        <f t="shared" si="15"/>
        <v>30517</v>
      </c>
    </row>
    <row r="80" spans="1:11" x14ac:dyDescent="0.3">
      <c r="A80" s="52" t="s">
        <v>19</v>
      </c>
      <c r="B80" s="37" t="s">
        <v>64</v>
      </c>
      <c r="C80" s="37" t="s">
        <v>20</v>
      </c>
      <c r="D80" s="38">
        <v>5568.33</v>
      </c>
      <c r="E80" s="37">
        <v>1</v>
      </c>
      <c r="F80" s="45"/>
      <c r="G80" s="45">
        <f t="shared" si="15"/>
        <v>6050</v>
      </c>
    </row>
    <row r="81" spans="1:9" x14ac:dyDescent="0.3">
      <c r="A81" s="52" t="s">
        <v>101</v>
      </c>
      <c r="B81" s="37" t="s">
        <v>65</v>
      </c>
      <c r="C81" s="37" t="s">
        <v>20</v>
      </c>
      <c r="D81" s="38">
        <v>6185.83</v>
      </c>
      <c r="E81" s="37">
        <v>1</v>
      </c>
      <c r="F81" s="45"/>
      <c r="G81" s="45">
        <f t="shared" si="15"/>
        <v>6716</v>
      </c>
      <c r="H81" s="8"/>
    </row>
    <row r="82" spans="1:9" ht="28.8" x14ac:dyDescent="0.3">
      <c r="A82" s="52" t="str">
        <f t="shared" ref="A82:E83" si="16">A66</f>
        <v>BDLKULSR4KEXTR3</v>
      </c>
      <c r="B82" s="52" t="str">
        <f t="shared" si="16"/>
        <v>4K/UHD capture box</v>
      </c>
      <c r="C82" s="52" t="str">
        <f t="shared" si="16"/>
        <v>Black Magic Design</v>
      </c>
      <c r="D82" s="72">
        <f t="shared" si="16"/>
        <v>3000</v>
      </c>
      <c r="E82" s="39">
        <f t="shared" si="16"/>
        <v>1</v>
      </c>
      <c r="F82" s="45">
        <v>3000</v>
      </c>
      <c r="G82" s="45"/>
    </row>
    <row r="83" spans="1:9" x14ac:dyDescent="0.3">
      <c r="A83" s="52" t="str">
        <f t="shared" si="16"/>
        <v>MacPro 2019</v>
      </c>
      <c r="B83" s="52" t="str">
        <f t="shared" si="16"/>
        <v>Mac Pro 2019 for capture management</v>
      </c>
      <c r="C83" s="52" t="str">
        <f t="shared" si="16"/>
        <v>Apple Computer</v>
      </c>
      <c r="D83" s="72">
        <f t="shared" si="16"/>
        <v>6000</v>
      </c>
      <c r="E83" s="39">
        <f t="shared" si="16"/>
        <v>1</v>
      </c>
      <c r="F83" s="45">
        <v>6000</v>
      </c>
      <c r="G83" s="45"/>
    </row>
    <row r="84" spans="1:9" x14ac:dyDescent="0.3">
      <c r="A84" s="44" t="s">
        <v>53</v>
      </c>
      <c r="B84" s="37" t="s">
        <v>52</v>
      </c>
      <c r="C84" s="37" t="s">
        <v>51</v>
      </c>
      <c r="D84" s="38">
        <v>12500</v>
      </c>
      <c r="E84" s="37">
        <v>1</v>
      </c>
      <c r="F84" s="45"/>
      <c r="G84" s="45">
        <f t="shared" si="15"/>
        <v>13519</v>
      </c>
    </row>
    <row r="85" spans="1:9" ht="15" thickBot="1" x14ac:dyDescent="0.35">
      <c r="A85" s="31"/>
      <c r="B85" s="19"/>
      <c r="C85" s="19"/>
      <c r="D85" s="212" t="s">
        <v>68</v>
      </c>
      <c r="E85" s="213"/>
      <c r="F85" s="36">
        <f>SUM(F77:F84)</f>
        <v>9000</v>
      </c>
      <c r="G85" s="36">
        <f>SUM(G77:G84)</f>
        <v>106037</v>
      </c>
    </row>
    <row r="86" spans="1:9" ht="29.4" thickBot="1" x14ac:dyDescent="0.35">
      <c r="A86" s="31"/>
      <c r="B86" s="19"/>
      <c r="C86" s="19"/>
      <c r="D86" s="25"/>
      <c r="E86" s="19"/>
      <c r="F86" s="32"/>
      <c r="G86" s="153" t="s">
        <v>213</v>
      </c>
    </row>
    <row r="87" spans="1:9" ht="15" thickBot="1" x14ac:dyDescent="0.35">
      <c r="A87" s="207" t="s">
        <v>63</v>
      </c>
      <c r="B87" s="208"/>
      <c r="C87" s="50"/>
      <c r="D87" s="51"/>
      <c r="E87" s="50"/>
      <c r="F87" s="68"/>
    </row>
    <row r="88" spans="1:9" ht="15" thickBot="1" x14ac:dyDescent="0.35">
      <c r="A88" s="46"/>
      <c r="B88" s="47" t="s">
        <v>63</v>
      </c>
      <c r="C88" s="53"/>
      <c r="D88" s="205" t="s">
        <v>92</v>
      </c>
      <c r="E88" s="206"/>
      <c r="F88" s="23">
        <v>35490</v>
      </c>
      <c r="G88" s="26"/>
      <c r="H88" s="8">
        <f>F88*1.0775</f>
        <v>38240.474999999999</v>
      </c>
      <c r="I88" s="1" t="s">
        <v>210</v>
      </c>
    </row>
    <row r="89" spans="1:9" ht="15" thickBot="1" x14ac:dyDescent="0.35">
      <c r="A89" s="31"/>
      <c r="B89" s="19"/>
      <c r="C89" s="19"/>
      <c r="D89" s="25"/>
      <c r="E89" s="19"/>
      <c r="F89" s="32"/>
    </row>
    <row r="90" spans="1:9" x14ac:dyDescent="0.3">
      <c r="A90" s="207" t="s">
        <v>66</v>
      </c>
      <c r="B90" s="208"/>
      <c r="C90" s="50"/>
      <c r="D90" s="51"/>
      <c r="E90" s="50"/>
      <c r="F90" s="68"/>
    </row>
    <row r="91" spans="1:9" ht="15.6" x14ac:dyDescent="0.3">
      <c r="A91" s="54"/>
      <c r="B91" s="37" t="str">
        <f>B43</f>
        <v>Optical design consulting fees</v>
      </c>
      <c r="C91" s="37"/>
      <c r="D91" s="38">
        <f>D43</f>
        <v>8000</v>
      </c>
      <c r="E91" s="37">
        <f>E43</f>
        <v>1</v>
      </c>
      <c r="F91" s="45">
        <f>F43</f>
        <v>8000</v>
      </c>
    </row>
    <row r="92" spans="1:9" ht="16.2" thickBot="1" x14ac:dyDescent="0.35">
      <c r="A92" s="55"/>
      <c r="B92" s="47" t="str">
        <f>B49</f>
        <v>Pressure testing of camera housing and dome per hour</v>
      </c>
      <c r="C92" s="47" t="str">
        <f>C49</f>
        <v>Maripro S.B.</v>
      </c>
      <c r="D92" s="48">
        <f>D49</f>
        <v>175</v>
      </c>
      <c r="E92" s="47">
        <f>E49</f>
        <v>6</v>
      </c>
      <c r="F92" s="49">
        <f>F49</f>
        <v>1050</v>
      </c>
    </row>
    <row r="93" spans="1:9" ht="16.2" thickBot="1" x14ac:dyDescent="0.35">
      <c r="A93" s="33"/>
      <c r="B93" s="19"/>
      <c r="C93" s="19"/>
      <c r="D93" s="212" t="s">
        <v>88</v>
      </c>
      <c r="E93" s="213"/>
      <c r="F93" s="36">
        <f>SUM(F91:F92)</f>
        <v>9050</v>
      </c>
      <c r="G93" s="26"/>
    </row>
    <row r="94" spans="1:9" ht="15" thickBot="1" x14ac:dyDescent="0.35">
      <c r="A94" s="31"/>
      <c r="B94" s="19"/>
      <c r="C94" s="19"/>
      <c r="D94" s="25"/>
      <c r="E94" s="19"/>
      <c r="F94" s="32"/>
    </row>
    <row r="95" spans="1:9" x14ac:dyDescent="0.3">
      <c r="A95" s="207" t="s">
        <v>69</v>
      </c>
      <c r="B95" s="209"/>
      <c r="C95" s="50"/>
      <c r="D95" s="51"/>
      <c r="E95" s="50"/>
      <c r="F95" s="68"/>
    </row>
    <row r="96" spans="1:9" x14ac:dyDescent="0.3">
      <c r="A96" s="44"/>
      <c r="B96" s="37" t="s">
        <v>96</v>
      </c>
      <c r="C96" s="57"/>
      <c r="D96" s="38">
        <v>750</v>
      </c>
      <c r="E96" s="63">
        <v>1</v>
      </c>
      <c r="F96" s="45">
        <f t="shared" ref="F96:F99" si="17">D96*E96</f>
        <v>750</v>
      </c>
    </row>
    <row r="97" spans="1:7" x14ac:dyDescent="0.3">
      <c r="A97" s="44"/>
      <c r="B97" s="37" t="s">
        <v>95</v>
      </c>
      <c r="C97" s="64"/>
      <c r="D97" s="38">
        <v>600</v>
      </c>
      <c r="E97" s="63">
        <v>1</v>
      </c>
      <c r="F97" s="45">
        <f t="shared" si="17"/>
        <v>600</v>
      </c>
    </row>
    <row r="98" spans="1:7" x14ac:dyDescent="0.3">
      <c r="A98" s="44"/>
      <c r="B98" s="37" t="s">
        <v>94</v>
      </c>
      <c r="C98" s="64"/>
      <c r="D98" s="38">
        <v>150</v>
      </c>
      <c r="E98" s="63">
        <v>1</v>
      </c>
      <c r="F98" s="45">
        <f t="shared" si="17"/>
        <v>150</v>
      </c>
    </row>
    <row r="99" spans="1:7" x14ac:dyDescent="0.3">
      <c r="A99" s="44"/>
      <c r="B99" s="37" t="s">
        <v>79</v>
      </c>
      <c r="C99" s="60"/>
      <c r="D99" s="38">
        <v>150</v>
      </c>
      <c r="E99" s="63">
        <v>1</v>
      </c>
      <c r="F99" s="45">
        <f t="shared" si="17"/>
        <v>150</v>
      </c>
    </row>
    <row r="100" spans="1:7" ht="15.6" x14ac:dyDescent="0.3">
      <c r="A100" s="40" t="s">
        <v>84</v>
      </c>
      <c r="B100" s="37"/>
      <c r="C100" s="19"/>
      <c r="D100" s="25"/>
      <c r="E100" s="19"/>
      <c r="F100" s="32"/>
    </row>
    <row r="101" spans="1:7" x14ac:dyDescent="0.3">
      <c r="A101" s="44"/>
      <c r="B101" s="37" t="s">
        <v>85</v>
      </c>
      <c r="C101" s="65"/>
      <c r="D101" s="38">
        <v>150</v>
      </c>
      <c r="E101" s="37">
        <v>1</v>
      </c>
      <c r="F101" s="45">
        <f t="shared" ref="F101" si="18">D101*E101</f>
        <v>150</v>
      </c>
    </row>
    <row r="102" spans="1:7" x14ac:dyDescent="0.3">
      <c r="A102" s="44"/>
      <c r="B102" s="37" t="s">
        <v>86</v>
      </c>
      <c r="C102" s="4"/>
      <c r="D102" s="38">
        <v>100</v>
      </c>
      <c r="E102" s="37">
        <v>1</v>
      </c>
      <c r="F102" s="45">
        <f t="shared" ref="F102" si="19">D102*E102</f>
        <v>100</v>
      </c>
    </row>
    <row r="103" spans="1:7" ht="15" thickBot="1" x14ac:dyDescent="0.35">
      <c r="A103" s="46"/>
      <c r="B103" s="47" t="s">
        <v>87</v>
      </c>
      <c r="C103" s="67"/>
      <c r="D103" s="48">
        <v>75</v>
      </c>
      <c r="E103" s="47">
        <v>1</v>
      </c>
      <c r="F103" s="49">
        <f t="shared" ref="F103" si="20">D103*E103</f>
        <v>75</v>
      </c>
    </row>
    <row r="104" spans="1:7" ht="15" thickBot="1" x14ac:dyDescent="0.35">
      <c r="A104" s="31"/>
      <c r="B104" s="19"/>
      <c r="C104" s="19"/>
      <c r="D104" s="212" t="s">
        <v>72</v>
      </c>
      <c r="E104" s="213"/>
      <c r="F104" s="36">
        <f>SUM(F96:F103)</f>
        <v>1975</v>
      </c>
      <c r="G104" s="26"/>
    </row>
    <row r="105" spans="1:7" ht="15" thickBot="1" x14ac:dyDescent="0.35">
      <c r="A105" s="31"/>
      <c r="B105" s="19"/>
      <c r="C105" s="19"/>
      <c r="D105" s="25"/>
      <c r="E105" s="19"/>
      <c r="F105" s="32"/>
    </row>
    <row r="106" spans="1:7" ht="15" thickBot="1" x14ac:dyDescent="0.35">
      <c r="A106" s="207" t="s">
        <v>67</v>
      </c>
      <c r="B106" s="208"/>
      <c r="C106" s="69"/>
      <c r="D106" s="70"/>
      <c r="E106" s="69"/>
      <c r="F106" s="71"/>
    </row>
    <row r="107" spans="1:7" ht="15" thickBot="1" x14ac:dyDescent="0.35">
      <c r="A107" s="41"/>
      <c r="B107" s="42" t="s">
        <v>100</v>
      </c>
      <c r="C107" s="43"/>
      <c r="D107" s="205" t="s">
        <v>91</v>
      </c>
      <c r="E107" s="206"/>
      <c r="F107" s="23">
        <f>(F88+F85)*7.75%</f>
        <v>3447.9749999999999</v>
      </c>
      <c r="G107" s="26"/>
    </row>
    <row r="108" spans="1:7" ht="15" thickBot="1" x14ac:dyDescent="0.35">
      <c r="A108" s="31"/>
      <c r="B108" s="19"/>
      <c r="C108" s="19"/>
      <c r="D108" s="25"/>
      <c r="E108" s="19"/>
      <c r="F108" s="32"/>
    </row>
    <row r="109" spans="1:7" x14ac:dyDescent="0.3">
      <c r="A109" s="207" t="s">
        <v>70</v>
      </c>
      <c r="B109" s="208"/>
      <c r="C109" s="50"/>
      <c r="D109" s="51"/>
      <c r="E109" s="50"/>
      <c r="F109" s="68"/>
    </row>
    <row r="110" spans="1:7" x14ac:dyDescent="0.3">
      <c r="A110" s="44"/>
      <c r="B110" s="37" t="str">
        <f>B42</f>
        <v>Optical glass shipping and customs costs</v>
      </c>
      <c r="C110" s="57"/>
      <c r="D110" s="58"/>
      <c r="E110" s="59"/>
      <c r="F110" s="56">
        <f>F42</f>
        <v>950</v>
      </c>
    </row>
    <row r="111" spans="1:7" ht="15" thickBot="1" x14ac:dyDescent="0.35">
      <c r="A111" s="44"/>
      <c r="B111" s="37" t="s">
        <v>71</v>
      </c>
      <c r="C111" s="60"/>
      <c r="D111" s="61"/>
      <c r="E111" s="62"/>
      <c r="F111" s="66">
        <v>300</v>
      </c>
    </row>
    <row r="112" spans="1:7" ht="15" thickBot="1" x14ac:dyDescent="0.35">
      <c r="A112" s="31"/>
      <c r="B112" s="19"/>
      <c r="C112" s="19"/>
      <c r="D112" s="210" t="s">
        <v>73</v>
      </c>
      <c r="E112" s="211"/>
      <c r="F112" s="23">
        <f>SUM(F110:F111)</f>
        <v>1250</v>
      </c>
      <c r="G112" s="26"/>
    </row>
    <row r="113" spans="1:8" ht="15" thickBot="1" x14ac:dyDescent="0.35">
      <c r="A113" s="31"/>
      <c r="B113" s="19"/>
      <c r="C113" s="19"/>
      <c r="D113" s="25"/>
      <c r="E113" s="19"/>
      <c r="F113" s="32"/>
    </row>
    <row r="114" spans="1:8" ht="18.600000000000001" thickBot="1" x14ac:dyDescent="0.4">
      <c r="A114" s="34"/>
      <c r="B114" s="35"/>
      <c r="C114" s="35"/>
      <c r="D114" s="205" t="s">
        <v>212</v>
      </c>
      <c r="E114" s="214"/>
      <c r="F114" s="30">
        <f>SUM(F85,F88,F93,F104,F107,F112)</f>
        <v>60212.974999999999</v>
      </c>
      <c r="G114" s="27"/>
    </row>
    <row r="115" spans="1:8" x14ac:dyDescent="0.3">
      <c r="G115" s="152"/>
    </row>
    <row r="116" spans="1:8" x14ac:dyDescent="0.3">
      <c r="A116" s="201" t="s">
        <v>251</v>
      </c>
      <c r="B116" s="201"/>
      <c r="C116" s="201"/>
      <c r="D116" s="201"/>
      <c r="E116" s="201"/>
      <c r="F116" s="38">
        <f>(F73+((F73-(F43+F42))*0.0775))+F104+F107+F112-F42</f>
        <v>178658.58355000001</v>
      </c>
      <c r="H116" s="8">
        <f>SUM(H77:H114)</f>
        <v>38240.474999999999</v>
      </c>
    </row>
    <row r="117" spans="1:8" x14ac:dyDescent="0.3">
      <c r="A117" s="201" t="s">
        <v>252</v>
      </c>
      <c r="B117" s="201"/>
      <c r="C117" s="201"/>
      <c r="D117" s="201"/>
      <c r="E117" s="201"/>
      <c r="F117" s="38">
        <f>F114+G85</f>
        <v>166249.97500000001</v>
      </c>
    </row>
    <row r="118" spans="1:8" x14ac:dyDescent="0.3">
      <c r="A118" s="201" t="s">
        <v>253</v>
      </c>
      <c r="B118" s="201"/>
      <c r="C118" s="201"/>
      <c r="D118" s="201"/>
      <c r="E118" s="201"/>
      <c r="F118" s="38">
        <f>106037+60213</f>
        <v>166250</v>
      </c>
    </row>
  </sheetData>
  <mergeCells count="30">
    <mergeCell ref="A1:B1"/>
    <mergeCell ref="A2:B2"/>
    <mergeCell ref="A52:B52"/>
    <mergeCell ref="D85:E85"/>
    <mergeCell ref="A46:B46"/>
    <mergeCell ref="A61:B61"/>
    <mergeCell ref="A15:B15"/>
    <mergeCell ref="A65:B65"/>
    <mergeCell ref="A19:B19"/>
    <mergeCell ref="A29:B29"/>
    <mergeCell ref="A10:B10"/>
    <mergeCell ref="A38:B38"/>
    <mergeCell ref="A75:G75"/>
    <mergeCell ref="G2:H2"/>
    <mergeCell ref="A118:E118"/>
    <mergeCell ref="C73:E73"/>
    <mergeCell ref="A116:E116"/>
    <mergeCell ref="A117:E117"/>
    <mergeCell ref="D88:E88"/>
    <mergeCell ref="A76:B76"/>
    <mergeCell ref="A87:B87"/>
    <mergeCell ref="A90:B90"/>
    <mergeCell ref="A95:B95"/>
    <mergeCell ref="D112:E112"/>
    <mergeCell ref="D93:E93"/>
    <mergeCell ref="D114:E114"/>
    <mergeCell ref="D107:E107"/>
    <mergeCell ref="A106:B106"/>
    <mergeCell ref="A109:B109"/>
    <mergeCell ref="D104:E104"/>
  </mergeCells>
  <pageMargins left="0.7" right="0.7" top="0.75" bottom="0.75" header="0.3" footer="0.3"/>
  <pageSetup paperSize="121" scale="72"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workbookViewId="0">
      <selection activeCell="K4" sqref="K4:K8"/>
    </sheetView>
  </sheetViews>
  <sheetFormatPr defaultRowHeight="14.4" x14ac:dyDescent="0.3"/>
  <cols>
    <col min="1" max="1" width="17.109375" style="73" customWidth="1"/>
    <col min="2" max="2" width="21.109375" style="73" customWidth="1"/>
    <col min="3" max="3" width="15.6640625" style="73" customWidth="1"/>
    <col min="4" max="4" width="17.77734375" style="73" customWidth="1"/>
    <col min="5" max="5" width="31.21875" style="73" customWidth="1"/>
    <col min="6" max="6" width="12.88671875" style="73" customWidth="1"/>
    <col min="7" max="8" width="12.88671875" style="74" customWidth="1"/>
    <col min="9" max="9" width="11.77734375" style="74" customWidth="1"/>
    <col min="10" max="10" width="10.77734375" style="74" customWidth="1"/>
    <col min="11" max="11" width="40.6640625" style="73" customWidth="1"/>
    <col min="12" max="16384" width="8.88671875" style="73"/>
  </cols>
  <sheetData>
    <row r="1" spans="1:11" ht="21.6" thickBot="1" x14ac:dyDescent="0.35">
      <c r="A1" s="236" t="s">
        <v>108</v>
      </c>
      <c r="B1" s="237"/>
      <c r="C1" s="237"/>
      <c r="D1" s="237"/>
      <c r="E1" s="237"/>
      <c r="F1" s="237"/>
      <c r="G1" s="237"/>
      <c r="H1" s="237"/>
      <c r="I1" s="237"/>
      <c r="J1" s="237"/>
      <c r="K1" s="238"/>
    </row>
    <row r="2" spans="1:11" ht="58.2" thickBot="1" x14ac:dyDescent="0.35">
      <c r="A2" s="77" t="s">
        <v>109</v>
      </c>
      <c r="B2" s="77" t="s">
        <v>110</v>
      </c>
      <c r="C2" s="77" t="s">
        <v>111</v>
      </c>
      <c r="D2" s="77" t="s">
        <v>112</v>
      </c>
      <c r="E2" s="77" t="s">
        <v>113</v>
      </c>
      <c r="F2" s="77" t="s">
        <v>114</v>
      </c>
      <c r="G2" s="78" t="s">
        <v>115</v>
      </c>
      <c r="H2" s="78" t="s">
        <v>164</v>
      </c>
      <c r="I2" s="78" t="s">
        <v>116</v>
      </c>
      <c r="J2" s="78" t="s">
        <v>117</v>
      </c>
      <c r="K2" s="77" t="s">
        <v>2</v>
      </c>
    </row>
    <row r="3" spans="1:11" ht="115.8" thickBot="1" x14ac:dyDescent="0.35">
      <c r="A3" s="91" t="s">
        <v>118</v>
      </c>
      <c r="B3" s="84" t="s">
        <v>119</v>
      </c>
      <c r="C3" s="84" t="s">
        <v>120</v>
      </c>
      <c r="D3" s="84" t="s">
        <v>121</v>
      </c>
      <c r="E3" s="85" t="s">
        <v>122</v>
      </c>
      <c r="F3" s="86">
        <v>43728</v>
      </c>
      <c r="G3" s="76">
        <v>335000</v>
      </c>
      <c r="H3" s="76">
        <f>((G3-I3)/2)+I3</f>
        <v>217000</v>
      </c>
      <c r="I3" s="87">
        <v>99000</v>
      </c>
      <c r="J3" s="87">
        <f>G3+(2*I3)</f>
        <v>533000</v>
      </c>
      <c r="K3" s="88" t="s">
        <v>272</v>
      </c>
    </row>
    <row r="4" spans="1:11" x14ac:dyDescent="0.3">
      <c r="A4" s="224" t="s">
        <v>123</v>
      </c>
      <c r="B4" s="226" t="s">
        <v>124</v>
      </c>
      <c r="C4" s="226" t="s">
        <v>125</v>
      </c>
      <c r="D4" s="226" t="s">
        <v>126</v>
      </c>
      <c r="E4" s="239" t="s">
        <v>127</v>
      </c>
      <c r="F4" s="228">
        <v>43728</v>
      </c>
      <c r="G4" s="92" t="s">
        <v>128</v>
      </c>
      <c r="H4" s="92" t="s">
        <v>128</v>
      </c>
      <c r="I4" s="235">
        <v>66759</v>
      </c>
      <c r="J4" s="235">
        <f>G5+G7+(2*I4)</f>
        <v>288160</v>
      </c>
      <c r="K4" s="231" t="s">
        <v>271</v>
      </c>
    </row>
    <row r="5" spans="1:11" x14ac:dyDescent="0.3">
      <c r="A5" s="234"/>
      <c r="B5" s="227"/>
      <c r="C5" s="227"/>
      <c r="D5" s="227"/>
      <c r="E5" s="227"/>
      <c r="F5" s="227"/>
      <c r="G5" s="90">
        <v>87883</v>
      </c>
      <c r="H5" s="90">
        <f>G5/2</f>
        <v>43941.5</v>
      </c>
      <c r="I5" s="240"/>
      <c r="J5" s="227"/>
      <c r="K5" s="232"/>
    </row>
    <row r="6" spans="1:11" x14ac:dyDescent="0.3">
      <c r="A6" s="234"/>
      <c r="B6" s="227"/>
      <c r="C6" s="227" t="s">
        <v>129</v>
      </c>
      <c r="D6" s="227" t="s">
        <v>130</v>
      </c>
      <c r="E6" s="241" t="s">
        <v>131</v>
      </c>
      <c r="F6" s="227"/>
      <c r="G6" s="93" t="s">
        <v>132</v>
      </c>
      <c r="H6" s="93" t="s">
        <v>132</v>
      </c>
      <c r="I6" s="240"/>
      <c r="J6" s="227"/>
      <c r="K6" s="232"/>
    </row>
    <row r="7" spans="1:11" ht="15" thickBot="1" x14ac:dyDescent="0.35">
      <c r="A7" s="234"/>
      <c r="B7" s="227"/>
      <c r="C7" s="227"/>
      <c r="D7" s="227"/>
      <c r="E7" s="227"/>
      <c r="F7" s="227"/>
      <c r="G7" s="79">
        <v>66759</v>
      </c>
      <c r="H7" s="79">
        <f>G7</f>
        <v>66759</v>
      </c>
      <c r="I7" s="227"/>
      <c r="J7" s="227"/>
      <c r="K7" s="232"/>
    </row>
    <row r="8" spans="1:11" ht="15" thickBot="1" x14ac:dyDescent="0.35">
      <c r="A8" s="229"/>
      <c r="B8" s="230"/>
      <c r="C8" s="82"/>
      <c r="D8" s="82"/>
      <c r="E8" s="82"/>
      <c r="F8" s="98" t="s">
        <v>16</v>
      </c>
      <c r="G8" s="76">
        <f>G5+G7</f>
        <v>154642</v>
      </c>
      <c r="H8" s="76">
        <f>H5+H7</f>
        <v>110700.5</v>
      </c>
      <c r="I8" s="82"/>
      <c r="J8" s="82"/>
      <c r="K8" s="233"/>
    </row>
    <row r="9" spans="1:11" x14ac:dyDescent="0.3">
      <c r="A9" s="224" t="s">
        <v>139</v>
      </c>
      <c r="B9" s="226" t="s">
        <v>140</v>
      </c>
      <c r="C9" s="83" t="s">
        <v>141</v>
      </c>
      <c r="D9" s="83" t="s">
        <v>142</v>
      </c>
      <c r="E9" s="94" t="s">
        <v>143</v>
      </c>
      <c r="F9" s="228">
        <v>43728</v>
      </c>
      <c r="G9" s="92" t="s">
        <v>128</v>
      </c>
      <c r="H9" s="92" t="s">
        <v>128</v>
      </c>
      <c r="I9" s="235">
        <v>52000</v>
      </c>
      <c r="J9" s="235">
        <f>G10+G12+(2*I9)</f>
        <v>306000</v>
      </c>
      <c r="K9" s="231" t="s">
        <v>144</v>
      </c>
    </row>
    <row r="10" spans="1:11" x14ac:dyDescent="0.3">
      <c r="A10" s="225"/>
      <c r="B10" s="227"/>
      <c r="C10" s="81" t="s">
        <v>145</v>
      </c>
      <c r="D10" s="81" t="s">
        <v>142</v>
      </c>
      <c r="E10" s="89" t="s">
        <v>146</v>
      </c>
      <c r="F10" s="227"/>
      <c r="G10" s="95">
        <v>137000</v>
      </c>
      <c r="H10" s="95">
        <f>G10/2</f>
        <v>68500</v>
      </c>
      <c r="I10" s="227"/>
      <c r="J10" s="227"/>
      <c r="K10" s="232"/>
    </row>
    <row r="11" spans="1:11" x14ac:dyDescent="0.3">
      <c r="A11" s="225"/>
      <c r="B11" s="227"/>
      <c r="C11" s="81" t="s">
        <v>147</v>
      </c>
      <c r="D11" s="81" t="s">
        <v>142</v>
      </c>
      <c r="E11" s="89" t="s">
        <v>148</v>
      </c>
      <c r="F11" s="227"/>
      <c r="G11" s="93" t="s">
        <v>132</v>
      </c>
      <c r="H11" s="93" t="s">
        <v>132</v>
      </c>
      <c r="I11" s="227"/>
      <c r="J11" s="227"/>
      <c r="K11" s="232"/>
    </row>
    <row r="12" spans="1:11" ht="15" thickBot="1" x14ac:dyDescent="0.35">
      <c r="A12" s="225"/>
      <c r="B12" s="227"/>
      <c r="C12" s="81" t="s">
        <v>149</v>
      </c>
      <c r="D12" s="81" t="s">
        <v>142</v>
      </c>
      <c r="E12" s="89" t="s">
        <v>150</v>
      </c>
      <c r="F12" s="227"/>
      <c r="G12" s="80">
        <v>65000</v>
      </c>
      <c r="H12" s="80">
        <f>(G12+I9)/2</f>
        <v>58500</v>
      </c>
      <c r="I12" s="227"/>
      <c r="J12" s="227"/>
      <c r="K12" s="232"/>
    </row>
    <row r="13" spans="1:11" ht="15" thickBot="1" x14ac:dyDescent="0.35">
      <c r="A13" s="96"/>
      <c r="B13" s="82"/>
      <c r="C13" s="82"/>
      <c r="D13" s="82"/>
      <c r="E13" s="97"/>
      <c r="F13" s="98" t="s">
        <v>16</v>
      </c>
      <c r="G13" s="76">
        <f>G10+G12</f>
        <v>202000</v>
      </c>
      <c r="H13" s="76">
        <f>H10+H12</f>
        <v>127000</v>
      </c>
      <c r="I13" s="82"/>
      <c r="J13" s="82"/>
      <c r="K13" s="233"/>
    </row>
    <row r="14" spans="1:11" ht="43.2" x14ac:dyDescent="0.3">
      <c r="A14" s="224" t="s">
        <v>151</v>
      </c>
      <c r="B14" s="226" t="s">
        <v>152</v>
      </c>
      <c r="C14" s="83" t="s">
        <v>153</v>
      </c>
      <c r="D14" s="83" t="s">
        <v>154</v>
      </c>
      <c r="E14" s="94" t="s">
        <v>155</v>
      </c>
      <c r="F14" s="228">
        <v>43728</v>
      </c>
      <c r="G14" s="92" t="s">
        <v>128</v>
      </c>
      <c r="H14" s="92" t="s">
        <v>128</v>
      </c>
      <c r="I14" s="235">
        <v>107000</v>
      </c>
      <c r="J14" s="235">
        <f>G18+(2*I14)</f>
        <v>418000</v>
      </c>
      <c r="K14" s="231" t="s">
        <v>270</v>
      </c>
    </row>
    <row r="15" spans="1:11" ht="28.8" x14ac:dyDescent="0.3">
      <c r="A15" s="234"/>
      <c r="B15" s="227"/>
      <c r="C15" s="81" t="s">
        <v>156</v>
      </c>
      <c r="D15" s="81" t="s">
        <v>157</v>
      </c>
      <c r="E15" s="89" t="s">
        <v>158</v>
      </c>
      <c r="F15" s="227"/>
      <c r="G15" s="95">
        <v>97000</v>
      </c>
      <c r="H15" s="95">
        <f>G15/2</f>
        <v>48500</v>
      </c>
      <c r="I15" s="227"/>
      <c r="J15" s="227"/>
      <c r="K15" s="232"/>
    </row>
    <row r="16" spans="1:11" x14ac:dyDescent="0.3">
      <c r="A16" s="234"/>
      <c r="B16" s="227"/>
      <c r="C16" s="81"/>
      <c r="D16" s="81"/>
      <c r="E16" s="89"/>
      <c r="F16" s="227"/>
      <c r="G16" s="93" t="s">
        <v>132</v>
      </c>
      <c r="H16" s="93" t="s">
        <v>132</v>
      </c>
      <c r="I16" s="227"/>
      <c r="J16" s="227"/>
      <c r="K16" s="232"/>
    </row>
    <row r="17" spans="1:11" ht="15" thickBot="1" x14ac:dyDescent="0.35">
      <c r="A17" s="234"/>
      <c r="B17" s="227"/>
      <c r="C17" s="81" t="s">
        <v>159</v>
      </c>
      <c r="D17" s="81"/>
      <c r="E17" s="89" t="s">
        <v>160</v>
      </c>
      <c r="F17" s="227"/>
      <c r="G17" s="80">
        <v>107000</v>
      </c>
      <c r="H17" s="80">
        <v>107000</v>
      </c>
      <c r="I17" s="227"/>
      <c r="J17" s="227"/>
      <c r="K17" s="232"/>
    </row>
    <row r="18" spans="1:11" ht="15" thickBot="1" x14ac:dyDescent="0.35">
      <c r="A18" s="229"/>
      <c r="B18" s="230"/>
      <c r="C18" s="82"/>
      <c r="D18" s="82"/>
      <c r="E18" s="97"/>
      <c r="F18" s="98" t="s">
        <v>16</v>
      </c>
      <c r="G18" s="76">
        <f>G15+G17</f>
        <v>204000</v>
      </c>
      <c r="H18" s="76">
        <f>H15+H17</f>
        <v>155500</v>
      </c>
      <c r="I18" s="230"/>
      <c r="J18" s="230"/>
      <c r="K18" s="233"/>
    </row>
    <row r="19" spans="1:11" x14ac:dyDescent="0.3">
      <c r="A19" s="224" t="s">
        <v>161</v>
      </c>
      <c r="B19" s="226" t="s">
        <v>162</v>
      </c>
      <c r="C19" s="83"/>
      <c r="D19" s="83"/>
      <c r="E19" s="83"/>
      <c r="F19" s="83"/>
      <c r="G19" s="92" t="s">
        <v>128</v>
      </c>
      <c r="H19" s="92" t="s">
        <v>128</v>
      </c>
      <c r="I19" s="235">
        <f>G22</f>
        <v>53678.21</v>
      </c>
      <c r="J19" s="235">
        <f>G20+G22+(2*I19)</f>
        <v>210074.63</v>
      </c>
      <c r="K19" s="231" t="s">
        <v>163</v>
      </c>
    </row>
    <row r="20" spans="1:11" x14ac:dyDescent="0.3">
      <c r="A20" s="225"/>
      <c r="B20" s="227"/>
      <c r="C20" s="81"/>
      <c r="D20" s="81"/>
      <c r="E20" s="81"/>
      <c r="F20" s="81"/>
      <c r="G20" s="95">
        <f>'MBARI&amp;VendorSummary'!D10</f>
        <v>49040</v>
      </c>
      <c r="H20" s="95">
        <f>G20/2</f>
        <v>24520</v>
      </c>
      <c r="I20" s="227"/>
      <c r="J20" s="227"/>
      <c r="K20" s="232"/>
    </row>
    <row r="21" spans="1:11" x14ac:dyDescent="0.3">
      <c r="A21" s="225"/>
      <c r="B21" s="227"/>
      <c r="C21" s="81"/>
      <c r="D21" s="81"/>
      <c r="E21" s="81"/>
      <c r="F21" s="81"/>
      <c r="G21" s="93" t="s">
        <v>132</v>
      </c>
      <c r="H21" s="93" t="s">
        <v>132</v>
      </c>
      <c r="I21" s="227"/>
      <c r="J21" s="227"/>
      <c r="K21" s="232"/>
    </row>
    <row r="22" spans="1:11" ht="15" thickBot="1" x14ac:dyDescent="0.35">
      <c r="A22" s="225"/>
      <c r="B22" s="227"/>
      <c r="C22" s="81"/>
      <c r="D22" s="81"/>
      <c r="E22" s="81"/>
      <c r="F22" s="81"/>
      <c r="G22" s="80">
        <f>'MBARI&amp;VendorSummary'!D19</f>
        <v>53678.21</v>
      </c>
      <c r="H22" s="80">
        <f>G22</f>
        <v>53678.21</v>
      </c>
      <c r="I22" s="227"/>
      <c r="J22" s="227"/>
      <c r="K22" s="232"/>
    </row>
    <row r="23" spans="1:11" ht="15" thickBot="1" x14ac:dyDescent="0.35">
      <c r="A23" s="229"/>
      <c r="B23" s="230"/>
      <c r="C23" s="82"/>
      <c r="D23" s="82"/>
      <c r="E23" s="82"/>
      <c r="F23" s="98" t="s">
        <v>16</v>
      </c>
      <c r="G23" s="76">
        <f>G20+G22</f>
        <v>102718.20999999999</v>
      </c>
      <c r="H23" s="76">
        <f>H20+H22</f>
        <v>78198.209999999992</v>
      </c>
      <c r="I23" s="79"/>
      <c r="J23" s="79"/>
      <c r="K23" s="233"/>
    </row>
    <row r="24" spans="1:11" ht="43.8" thickBot="1" x14ac:dyDescent="0.35">
      <c r="A24" s="91" t="s">
        <v>133</v>
      </c>
      <c r="B24" s="84" t="s">
        <v>134</v>
      </c>
      <c r="C24" s="84" t="s">
        <v>135</v>
      </c>
      <c r="D24" s="84" t="s">
        <v>136</v>
      </c>
      <c r="E24" s="85" t="s">
        <v>137</v>
      </c>
      <c r="F24" s="86">
        <v>43728</v>
      </c>
      <c r="G24" s="87"/>
      <c r="H24" s="87"/>
      <c r="I24" s="87"/>
      <c r="J24" s="87"/>
      <c r="K24" s="88" t="s">
        <v>138</v>
      </c>
    </row>
  </sheetData>
  <mergeCells count="30">
    <mergeCell ref="I9:I12"/>
    <mergeCell ref="J9:J12"/>
    <mergeCell ref="A1:K1"/>
    <mergeCell ref="C4:C5"/>
    <mergeCell ref="D4:D5"/>
    <mergeCell ref="E4:E5"/>
    <mergeCell ref="F4:F7"/>
    <mergeCell ref="I4:I7"/>
    <mergeCell ref="J4:J7"/>
    <mergeCell ref="A4:A8"/>
    <mergeCell ref="B4:B8"/>
    <mergeCell ref="K4:K8"/>
    <mergeCell ref="K9:K13"/>
    <mergeCell ref="C6:C7"/>
    <mergeCell ref="D6:D7"/>
    <mergeCell ref="E6:E7"/>
    <mergeCell ref="K19:K23"/>
    <mergeCell ref="A14:A18"/>
    <mergeCell ref="B14:B18"/>
    <mergeCell ref="I14:I18"/>
    <mergeCell ref="J14:J18"/>
    <mergeCell ref="K14:K18"/>
    <mergeCell ref="I19:I22"/>
    <mergeCell ref="J19:J22"/>
    <mergeCell ref="A9:A12"/>
    <mergeCell ref="B9:B12"/>
    <mergeCell ref="F9:F12"/>
    <mergeCell ref="A19:A23"/>
    <mergeCell ref="F14:F17"/>
    <mergeCell ref="B19:B23"/>
  </mergeCells>
  <hyperlinks>
    <hyperlink ref="E3" r:id="rId1"/>
    <hyperlink ref="E4" r:id="rId2"/>
    <hyperlink ref="E6" r:id="rId3"/>
    <hyperlink ref="E9" r:id="rId4"/>
    <hyperlink ref="E10" r:id="rId5"/>
    <hyperlink ref="E11" r:id="rId6"/>
    <hyperlink ref="E12" r:id="rId7"/>
    <hyperlink ref="E14" r:id="rId8"/>
    <hyperlink ref="E15" r:id="rId9"/>
    <hyperlink ref="E24" r:id="rId10"/>
    <hyperlink ref="E17" r:id="rId11"/>
  </hyperlinks>
  <pageMargins left="0.7" right="0.7" top="0.75" bottom="0.75" header="0.3" footer="0.3"/>
  <pageSetup scale="60" orientation="landscape"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D8" sqref="D8"/>
    </sheetView>
  </sheetViews>
  <sheetFormatPr defaultRowHeight="14.4" x14ac:dyDescent="0.3"/>
  <cols>
    <col min="1" max="1" width="17.109375" style="73" customWidth="1"/>
    <col min="2" max="2" width="15.6640625" style="73" customWidth="1"/>
    <col min="3" max="3" width="12.88671875" style="73" customWidth="1"/>
    <col min="4" max="4" width="12.88671875" style="74" customWidth="1"/>
    <col min="5" max="5" width="11.77734375" style="74" customWidth="1"/>
    <col min="6" max="6" width="10.77734375" style="74" customWidth="1"/>
    <col min="7" max="7" width="40.6640625" style="73" customWidth="1"/>
    <col min="8" max="16384" width="8.88671875" style="73"/>
  </cols>
  <sheetData>
    <row r="1" spans="1:7" ht="21.6" thickBot="1" x14ac:dyDescent="0.35">
      <c r="A1" s="236" t="s">
        <v>108</v>
      </c>
      <c r="B1" s="237"/>
      <c r="C1" s="237"/>
      <c r="D1" s="237"/>
      <c r="E1" s="237"/>
      <c r="F1" s="237"/>
      <c r="G1" s="238"/>
    </row>
    <row r="2" spans="1:7" ht="29.4" thickBot="1" x14ac:dyDescent="0.35">
      <c r="A2" s="166" t="s">
        <v>109</v>
      </c>
      <c r="B2" s="167" t="s">
        <v>111</v>
      </c>
      <c r="C2" s="167" t="s">
        <v>114</v>
      </c>
      <c r="D2" s="168" t="s">
        <v>115</v>
      </c>
      <c r="E2" s="168" t="s">
        <v>116</v>
      </c>
      <c r="F2" s="168" t="s">
        <v>117</v>
      </c>
      <c r="G2" s="169" t="s">
        <v>2</v>
      </c>
    </row>
    <row r="3" spans="1:7" ht="72.599999999999994" thickBot="1" x14ac:dyDescent="0.35">
      <c r="A3" s="91" t="s">
        <v>118</v>
      </c>
      <c r="B3" s="84" t="s">
        <v>120</v>
      </c>
      <c r="C3" s="86">
        <v>43728</v>
      </c>
      <c r="D3" s="76">
        <v>335000</v>
      </c>
      <c r="E3" s="87">
        <v>99000</v>
      </c>
      <c r="F3" s="87">
        <f>D3+(2*E3)</f>
        <v>533000</v>
      </c>
      <c r="G3" s="88" t="s">
        <v>238</v>
      </c>
    </row>
    <row r="4" spans="1:7" ht="14.4" customHeight="1" x14ac:dyDescent="0.3">
      <c r="A4" s="224" t="s">
        <v>123</v>
      </c>
      <c r="B4" s="226" t="s">
        <v>125</v>
      </c>
      <c r="C4" s="228">
        <v>43728</v>
      </c>
      <c r="D4" s="92" t="s">
        <v>128</v>
      </c>
      <c r="E4" s="235">
        <v>66759</v>
      </c>
      <c r="F4" s="235">
        <f>D5+D7+(2*E4)</f>
        <v>288160</v>
      </c>
      <c r="G4" s="231" t="s">
        <v>239</v>
      </c>
    </row>
    <row r="5" spans="1:7" x14ac:dyDescent="0.3">
      <c r="A5" s="234"/>
      <c r="B5" s="227"/>
      <c r="C5" s="227"/>
      <c r="D5" s="117">
        <v>87883</v>
      </c>
      <c r="E5" s="240"/>
      <c r="F5" s="227"/>
      <c r="G5" s="232"/>
    </row>
    <row r="6" spans="1:7" x14ac:dyDescent="0.3">
      <c r="A6" s="234"/>
      <c r="B6" s="227" t="s">
        <v>129</v>
      </c>
      <c r="C6" s="227"/>
      <c r="D6" s="93" t="s">
        <v>132</v>
      </c>
      <c r="E6" s="240"/>
      <c r="F6" s="227"/>
      <c r="G6" s="232"/>
    </row>
    <row r="7" spans="1:7" ht="15" thickBot="1" x14ac:dyDescent="0.35">
      <c r="A7" s="234"/>
      <c r="B7" s="227"/>
      <c r="C7" s="227"/>
      <c r="D7" s="79">
        <v>66759</v>
      </c>
      <c r="E7" s="227"/>
      <c r="F7" s="227"/>
      <c r="G7" s="232"/>
    </row>
    <row r="8" spans="1:7" ht="15" thickBot="1" x14ac:dyDescent="0.35">
      <c r="A8" s="229"/>
      <c r="B8" s="115"/>
      <c r="C8" s="98" t="s">
        <v>16</v>
      </c>
      <c r="D8" s="76">
        <f>D5+D7</f>
        <v>154642</v>
      </c>
      <c r="E8" s="115"/>
      <c r="F8" s="115"/>
      <c r="G8" s="233"/>
    </row>
    <row r="9" spans="1:7" ht="14.4" customHeight="1" x14ac:dyDescent="0.3">
      <c r="A9" s="224" t="s">
        <v>139</v>
      </c>
      <c r="B9" s="114" t="s">
        <v>141</v>
      </c>
      <c r="C9" s="228">
        <v>43728</v>
      </c>
      <c r="D9" s="92" t="s">
        <v>128</v>
      </c>
      <c r="E9" s="235">
        <v>52000</v>
      </c>
      <c r="F9" s="235">
        <f>D10+D12+(2*E9)</f>
        <v>306000</v>
      </c>
      <c r="G9" s="231" t="s">
        <v>241</v>
      </c>
    </row>
    <row r="10" spans="1:7" x14ac:dyDescent="0.3">
      <c r="A10" s="225"/>
      <c r="B10" s="113" t="s">
        <v>145</v>
      </c>
      <c r="C10" s="227"/>
      <c r="D10" s="95">
        <v>137000</v>
      </c>
      <c r="E10" s="227"/>
      <c r="F10" s="227"/>
      <c r="G10" s="232"/>
    </row>
    <row r="11" spans="1:7" x14ac:dyDescent="0.3">
      <c r="A11" s="225"/>
      <c r="B11" s="113" t="s">
        <v>147</v>
      </c>
      <c r="C11" s="227"/>
      <c r="D11" s="93" t="s">
        <v>132</v>
      </c>
      <c r="E11" s="227"/>
      <c r="F11" s="227"/>
      <c r="G11" s="232"/>
    </row>
    <row r="12" spans="1:7" ht="15" thickBot="1" x14ac:dyDescent="0.35">
      <c r="A12" s="225"/>
      <c r="B12" s="113" t="s">
        <v>149</v>
      </c>
      <c r="C12" s="227"/>
      <c r="D12" s="80">
        <v>65000</v>
      </c>
      <c r="E12" s="227"/>
      <c r="F12" s="227"/>
      <c r="G12" s="232"/>
    </row>
    <row r="13" spans="1:7" ht="15" thickBot="1" x14ac:dyDescent="0.35">
      <c r="A13" s="112"/>
      <c r="B13" s="115"/>
      <c r="C13" s="98" t="s">
        <v>16</v>
      </c>
      <c r="D13" s="76">
        <f>D10+D12</f>
        <v>202000</v>
      </c>
      <c r="E13" s="115"/>
      <c r="F13" s="115"/>
      <c r="G13" s="233"/>
    </row>
    <row r="14" spans="1:7" ht="43.2" customHeight="1" x14ac:dyDescent="0.3">
      <c r="A14" s="224" t="s">
        <v>151</v>
      </c>
      <c r="B14" s="114" t="s">
        <v>153</v>
      </c>
      <c r="C14" s="228">
        <v>43728</v>
      </c>
      <c r="D14" s="92" t="s">
        <v>128</v>
      </c>
      <c r="E14" s="235">
        <v>107000</v>
      </c>
      <c r="F14" s="235">
        <f>D18+(2*E14)</f>
        <v>418000</v>
      </c>
      <c r="G14" s="231" t="s">
        <v>240</v>
      </c>
    </row>
    <row r="15" spans="1:7" ht="28.8" x14ac:dyDescent="0.3">
      <c r="A15" s="234"/>
      <c r="B15" s="113" t="s">
        <v>156</v>
      </c>
      <c r="C15" s="227"/>
      <c r="D15" s="95">
        <v>97000</v>
      </c>
      <c r="E15" s="227"/>
      <c r="F15" s="227"/>
      <c r="G15" s="232"/>
    </row>
    <row r="16" spans="1:7" x14ac:dyDescent="0.3">
      <c r="A16" s="234"/>
      <c r="B16" s="113"/>
      <c r="C16" s="227"/>
      <c r="D16" s="93" t="s">
        <v>132</v>
      </c>
      <c r="E16" s="227"/>
      <c r="F16" s="227"/>
      <c r="G16" s="232"/>
    </row>
    <row r="17" spans="1:7" ht="15" thickBot="1" x14ac:dyDescent="0.35">
      <c r="A17" s="234"/>
      <c r="B17" s="113" t="s">
        <v>159</v>
      </c>
      <c r="C17" s="227"/>
      <c r="D17" s="80">
        <v>107000</v>
      </c>
      <c r="E17" s="227"/>
      <c r="F17" s="227"/>
      <c r="G17" s="232"/>
    </row>
    <row r="18" spans="1:7" ht="15" thickBot="1" x14ac:dyDescent="0.35">
      <c r="A18" s="229"/>
      <c r="B18" s="115"/>
      <c r="C18" s="98" t="s">
        <v>16</v>
      </c>
      <c r="D18" s="76">
        <f>D15+D17</f>
        <v>204000</v>
      </c>
      <c r="E18" s="230"/>
      <c r="F18" s="230"/>
      <c r="G18" s="233"/>
    </row>
    <row r="19" spans="1:7" x14ac:dyDescent="0.3">
      <c r="A19" s="224" t="s">
        <v>233</v>
      </c>
      <c r="B19" s="114"/>
      <c r="C19" s="114"/>
      <c r="D19" s="92" t="s">
        <v>128</v>
      </c>
      <c r="E19" s="235">
        <f>D22</f>
        <v>53678.21</v>
      </c>
      <c r="F19" s="235">
        <f>D20+D22+(2*E19)</f>
        <v>210074.63</v>
      </c>
      <c r="G19" s="231" t="s">
        <v>236</v>
      </c>
    </row>
    <row r="20" spans="1:7" x14ac:dyDescent="0.3">
      <c r="A20" s="225"/>
      <c r="B20" s="113"/>
      <c r="C20" s="113"/>
      <c r="D20" s="95">
        <f>'MBARI&amp;VendorSummary'!D10</f>
        <v>49040</v>
      </c>
      <c r="E20" s="227"/>
      <c r="F20" s="227"/>
      <c r="G20" s="232"/>
    </row>
    <row r="21" spans="1:7" x14ac:dyDescent="0.3">
      <c r="A21" s="225"/>
      <c r="B21" s="113"/>
      <c r="C21" s="113"/>
      <c r="D21" s="93" t="s">
        <v>132</v>
      </c>
      <c r="E21" s="227"/>
      <c r="F21" s="227"/>
      <c r="G21" s="232"/>
    </row>
    <row r="22" spans="1:7" ht="15" thickBot="1" x14ac:dyDescent="0.35">
      <c r="A22" s="225"/>
      <c r="B22" s="113"/>
      <c r="C22" s="113"/>
      <c r="D22" s="80">
        <f>'MBARI&amp;VendorSummary'!D19</f>
        <v>53678.21</v>
      </c>
      <c r="E22" s="227"/>
      <c r="F22" s="227"/>
      <c r="G22" s="232"/>
    </row>
    <row r="23" spans="1:7" ht="15" thickBot="1" x14ac:dyDescent="0.35">
      <c r="A23" s="229"/>
      <c r="B23" s="115"/>
      <c r="C23" s="98" t="s">
        <v>16</v>
      </c>
      <c r="D23" s="76">
        <f>D20+D22</f>
        <v>102718.20999999999</v>
      </c>
      <c r="E23" s="79"/>
      <c r="F23" s="79"/>
      <c r="G23" s="233"/>
    </row>
    <row r="24" spans="1:7" ht="15" thickBot="1" x14ac:dyDescent="0.35">
      <c r="A24" s="91" t="s">
        <v>234</v>
      </c>
      <c r="B24" s="84" t="s">
        <v>135</v>
      </c>
      <c r="C24" s="86">
        <v>43728</v>
      </c>
      <c r="D24" s="76" t="s">
        <v>235</v>
      </c>
      <c r="E24" s="87"/>
      <c r="F24" s="87"/>
      <c r="G24" s="88" t="s">
        <v>237</v>
      </c>
    </row>
  </sheetData>
  <mergeCells count="22">
    <mergeCell ref="B6:B7"/>
    <mergeCell ref="A9:A12"/>
    <mergeCell ref="C9:C12"/>
    <mergeCell ref="A1:G1"/>
    <mergeCell ref="A4:A8"/>
    <mergeCell ref="B4:B5"/>
    <mergeCell ref="C4:C7"/>
    <mergeCell ref="E4:E7"/>
    <mergeCell ref="F4:F7"/>
    <mergeCell ref="G4:G8"/>
    <mergeCell ref="A19:A23"/>
    <mergeCell ref="E19:E22"/>
    <mergeCell ref="F19:F22"/>
    <mergeCell ref="G19:G23"/>
    <mergeCell ref="E9:E12"/>
    <mergeCell ref="F9:F12"/>
    <mergeCell ref="G9:G13"/>
    <mergeCell ref="A14:A18"/>
    <mergeCell ref="C14:C17"/>
    <mergeCell ref="E14:E18"/>
    <mergeCell ref="F14:F18"/>
    <mergeCell ref="G14:G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C24" sqref="C24"/>
    </sheetView>
  </sheetViews>
  <sheetFormatPr defaultRowHeight="14.4" x14ac:dyDescent="0.3"/>
  <cols>
    <col min="1" max="1" width="22.88671875" customWidth="1"/>
    <col min="2" max="2" width="12.109375" customWidth="1"/>
    <col min="3" max="3" width="11.5546875" customWidth="1"/>
    <col min="4" max="4" width="16" customWidth="1"/>
    <col min="5" max="5" width="16.5546875" customWidth="1"/>
  </cols>
  <sheetData>
    <row r="1" spans="1:5" x14ac:dyDescent="0.3">
      <c r="A1" t="s">
        <v>206</v>
      </c>
    </row>
    <row r="3" spans="1:5" ht="15" thickBot="1" x14ac:dyDescent="0.35"/>
    <row r="4" spans="1:5" ht="15" thickBot="1" x14ac:dyDescent="0.35">
      <c r="A4" s="218" t="s">
        <v>218</v>
      </c>
      <c r="B4" s="242"/>
      <c r="C4" s="242"/>
      <c r="D4" s="243"/>
    </row>
    <row r="5" spans="1:5" x14ac:dyDescent="0.3">
      <c r="A5" s="158"/>
      <c r="B5" s="155" t="s">
        <v>207</v>
      </c>
      <c r="C5" s="155" t="s">
        <v>208</v>
      </c>
      <c r="D5" s="159"/>
    </row>
    <row r="6" spans="1:5" x14ac:dyDescent="0.3">
      <c r="A6" s="160" t="s">
        <v>103</v>
      </c>
      <c r="B6" s="154">
        <f>(80000/2)</f>
        <v>40000</v>
      </c>
      <c r="C6" s="154">
        <f>(57000/2)+('MBARI&amp;VendorSummary'!F10/2)</f>
        <v>98700</v>
      </c>
      <c r="D6" s="244" t="s">
        <v>217</v>
      </c>
    </row>
    <row r="7" spans="1:5" ht="15" thickBot="1" x14ac:dyDescent="0.35">
      <c r="A7" s="44" t="s">
        <v>232</v>
      </c>
      <c r="B7" s="157">
        <f>('Raw&amp;ProposalFormatedCosts'!G73)*1.0775</f>
        <v>83102.187499999985</v>
      </c>
      <c r="C7" s="157">
        <f>'MBARI&amp;VendorSummary'!F17+('Raw&amp;ProposalFormatedCosts'!H73*1.0775)+(VendorCostComparsion_NRE_Share!H12)</f>
        <v>114684.85935</v>
      </c>
      <c r="D7" s="244"/>
    </row>
    <row r="8" spans="1:5" ht="15" thickBot="1" x14ac:dyDescent="0.35">
      <c r="A8" s="46" t="s">
        <v>209</v>
      </c>
      <c r="B8" s="161">
        <f t="shared" ref="B8:C8" si="0">SUM(B6:B7)</f>
        <v>123102.18749999999</v>
      </c>
      <c r="C8" s="161">
        <f t="shared" si="0"/>
        <v>213384.85934999998</v>
      </c>
      <c r="D8" s="156">
        <f>SUM(B8:C8)</f>
        <v>336487.04684999998</v>
      </c>
      <c r="E8" s="133"/>
    </row>
    <row r="9" spans="1:5" ht="15" thickBot="1" x14ac:dyDescent="0.35">
      <c r="A9" s="111"/>
      <c r="B9" s="133"/>
      <c r="C9" s="133"/>
      <c r="D9" s="133"/>
      <c r="E9" s="133"/>
    </row>
    <row r="10" spans="1:5" ht="15" thickBot="1" x14ac:dyDescent="0.35">
      <c r="A10" s="218" t="s">
        <v>219</v>
      </c>
      <c r="B10" s="242"/>
      <c r="C10" s="242"/>
      <c r="D10" s="243"/>
    </row>
    <row r="11" spans="1:5" x14ac:dyDescent="0.3">
      <c r="A11" s="158"/>
      <c r="B11" s="155" t="s">
        <v>207</v>
      </c>
      <c r="C11" s="155" t="s">
        <v>208</v>
      </c>
      <c r="D11" s="159"/>
    </row>
    <row r="12" spans="1:5" x14ac:dyDescent="0.3">
      <c r="A12" s="160" t="s">
        <v>103</v>
      </c>
      <c r="B12" s="154">
        <f>(80000/3)</f>
        <v>26666.666666666668</v>
      </c>
      <c r="C12" s="154">
        <f>(57000/3)+('MBARI&amp;VendorSummary'!F10/3)</f>
        <v>65800</v>
      </c>
      <c r="D12" s="244" t="s">
        <v>217</v>
      </c>
    </row>
    <row r="13" spans="1:5" ht="15" thickBot="1" x14ac:dyDescent="0.35">
      <c r="A13" s="44" t="s">
        <v>232</v>
      </c>
      <c r="B13" s="157">
        <f>('Raw&amp;ProposalFormatedCosts'!G73)*1.0775</f>
        <v>83102.187499999985</v>
      </c>
      <c r="C13" s="157">
        <f>'MBARI&amp;VendorSummary'!F17+('Raw&amp;ProposalFormatedCosts'!H73*1.0775)+(VendorCostComparsion_NRE_Share!H12)</f>
        <v>114684.85935</v>
      </c>
      <c r="D13" s="244"/>
    </row>
    <row r="14" spans="1:5" ht="15" thickBot="1" x14ac:dyDescent="0.35">
      <c r="A14" s="46" t="s">
        <v>209</v>
      </c>
      <c r="B14" s="161">
        <f t="shared" ref="B14" si="1">SUM(B12:B13)</f>
        <v>109768.85416666666</v>
      </c>
      <c r="C14" s="161">
        <f t="shared" ref="C14" si="2">SUM(C12:C13)</f>
        <v>180484.85934999998</v>
      </c>
      <c r="D14" s="156">
        <f>SUM(B14:C14)</f>
        <v>290253.71351666667</v>
      </c>
    </row>
  </sheetData>
  <mergeCells count="4">
    <mergeCell ref="A10:D10"/>
    <mergeCell ref="A4:D4"/>
    <mergeCell ref="D6:D7"/>
    <mergeCell ref="D12:D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L6" sqref="L6"/>
    </sheetView>
  </sheetViews>
  <sheetFormatPr defaultRowHeight="14.4" x14ac:dyDescent="0.3"/>
  <cols>
    <col min="1" max="1" width="18.77734375" style="73" customWidth="1"/>
    <col min="2" max="2" width="16.5546875" style="73" customWidth="1"/>
    <col min="3" max="3" width="12" style="73" customWidth="1"/>
    <col min="4" max="4" width="11.88671875" style="74" customWidth="1"/>
    <col min="5" max="5" width="13.44140625" style="74" customWidth="1"/>
    <col min="6" max="6" width="12.77734375" style="73" customWidth="1"/>
    <col min="7" max="7" width="9.5546875" style="73" customWidth="1"/>
    <col min="8" max="8" width="13.6640625" style="73" customWidth="1"/>
    <col min="9" max="9" width="10.88671875" style="73" customWidth="1"/>
    <col min="10" max="10" width="19.109375" style="73" customWidth="1"/>
    <col min="11" max="11" width="13.5546875" style="73" customWidth="1"/>
    <col min="12" max="12" width="46.6640625" style="73" customWidth="1"/>
    <col min="13" max="16384" width="8.88671875" style="73"/>
  </cols>
  <sheetData>
    <row r="1" spans="1:12" ht="18.600000000000001" thickBot="1" x14ac:dyDescent="0.35">
      <c r="A1" s="245" t="s">
        <v>193</v>
      </c>
      <c r="B1" s="246"/>
      <c r="C1" s="246"/>
      <c r="D1" s="247"/>
      <c r="E1" s="247"/>
      <c r="F1" s="247"/>
      <c r="G1" s="247"/>
      <c r="H1" s="247"/>
      <c r="I1" s="247"/>
      <c r="J1" s="247"/>
      <c r="K1" s="247"/>
      <c r="L1" s="248"/>
    </row>
    <row r="2" spans="1:12" ht="57.6" x14ac:dyDescent="0.3">
      <c r="A2" s="107"/>
      <c r="B2" s="108" t="s">
        <v>165</v>
      </c>
      <c r="C2" s="108" t="s">
        <v>166</v>
      </c>
      <c r="D2" s="109" t="s">
        <v>167</v>
      </c>
      <c r="E2" s="109" t="s">
        <v>266</v>
      </c>
      <c r="F2" s="108" t="s">
        <v>168</v>
      </c>
      <c r="G2" s="108" t="s">
        <v>194</v>
      </c>
      <c r="H2" s="108" t="s">
        <v>169</v>
      </c>
      <c r="I2" s="108" t="s">
        <v>174</v>
      </c>
      <c r="J2" s="108" t="s">
        <v>180</v>
      </c>
      <c r="K2" s="108" t="s">
        <v>170</v>
      </c>
      <c r="L2" s="110" t="s">
        <v>2</v>
      </c>
    </row>
    <row r="3" spans="1:12" ht="28.8" x14ac:dyDescent="0.3">
      <c r="A3" s="105" t="s">
        <v>171</v>
      </c>
      <c r="B3" s="100" t="s">
        <v>178</v>
      </c>
      <c r="C3" s="100" t="s">
        <v>172</v>
      </c>
      <c r="D3" s="99">
        <f>'MBARI&amp;VendorSummary'!D9+'MBARI&amp;VendorSummary'!D18</f>
        <v>36838.21</v>
      </c>
      <c r="E3" s="99"/>
      <c r="F3" s="99">
        <f>'MBARI&amp;VendorSummary'!D8+'MBARI&amp;VendorSummary'!D17</f>
        <v>65880</v>
      </c>
      <c r="G3" s="99" t="s">
        <v>195</v>
      </c>
      <c r="H3" s="100" t="s">
        <v>185</v>
      </c>
      <c r="I3" s="100" t="s">
        <v>179</v>
      </c>
      <c r="J3" s="100" t="s">
        <v>173</v>
      </c>
      <c r="K3" s="100" t="s">
        <v>190</v>
      </c>
      <c r="L3" s="101"/>
    </row>
    <row r="4" spans="1:12" ht="144" x14ac:dyDescent="0.3">
      <c r="A4" s="105" t="s">
        <v>175</v>
      </c>
      <c r="B4" s="100" t="s">
        <v>178</v>
      </c>
      <c r="C4" s="100" t="s">
        <v>176</v>
      </c>
      <c r="D4" s="99">
        <f>VendorCostComparsion_NRE_Share!G8</f>
        <v>154642</v>
      </c>
      <c r="E4" s="99">
        <f>VendorCostComparsion_NRE_Share!H8</f>
        <v>110700.5</v>
      </c>
      <c r="F4" s="99" t="s">
        <v>184</v>
      </c>
      <c r="G4" s="99" t="s">
        <v>195</v>
      </c>
      <c r="H4" s="100" t="s">
        <v>186</v>
      </c>
      <c r="I4" s="100" t="s">
        <v>183</v>
      </c>
      <c r="J4" s="100" t="s">
        <v>181</v>
      </c>
      <c r="K4" s="100" t="s">
        <v>189</v>
      </c>
      <c r="L4" s="101" t="s">
        <v>267</v>
      </c>
    </row>
    <row r="5" spans="1:12" ht="100.8" x14ac:dyDescent="0.3">
      <c r="A5" s="105" t="s">
        <v>177</v>
      </c>
      <c r="B5" s="100" t="s">
        <v>178</v>
      </c>
      <c r="C5" s="100" t="s">
        <v>172</v>
      </c>
      <c r="D5" s="99">
        <f>VendorCostComparsion_NRE_Share!G13</f>
        <v>202000</v>
      </c>
      <c r="E5" s="99">
        <f>VendorCostComparsion_NRE_Share!H13</f>
        <v>127000</v>
      </c>
      <c r="F5" s="100" t="s">
        <v>184</v>
      </c>
      <c r="G5" s="100" t="s">
        <v>196</v>
      </c>
      <c r="H5" s="100" t="s">
        <v>186</v>
      </c>
      <c r="I5" s="100" t="s">
        <v>182</v>
      </c>
      <c r="J5" s="100" t="s">
        <v>181</v>
      </c>
      <c r="K5" s="100" t="s">
        <v>188</v>
      </c>
      <c r="L5" s="101" t="s">
        <v>268</v>
      </c>
    </row>
    <row r="6" spans="1:12" ht="43.8" thickBot="1" x14ac:dyDescent="0.35">
      <c r="A6" s="106" t="s">
        <v>187</v>
      </c>
      <c r="B6" s="102" t="s">
        <v>191</v>
      </c>
      <c r="C6" s="102" t="s">
        <v>176</v>
      </c>
      <c r="D6" s="103">
        <f>VendorCostComparsion_NRE_Share!G18</f>
        <v>204000</v>
      </c>
      <c r="E6" s="103">
        <f>VendorCostComparsion_NRE_Share!H18</f>
        <v>155500</v>
      </c>
      <c r="F6" s="102" t="s">
        <v>184</v>
      </c>
      <c r="G6" s="102" t="s">
        <v>195</v>
      </c>
      <c r="H6" s="102" t="s">
        <v>185</v>
      </c>
      <c r="I6" s="102" t="s">
        <v>182</v>
      </c>
      <c r="J6" s="102" t="s">
        <v>181</v>
      </c>
      <c r="K6" s="102" t="s">
        <v>188</v>
      </c>
      <c r="L6" s="104" t="s">
        <v>269</v>
      </c>
    </row>
    <row r="14" spans="1:12" x14ac:dyDescent="0.3">
      <c r="F14" s="74"/>
      <c r="G14" s="74"/>
    </row>
  </sheetData>
  <mergeCells count="1">
    <mergeCell ref="A1:L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workbookViewId="0">
      <selection activeCell="G6" sqref="G6"/>
    </sheetView>
  </sheetViews>
  <sheetFormatPr defaultRowHeight="14.4" x14ac:dyDescent="0.3"/>
  <cols>
    <col min="1" max="1" width="49.6640625" style="111" customWidth="1"/>
    <col min="2" max="2" width="15.109375" style="111" customWidth="1"/>
    <col min="3" max="3" width="13.44140625" style="111" customWidth="1"/>
    <col min="4" max="4" width="13.88671875" style="111" customWidth="1"/>
    <col min="5" max="5" width="12.77734375" style="73" customWidth="1"/>
    <col min="6" max="16384" width="8.88671875" style="111"/>
  </cols>
  <sheetData>
    <row r="1" spans="1:5" ht="58.2" thickBot="1" x14ac:dyDescent="0.35">
      <c r="A1" s="119" t="s">
        <v>204</v>
      </c>
      <c r="B1" s="120" t="s">
        <v>203</v>
      </c>
      <c r="C1" s="120" t="s">
        <v>199</v>
      </c>
      <c r="D1" s="132" t="s">
        <v>202</v>
      </c>
      <c r="E1" s="170" t="s">
        <v>205</v>
      </c>
    </row>
    <row r="2" spans="1:5" ht="26.4" customHeight="1" x14ac:dyDescent="0.3">
      <c r="A2" s="123" t="s">
        <v>242</v>
      </c>
      <c r="B2" s="126">
        <v>0</v>
      </c>
      <c r="C2" s="126">
        <f>'Raw&amp;ProposalFormatedCosts'!G85+'Raw&amp;ProposalFormatedCosts'!F114</f>
        <v>166249.97500000001</v>
      </c>
      <c r="D2" s="129">
        <f>SUM(B2:C2)</f>
        <v>166249.97500000001</v>
      </c>
      <c r="E2" s="171">
        <f>D2-$C$2</f>
        <v>0</v>
      </c>
    </row>
    <row r="3" spans="1:5" ht="31.2" x14ac:dyDescent="0.3">
      <c r="A3" s="124" t="s">
        <v>243</v>
      </c>
      <c r="B3" s="127">
        <f>'Raw&amp;ProposalFormatedCosts'!G85</f>
        <v>106037</v>
      </c>
      <c r="C3" s="127">
        <f>'Raw&amp;ProposalFormatedCosts'!F114</f>
        <v>60212.974999999999</v>
      </c>
      <c r="D3" s="130">
        <f t="shared" ref="D3:D5" si="0">SUM(B3:C3)</f>
        <v>166249.97500000001</v>
      </c>
      <c r="E3" s="172">
        <f t="shared" ref="E3:E5" si="1">D3-$C$2</f>
        <v>0</v>
      </c>
    </row>
    <row r="4" spans="1:5" ht="31.2" x14ac:dyDescent="0.3">
      <c r="A4" s="124" t="s">
        <v>201</v>
      </c>
      <c r="B4" s="127">
        <f>('Raw&amp;ProposalFormatedCosts'!G85+80000)</f>
        <v>186037</v>
      </c>
      <c r="C4" s="127">
        <f>C3+57000+((65000-(('Raw&amp;ProposalFormatedCosts'!F44+'Raw&amp;ProposalFormatedCosts'!F50)))*1.0775)</f>
        <v>153294.14000000001</v>
      </c>
      <c r="D4" s="130">
        <f t="shared" si="0"/>
        <v>339331.14</v>
      </c>
      <c r="E4" s="172">
        <f t="shared" si="1"/>
        <v>173081.16500000001</v>
      </c>
    </row>
    <row r="5" spans="1:5" ht="31.8" thickBot="1" x14ac:dyDescent="0.35">
      <c r="A5" s="125" t="s">
        <v>200</v>
      </c>
      <c r="B5" s="128">
        <f>('Raw&amp;ProposalFormatedCosts'!G85+(80000/2))</f>
        <v>146037</v>
      </c>
      <c r="C5" s="128">
        <f>C3+((57000/2)+((((65000+52000)/2)-('Raw&amp;ProposalFormatedCosts'!F44+'Raw&amp;ProposalFormatedCosts'!F50))*1.0775))</f>
        <v>117790.38999999998</v>
      </c>
      <c r="D5" s="131">
        <f t="shared" si="0"/>
        <v>263827.39</v>
      </c>
      <c r="E5" s="173">
        <f t="shared" si="1"/>
        <v>97577.415000000008</v>
      </c>
    </row>
    <row r="6" spans="1:5" ht="29.4" thickBot="1" x14ac:dyDescent="0.35">
      <c r="A6" s="176" t="s">
        <v>244</v>
      </c>
      <c r="B6" s="177">
        <f>B4-B3</f>
        <v>80000</v>
      </c>
      <c r="C6" s="122">
        <f>C4-C3</f>
        <v>93081.165000000008</v>
      </c>
      <c r="D6" s="179">
        <f>D4-D3</f>
        <v>173081.16500000001</v>
      </c>
    </row>
    <row r="7" spans="1:5" ht="43.8" thickBot="1" x14ac:dyDescent="0.35">
      <c r="A7" s="174" t="s">
        <v>245</v>
      </c>
      <c r="B7" s="178">
        <f>B5-B3</f>
        <v>40000</v>
      </c>
      <c r="C7" s="121">
        <f t="shared" ref="C7:D7" si="2">C5-C3</f>
        <v>57577.414999999986</v>
      </c>
      <c r="D7" s="180">
        <f t="shared" si="2"/>
        <v>97577.415000000008</v>
      </c>
    </row>
    <row r="8" spans="1:5" ht="15" thickBot="1" x14ac:dyDescent="0.35">
      <c r="A8" s="175" t="s">
        <v>246</v>
      </c>
      <c r="B8" s="181">
        <f>B6-B7</f>
        <v>40000</v>
      </c>
      <c r="C8" s="182">
        <f t="shared" ref="C8:D8" si="3">C6-C7</f>
        <v>35503.750000000022</v>
      </c>
      <c r="D8" s="183">
        <f t="shared" si="3"/>
        <v>75503.75</v>
      </c>
    </row>
    <row r="11" spans="1:5" x14ac:dyDescent="0.3">
      <c r="C11" s="111" t="s">
        <v>93</v>
      </c>
    </row>
    <row r="18" spans="1:1" x14ac:dyDescent="0.3">
      <c r="A18" s="111" t="s">
        <v>93</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MBARI&amp;VendorSummary</vt:lpstr>
      <vt:lpstr>Raw&amp;ProposalFormatedCosts</vt:lpstr>
      <vt:lpstr>VendorCostComparsion_NRE_Share</vt:lpstr>
      <vt:lpstr>VendorCostComparisonGraphic</vt:lpstr>
      <vt:lpstr>SharedNREBreakdown</vt:lpstr>
      <vt:lpstr>ComparisonMatrix</vt:lpstr>
      <vt:lpstr>CostBuyAhead+2020Summary</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chma</dc:creator>
  <cp:lastModifiedBy>chma</cp:lastModifiedBy>
  <cp:lastPrinted>2019-11-01T21:00:46Z</cp:lastPrinted>
  <dcterms:created xsi:type="dcterms:W3CDTF">2019-05-03T22:18:49Z</dcterms:created>
  <dcterms:modified xsi:type="dcterms:W3CDTF">2020-03-03T00:37:12Z</dcterms:modified>
</cp:coreProperties>
</file>