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ProjectManagement\Budget\"/>
    </mc:Choice>
  </mc:AlternateContent>
  <bookViews>
    <workbookView xWindow="0" yWindow="0" windowWidth="29268" windowHeight="14232" tabRatio="729" activeTab="1"/>
  </bookViews>
  <sheets>
    <sheet name="MBARI&amp;VendorSummary" sheetId="3" r:id="rId1"/>
    <sheet name="Raw&amp;ProposalFormatedCosts" sheetId="1" r:id="rId2"/>
    <sheet name="VendorCostComparsion_NRE_Share" sheetId="4" r:id="rId3"/>
    <sheet name="VendorCostComparisonGraphic" sheetId="10" r:id="rId4"/>
    <sheet name="SharedNREBreakdown" sheetId="9" r:id="rId5"/>
    <sheet name="ComparisonMatrix" sheetId="5" r:id="rId6"/>
    <sheet name="CostBuyAhead+2020Summary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0" l="1"/>
  <c r="D20" i="10"/>
  <c r="D18" i="10"/>
  <c r="F14" i="10" s="1"/>
  <c r="D13" i="10"/>
  <c r="F9" i="10"/>
  <c r="D8" i="10"/>
  <c r="F4" i="10"/>
  <c r="F3" i="10"/>
  <c r="D8" i="8"/>
  <c r="C8" i="8"/>
  <c r="B8" i="8"/>
  <c r="D7" i="8"/>
  <c r="C7" i="8"/>
  <c r="B7" i="8"/>
  <c r="D6" i="8"/>
  <c r="C6" i="8"/>
  <c r="B6" i="8"/>
  <c r="C12" i="9"/>
  <c r="C13" i="9"/>
  <c r="C14" i="9" s="1"/>
  <c r="B13" i="9"/>
  <c r="B14" i="9" s="1"/>
  <c r="D14" i="9" s="1"/>
  <c r="B12" i="9"/>
  <c r="F18" i="3"/>
  <c r="D18" i="3"/>
  <c r="D9" i="3"/>
  <c r="I60" i="1"/>
  <c r="I58" i="1"/>
  <c r="I56" i="1"/>
  <c r="F104" i="1"/>
  <c r="C7" i="9"/>
  <c r="B7" i="9"/>
  <c r="C6" i="9"/>
  <c r="D23" i="10" l="1"/>
  <c r="E19" i="10"/>
  <c r="F19" i="10" s="1"/>
  <c r="I70" i="1"/>
  <c r="G70" i="1"/>
  <c r="G56" i="1"/>
  <c r="G8" i="1"/>
  <c r="D27" i="3"/>
  <c r="H85" i="1"/>
  <c r="C8" i="9" s="1"/>
  <c r="B6" i="9"/>
  <c r="E5" i="5" l="1"/>
  <c r="D5" i="5"/>
  <c r="E6" i="5"/>
  <c r="E4" i="5"/>
  <c r="F3" i="5"/>
  <c r="D6" i="5"/>
  <c r="D4" i="5"/>
  <c r="J14" i="4"/>
  <c r="H15" i="4"/>
  <c r="H18" i="4"/>
  <c r="G18" i="4"/>
  <c r="H3" i="4"/>
  <c r="H5" i="4"/>
  <c r="H7" i="4"/>
  <c r="H8" i="4"/>
  <c r="D31" i="3" s="1"/>
  <c r="H10" i="4"/>
  <c r="H13" i="4" s="1"/>
  <c r="D29" i="3" s="1"/>
  <c r="H12" i="4"/>
  <c r="G81" i="1"/>
  <c r="G78" i="1"/>
  <c r="G77" i="1"/>
  <c r="G76" i="1"/>
  <c r="G75" i="1"/>
  <c r="G74" i="1"/>
  <c r="G13" i="4"/>
  <c r="J9" i="4"/>
  <c r="G8" i="4"/>
  <c r="J4" i="4"/>
  <c r="J3" i="4"/>
  <c r="F10" i="3"/>
  <c r="D10" i="3"/>
  <c r="F19" i="3"/>
  <c r="F27" i="3" s="1"/>
  <c r="B27" i="3" s="1"/>
  <c r="D19" i="3"/>
  <c r="G22" i="4" s="1"/>
  <c r="H22" i="4" s="1"/>
  <c r="F16" i="3"/>
  <c r="D16" i="3"/>
  <c r="F15" i="3"/>
  <c r="D15" i="3"/>
  <c r="F14" i="3"/>
  <c r="D14" i="3"/>
  <c r="F13" i="3"/>
  <c r="F17" i="3" s="1"/>
  <c r="D13" i="3"/>
  <c r="F7" i="3"/>
  <c r="F8" i="3" s="1"/>
  <c r="F6" i="3"/>
  <c r="F5" i="3"/>
  <c r="F4" i="3"/>
  <c r="D7" i="3"/>
  <c r="D6" i="3"/>
  <c r="D8" i="3" s="1"/>
  <c r="D5" i="3"/>
  <c r="D4" i="3"/>
  <c r="D25" i="3" l="1"/>
  <c r="G20" i="4"/>
  <c r="H20" i="4" s="1"/>
  <c r="D3" i="5"/>
  <c r="F29" i="3"/>
  <c r="F23" i="3"/>
  <c r="F25" i="3"/>
  <c r="F22" i="3"/>
  <c r="F31" i="3"/>
  <c r="B31" i="3" s="1"/>
  <c r="D23" i="3"/>
  <c r="H23" i="4"/>
  <c r="D22" i="3"/>
  <c r="B22" i="3" s="1"/>
  <c r="B29" i="3"/>
  <c r="G82" i="1"/>
  <c r="I19" i="4"/>
  <c r="D17" i="3"/>
  <c r="B23" i="3" l="1"/>
  <c r="B25" i="3"/>
  <c r="G23" i="4"/>
  <c r="J19" i="4"/>
  <c r="B8" i="9"/>
  <c r="D8" i="9" s="1"/>
  <c r="H113" i="1"/>
  <c r="B4" i="8"/>
  <c r="B5" i="8"/>
  <c r="B3" i="8"/>
  <c r="J67" i="1" l="1"/>
  <c r="F67" i="1"/>
  <c r="E80" i="1" l="1"/>
  <c r="D80" i="1"/>
  <c r="C80" i="1"/>
  <c r="B80" i="1"/>
  <c r="A80" i="1"/>
  <c r="E79" i="1"/>
  <c r="D79" i="1"/>
  <c r="C79" i="1"/>
  <c r="B79" i="1"/>
  <c r="A79" i="1"/>
  <c r="F96" i="1"/>
  <c r="F95" i="1"/>
  <c r="F94" i="1"/>
  <c r="F93" i="1"/>
  <c r="F98" i="1"/>
  <c r="F99" i="1"/>
  <c r="F100" i="1"/>
  <c r="E89" i="1"/>
  <c r="D89" i="1"/>
  <c r="C89" i="1"/>
  <c r="E88" i="1"/>
  <c r="D88" i="1"/>
  <c r="B89" i="1"/>
  <c r="J46" i="1"/>
  <c r="F46" i="1"/>
  <c r="F89" i="1" s="1"/>
  <c r="J64" i="1"/>
  <c r="F64" i="1"/>
  <c r="J52" i="1"/>
  <c r="F52" i="1"/>
  <c r="B88" i="1"/>
  <c r="B107" i="1"/>
  <c r="J54" i="1"/>
  <c r="F54" i="1"/>
  <c r="J50" i="1"/>
  <c r="F50" i="1"/>
  <c r="F33" i="1"/>
  <c r="J25" i="1"/>
  <c r="J66" i="1"/>
  <c r="F66" i="1"/>
  <c r="F101" i="1" l="1"/>
  <c r="F56" i="1"/>
  <c r="J56" i="1"/>
  <c r="J63" i="1"/>
  <c r="J68" i="1" s="1"/>
  <c r="F63" i="1"/>
  <c r="J65" i="1"/>
  <c r="F65" i="1"/>
  <c r="J45" i="1"/>
  <c r="F45" i="1"/>
  <c r="J44" i="1"/>
  <c r="F44" i="1"/>
  <c r="F40" i="1"/>
  <c r="F88" i="1" s="1"/>
  <c r="F90" i="1" s="1"/>
  <c r="J40" i="1"/>
  <c r="J39" i="1"/>
  <c r="F39" i="1"/>
  <c r="F107" i="1" s="1"/>
  <c r="F109" i="1" s="1"/>
  <c r="J38" i="1"/>
  <c r="F38" i="1"/>
  <c r="J37" i="1"/>
  <c r="F37" i="1"/>
  <c r="J36" i="1"/>
  <c r="F36" i="1"/>
  <c r="F41" i="1" l="1"/>
  <c r="F68" i="1"/>
  <c r="F82" i="1"/>
  <c r="F47" i="1"/>
  <c r="J47" i="1"/>
  <c r="J41" i="1"/>
  <c r="J12" i="1"/>
  <c r="J11" i="1"/>
  <c r="F11" i="1"/>
  <c r="F13" i="1" s="1"/>
  <c r="H13" i="1" s="1"/>
  <c r="F59" i="1"/>
  <c r="F60" i="1" s="1"/>
  <c r="H60" i="1" s="1"/>
  <c r="F16" i="1"/>
  <c r="F17" i="1" s="1"/>
  <c r="H17" i="1" s="1"/>
  <c r="J59" i="1"/>
  <c r="J60" i="1" s="1"/>
  <c r="J16" i="1"/>
  <c r="J17" i="1" s="1"/>
  <c r="J32" i="1"/>
  <c r="J31" i="1"/>
  <c r="J30" i="1"/>
  <c r="J29" i="1"/>
  <c r="J28" i="1"/>
  <c r="J7" i="1"/>
  <c r="J6" i="1"/>
  <c r="J5" i="1"/>
  <c r="F24" i="1"/>
  <c r="F23" i="1"/>
  <c r="F22" i="1"/>
  <c r="F21" i="1"/>
  <c r="F20" i="1"/>
  <c r="J13" i="1" l="1"/>
  <c r="F25" i="1"/>
  <c r="H25" i="1" s="1"/>
  <c r="J33" i="1"/>
  <c r="J8" i="1"/>
  <c r="F5" i="1"/>
  <c r="F6" i="1"/>
  <c r="F7" i="1"/>
  <c r="J70" i="1" l="1"/>
  <c r="F8" i="1"/>
  <c r="F70" i="1" l="1"/>
  <c r="H70" i="1"/>
  <c r="F113" i="1"/>
  <c r="F111" i="1" l="1"/>
  <c r="G113" i="1" l="1"/>
  <c r="C3" i="8"/>
  <c r="C2" i="8"/>
  <c r="D2" i="8" s="1"/>
  <c r="E2" i="8" s="1"/>
  <c r="C5" i="8" l="1"/>
  <c r="D5" i="8" s="1"/>
  <c r="E5" i="8" s="1"/>
  <c r="C4" i="8"/>
  <c r="D4" i="8" s="1"/>
  <c r="E4" i="8" s="1"/>
  <c r="D3" i="8"/>
  <c r="E3" i="8" s="1"/>
</calcChain>
</file>

<file path=xl/sharedStrings.xml><?xml version="1.0" encoding="utf-8"?>
<sst xmlns="http://schemas.openxmlformats.org/spreadsheetml/2006/main" count="394" uniqueCount="277">
  <si>
    <t>Vendor</t>
  </si>
  <si>
    <t>Cost</t>
  </si>
  <si>
    <t>Notes</t>
  </si>
  <si>
    <t>Cost Each</t>
  </si>
  <si>
    <t>Qty.</t>
  </si>
  <si>
    <t>Sony</t>
  </si>
  <si>
    <t>Fujinon</t>
  </si>
  <si>
    <t>Date</t>
  </si>
  <si>
    <t>Item Description</t>
  </si>
  <si>
    <t>Part Number</t>
  </si>
  <si>
    <t>4K Global Shutter CMOS POV Camera</t>
  </si>
  <si>
    <t xml:space="preserve">HDCP50 </t>
  </si>
  <si>
    <t>HZCUHD50</t>
  </si>
  <si>
    <t>4K Permanent Software for the HDC-P50</t>
  </si>
  <si>
    <t>UA13x4.5BERD</t>
  </si>
  <si>
    <t>4K Plus Ultra HD Lens</t>
  </si>
  <si>
    <t>Total</t>
  </si>
  <si>
    <t>Lens control electronics</t>
  </si>
  <si>
    <t>AJA and Ethernet Telmetry Option</t>
  </si>
  <si>
    <t>CAMERA &amp; LENS</t>
  </si>
  <si>
    <t>T-POV-3244-R4-BS-12</t>
  </si>
  <si>
    <t xml:space="preserve">Grass Valley </t>
  </si>
  <si>
    <t>base station, T-POV 4K, 1RU, 4x 3G SDI Outputs, bi-di HD/SDI, VBS,
10/100 E-Net, 4 audios, 3 data's (232/422/485), GPI, 12VDC, (ADD UFP
MTO</t>
  </si>
  <si>
    <t>UFP-2STSM</t>
  </si>
  <si>
    <t>Universal Fiber Plate with 2 STs both SingleMod</t>
  </si>
  <si>
    <t>ADAP-AC-0</t>
  </si>
  <si>
    <t>AC Power Adapter (Indoor); 120/240 VAC in; 4-pin XLR; 4A; 15 VDC</t>
  </si>
  <si>
    <t>TELEMETRY SYSTEM (Grass Valley)</t>
  </si>
  <si>
    <t>T-POV-3244-TDL-C $6,185.83 1 $6,185.83 A-12V</t>
  </si>
  <si>
    <t>12VT-POV 4K, Throwdown, 4x 3G SDI Inputs, Bidi: HD/SDI, VBS, 10/100 E-Net, 4 audios, 3 data's (232/422/485), GPI, 12VDC, (ADD UFP MTO)</t>
  </si>
  <si>
    <t>Universal Fiber Plate with 2 STs both SingleMode</t>
  </si>
  <si>
    <t>TELEMETRY SYSTEM (AJA and Ethernet)</t>
  </si>
  <si>
    <t>FiDO-T-12G</t>
  </si>
  <si>
    <t>1-Channel 12G-SDI to Single-Mode LC Fiber Transmitter</t>
  </si>
  <si>
    <t>AJA</t>
  </si>
  <si>
    <t>FiDO-R-12G</t>
  </si>
  <si>
    <t>1-Channel 12G-SDI to Single-Mode LC Fiber Receiver</t>
  </si>
  <si>
    <t>ESW-2204</t>
  </si>
  <si>
    <t>Fibertronics 2 Port Fiber Switch 10/100/1000 RJ45 to 2 SFP Ports</t>
  </si>
  <si>
    <t>Fibertronics</t>
  </si>
  <si>
    <t>??</t>
  </si>
  <si>
    <t>12G SFP Module</t>
  </si>
  <si>
    <t>1G SFP Module</t>
  </si>
  <si>
    <t>CAMERA CONTROL</t>
  </si>
  <si>
    <t>RMB-170</t>
  </si>
  <si>
    <t>Camera remote control</t>
  </si>
  <si>
    <t>Teltec AG</t>
  </si>
  <si>
    <t>Wireless RCP</t>
  </si>
  <si>
    <t>Sony RCP to Ethernet converter</t>
  </si>
  <si>
    <t>GrassValley Telemetry Option</t>
  </si>
  <si>
    <t>Fathom Imaging</t>
  </si>
  <si>
    <t>Adapter Lens set and spares</t>
  </si>
  <si>
    <t>Optical Dome port and spares (price based on previous + inflation)</t>
  </si>
  <si>
    <t>Tooling costs for lens manufacture</t>
  </si>
  <si>
    <t>Optical design consulting fees</t>
  </si>
  <si>
    <t>6AL4V Titanium trepanned barrel material</t>
  </si>
  <si>
    <t>6AL4V Titanium dome support and bulkhead material</t>
  </si>
  <si>
    <t>TOPSIDE CONTROL BOX COMPONENTS</t>
  </si>
  <si>
    <t>CAMERA HOUSING COMPONENTS</t>
  </si>
  <si>
    <t>Topside control box electronic components</t>
  </si>
  <si>
    <t>TOPSIDE AND SHORESIDE MISC. COMPONENTS</t>
  </si>
  <si>
    <t>4K/UHD capture box</t>
  </si>
  <si>
    <t>Black Magic Design</t>
  </si>
  <si>
    <t>Panasonic</t>
  </si>
  <si>
    <t>4K Production video monitor</t>
  </si>
  <si>
    <t>BT-4LH310 or equivalent</t>
  </si>
  <si>
    <t>Tektronix Video WFM8200</t>
  </si>
  <si>
    <t>4K Waveform monitor with WFM8200 4K-PRODPAC (4K, 3G and 2SDI) option</t>
  </si>
  <si>
    <t>SubTotal</t>
  </si>
  <si>
    <t>4K Global Shutter CMOS POV Camera, quote #Q-00046426  3/14/2019</t>
  </si>
  <si>
    <t>4K Permanent Software for the HDC-P50 quote #Q-00046426  3/14/2019</t>
  </si>
  <si>
    <t>4K Plus Ultra HD Lens per quote #110918MC  11/09/2018</t>
  </si>
  <si>
    <t>CAMERA CHASSIS and ELECTRICAL COMPONENTS</t>
  </si>
  <si>
    <t>OPTICAL DOME and ADAPTER LENSES COMPONENTS</t>
  </si>
  <si>
    <t>Chassis raw materials and anodizing</t>
  </si>
  <si>
    <t>MBARI 4K CAMERA PROJECT BUDGET SUMMARY</t>
  </si>
  <si>
    <t>Capital Expenses</t>
  </si>
  <si>
    <t>Misc. Supplies &amp; Equipment</t>
  </si>
  <si>
    <t>Telemetery base station</t>
  </si>
  <si>
    <t>Telemetery camera uplink module</t>
  </si>
  <si>
    <t>Outside Services</t>
  </si>
  <si>
    <t>Sales Taxes</t>
  </si>
  <si>
    <t>Total Capital Expenses</t>
  </si>
  <si>
    <t>Travel, international</t>
  </si>
  <si>
    <t>Shipping &amp; Customs</t>
  </si>
  <si>
    <t>Misc. shipping costs</t>
  </si>
  <si>
    <t>Total Travel Expenses</t>
  </si>
  <si>
    <t>Total Shipping Expenses</t>
  </si>
  <si>
    <t>check value</t>
  </si>
  <si>
    <t>BDLKULSR4KEXTR3</t>
  </si>
  <si>
    <t>Mac Pro 2019 for capture management</t>
  </si>
  <si>
    <t>Apple Computer</t>
  </si>
  <si>
    <t>Seacon electrical bulkhead connector Ti</t>
  </si>
  <si>
    <t>Seacon optical bulkhead connector Ti</t>
  </si>
  <si>
    <t>Trip to visit vendor - Meals</t>
  </si>
  <si>
    <t>Molded camera to ROV optical cable (use existing parts)</t>
  </si>
  <si>
    <t>Molded camera to ROV electrical cable (use existing parts)</t>
  </si>
  <si>
    <t>Optical glass shipping and customs costs</t>
  </si>
  <si>
    <t>Pressure testing of camera housing and dome per hour</t>
  </si>
  <si>
    <t>Travel, domestic</t>
  </si>
  <si>
    <t>Trip to pressure test facility in Santa Barbara - hotel</t>
  </si>
  <si>
    <t>Trip to pressure test facility in Santa Barbara - car</t>
  </si>
  <si>
    <t>Trip to pressure test facility in Santa Barbara - meals</t>
  </si>
  <si>
    <t>Total Outside Services</t>
  </si>
  <si>
    <t>Maripro S.B.</t>
  </si>
  <si>
    <t>Quantity</t>
  </si>
  <si>
    <t>Total Sales Taxes</t>
  </si>
  <si>
    <t>Total Supplies &amp; Equipment</t>
  </si>
  <si>
    <t xml:space="preserve"> </t>
  </si>
  <si>
    <t>Trip visit vendor in St. Johns, Newfoundland - Car rental</t>
  </si>
  <si>
    <t>Trip visit vendor in St. Johns, Newfoundland - hotel</t>
  </si>
  <si>
    <t>Trip visit vendor in St. Johns, Newfoundland - airfare</t>
  </si>
  <si>
    <t>4K2HD</t>
  </si>
  <si>
    <t>4K/UltraHD to HD-SDI and HDMI Down-Converter</t>
  </si>
  <si>
    <t>MacPro 2019</t>
  </si>
  <si>
    <t>Sales tax on supplies and equipment @ 7.75%</t>
  </si>
  <si>
    <t>T-POV-3244-TDL-CA-12V</t>
  </si>
  <si>
    <t>Total resource costs</t>
  </si>
  <si>
    <t>Labor costs</t>
  </si>
  <si>
    <t>NRE Costs</t>
  </si>
  <si>
    <t>Camera housing costs</t>
  </si>
  <si>
    <t>Camera and chassis costs</t>
  </si>
  <si>
    <t>Total NRE</t>
  </si>
  <si>
    <t>Total Recurring</t>
  </si>
  <si>
    <t>Camera Vendors Contacted for 4K RFP</t>
  </si>
  <si>
    <t>Vendor name</t>
  </si>
  <si>
    <t>Address</t>
  </si>
  <si>
    <t>Contact</t>
  </si>
  <si>
    <t>Phone</t>
  </si>
  <si>
    <t>email</t>
  </si>
  <si>
    <t>RFP sent with requirements</t>
  </si>
  <si>
    <t>Pricing 1st unit</t>
  </si>
  <si>
    <t>Pricing each units 2 &amp; 3</t>
  </si>
  <si>
    <t>Total price for 3 units</t>
  </si>
  <si>
    <t>Sulis Subsea Corporation</t>
  </si>
  <si>
    <t>6-40 O'Leary Avenue
St. John's, NL  A1B 2C7
Canada</t>
  </si>
  <si>
    <t>Adam Gobi</t>
  </si>
  <si>
    <t>709.745.5080</t>
  </si>
  <si>
    <t>gobi@sulissubsea.com</t>
  </si>
  <si>
    <t>SIDUS Solutions, LLC</t>
  </si>
  <si>
    <t>7352 Trade Street, San Diego, CA 92121, 619.275-5533</t>
  </si>
  <si>
    <t>Sheldon Rubin Technical Chief</t>
  </si>
  <si>
    <t>619 275-5533 x304</t>
  </si>
  <si>
    <t>Sheldon_Rubin@sidus-solutions.com</t>
  </si>
  <si>
    <t>NRE</t>
  </si>
  <si>
    <t>Retained Paul Remijan. Several emails back and forth on questions.</t>
  </si>
  <si>
    <t>Leonard Pool Director</t>
  </si>
  <si>
    <t>619.275-5533 x306</t>
  </si>
  <si>
    <t>L.Pool@sidus-solutions.com</t>
  </si>
  <si>
    <t>Housing</t>
  </si>
  <si>
    <t>Insite</t>
  </si>
  <si>
    <t>6837 Nancy Ridge Drive, Suite G, San Diego, California 92121</t>
  </si>
  <si>
    <t>Bob Galambos</t>
  </si>
  <si>
    <t>(858) 523-0642</t>
  </si>
  <si>
    <t>bob@insitepacific.com</t>
  </si>
  <si>
    <t>Oct. 9, Bob declines.</t>
  </si>
  <si>
    <t>Deep Sea Power &amp; Light</t>
  </si>
  <si>
    <t>4033 Ruffin Road, San Diego, California, USA 92123</t>
  </si>
  <si>
    <t>Mark Olsson</t>
  </si>
  <si>
    <t>858-576-1261</t>
  </si>
  <si>
    <t>Mark.Olsson@seescan.com</t>
  </si>
  <si>
    <t>Plans on retaining Paul Remijan. Several emails and discussions on design. MBARI signed NDA w/DSP&amp;L.</t>
  </si>
  <si>
    <t>Stan Logan</t>
  </si>
  <si>
    <t>Stan.Logan@deepsea.com</t>
  </si>
  <si>
    <t>Aaron Steiner</t>
  </si>
  <si>
    <t>Aaron.Steiner@deepsea.com</t>
  </si>
  <si>
    <t>Jon Simmons</t>
  </si>
  <si>
    <t>Jon.Simmons@deepsea.com</t>
  </si>
  <si>
    <t>SubC Imaging Inc.</t>
  </si>
  <si>
    <t>Genesis Centre Ste. 3003, Bruneau Innovation Bldg, St. John's, NL Canada, A1C 5S7</t>
  </si>
  <si>
    <t>Ron Collier, VP business development</t>
  </si>
  <si>
    <t>1-709-864-7805</t>
  </si>
  <si>
    <t>rtc@subccontrol.com</t>
  </si>
  <si>
    <t>Several emails back and forth on questions. Mentions having to contract outside optical expert.</t>
  </si>
  <si>
    <t>Carlos L. Sanyer, engineer</t>
  </si>
  <si>
    <t>1-709-702-0394</t>
  </si>
  <si>
    <t>carlos.sanyer@subcimaging.com</t>
  </si>
  <si>
    <t>Chad Collett</t>
  </si>
  <si>
    <t>cjc@subcimaging.com</t>
  </si>
  <si>
    <t>MBARI</t>
  </si>
  <si>
    <t>MBARI Internal</t>
  </si>
  <si>
    <t>Discussions with Paul Remijan predict feasibility. Used MBARI labor + fringe cost for comparison price estimate.</t>
  </si>
  <si>
    <t>Pricing 1st &amp; 2nd unit, split housing NRE w/ OET</t>
  </si>
  <si>
    <r>
      <t xml:space="preserve">Total </t>
    </r>
    <r>
      <rPr>
        <b/>
        <sz val="11"/>
        <color theme="1"/>
        <rFont val="Calibri"/>
        <family val="2"/>
        <scheme val="minor"/>
      </rPr>
      <t>MBARI</t>
    </r>
    <r>
      <rPr>
        <sz val="11"/>
        <color theme="1"/>
        <rFont val="Calibri"/>
        <family val="2"/>
        <scheme val="minor"/>
      </rPr>
      <t xml:space="preserve"> internal build camera 1&amp;2 unit cost w/ fringe &amp; Split NRE w/ OET</t>
    </r>
  </si>
  <si>
    <r>
      <t xml:space="preserve">Total </t>
    </r>
    <r>
      <rPr>
        <b/>
        <sz val="11"/>
        <color theme="1"/>
        <rFont val="Calibri"/>
        <family val="2"/>
        <scheme val="minor"/>
      </rPr>
      <t>MBARI &amp; DSPL</t>
    </r>
    <r>
      <rPr>
        <sz val="11"/>
        <color theme="1"/>
        <rFont val="Calibri"/>
        <family val="2"/>
        <scheme val="minor"/>
      </rPr>
      <t xml:space="preserve"> build camera 1&amp;2 unit cost w/ fringe &amp; Split NRE w/ OET</t>
    </r>
  </si>
  <si>
    <r>
      <t xml:space="preserve">Total </t>
    </r>
    <r>
      <rPr>
        <b/>
        <sz val="11"/>
        <color theme="1"/>
        <rFont val="Calibri"/>
        <family val="2"/>
        <scheme val="minor"/>
      </rPr>
      <t>MBARI &amp; Sidus Solutions</t>
    </r>
    <r>
      <rPr>
        <sz val="11"/>
        <color theme="1"/>
        <rFont val="Calibri"/>
        <family val="2"/>
        <scheme val="minor"/>
      </rPr>
      <t xml:space="preserve"> build camera 1&amp;2 unit cost w/ fringe &amp; Split NRE w/ OET</t>
    </r>
  </si>
  <si>
    <t>Optical Quality</t>
  </si>
  <si>
    <t>Mechanical Quality</t>
  </si>
  <si>
    <t>Capital Cost</t>
  </si>
  <si>
    <t>Resource (labor) Cost</t>
  </si>
  <si>
    <t>Technical Risk</t>
  </si>
  <si>
    <t>Delivery Schedule</t>
  </si>
  <si>
    <t>Build camera housing in-house</t>
  </si>
  <si>
    <t>High</t>
  </si>
  <si>
    <t>In-house</t>
  </si>
  <si>
    <t>Warranty</t>
  </si>
  <si>
    <t>Contract with Sidus Solutions</t>
  </si>
  <si>
    <t>Responded 10/10/2019: One (1) housing: $335,000. Payment terms: 50% prepayment, 40% on design acceptance, 10% on delivery. Price for each additional housing: $99,000. Payment terms: 100% prepayment. Additional units ordered as part of the first contract, receive a $16,000 discount (per additional unit).</t>
  </si>
  <si>
    <t>Unknown</t>
  </si>
  <si>
    <t>Contract with DSP&amp;L</t>
  </si>
  <si>
    <t>High/Remijan</t>
  </si>
  <si>
    <t>none</t>
  </si>
  <si>
    <t>Operational Support after warranty</t>
  </si>
  <si>
    <t>time &amp; materials</t>
  </si>
  <si>
    <t>1 year</t>
  </si>
  <si>
    <t>1.5 years</t>
  </si>
  <si>
    <t>NA</t>
  </si>
  <si>
    <t>Medium-high</t>
  </si>
  <si>
    <t>low</t>
  </si>
  <si>
    <t>Contract with SubC Imaging</t>
  </si>
  <si>
    <t>3rd qtr 2020</t>
  </si>
  <si>
    <t>16 weeks from order</t>
  </si>
  <si>
    <t>scheduled 3rd qtr 2020</t>
  </si>
  <si>
    <t>Unknown/Synopsis Optical Engineering</t>
  </si>
  <si>
    <t>Capital Cost/split NRE w/OET</t>
  </si>
  <si>
    <t>OET Labor split ratio on MBARI NRE = 1:N</t>
  </si>
  <si>
    <t>Build vs Buy Decision Matrix - 1st unit only</t>
  </si>
  <si>
    <t>Pricing Fixed</t>
  </si>
  <si>
    <t>now</t>
  </si>
  <si>
    <t>Firm quote Feb. CDR</t>
  </si>
  <si>
    <r>
      <t xml:space="preserve">Total </t>
    </r>
    <r>
      <rPr>
        <b/>
        <sz val="11"/>
        <color theme="1"/>
        <rFont val="Calibri"/>
        <family val="2"/>
        <scheme val="minor"/>
      </rPr>
      <t>MBARI</t>
    </r>
    <r>
      <rPr>
        <sz val="11"/>
        <color theme="1"/>
        <rFont val="Calibri"/>
        <family val="2"/>
        <scheme val="minor"/>
      </rPr>
      <t xml:space="preserve"> internal build camera 1st unit cost w/ fringe</t>
    </r>
  </si>
  <si>
    <r>
      <t xml:space="preserve">Total </t>
    </r>
    <r>
      <rPr>
        <b/>
        <sz val="11"/>
        <color theme="1"/>
        <rFont val="Calibri"/>
        <family val="2"/>
        <scheme val="minor"/>
      </rPr>
      <t>MBARI &amp; DSPL</t>
    </r>
    <r>
      <rPr>
        <sz val="11"/>
        <color theme="1"/>
        <rFont val="Calibri"/>
        <family val="2"/>
        <scheme val="minor"/>
      </rPr>
      <t xml:space="preserve"> build camera 1 unit cost w/ fringe</t>
    </r>
  </si>
  <si>
    <t>2020 Capital and Expense</t>
  </si>
  <si>
    <t>Project budget distribution with housing supplied by outside vendor with third party shared NRE</t>
  </si>
  <si>
    <t>Project budget distribution with housing supplied by outside vendor (Deep Sea Power &amp; Light)</t>
  </si>
  <si>
    <t>Total Project Capital and Expense Budget</t>
  </si>
  <si>
    <t>2019 buy-ahead Capital and Expense</t>
  </si>
  <si>
    <r>
      <rPr>
        <b/>
        <sz val="14"/>
        <color theme="1"/>
        <rFont val="Calibri"/>
        <family val="2"/>
        <scheme val="minor"/>
      </rPr>
      <t xml:space="preserve">902001 4K ROV Camera Project
</t>
    </r>
    <r>
      <rPr>
        <b/>
        <sz val="11"/>
        <color theme="1"/>
        <rFont val="Calibri"/>
        <family val="2"/>
        <scheme val="minor"/>
      </rPr>
      <t>10/23/2019 m. chaffey</t>
    </r>
  </si>
  <si>
    <t>Additional funds above 2020 project approval</t>
  </si>
  <si>
    <t>Cost breakdown MBARI + NRE Partner 2019 and 2020</t>
  </si>
  <si>
    <t>2019 Costs</t>
  </si>
  <si>
    <t>2020 Costs</t>
  </si>
  <si>
    <t>Total Fiscal year Cost</t>
  </si>
  <si>
    <t>in 2020 with tax</t>
  </si>
  <si>
    <t>MBARI 4K Camera Budget by subsystem</t>
  </si>
  <si>
    <t>3rd party cost camera &amp; control box only</t>
  </si>
  <si>
    <t>Project 2020 Expenses Total</t>
  </si>
  <si>
    <t>in 2019 budget</t>
  </si>
  <si>
    <t>total budget</t>
  </si>
  <si>
    <t>supplies &amp; equipment estimate</t>
  </si>
  <si>
    <t>2019 Buy Ahead w/ST+shipping</t>
  </si>
  <si>
    <t>Total Housing Cost</t>
  </si>
  <si>
    <t>Housing NRE</t>
  </si>
  <si>
    <t>Camera System Only Recurring Cost (material)</t>
  </si>
  <si>
    <t>MBARI &amp; 3rd party camera only recurring material cost</t>
  </si>
  <si>
    <t>Total material and outside consulting costs</t>
  </si>
  <si>
    <t>Housing Recurring (Material) Costs</t>
  </si>
  <si>
    <t>Total system cost per camera</t>
  </si>
  <si>
    <r>
      <t xml:space="preserve">Camera System Cost with shared NRE between </t>
    </r>
    <r>
      <rPr>
        <b/>
        <sz val="11"/>
        <color rgb="FFFF0000"/>
        <rFont val="Calibri"/>
        <family val="2"/>
        <scheme val="minor"/>
      </rPr>
      <t>two</t>
    </r>
    <r>
      <rPr>
        <b/>
        <sz val="11"/>
        <color theme="1"/>
        <rFont val="Calibri"/>
        <family val="2"/>
        <scheme val="minor"/>
      </rPr>
      <t xml:space="preserve"> units</t>
    </r>
  </si>
  <si>
    <r>
      <t xml:space="preserve">Camera System Cost with shared NRE between </t>
    </r>
    <r>
      <rPr>
        <b/>
        <sz val="11"/>
        <color rgb="FFFF0000"/>
        <rFont val="Calibri"/>
        <family val="2"/>
        <scheme val="minor"/>
      </rPr>
      <t>three</t>
    </r>
    <r>
      <rPr>
        <b/>
        <sz val="11"/>
        <color theme="1"/>
        <rFont val="Calibri"/>
        <family val="2"/>
        <scheme val="minor"/>
      </rPr>
      <t xml:space="preserve"> units</t>
    </r>
  </si>
  <si>
    <t>MBARI Hourly labor rate with fringe</t>
  </si>
  <si>
    <t>Camera housing resource request (Hours)</t>
  </si>
  <si>
    <r>
      <t xml:space="preserve">MBARI 4K camera design and build internal cost estimate </t>
    </r>
    <r>
      <rPr>
        <b/>
        <sz val="12"/>
        <color theme="1"/>
        <rFont val="Calibri"/>
        <family val="2"/>
        <scheme val="minor"/>
      </rPr>
      <t>(these numbers are for comparison with outside vendors and budgeting costs for outside partners. They do not include support equipment, travel, etc. that are budgeted in the proposal)</t>
    </r>
  </si>
  <si>
    <t>Non-Recurring Engineering (NRE) Costs</t>
  </si>
  <si>
    <t>Recurring Costs per Unit</t>
  </si>
  <si>
    <t>MBARI EE</t>
  </si>
  <si>
    <t>MBARI ME</t>
  </si>
  <si>
    <t>MBARI machine shop</t>
  </si>
  <si>
    <t>MBARI E-tech</t>
  </si>
  <si>
    <t>Camera and chassis resource request (Hours)</t>
  </si>
  <si>
    <t>Total material costs w/ sales tax</t>
  </si>
  <si>
    <r>
      <t xml:space="preserve">Total </t>
    </r>
    <r>
      <rPr>
        <b/>
        <sz val="11"/>
        <color theme="1"/>
        <rFont val="Calibri"/>
        <family val="2"/>
        <scheme val="minor"/>
      </rPr>
      <t>MBARI</t>
    </r>
    <r>
      <rPr>
        <sz val="11"/>
        <color theme="1"/>
        <rFont val="Calibri"/>
        <family val="2"/>
        <scheme val="minor"/>
      </rPr>
      <t xml:space="preserve"> internal build camera 2st unit cost w/ fringe</t>
    </r>
  </si>
  <si>
    <t>Recurring (per unit) Costs</t>
  </si>
  <si>
    <t>MBARI Internal Build capital and resource cost w/fringe</t>
  </si>
  <si>
    <t>Insite Pacific Inc.</t>
  </si>
  <si>
    <t>-</t>
  </si>
  <si>
    <t>Discussions with Paul Remijan predict feasibility. Used proposal request for MBARI labor + fringe cost for comparison price estimate.</t>
  </si>
  <si>
    <t>Oct. 9, Bob Galambos declines.</t>
  </si>
  <si>
    <t>Responded 10/10/2019: One (1) housing: $335,000. Price for each additional housing: $99,000. Additional units ordered as part of the first contract, receive a $16,000 discount (per additional unit).</t>
  </si>
  <si>
    <t>Will retain Dr. Paul Remijan for optical design. Several emails back and forth on technical questions.</t>
  </si>
  <si>
    <t>Will retain optical consulting firm Synopsis Optical Engineering. Several emails back and forth on questions.</t>
  </si>
  <si>
    <r>
      <t xml:space="preserve">Will retain Dr. Paul Remijan for optical design. Several emails and discussions on design. MBARI signed NDA w/DSP&amp;L. </t>
    </r>
    <r>
      <rPr>
        <sz val="11"/>
        <color rgb="FFFF0000"/>
        <rFont val="Calibri"/>
        <family val="2"/>
        <scheme val="minor"/>
      </rPr>
      <t>THIS IS THE PREFERRED VENDOR</t>
    </r>
  </si>
  <si>
    <t>Original approved project budget request</t>
  </si>
  <si>
    <t>Buy-ahead budget distribution as proposed and approved, internal build</t>
  </si>
  <si>
    <r>
      <rPr>
        <b/>
        <u/>
        <sz val="11"/>
        <color theme="1"/>
        <rFont val="Calibri"/>
        <family val="2"/>
        <scheme val="minor"/>
      </rPr>
      <t>Additional funds</t>
    </r>
    <r>
      <rPr>
        <b/>
        <sz val="11"/>
        <color theme="1"/>
        <rFont val="Calibri"/>
        <family val="2"/>
        <scheme val="minor"/>
      </rPr>
      <t xml:space="preserve"> for Vendor supplied housing above current project approval if we go it alone - by FY year</t>
    </r>
  </si>
  <si>
    <r>
      <rPr>
        <b/>
        <u/>
        <sz val="11"/>
        <color theme="1"/>
        <rFont val="Calibri"/>
        <family val="2"/>
        <scheme val="minor"/>
      </rPr>
      <t>Additional funds</t>
    </r>
    <r>
      <rPr>
        <b/>
        <sz val="11"/>
        <color theme="1"/>
        <rFont val="Calibri"/>
        <family val="2"/>
        <scheme val="minor"/>
      </rPr>
      <t xml:space="preserve"> for Vendor supplied housing above current project approval if we get one partner - by FY year</t>
    </r>
  </si>
  <si>
    <t>Total MBARI capital savings for finding one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</si>
</sst>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&quot;$&quot;#,##0.00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8" xfId="0" applyBorder="1" applyAlignment="1">
      <alignment wrapText="1"/>
    </xf>
    <xf numFmtId="8" fontId="0" fillId="0" borderId="8" xfId="0" applyNumberFormat="1" applyBorder="1" applyAlignment="1">
      <alignment wrapText="1"/>
    </xf>
    <xf numFmtId="0" fontId="0" fillId="2" borderId="10" xfId="0" applyFill="1" applyBorder="1" applyAlignment="1">
      <alignment wrapText="1"/>
    </xf>
    <xf numFmtId="8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quotePrefix="1" applyNumberFormat="1" applyAlignment="1">
      <alignment wrapText="1"/>
    </xf>
    <xf numFmtId="164" fontId="0" fillId="2" borderId="10" xfId="0" applyNumberForma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8" fontId="0" fillId="0" borderId="8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164" fontId="0" fillId="0" borderId="8" xfId="0" applyNumberFormat="1" applyBorder="1" applyAlignment="1">
      <alignment wrapText="1"/>
    </xf>
    <xf numFmtId="164" fontId="1" fillId="0" borderId="12" xfId="0" applyNumberFormat="1" applyFont="1" applyBorder="1" applyAlignment="1">
      <alignment wrapText="1"/>
    </xf>
    <xf numFmtId="164" fontId="0" fillId="0" borderId="8" xfId="0" applyNumberFormat="1" applyFill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8" fontId="1" fillId="0" borderId="17" xfId="0" applyNumberFormat="1" applyFont="1" applyBorder="1" applyAlignment="1">
      <alignment wrapText="1"/>
    </xf>
    <xf numFmtId="8" fontId="1" fillId="0" borderId="8" xfId="0" applyNumberFormat="1" applyFont="1" applyBorder="1" applyAlignment="1">
      <alignment wrapText="1"/>
    </xf>
    <xf numFmtId="8" fontId="1" fillId="0" borderId="17" xfId="0" applyNumberFormat="1" applyFont="1" applyFill="1" applyBorder="1" applyAlignment="1">
      <alignment wrapText="1"/>
    </xf>
    <xf numFmtId="165" fontId="3" fillId="0" borderId="12" xfId="0" applyNumberFormat="1" applyFont="1" applyBorder="1" applyAlignment="1">
      <alignment wrapText="1"/>
    </xf>
    <xf numFmtId="0" fontId="0" fillId="0" borderId="22" xfId="0" applyBorder="1" applyAlignment="1">
      <alignment wrapText="1"/>
    </xf>
    <xf numFmtId="164" fontId="0" fillId="0" borderId="19" xfId="0" applyNumberFormat="1" applyBorder="1" applyAlignment="1">
      <alignment wrapText="1"/>
    </xf>
    <xf numFmtId="0" fontId="2" fillId="0" borderId="22" xfId="0" applyFont="1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0" fillId="0" borderId="29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23" xfId="0" applyBorder="1" applyAlignment="1">
      <alignment wrapText="1"/>
    </xf>
    <xf numFmtId="164" fontId="0" fillId="0" borderId="32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164" fontId="0" fillId="0" borderId="30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0" fillId="2" borderId="27" xfId="0" applyFill="1" applyBorder="1" applyAlignment="1">
      <alignment wrapText="1"/>
    </xf>
    <xf numFmtId="164" fontId="0" fillId="2" borderId="27" xfId="0" applyNumberForma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31" xfId="0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164" fontId="0" fillId="0" borderId="34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4" xfId="0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37" xfId="0" applyNumberFormat="1" applyBorder="1" applyAlignment="1">
      <alignment wrapText="1"/>
    </xf>
    <xf numFmtId="0" fontId="0" fillId="0" borderId="38" xfId="0" applyBorder="1" applyAlignment="1">
      <alignment wrapText="1"/>
    </xf>
    <xf numFmtId="164" fontId="0" fillId="2" borderId="28" xfId="0" applyNumberFormat="1" applyFill="1" applyBorder="1" applyAlignment="1">
      <alignment wrapText="1"/>
    </xf>
    <xf numFmtId="0" fontId="0" fillId="2" borderId="27" xfId="0" applyFont="1" applyFill="1" applyBorder="1" applyAlignment="1">
      <alignment wrapText="1"/>
    </xf>
    <xf numFmtId="164" fontId="0" fillId="2" borderId="27" xfId="0" applyNumberFormat="1" applyFont="1" applyFill="1" applyBorder="1" applyAlignment="1">
      <alignment wrapText="1"/>
    </xf>
    <xf numFmtId="164" fontId="0" fillId="2" borderId="28" xfId="0" applyNumberFormat="1" applyFont="1" applyFill="1" applyBorder="1" applyAlignment="1">
      <alignment wrapText="1"/>
    </xf>
    <xf numFmtId="164" fontId="0" fillId="0" borderId="4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165" fontId="0" fillId="0" borderId="25" xfId="0" applyNumberFormat="1" applyBorder="1" applyAlignment="1">
      <alignment horizontal="center" vertical="center" wrapText="1"/>
    </xf>
    <xf numFmtId="165" fontId="0" fillId="0" borderId="2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6" fillId="0" borderId="40" xfId="1" applyBorder="1" applyAlignment="1">
      <alignment horizontal="center" vertical="center" wrapText="1"/>
    </xf>
    <xf numFmtId="14" fontId="0" fillId="0" borderId="40" xfId="0" applyNumberFormat="1" applyBorder="1" applyAlignment="1">
      <alignment horizontal="center" vertical="center" wrapText="1"/>
    </xf>
    <xf numFmtId="165" fontId="0" fillId="0" borderId="4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6" fillId="0" borderId="0" xfId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5" fontId="0" fillId="0" borderId="27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27" xfId="1" applyBorder="1" applyAlignment="1">
      <alignment horizontal="center" vertical="center" wrapText="1"/>
    </xf>
    <xf numFmtId="165" fontId="0" fillId="0" borderId="0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25" xfId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2" borderId="16" xfId="0" applyFont="1" applyFill="1" applyBorder="1" applyAlignment="1">
      <alignment wrapText="1"/>
    </xf>
    <xf numFmtId="0" fontId="0" fillId="2" borderId="40" xfId="0" applyFill="1" applyBorder="1" applyAlignment="1">
      <alignment wrapText="1"/>
    </xf>
    <xf numFmtId="0" fontId="0" fillId="0" borderId="40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30" xfId="0" applyFont="1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0" fontId="1" fillId="0" borderId="31" xfId="0" applyFont="1" applyBorder="1" applyAlignment="1">
      <alignment horizontal="right" wrapText="1"/>
    </xf>
    <xf numFmtId="0" fontId="2" fillId="2" borderId="20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39" xfId="0" applyBorder="1" applyAlignment="1">
      <alignment wrapText="1"/>
    </xf>
    <xf numFmtId="0" fontId="1" fillId="0" borderId="4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0" borderId="27" xfId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wrapText="1"/>
    </xf>
    <xf numFmtId="165" fontId="1" fillId="0" borderId="18" xfId="0" applyNumberFormat="1" applyFont="1" applyBorder="1" applyAlignment="1">
      <alignment wrapText="1"/>
    </xf>
    <xf numFmtId="0" fontId="8" fillId="0" borderId="4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30" xfId="0" applyNumberFormat="1" applyFont="1" applyBorder="1" applyAlignment="1">
      <alignment horizontal="right" vertical="center" wrapText="1"/>
    </xf>
    <xf numFmtId="165" fontId="1" fillId="0" borderId="49" xfId="0" applyNumberFormat="1" applyFont="1" applyBorder="1" applyAlignment="1">
      <alignment horizontal="right" vertical="center" wrapText="1"/>
    </xf>
    <xf numFmtId="165" fontId="1" fillId="0" borderId="9" xfId="0" applyNumberFormat="1" applyFont="1" applyBorder="1" applyAlignment="1">
      <alignment horizontal="right" vertical="center" wrapText="1"/>
    </xf>
    <xf numFmtId="165" fontId="1" fillId="0" borderId="31" xfId="0" applyNumberFormat="1" applyFont="1" applyBorder="1" applyAlignment="1">
      <alignment horizontal="right" vertical="center" wrapText="1"/>
    </xf>
    <xf numFmtId="0" fontId="1" fillId="4" borderId="48" xfId="0" applyFont="1" applyFill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 wrapText="1"/>
    </xf>
    <xf numFmtId="165" fontId="3" fillId="2" borderId="43" xfId="0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165" fontId="0" fillId="0" borderId="28" xfId="0" applyNumberFormat="1" applyBorder="1" applyAlignment="1">
      <alignment wrapText="1"/>
    </xf>
    <xf numFmtId="165" fontId="0" fillId="0" borderId="22" xfId="0" applyNumberFormat="1" applyBorder="1" applyAlignment="1">
      <alignment wrapText="1"/>
    </xf>
    <xf numFmtId="165" fontId="1" fillId="0" borderId="0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wrapText="1"/>
    </xf>
    <xf numFmtId="165" fontId="0" fillId="0" borderId="19" xfId="0" applyNumberFormat="1" applyBorder="1" applyAlignment="1">
      <alignment wrapText="1"/>
    </xf>
    <xf numFmtId="165" fontId="1" fillId="0" borderId="12" xfId="0" applyNumberFormat="1" applyFont="1" applyBorder="1" applyAlignment="1">
      <alignment wrapText="1"/>
    </xf>
    <xf numFmtId="165" fontId="0" fillId="0" borderId="24" xfId="0" applyNumberFormat="1" applyBorder="1" applyAlignment="1">
      <alignment wrapText="1"/>
    </xf>
    <xf numFmtId="165" fontId="1" fillId="0" borderId="25" xfId="0" applyNumberFormat="1" applyFont="1" applyBorder="1" applyAlignment="1">
      <alignment horizontal="right" wrapText="1"/>
    </xf>
    <xf numFmtId="165" fontId="0" fillId="0" borderId="25" xfId="0" applyNumberFormat="1" applyBorder="1" applyAlignment="1">
      <alignment wrapText="1"/>
    </xf>
    <xf numFmtId="0" fontId="1" fillId="2" borderId="27" xfId="0" applyFont="1" applyFill="1" applyBorder="1" applyAlignment="1">
      <alignment horizontal="center" wrapText="1"/>
    </xf>
    <xf numFmtId="164" fontId="1" fillId="2" borderId="28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164" fontId="0" fillId="0" borderId="0" xfId="0" applyNumberForma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8" fontId="1" fillId="0" borderId="39" xfId="0" applyNumberFormat="1" applyFont="1" applyBorder="1" applyAlignment="1">
      <alignment wrapText="1"/>
    </xf>
    <xf numFmtId="164" fontId="1" fillId="0" borderId="12" xfId="0" applyNumberFormat="1" applyFont="1" applyBorder="1" applyAlignment="1">
      <alignment horizontal="left" wrapText="1"/>
    </xf>
    <xf numFmtId="8" fontId="1" fillId="0" borderId="53" xfId="0" applyNumberFormat="1" applyFont="1" applyBorder="1" applyAlignment="1">
      <alignment wrapText="1"/>
    </xf>
    <xf numFmtId="164" fontId="1" fillId="0" borderId="12" xfId="0" applyNumberFormat="1" applyFont="1" applyBorder="1" applyAlignment="1">
      <alignment horizontal="center" wrapText="1"/>
    </xf>
    <xf numFmtId="8" fontId="0" fillId="2" borderId="11" xfId="0" applyNumberFormat="1" applyFill="1" applyBorder="1" applyAlignment="1">
      <alignment wrapText="1"/>
    </xf>
    <xf numFmtId="165" fontId="0" fillId="0" borderId="1" xfId="0" applyNumberFormat="1" applyBorder="1"/>
    <xf numFmtId="0" fontId="1" fillId="2" borderId="40" xfId="0" applyFont="1" applyFill="1" applyBorder="1" applyAlignment="1"/>
    <xf numFmtId="0" fontId="1" fillId="2" borderId="13" xfId="0" applyFont="1" applyFill="1" applyBorder="1" applyAlignment="1"/>
    <xf numFmtId="0" fontId="1" fillId="0" borderId="7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/>
    </xf>
    <xf numFmtId="165" fontId="0" fillId="0" borderId="30" xfId="0" applyNumberFormat="1" applyBorder="1"/>
    <xf numFmtId="0" fontId="0" fillId="0" borderId="22" xfId="0" applyBorder="1"/>
    <xf numFmtId="0" fontId="0" fillId="0" borderId="19" xfId="0" applyBorder="1"/>
    <xf numFmtId="0" fontId="0" fillId="0" borderId="23" xfId="0" applyBorder="1"/>
    <xf numFmtId="165" fontId="0" fillId="0" borderId="38" xfId="0" applyNumberFormat="1" applyBorder="1"/>
    <xf numFmtId="0" fontId="1" fillId="0" borderId="19" xfId="0" applyFont="1" applyBorder="1" applyAlignment="1">
      <alignment horizontal="center" vertical="center" wrapText="1"/>
    </xf>
    <xf numFmtId="3" fontId="0" fillId="0" borderId="0" xfId="0" applyNumberFormat="1" applyBorder="1" applyAlignment="1">
      <alignment wrapText="1"/>
    </xf>
    <xf numFmtId="165" fontId="0" fillId="0" borderId="22" xfId="0" applyNumberFormat="1" applyBorder="1" applyAlignment="1">
      <alignment horizontal="center" vertical="center" wrapText="1"/>
    </xf>
    <xf numFmtId="165" fontId="0" fillId="0" borderId="22" xfId="0" applyNumberFormat="1" applyBorder="1" applyAlignment="1">
      <alignment horizontal="right" wrapText="1"/>
    </xf>
    <xf numFmtId="165" fontId="3" fillId="2" borderId="43" xfId="0" applyNumberFormat="1" applyFont="1" applyFill="1" applyBorder="1" applyAlignment="1">
      <alignment horizontal="center" vertical="center" wrapText="1"/>
    </xf>
    <xf numFmtId="165" fontId="5" fillId="2" borderId="16" xfId="0" applyNumberFormat="1" applyFont="1" applyFill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horizontal="center" vertical="center" wrapText="1"/>
    </xf>
    <xf numFmtId="165" fontId="0" fillId="2" borderId="40" xfId="0" applyNumberFormat="1" applyFill="1" applyBorder="1" applyAlignment="1">
      <alignment horizontal="center" vertical="center" wrapText="1"/>
    </xf>
    <xf numFmtId="165" fontId="0" fillId="2" borderId="13" xfId="0" applyNumberForma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165" fontId="1" fillId="3" borderId="40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165" fontId="1" fillId="5" borderId="50" xfId="0" applyNumberFormat="1" applyFont="1" applyFill="1" applyBorder="1" applyAlignment="1">
      <alignment horizontal="right" vertical="center" wrapText="1"/>
    </xf>
    <xf numFmtId="165" fontId="1" fillId="5" borderId="51" xfId="0" applyNumberFormat="1" applyFont="1" applyFill="1" applyBorder="1" applyAlignment="1">
      <alignment horizontal="right" vertical="center" wrapText="1"/>
    </xf>
    <xf numFmtId="165" fontId="1" fillId="5" borderId="52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 wrapText="1"/>
    </xf>
    <xf numFmtId="165" fontId="1" fillId="0" borderId="42" xfId="0" applyNumberFormat="1" applyFont="1" applyBorder="1" applyAlignment="1">
      <alignment wrapText="1"/>
    </xf>
    <xf numFmtId="165" fontId="1" fillId="0" borderId="23" xfId="0" applyNumberFormat="1" applyFont="1" applyBorder="1" applyAlignment="1">
      <alignment wrapText="1"/>
    </xf>
    <xf numFmtId="165" fontId="1" fillId="5" borderId="45" xfId="0" applyNumberFormat="1" applyFont="1" applyFill="1" applyBorder="1" applyAlignment="1">
      <alignment wrapText="1"/>
    </xf>
    <xf numFmtId="165" fontId="1" fillId="5" borderId="32" xfId="0" applyNumberFormat="1" applyFont="1" applyFill="1" applyBorder="1" applyAlignment="1">
      <alignment wrapText="1"/>
    </xf>
    <xf numFmtId="165" fontId="1" fillId="6" borderId="29" xfId="0" applyNumberFormat="1" applyFont="1" applyFill="1" applyBorder="1" applyAlignment="1">
      <alignment wrapText="1"/>
    </xf>
    <xf numFmtId="165" fontId="1" fillId="6" borderId="30" xfId="0" applyNumberFormat="1" applyFont="1" applyFill="1" applyBorder="1" applyAlignment="1">
      <alignment wrapText="1"/>
    </xf>
    <xf numFmtId="165" fontId="1" fillId="6" borderId="33" xfId="0" applyNumberFormat="1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rtc@subccontrol.com" TargetMode="External"/><Relationship Id="rId3" Type="http://schemas.openxmlformats.org/officeDocument/2006/relationships/hyperlink" Target="mailto:L.Pool@sidus-solutions.com" TargetMode="External"/><Relationship Id="rId7" Type="http://schemas.openxmlformats.org/officeDocument/2006/relationships/hyperlink" Target="mailto:Jon.Simmons@deepsea.com" TargetMode="External"/><Relationship Id="rId2" Type="http://schemas.openxmlformats.org/officeDocument/2006/relationships/hyperlink" Target="mailto:Sheldon_Rubin@sidus-solutions.com" TargetMode="External"/><Relationship Id="rId1" Type="http://schemas.openxmlformats.org/officeDocument/2006/relationships/hyperlink" Target="mailto:gobi@sulissubsea.com" TargetMode="External"/><Relationship Id="rId6" Type="http://schemas.openxmlformats.org/officeDocument/2006/relationships/hyperlink" Target="mailto:Aaron.Steiner@deepsea.com" TargetMode="External"/><Relationship Id="rId11" Type="http://schemas.openxmlformats.org/officeDocument/2006/relationships/hyperlink" Target="mailto:cjc@subcimaging.com" TargetMode="External"/><Relationship Id="rId5" Type="http://schemas.openxmlformats.org/officeDocument/2006/relationships/hyperlink" Target="mailto:Stan.Logan@deepsea.com" TargetMode="External"/><Relationship Id="rId10" Type="http://schemas.openxmlformats.org/officeDocument/2006/relationships/hyperlink" Target="mailto:bob@insitepacific.com" TargetMode="External"/><Relationship Id="rId4" Type="http://schemas.openxmlformats.org/officeDocument/2006/relationships/hyperlink" Target="mailto:Mark.Olsson@seescan.com" TargetMode="External"/><Relationship Id="rId9" Type="http://schemas.openxmlformats.org/officeDocument/2006/relationships/hyperlink" Target="mailto:carlos.sanyer@subcimaging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G12" sqref="G12"/>
    </sheetView>
  </sheetViews>
  <sheetFormatPr defaultColWidth="39.5546875" defaultRowHeight="14.4" x14ac:dyDescent="0.3"/>
  <cols>
    <col min="1" max="1" width="47.77734375" style="167" customWidth="1"/>
    <col min="2" max="2" width="13.21875" style="83" customWidth="1"/>
    <col min="3" max="4" width="14.77734375" style="167" customWidth="1"/>
    <col min="5" max="5" width="15.88671875" style="167" customWidth="1"/>
    <col min="6" max="6" width="22" style="167" customWidth="1"/>
    <col min="7" max="16384" width="39.5546875" style="167"/>
  </cols>
  <sheetData>
    <row r="1" spans="1:6" ht="48.6" customHeight="1" thickBot="1" x14ac:dyDescent="0.35">
      <c r="A1" s="223" t="s">
        <v>252</v>
      </c>
      <c r="B1" s="224"/>
      <c r="C1" s="225"/>
      <c r="D1" s="225"/>
      <c r="E1" s="225"/>
      <c r="F1" s="226"/>
    </row>
    <row r="2" spans="1:6" ht="18" x14ac:dyDescent="0.35">
      <c r="A2" s="184" t="s">
        <v>253</v>
      </c>
      <c r="B2" s="185"/>
      <c r="C2" s="185"/>
      <c r="D2" s="185"/>
      <c r="E2" s="185"/>
      <c r="F2" s="186"/>
    </row>
    <row r="3" spans="1:6" ht="43.2" x14ac:dyDescent="0.3">
      <c r="A3" s="220"/>
      <c r="B3" s="126" t="s">
        <v>250</v>
      </c>
      <c r="C3" s="188" t="s">
        <v>251</v>
      </c>
      <c r="D3" s="188" t="s">
        <v>120</v>
      </c>
      <c r="E3" s="188" t="s">
        <v>259</v>
      </c>
      <c r="F3" s="189" t="s">
        <v>121</v>
      </c>
    </row>
    <row r="4" spans="1:6" x14ac:dyDescent="0.3">
      <c r="A4" s="221" t="s">
        <v>256</v>
      </c>
      <c r="B4" s="126">
        <v>108</v>
      </c>
      <c r="C4" s="219">
        <v>280</v>
      </c>
      <c r="D4" s="190">
        <f>C4*B4</f>
        <v>30240</v>
      </c>
      <c r="E4" s="219">
        <v>300</v>
      </c>
      <c r="F4" s="191">
        <f>E4*B4</f>
        <v>32400</v>
      </c>
    </row>
    <row r="5" spans="1:6" x14ac:dyDescent="0.3">
      <c r="A5" s="221" t="s">
        <v>255</v>
      </c>
      <c r="B5" s="126">
        <v>135</v>
      </c>
      <c r="C5" s="219">
        <v>80</v>
      </c>
      <c r="D5" s="190">
        <f t="shared" ref="D5:D7" si="0">C5*B5</f>
        <v>10800</v>
      </c>
      <c r="E5" s="219">
        <v>800</v>
      </c>
      <c r="F5" s="191">
        <f t="shared" ref="F5:F7" si="1">E5*B5</f>
        <v>108000</v>
      </c>
    </row>
    <row r="6" spans="1:6" x14ac:dyDescent="0.3">
      <c r="A6" s="221" t="s">
        <v>257</v>
      </c>
      <c r="B6" s="126">
        <v>81</v>
      </c>
      <c r="C6" s="219">
        <v>0</v>
      </c>
      <c r="D6" s="190">
        <f t="shared" si="0"/>
        <v>0</v>
      </c>
      <c r="E6" s="219">
        <v>0</v>
      </c>
      <c r="F6" s="191">
        <f t="shared" si="1"/>
        <v>0</v>
      </c>
    </row>
    <row r="7" spans="1:6" ht="15" thickBot="1" x14ac:dyDescent="0.35">
      <c r="A7" s="221" t="s">
        <v>258</v>
      </c>
      <c r="B7" s="126">
        <v>70</v>
      </c>
      <c r="C7" s="219"/>
      <c r="D7" s="190">
        <f t="shared" si="0"/>
        <v>0</v>
      </c>
      <c r="E7" s="219">
        <v>0</v>
      </c>
      <c r="F7" s="191">
        <f t="shared" si="1"/>
        <v>0</v>
      </c>
    </row>
    <row r="8" spans="1:6" ht="15" thickBot="1" x14ac:dyDescent="0.35">
      <c r="A8" s="221" t="s">
        <v>117</v>
      </c>
      <c r="B8" s="126"/>
      <c r="C8" s="190"/>
      <c r="D8" s="192">
        <f>SUM(D4:D7)</f>
        <v>41040</v>
      </c>
      <c r="E8" s="190"/>
      <c r="F8" s="192">
        <f>SUM(F4:F7)</f>
        <v>140400</v>
      </c>
    </row>
    <row r="9" spans="1:6" ht="15" thickBot="1" x14ac:dyDescent="0.35">
      <c r="A9" s="221" t="s">
        <v>245</v>
      </c>
      <c r="B9" s="126"/>
      <c r="C9" s="190"/>
      <c r="D9" s="192">
        <f>'Raw&amp;ProposalFormatedCosts'!F40</f>
        <v>8000</v>
      </c>
      <c r="E9" s="190"/>
      <c r="F9" s="192">
        <v>0</v>
      </c>
    </row>
    <row r="10" spans="1:6" ht="15" thickBot="1" x14ac:dyDescent="0.35">
      <c r="A10" s="193"/>
      <c r="B10" s="88"/>
      <c r="C10" s="194" t="s">
        <v>122</v>
      </c>
      <c r="D10" s="192">
        <f>D8+D9</f>
        <v>49040</v>
      </c>
      <c r="E10" s="195"/>
      <c r="F10" s="192">
        <f>F8+F9</f>
        <v>140400</v>
      </c>
    </row>
    <row r="11" spans="1:6" ht="18" x14ac:dyDescent="0.3">
      <c r="A11" s="222" t="s">
        <v>254</v>
      </c>
      <c r="B11" s="125"/>
      <c r="C11" s="185"/>
      <c r="D11" s="185"/>
      <c r="E11" s="185"/>
      <c r="F11" s="186"/>
    </row>
    <row r="12" spans="1:6" x14ac:dyDescent="0.3">
      <c r="A12" s="187" t="s">
        <v>118</v>
      </c>
      <c r="B12" s="126"/>
      <c r="C12" s="190"/>
      <c r="D12" s="190"/>
      <c r="E12" s="190"/>
      <c r="F12" s="191"/>
    </row>
    <row r="13" spans="1:6" x14ac:dyDescent="0.3">
      <c r="A13" s="221" t="s">
        <v>256</v>
      </c>
      <c r="B13" s="126">
        <v>108</v>
      </c>
      <c r="C13" s="219">
        <v>10</v>
      </c>
      <c r="D13" s="190">
        <f>C13*B13</f>
        <v>1080</v>
      </c>
      <c r="E13" s="219">
        <v>0</v>
      </c>
      <c r="F13" s="191">
        <f>E13*B13</f>
        <v>0</v>
      </c>
    </row>
    <row r="14" spans="1:6" x14ac:dyDescent="0.3">
      <c r="A14" s="221" t="s">
        <v>255</v>
      </c>
      <c r="B14" s="126">
        <v>135</v>
      </c>
      <c r="C14" s="219">
        <v>0</v>
      </c>
      <c r="D14" s="190">
        <f t="shared" ref="D14:D16" si="2">C14*B14</f>
        <v>0</v>
      </c>
      <c r="E14" s="219">
        <v>200</v>
      </c>
      <c r="F14" s="191">
        <f t="shared" ref="F14:F16" si="3">E14*B14</f>
        <v>27000</v>
      </c>
    </row>
    <row r="15" spans="1:6" x14ac:dyDescent="0.3">
      <c r="A15" s="221" t="s">
        <v>257</v>
      </c>
      <c r="B15" s="126">
        <v>81</v>
      </c>
      <c r="C15" s="219">
        <v>280</v>
      </c>
      <c r="D15" s="190">
        <f t="shared" si="2"/>
        <v>22680</v>
      </c>
      <c r="E15" s="219">
        <v>40</v>
      </c>
      <c r="F15" s="191">
        <f t="shared" si="3"/>
        <v>3240</v>
      </c>
    </row>
    <row r="16" spans="1:6" ht="15" thickBot="1" x14ac:dyDescent="0.35">
      <c r="A16" s="221" t="s">
        <v>258</v>
      </c>
      <c r="B16" s="126">
        <v>70</v>
      </c>
      <c r="C16" s="190"/>
      <c r="D16" s="190">
        <f t="shared" si="2"/>
        <v>0</v>
      </c>
      <c r="E16" s="219">
        <v>90</v>
      </c>
      <c r="F16" s="191">
        <f t="shared" si="3"/>
        <v>6300</v>
      </c>
    </row>
    <row r="17" spans="1:6" ht="15" thickBot="1" x14ac:dyDescent="0.35">
      <c r="A17" s="221" t="s">
        <v>117</v>
      </c>
      <c r="B17" s="126"/>
      <c r="C17" s="190"/>
      <c r="D17" s="192">
        <f>SUM(D13:D16)</f>
        <v>23760</v>
      </c>
      <c r="E17" s="190"/>
      <c r="F17" s="192">
        <f>SUM(F13:F16)</f>
        <v>36540</v>
      </c>
    </row>
    <row r="18" spans="1:6" ht="15" thickBot="1" x14ac:dyDescent="0.35">
      <c r="A18" s="221" t="s">
        <v>260</v>
      </c>
      <c r="B18" s="126"/>
      <c r="C18" s="190"/>
      <c r="D18" s="192">
        <f>('Raw&amp;ProposalFormatedCosts'!I56)*1.0775</f>
        <v>28838.21</v>
      </c>
      <c r="E18" s="190"/>
      <c r="F18" s="192">
        <f>('Raw&amp;ProposalFormatedCosts'!I70)*1.0775</f>
        <v>106468.07669999999</v>
      </c>
    </row>
    <row r="19" spans="1:6" ht="15" thickBot="1" x14ac:dyDescent="0.35">
      <c r="A19" s="193"/>
      <c r="B19" s="88"/>
      <c r="C19" s="194" t="s">
        <v>123</v>
      </c>
      <c r="D19" s="192">
        <f>D17+D18</f>
        <v>52598.21</v>
      </c>
      <c r="E19" s="195"/>
      <c r="F19" s="192">
        <f>F17+F18</f>
        <v>143008.07669999998</v>
      </c>
    </row>
    <row r="20" spans="1:6" x14ac:dyDescent="0.3">
      <c r="C20" s="83"/>
      <c r="D20" s="83"/>
      <c r="E20" s="83"/>
    </row>
    <row r="21" spans="1:6" ht="15" thickBot="1" x14ac:dyDescent="0.35">
      <c r="C21" s="83"/>
      <c r="D21" s="83"/>
      <c r="E21" s="83"/>
    </row>
    <row r="22" spans="1:6" ht="29.4" thickBot="1" x14ac:dyDescent="0.35">
      <c r="A22" s="83" t="s">
        <v>220</v>
      </c>
      <c r="B22" s="85">
        <f>D22+F22</f>
        <v>385046.28669999994</v>
      </c>
      <c r="C22" s="83"/>
      <c r="D22" s="85">
        <f>D10+D19</f>
        <v>101638.20999999999</v>
      </c>
      <c r="E22" s="83"/>
      <c r="F22" s="85">
        <f>F10+F19</f>
        <v>283408.07669999998</v>
      </c>
    </row>
    <row r="23" spans="1:6" ht="29.4" thickBot="1" x14ac:dyDescent="0.35">
      <c r="A23" s="83" t="s">
        <v>261</v>
      </c>
      <c r="B23" s="85">
        <f>D23+F23</f>
        <v>195606.28669999997</v>
      </c>
      <c r="C23" s="83"/>
      <c r="D23" s="85">
        <f>D19</f>
        <v>52598.21</v>
      </c>
      <c r="E23" s="83"/>
      <c r="F23" s="85">
        <f>F19</f>
        <v>143008.07669999998</v>
      </c>
    </row>
    <row r="24" spans="1:6" ht="15" thickBot="1" x14ac:dyDescent="0.35">
      <c r="A24" s="83"/>
      <c r="C24" s="83"/>
      <c r="D24" s="83"/>
      <c r="E24" s="83"/>
    </row>
    <row r="25" spans="1:6" ht="29.4" thickBot="1" x14ac:dyDescent="0.35">
      <c r="A25" s="83" t="s">
        <v>183</v>
      </c>
      <c r="B25" s="85">
        <f>D25+F25</f>
        <v>290326.28669999994</v>
      </c>
      <c r="C25" s="83"/>
      <c r="D25" s="85">
        <f>(D10/B33)+D19</f>
        <v>77118.209999999992</v>
      </c>
      <c r="E25" s="83"/>
      <c r="F25" s="85">
        <f>(F10/B33)+F19</f>
        <v>213208.07669999998</v>
      </c>
    </row>
    <row r="26" spans="1:6" ht="15" thickBot="1" x14ac:dyDescent="0.35">
      <c r="A26" s="83"/>
      <c r="C26" s="83"/>
      <c r="D26" s="83"/>
      <c r="E26" s="83"/>
    </row>
    <row r="27" spans="1:6" ht="27.6" customHeight="1" thickBot="1" x14ac:dyDescent="0.35">
      <c r="A27" s="83" t="s">
        <v>221</v>
      </c>
      <c r="B27" s="85">
        <f>D27+F27</f>
        <v>485408.07669999998</v>
      </c>
      <c r="C27" s="83"/>
      <c r="D27" s="85">
        <f>VendorCostComparsion_NRE_Share!G13</f>
        <v>202000</v>
      </c>
      <c r="E27" s="183"/>
      <c r="F27" s="85">
        <f>F10+F19</f>
        <v>283408.07669999998</v>
      </c>
    </row>
    <row r="28" spans="1:6" ht="15" thickBot="1" x14ac:dyDescent="0.35">
      <c r="A28" s="83"/>
      <c r="C28" s="83"/>
      <c r="D28" s="83"/>
      <c r="E28" s="83"/>
    </row>
    <row r="29" spans="1:6" ht="29.4" thickBot="1" x14ac:dyDescent="0.35">
      <c r="A29" s="83" t="s">
        <v>184</v>
      </c>
      <c r="B29" s="85">
        <f>D29+F29</f>
        <v>340208.07669999998</v>
      </c>
      <c r="C29" s="83"/>
      <c r="D29" s="85">
        <f>VendorCostComparsion_NRE_Share!H13</f>
        <v>127000</v>
      </c>
      <c r="E29" s="83"/>
      <c r="F29" s="85">
        <f>(F10/B33)+F19</f>
        <v>213208.07669999998</v>
      </c>
    </row>
    <row r="30" spans="1:6" ht="15" thickBot="1" x14ac:dyDescent="0.35">
      <c r="A30" s="83"/>
      <c r="C30" s="83"/>
      <c r="D30" s="83"/>
      <c r="E30" s="83"/>
    </row>
    <row r="31" spans="1:6" ht="29.4" thickBot="1" x14ac:dyDescent="0.35">
      <c r="A31" s="83" t="s">
        <v>185</v>
      </c>
      <c r="B31" s="85">
        <f>D31+F31</f>
        <v>323908.57669999998</v>
      </c>
      <c r="C31" s="83"/>
      <c r="D31" s="85">
        <f>VendorCostComparsion_NRE_Share!H8</f>
        <v>110700.5</v>
      </c>
      <c r="E31" s="83"/>
      <c r="F31" s="85">
        <f>(F10/B33)+F19</f>
        <v>213208.07669999998</v>
      </c>
    </row>
    <row r="32" spans="1:6" x14ac:dyDescent="0.3">
      <c r="A32" s="83"/>
    </row>
    <row r="33" spans="1:2" x14ac:dyDescent="0.3">
      <c r="A33" s="83" t="s">
        <v>215</v>
      </c>
      <c r="B33" s="84">
        <v>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abSelected="1" workbookViewId="0">
      <selection activeCell="M6" sqref="M6"/>
    </sheetView>
  </sheetViews>
  <sheetFormatPr defaultRowHeight="14.4" x14ac:dyDescent="0.3"/>
  <cols>
    <col min="1" max="1" width="21.88671875" style="1" customWidth="1"/>
    <col min="2" max="2" width="47.88671875" style="1" customWidth="1"/>
    <col min="3" max="3" width="14.21875" style="1" customWidth="1"/>
    <col min="4" max="4" width="11.77734375" style="11" customWidth="1"/>
    <col min="5" max="5" width="13.21875" style="1" customWidth="1"/>
    <col min="6" max="6" width="15.33203125" style="11" customWidth="1"/>
    <col min="7" max="7" width="12.5546875" style="23" customWidth="1"/>
    <col min="8" max="8" width="12.6640625" style="1" customWidth="1"/>
    <col min="9" max="9" width="27.109375" style="1" customWidth="1"/>
    <col min="10" max="10" width="22.109375" style="1" customWidth="1"/>
    <col min="11" max="16384" width="8.88671875" style="1"/>
  </cols>
  <sheetData>
    <row r="1" spans="1:10" x14ac:dyDescent="0.3">
      <c r="A1" s="128"/>
      <c r="B1" s="128"/>
      <c r="H1" s="2"/>
    </row>
    <row r="2" spans="1:10" ht="46.2" x14ac:dyDescent="0.55000000000000004">
      <c r="A2" s="129" t="s">
        <v>234</v>
      </c>
      <c r="B2" s="129"/>
      <c r="D2" s="1" t="s">
        <v>7</v>
      </c>
      <c r="E2" s="2">
        <v>43658</v>
      </c>
      <c r="F2" s="26" t="s">
        <v>49</v>
      </c>
      <c r="G2" s="245" t="s">
        <v>235</v>
      </c>
      <c r="H2" s="246"/>
      <c r="J2" s="15" t="s">
        <v>18</v>
      </c>
    </row>
    <row r="3" spans="1:10" x14ac:dyDescent="0.3">
      <c r="A3" s="17" t="s">
        <v>9</v>
      </c>
      <c r="B3" s="17" t="s">
        <v>8</v>
      </c>
      <c r="C3" s="17" t="s">
        <v>0</v>
      </c>
      <c r="D3" s="18" t="s">
        <v>3</v>
      </c>
      <c r="E3" s="17" t="s">
        <v>4</v>
      </c>
      <c r="F3" s="27" t="s">
        <v>1</v>
      </c>
      <c r="G3" s="198">
        <v>2019</v>
      </c>
      <c r="H3" s="199">
        <v>2020</v>
      </c>
      <c r="J3" s="19" t="s">
        <v>1</v>
      </c>
    </row>
    <row r="4" spans="1:10" x14ac:dyDescent="0.3">
      <c r="A4" s="9" t="s">
        <v>19</v>
      </c>
      <c r="B4" s="10"/>
      <c r="C4" s="10"/>
      <c r="D4" s="13"/>
      <c r="E4" s="10"/>
      <c r="F4" s="16"/>
      <c r="I4" s="1" t="s">
        <v>2</v>
      </c>
      <c r="J4" s="8"/>
    </row>
    <row r="5" spans="1:10" ht="28.8" x14ac:dyDescent="0.3">
      <c r="A5" s="1" t="s">
        <v>11</v>
      </c>
      <c r="B5" s="1" t="s">
        <v>69</v>
      </c>
      <c r="C5" s="1" t="s">
        <v>5</v>
      </c>
      <c r="D5" s="11">
        <v>32625</v>
      </c>
      <c r="E5" s="1">
        <v>1</v>
      </c>
      <c r="F5" s="28">
        <f>D5*E5</f>
        <v>32625</v>
      </c>
      <c r="H5" s="11"/>
      <c r="J5" s="5">
        <f>D5*E5</f>
        <v>32625</v>
      </c>
    </row>
    <row r="6" spans="1:10" ht="28.8" x14ac:dyDescent="0.3">
      <c r="A6" s="1" t="s">
        <v>12</v>
      </c>
      <c r="B6" s="1" t="s">
        <v>70</v>
      </c>
      <c r="C6" s="1" t="s">
        <v>5</v>
      </c>
      <c r="D6" s="11">
        <v>12975</v>
      </c>
      <c r="E6" s="1">
        <v>1</v>
      </c>
      <c r="F6" s="28">
        <f>D6*E6</f>
        <v>12975</v>
      </c>
      <c r="J6" s="5">
        <f>D6*E6</f>
        <v>12975</v>
      </c>
    </row>
    <row r="7" spans="1:10" ht="29.4" thickBot="1" x14ac:dyDescent="0.35">
      <c r="A7" s="1" t="s">
        <v>14</v>
      </c>
      <c r="B7" s="1" t="s">
        <v>71</v>
      </c>
      <c r="C7" s="1" t="s">
        <v>6</v>
      </c>
      <c r="D7" s="11">
        <v>28275</v>
      </c>
      <c r="E7" s="1">
        <v>1</v>
      </c>
      <c r="F7" s="28">
        <f>D7*E7</f>
        <v>28275</v>
      </c>
      <c r="J7" s="5">
        <f>D7*E7</f>
        <v>28275</v>
      </c>
    </row>
    <row r="8" spans="1:10" ht="15" thickBot="1" x14ac:dyDescent="0.35">
      <c r="E8" s="14" t="s">
        <v>68</v>
      </c>
      <c r="F8" s="29">
        <f>SUM(F5:F7)</f>
        <v>73875</v>
      </c>
      <c r="G8" s="200">
        <f>F8</f>
        <v>73875</v>
      </c>
      <c r="H8" s="11"/>
      <c r="J8" s="36">
        <f>SUM(J5:J7)</f>
        <v>73875</v>
      </c>
    </row>
    <row r="9" spans="1:10" x14ac:dyDescent="0.3">
      <c r="E9" s="14"/>
      <c r="F9" s="27"/>
      <c r="G9" s="32"/>
      <c r="J9" s="37"/>
    </row>
    <row r="10" spans="1:10" x14ac:dyDescent="0.3">
      <c r="A10" s="130" t="s">
        <v>43</v>
      </c>
      <c r="B10" s="127"/>
      <c r="C10" s="6"/>
      <c r="D10" s="13"/>
      <c r="E10" s="6"/>
      <c r="F10" s="16"/>
      <c r="J10" s="7"/>
    </row>
    <row r="11" spans="1:10" x14ac:dyDescent="0.3">
      <c r="A11" s="1" t="s">
        <v>44</v>
      </c>
      <c r="B11" s="1" t="s">
        <v>45</v>
      </c>
      <c r="C11" s="1" t="s">
        <v>5</v>
      </c>
      <c r="D11" s="11">
        <v>1560</v>
      </c>
      <c r="E11" s="1">
        <v>1</v>
      </c>
      <c r="F11" s="28">
        <f>D11*E11</f>
        <v>1560</v>
      </c>
      <c r="J11" s="5">
        <f>D11*E11</f>
        <v>1560</v>
      </c>
    </row>
    <row r="12" spans="1:10" ht="15" thickBot="1" x14ac:dyDescent="0.35">
      <c r="A12" s="1" t="s">
        <v>47</v>
      </c>
      <c r="B12" s="1" t="s">
        <v>48</v>
      </c>
      <c r="C12" s="1" t="s">
        <v>46</v>
      </c>
      <c r="D12" s="11">
        <v>2370</v>
      </c>
      <c r="E12" s="1">
        <v>1</v>
      </c>
      <c r="F12" s="28"/>
      <c r="J12" s="5">
        <f>D12*E12</f>
        <v>2370</v>
      </c>
    </row>
    <row r="13" spans="1:10" ht="15" thickBot="1" x14ac:dyDescent="0.35">
      <c r="E13" s="14" t="s">
        <v>68</v>
      </c>
      <c r="F13" s="29">
        <f>SUM(F11:F12)</f>
        <v>1560</v>
      </c>
      <c r="G13" s="32"/>
      <c r="H13" s="11">
        <f>F13</f>
        <v>1560</v>
      </c>
      <c r="J13" s="36">
        <f>SUM(J11:J12)</f>
        <v>3930</v>
      </c>
    </row>
    <row r="14" spans="1:10" x14ac:dyDescent="0.3">
      <c r="E14" s="14"/>
      <c r="F14" s="27"/>
      <c r="G14" s="32"/>
      <c r="J14" s="37"/>
    </row>
    <row r="15" spans="1:10" x14ac:dyDescent="0.3">
      <c r="A15" s="130" t="s">
        <v>57</v>
      </c>
      <c r="B15" s="127"/>
      <c r="C15" s="6"/>
      <c r="D15" s="13"/>
      <c r="E15" s="6"/>
      <c r="F15" s="16"/>
      <c r="J15" s="7"/>
    </row>
    <row r="16" spans="1:10" ht="15" thickBot="1" x14ac:dyDescent="0.35">
      <c r="B16" s="1" t="s">
        <v>17</v>
      </c>
      <c r="D16" s="11">
        <v>3500</v>
      </c>
      <c r="E16" s="1">
        <v>1</v>
      </c>
      <c r="F16" s="28">
        <f>D16*E16</f>
        <v>3500</v>
      </c>
      <c r="J16" s="5">
        <f>D16*E16</f>
        <v>3500</v>
      </c>
    </row>
    <row r="17" spans="1:10" ht="15" thickBot="1" x14ac:dyDescent="0.35">
      <c r="E17" s="14" t="s">
        <v>68</v>
      </c>
      <c r="F17" s="29">
        <f>SUM(F16)</f>
        <v>3500</v>
      </c>
      <c r="G17" s="32"/>
      <c r="H17" s="11">
        <f>F17</f>
        <v>3500</v>
      </c>
      <c r="J17" s="36">
        <f>SUM(J16)</f>
        <v>3500</v>
      </c>
    </row>
    <row r="18" spans="1:10" x14ac:dyDescent="0.3">
      <c r="E18" s="14"/>
      <c r="F18" s="27"/>
      <c r="G18" s="32"/>
      <c r="J18" s="37"/>
    </row>
    <row r="19" spans="1:10" x14ac:dyDescent="0.3">
      <c r="A19" s="130" t="s">
        <v>27</v>
      </c>
      <c r="B19" s="127"/>
      <c r="C19" s="6"/>
      <c r="D19" s="13"/>
      <c r="E19" s="6"/>
      <c r="F19" s="16"/>
      <c r="J19" s="8"/>
    </row>
    <row r="20" spans="1:10" ht="72" x14ac:dyDescent="0.3">
      <c r="A20" s="3" t="s">
        <v>20</v>
      </c>
      <c r="B20" s="1" t="s">
        <v>22</v>
      </c>
      <c r="C20" s="1" t="s">
        <v>21</v>
      </c>
      <c r="D20" s="11">
        <v>5568.33</v>
      </c>
      <c r="E20" s="1">
        <v>1</v>
      </c>
      <c r="F20" s="28">
        <f>D20*E20</f>
        <v>5568.33</v>
      </c>
      <c r="J20" s="5"/>
    </row>
    <row r="21" spans="1:10" x14ac:dyDescent="0.3">
      <c r="A21" s="3" t="s">
        <v>23</v>
      </c>
      <c r="B21" s="1" t="s">
        <v>24</v>
      </c>
      <c r="C21" s="1" t="s">
        <v>21</v>
      </c>
      <c r="D21" s="11">
        <v>133.06</v>
      </c>
      <c r="E21" s="1">
        <v>1</v>
      </c>
      <c r="F21" s="28">
        <f t="shared" ref="F21:F59" si="0">D21*E21</f>
        <v>133.06</v>
      </c>
      <c r="J21" s="5"/>
    </row>
    <row r="22" spans="1:10" ht="28.8" x14ac:dyDescent="0.3">
      <c r="A22" s="3" t="s">
        <v>25</v>
      </c>
      <c r="B22" s="1" t="s">
        <v>26</v>
      </c>
      <c r="D22" s="11">
        <v>105</v>
      </c>
      <c r="E22" s="1">
        <v>1</v>
      </c>
      <c r="F22" s="28">
        <f t="shared" si="0"/>
        <v>105</v>
      </c>
      <c r="J22" s="5"/>
    </row>
    <row r="23" spans="1:10" ht="43.2" x14ac:dyDescent="0.3">
      <c r="A23" s="3" t="s">
        <v>28</v>
      </c>
      <c r="B23" s="1" t="s">
        <v>29</v>
      </c>
      <c r="D23" s="11">
        <v>6185.83</v>
      </c>
      <c r="E23" s="1">
        <v>1</v>
      </c>
      <c r="F23" s="28">
        <f t="shared" si="0"/>
        <v>6185.83</v>
      </c>
      <c r="J23" s="5"/>
    </row>
    <row r="24" spans="1:10" ht="15" thickBot="1" x14ac:dyDescent="0.35">
      <c r="A24" s="3" t="s">
        <v>23</v>
      </c>
      <c r="B24" s="1" t="s">
        <v>30</v>
      </c>
      <c r="D24" s="11">
        <v>133.06</v>
      </c>
      <c r="E24" s="1">
        <v>1</v>
      </c>
      <c r="F24" s="28">
        <f t="shared" si="0"/>
        <v>133.06</v>
      </c>
      <c r="J24" s="5"/>
    </row>
    <row r="25" spans="1:10" ht="15" thickBot="1" x14ac:dyDescent="0.35">
      <c r="A25" s="3"/>
      <c r="E25" s="14" t="s">
        <v>68</v>
      </c>
      <c r="F25" s="29">
        <f>SUM(F20:F24)</f>
        <v>12125.28</v>
      </c>
      <c r="G25" s="32"/>
      <c r="H25" s="11">
        <f>F25</f>
        <v>12125.28</v>
      </c>
      <c r="J25" s="36">
        <f>SUM(J20:J24)</f>
        <v>0</v>
      </c>
    </row>
    <row r="26" spans="1:10" x14ac:dyDescent="0.3">
      <c r="A26" s="3"/>
      <c r="E26" s="14"/>
      <c r="F26" s="27"/>
      <c r="G26" s="32"/>
      <c r="J26" s="37"/>
    </row>
    <row r="27" spans="1:10" x14ac:dyDescent="0.3">
      <c r="A27" s="130" t="s">
        <v>31</v>
      </c>
      <c r="B27" s="127"/>
      <c r="C27" s="6"/>
      <c r="D27" s="13"/>
      <c r="E27" s="6"/>
      <c r="F27" s="16"/>
      <c r="J27" s="7"/>
    </row>
    <row r="28" spans="1:10" x14ac:dyDescent="0.3">
      <c r="A28" s="3" t="s">
        <v>32</v>
      </c>
      <c r="B28" s="1" t="s">
        <v>33</v>
      </c>
      <c r="C28" s="1" t="s">
        <v>34</v>
      </c>
      <c r="D28" s="11">
        <v>785</v>
      </c>
      <c r="E28" s="1">
        <v>1</v>
      </c>
      <c r="F28" s="28"/>
      <c r="J28" s="5">
        <f>D28*E28</f>
        <v>785</v>
      </c>
    </row>
    <row r="29" spans="1:10" x14ac:dyDescent="0.3">
      <c r="A29" s="3" t="s">
        <v>35</v>
      </c>
      <c r="B29" s="1" t="s">
        <v>36</v>
      </c>
      <c r="C29" s="1" t="s">
        <v>34</v>
      </c>
      <c r="D29" s="11">
        <v>785</v>
      </c>
      <c r="E29" s="1">
        <v>1</v>
      </c>
      <c r="F29" s="28"/>
      <c r="J29" s="5">
        <f>D29*E29</f>
        <v>785</v>
      </c>
    </row>
    <row r="30" spans="1:10" ht="28.8" x14ac:dyDescent="0.3">
      <c r="A30" s="3" t="s">
        <v>37</v>
      </c>
      <c r="B30" s="1" t="s">
        <v>38</v>
      </c>
      <c r="C30" s="1" t="s">
        <v>39</v>
      </c>
      <c r="D30" s="11">
        <v>168</v>
      </c>
      <c r="E30" s="1">
        <v>2</v>
      </c>
      <c r="F30" s="28"/>
      <c r="J30" s="5">
        <f>D30*E30</f>
        <v>336</v>
      </c>
    </row>
    <row r="31" spans="1:10" x14ac:dyDescent="0.3">
      <c r="A31" s="3" t="s">
        <v>40</v>
      </c>
      <c r="B31" s="1" t="s">
        <v>41</v>
      </c>
      <c r="D31" s="11">
        <v>400</v>
      </c>
      <c r="E31" s="1">
        <v>2</v>
      </c>
      <c r="F31" s="28"/>
      <c r="J31" s="5">
        <f>D31*E31</f>
        <v>800</v>
      </c>
    </row>
    <row r="32" spans="1:10" ht="15" thickBot="1" x14ac:dyDescent="0.35">
      <c r="A32" s="3" t="s">
        <v>40</v>
      </c>
      <c r="B32" s="1" t="s">
        <v>42</v>
      </c>
      <c r="D32" s="11">
        <v>200</v>
      </c>
      <c r="E32" s="1">
        <v>2</v>
      </c>
      <c r="F32" s="28"/>
      <c r="J32" s="5">
        <f>D32*E32</f>
        <v>400</v>
      </c>
    </row>
    <row r="33" spans="1:10" ht="15" thickBot="1" x14ac:dyDescent="0.35">
      <c r="A33" s="3"/>
      <c r="E33" s="14" t="s">
        <v>68</v>
      </c>
      <c r="F33" s="34">
        <f>SUM(F28:F32)</f>
        <v>0</v>
      </c>
      <c r="G33" s="32"/>
      <c r="J33" s="36">
        <f>SUM(J28:J32)</f>
        <v>3106</v>
      </c>
    </row>
    <row r="34" spans="1:10" x14ac:dyDescent="0.3">
      <c r="A34" s="3"/>
      <c r="E34" s="14"/>
      <c r="F34" s="27"/>
      <c r="G34" s="32"/>
      <c r="J34" s="37"/>
    </row>
    <row r="35" spans="1:10" x14ac:dyDescent="0.3">
      <c r="A35" s="130" t="s">
        <v>73</v>
      </c>
      <c r="B35" s="127"/>
      <c r="C35" s="6"/>
      <c r="D35" s="13"/>
      <c r="E35" s="6"/>
      <c r="F35" s="16"/>
      <c r="J35" s="7"/>
    </row>
    <row r="36" spans="1:10" ht="28.8" x14ac:dyDescent="0.3">
      <c r="A36" s="3"/>
      <c r="B36" s="3" t="s">
        <v>52</v>
      </c>
      <c r="C36" s="1" t="s">
        <v>50</v>
      </c>
      <c r="D36" s="11">
        <v>1728</v>
      </c>
      <c r="E36" s="1">
        <v>3</v>
      </c>
      <c r="F36" s="28">
        <f t="shared" si="0"/>
        <v>5184</v>
      </c>
      <c r="J36" s="5">
        <f>D36*E36</f>
        <v>5184</v>
      </c>
    </row>
    <row r="37" spans="1:10" x14ac:dyDescent="0.3">
      <c r="A37" s="3"/>
      <c r="B37" s="3" t="s">
        <v>51</v>
      </c>
      <c r="C37" s="1" t="s">
        <v>50</v>
      </c>
      <c r="D37" s="11">
        <v>1392</v>
      </c>
      <c r="E37" s="1">
        <v>2</v>
      </c>
      <c r="F37" s="28">
        <f t="shared" ref="F37" si="1">D37*E37</f>
        <v>2784</v>
      </c>
      <c r="J37" s="5">
        <f>D37*E37</f>
        <v>2784</v>
      </c>
    </row>
    <row r="38" spans="1:10" x14ac:dyDescent="0.3">
      <c r="A38" s="3"/>
      <c r="B38" s="1" t="s">
        <v>53</v>
      </c>
      <c r="C38" s="1" t="s">
        <v>50</v>
      </c>
      <c r="D38" s="11">
        <v>5046</v>
      </c>
      <c r="E38" s="1">
        <v>1</v>
      </c>
      <c r="F38" s="28">
        <f t="shared" ref="F38" si="2">D38*E38</f>
        <v>5046</v>
      </c>
      <c r="J38" s="5">
        <f>D38*E38</f>
        <v>5046</v>
      </c>
    </row>
    <row r="39" spans="1:10" x14ac:dyDescent="0.3">
      <c r="A39" s="3"/>
      <c r="B39" s="1" t="s">
        <v>97</v>
      </c>
      <c r="D39" s="11">
        <v>950</v>
      </c>
      <c r="E39" s="1">
        <v>1</v>
      </c>
      <c r="F39" s="28">
        <f t="shared" ref="F39:F40" si="3">D39*E39</f>
        <v>950</v>
      </c>
      <c r="J39" s="5">
        <f>D39*E39</f>
        <v>950</v>
      </c>
    </row>
    <row r="40" spans="1:10" ht="15" thickBot="1" x14ac:dyDescent="0.35">
      <c r="A40" s="3"/>
      <c r="B40" s="1" t="s">
        <v>54</v>
      </c>
      <c r="D40" s="11">
        <v>8000</v>
      </c>
      <c r="E40" s="1">
        <v>1</v>
      </c>
      <c r="F40" s="28">
        <f t="shared" si="3"/>
        <v>8000</v>
      </c>
      <c r="J40" s="5">
        <f>D40*E40</f>
        <v>8000</v>
      </c>
    </row>
    <row r="41" spans="1:10" ht="15" thickBot="1" x14ac:dyDescent="0.35">
      <c r="A41" s="3"/>
      <c r="E41" s="14" t="s">
        <v>68</v>
      </c>
      <c r="F41" s="34">
        <f>SUM(F36:F40)</f>
        <v>21964</v>
      </c>
      <c r="G41" s="32"/>
      <c r="J41" s="36">
        <f>SUM(J36:J40)</f>
        <v>21964</v>
      </c>
    </row>
    <row r="42" spans="1:10" x14ac:dyDescent="0.3">
      <c r="A42" s="3"/>
      <c r="F42" s="28"/>
      <c r="J42" s="5"/>
    </row>
    <row r="43" spans="1:10" x14ac:dyDescent="0.3">
      <c r="A43" s="130" t="s">
        <v>58</v>
      </c>
      <c r="B43" s="127"/>
      <c r="C43" s="6"/>
      <c r="D43" s="13"/>
      <c r="E43" s="6"/>
      <c r="F43" s="16"/>
      <c r="J43" s="7"/>
    </row>
    <row r="44" spans="1:10" x14ac:dyDescent="0.3">
      <c r="B44" s="1" t="s">
        <v>55</v>
      </c>
      <c r="D44" s="11">
        <v>7000</v>
      </c>
      <c r="E44" s="1">
        <v>1</v>
      </c>
      <c r="F44" s="28">
        <f t="shared" ref="F44:F45" si="4">D44*E44</f>
        <v>7000</v>
      </c>
      <c r="J44" s="5">
        <f>D44*E44</f>
        <v>7000</v>
      </c>
    </row>
    <row r="45" spans="1:10" x14ac:dyDescent="0.3">
      <c r="B45" s="1" t="s">
        <v>56</v>
      </c>
      <c r="D45" s="11">
        <v>500</v>
      </c>
      <c r="E45" s="1">
        <v>3</v>
      </c>
      <c r="F45" s="28">
        <f t="shared" si="4"/>
        <v>1500</v>
      </c>
      <c r="J45" s="5">
        <f>D45*E45</f>
        <v>1500</v>
      </c>
    </row>
    <row r="46" spans="1:10" ht="15" thickBot="1" x14ac:dyDescent="0.35">
      <c r="B46" s="1" t="s">
        <v>98</v>
      </c>
      <c r="C46" s="1" t="s">
        <v>104</v>
      </c>
      <c r="D46" s="11">
        <v>175</v>
      </c>
      <c r="E46" s="1">
        <v>6</v>
      </c>
      <c r="F46" s="28">
        <f t="shared" ref="F46" si="5">D46*E46</f>
        <v>1050</v>
      </c>
      <c r="J46" s="5">
        <f>D46*E46</f>
        <v>1050</v>
      </c>
    </row>
    <row r="47" spans="1:10" ht="15" thickBot="1" x14ac:dyDescent="0.35">
      <c r="E47" s="14" t="s">
        <v>68</v>
      </c>
      <c r="F47" s="34">
        <f>SUM(F44:F46)</f>
        <v>9550</v>
      </c>
      <c r="G47" s="32"/>
      <c r="J47" s="36">
        <f>SUM(J44:J46)</f>
        <v>9550</v>
      </c>
    </row>
    <row r="48" spans="1:10" x14ac:dyDescent="0.3">
      <c r="E48" s="14"/>
      <c r="F48" s="27"/>
      <c r="G48" s="32"/>
      <c r="J48" s="37"/>
    </row>
    <row r="49" spans="1:10" x14ac:dyDescent="0.3">
      <c r="A49" s="130" t="s">
        <v>72</v>
      </c>
      <c r="B49" s="127"/>
      <c r="C49" s="10"/>
      <c r="D49" s="13"/>
      <c r="E49" s="10"/>
      <c r="F49" s="16"/>
      <c r="J49" s="7"/>
    </row>
    <row r="50" spans="1:10" x14ac:dyDescent="0.3">
      <c r="A50" s="21"/>
      <c r="B50" s="22" t="s">
        <v>93</v>
      </c>
      <c r="C50" s="22"/>
      <c r="D50" s="23">
        <v>1600</v>
      </c>
      <c r="E50" s="22">
        <v>1</v>
      </c>
      <c r="F50" s="28">
        <f t="shared" ref="F50" si="6">D50*E50</f>
        <v>1600</v>
      </c>
      <c r="J50" s="5">
        <f>D50*E50</f>
        <v>1600</v>
      </c>
    </row>
    <row r="51" spans="1:10" x14ac:dyDescent="0.3">
      <c r="A51" s="21"/>
      <c r="B51" s="22" t="s">
        <v>95</v>
      </c>
      <c r="C51" s="22"/>
      <c r="D51" s="23"/>
      <c r="E51" s="22"/>
      <c r="F51" s="28"/>
      <c r="J51" s="5"/>
    </row>
    <row r="52" spans="1:10" x14ac:dyDescent="0.3">
      <c r="A52" s="21"/>
      <c r="B52" s="22" t="s">
        <v>92</v>
      </c>
      <c r="C52" s="22"/>
      <c r="D52" s="23">
        <v>1400</v>
      </c>
      <c r="E52" s="22">
        <v>1</v>
      </c>
      <c r="F52" s="28">
        <f t="shared" ref="F52" si="7">D52*E52</f>
        <v>1400</v>
      </c>
      <c r="J52" s="5">
        <f>D52*E52</f>
        <v>1400</v>
      </c>
    </row>
    <row r="53" spans="1:10" ht="28.8" x14ac:dyDescent="0.3">
      <c r="A53" s="21"/>
      <c r="B53" s="22" t="s">
        <v>96</v>
      </c>
      <c r="C53" s="22"/>
      <c r="D53" s="23"/>
      <c r="E53" s="22"/>
      <c r="F53" s="28"/>
      <c r="J53" s="5"/>
    </row>
    <row r="54" spans="1:10" x14ac:dyDescent="0.3">
      <c r="A54" s="21"/>
      <c r="B54" s="22" t="s">
        <v>74</v>
      </c>
      <c r="C54" s="22"/>
      <c r="D54" s="23">
        <v>250</v>
      </c>
      <c r="E54" s="22">
        <v>1</v>
      </c>
      <c r="F54" s="28">
        <f t="shared" ref="F54" si="8">D54*E54</f>
        <v>250</v>
      </c>
      <c r="J54" s="5">
        <f>D54*E54</f>
        <v>250</v>
      </c>
    </row>
    <row r="55" spans="1:10" ht="29.4" thickBot="1" x14ac:dyDescent="0.35">
      <c r="A55" s="21"/>
      <c r="B55" s="22"/>
      <c r="C55" s="22"/>
      <c r="D55" s="23"/>
      <c r="E55" s="22"/>
      <c r="F55" s="30"/>
      <c r="I55" s="1" t="s">
        <v>246</v>
      </c>
      <c r="J55" s="24"/>
    </row>
    <row r="56" spans="1:10" ht="15" thickBot="1" x14ac:dyDescent="0.35">
      <c r="A56" s="21"/>
      <c r="B56" s="22"/>
      <c r="C56" s="22"/>
      <c r="D56" s="23"/>
      <c r="E56" s="14" t="s">
        <v>68</v>
      </c>
      <c r="F56" s="34">
        <f>SUM(F50:F55)</f>
        <v>3250</v>
      </c>
      <c r="G56" s="200">
        <f>F56</f>
        <v>3250</v>
      </c>
      <c r="H56" s="11"/>
      <c r="I56" s="206">
        <f>(F41-F40)+F47+F56</f>
        <v>26764</v>
      </c>
      <c r="J56" s="205">
        <f>SUM(J50:J55)</f>
        <v>3250</v>
      </c>
    </row>
    <row r="57" spans="1:10" ht="15" thickBot="1" x14ac:dyDescent="0.35">
      <c r="F57" s="28"/>
      <c r="I57" s="1" t="s">
        <v>242</v>
      </c>
      <c r="J57" s="5"/>
    </row>
    <row r="58" spans="1:10" ht="15" thickBot="1" x14ac:dyDescent="0.35">
      <c r="A58" s="130" t="s">
        <v>57</v>
      </c>
      <c r="B58" s="127"/>
      <c r="C58" s="6"/>
      <c r="D58" s="13"/>
      <c r="E58" s="6"/>
      <c r="F58" s="16"/>
      <c r="I58" s="206">
        <f>F40+'MBARI&amp;VendorSummary'!D17</f>
        <v>31760</v>
      </c>
      <c r="J58" s="207"/>
    </row>
    <row r="59" spans="1:10" ht="15" thickBot="1" x14ac:dyDescent="0.35">
      <c r="B59" s="1" t="s">
        <v>59</v>
      </c>
      <c r="D59" s="11">
        <v>4500</v>
      </c>
      <c r="E59" s="1">
        <v>1</v>
      </c>
      <c r="F59" s="28">
        <f t="shared" si="0"/>
        <v>4500</v>
      </c>
      <c r="I59" s="1" t="s">
        <v>241</v>
      </c>
      <c r="J59" s="5">
        <f>D59*E59</f>
        <v>4500</v>
      </c>
    </row>
    <row r="60" spans="1:10" ht="15" thickBot="1" x14ac:dyDescent="0.35">
      <c r="E60" s="14" t="s">
        <v>68</v>
      </c>
      <c r="F60" s="34">
        <f>SUM(F59)</f>
        <v>4500</v>
      </c>
      <c r="G60" s="32"/>
      <c r="H60" s="11">
        <f>F60</f>
        <v>4500</v>
      </c>
      <c r="I60" s="206">
        <f>I56+I58</f>
        <v>58524</v>
      </c>
      <c r="J60" s="205">
        <f>SUM(J59)</f>
        <v>4500</v>
      </c>
    </row>
    <row r="61" spans="1:10" x14ac:dyDescent="0.3">
      <c r="F61" s="28"/>
      <c r="J61" s="5"/>
    </row>
    <row r="62" spans="1:10" ht="28.8" x14ac:dyDescent="0.3">
      <c r="A62" s="130" t="s">
        <v>60</v>
      </c>
      <c r="B62" s="127"/>
      <c r="C62" s="6"/>
      <c r="D62" s="13"/>
      <c r="E62" s="6"/>
      <c r="F62" s="16"/>
      <c r="I62" s="1" t="s">
        <v>243</v>
      </c>
      <c r="J62" s="7"/>
    </row>
    <row r="63" spans="1:10" ht="28.8" x14ac:dyDescent="0.3">
      <c r="A63" s="1" t="s">
        <v>89</v>
      </c>
      <c r="B63" s="1" t="s">
        <v>61</v>
      </c>
      <c r="C63" s="1" t="s">
        <v>62</v>
      </c>
      <c r="D63" s="12">
        <v>3000</v>
      </c>
      <c r="E63" s="1">
        <v>1</v>
      </c>
      <c r="F63" s="28">
        <f t="shared" ref="F63" si="9">D63*E63</f>
        <v>3000</v>
      </c>
      <c r="J63" s="5">
        <f>D63*E63</f>
        <v>3000</v>
      </c>
    </row>
    <row r="64" spans="1:10" x14ac:dyDescent="0.3">
      <c r="A64" s="1" t="s">
        <v>114</v>
      </c>
      <c r="B64" s="1" t="s">
        <v>90</v>
      </c>
      <c r="C64" s="1" t="s">
        <v>91</v>
      </c>
      <c r="D64" s="12">
        <v>6000</v>
      </c>
      <c r="E64" s="1">
        <v>1</v>
      </c>
      <c r="F64" s="28">
        <f t="shared" ref="F64" si="10">D64*E64</f>
        <v>6000</v>
      </c>
      <c r="J64" s="5">
        <f>D64*E64</f>
        <v>6000</v>
      </c>
    </row>
    <row r="65" spans="1:10" x14ac:dyDescent="0.3">
      <c r="A65" s="1" t="s">
        <v>65</v>
      </c>
      <c r="B65" s="1" t="s">
        <v>64</v>
      </c>
      <c r="C65" s="1" t="s">
        <v>63</v>
      </c>
      <c r="D65" s="11">
        <v>12500</v>
      </c>
      <c r="E65" s="1">
        <v>1</v>
      </c>
      <c r="F65" s="28">
        <f t="shared" ref="F65" si="11">D65*E65</f>
        <v>12500</v>
      </c>
      <c r="J65" s="5">
        <f>D65*E65</f>
        <v>12500</v>
      </c>
    </row>
    <row r="66" spans="1:10" ht="28.8" x14ac:dyDescent="0.3">
      <c r="A66" s="1" t="s">
        <v>66</v>
      </c>
      <c r="B66" s="1" t="s">
        <v>67</v>
      </c>
      <c r="D66" s="11">
        <v>17404</v>
      </c>
      <c r="E66" s="1">
        <v>0</v>
      </c>
      <c r="F66" s="28">
        <f t="shared" ref="F66:F67" si="12">D66*E66</f>
        <v>0</v>
      </c>
      <c r="J66" s="5">
        <f>D66*E66</f>
        <v>0</v>
      </c>
    </row>
    <row r="67" spans="1:10" s="20" customFormat="1" ht="15" thickBot="1" x14ac:dyDescent="0.35">
      <c r="A67" s="20" t="s">
        <v>112</v>
      </c>
      <c r="B67" s="20" t="s">
        <v>113</v>
      </c>
      <c r="C67" s="20" t="s">
        <v>34</v>
      </c>
      <c r="D67" s="11">
        <v>795</v>
      </c>
      <c r="E67" s="20">
        <v>1</v>
      </c>
      <c r="F67" s="28">
        <f t="shared" si="12"/>
        <v>795</v>
      </c>
      <c r="G67" s="23"/>
      <c r="J67" s="5">
        <f>D67*E67</f>
        <v>795</v>
      </c>
    </row>
    <row r="68" spans="1:10" ht="15" thickBot="1" x14ac:dyDescent="0.35">
      <c r="E68" s="14" t="s">
        <v>68</v>
      </c>
      <c r="F68" s="34">
        <f>SUM(F63:F67)</f>
        <v>22295</v>
      </c>
      <c r="G68" s="32"/>
      <c r="J68" s="38">
        <f>SUM(J63:J67)</f>
        <v>22295</v>
      </c>
    </row>
    <row r="69" spans="1:10" ht="29.4" thickBot="1" x14ac:dyDescent="0.35">
      <c r="E69" s="14"/>
      <c r="F69" s="27"/>
      <c r="G69" s="32"/>
      <c r="I69" s="1" t="s">
        <v>244</v>
      </c>
      <c r="J69" s="37"/>
    </row>
    <row r="70" spans="1:10" ht="15" thickBot="1" x14ac:dyDescent="0.35">
      <c r="E70" s="14" t="s">
        <v>16</v>
      </c>
      <c r="F70" s="35">
        <f>SUM(F8,F13,F17,F25,F33,F41,F47,F56,F60,F68)</f>
        <v>152619.28</v>
      </c>
      <c r="G70" s="18">
        <f>SUM(G5:G67)</f>
        <v>77125</v>
      </c>
      <c r="H70" s="18">
        <f>SUM(H5:H67)</f>
        <v>21685.279999999999</v>
      </c>
      <c r="I70" s="204">
        <f>G70+H70</f>
        <v>98810.28</v>
      </c>
      <c r="J70" s="203">
        <f>SUM(J8,J13,J17,J25,J33,J41,J47,J60,J68)</f>
        <v>142720</v>
      </c>
    </row>
    <row r="71" spans="1:10" ht="15" thickBot="1" x14ac:dyDescent="0.35"/>
    <row r="72" spans="1:10" ht="15" thickBot="1" x14ac:dyDescent="0.35">
      <c r="A72" s="133" t="s">
        <v>75</v>
      </c>
      <c r="B72" s="134"/>
      <c r="C72" s="135"/>
      <c r="D72" s="135"/>
      <c r="E72" s="135"/>
      <c r="F72" s="135"/>
      <c r="G72" s="136"/>
    </row>
    <row r="73" spans="1:10" ht="28.8" x14ac:dyDescent="0.3">
      <c r="A73" s="142" t="s">
        <v>76</v>
      </c>
      <c r="B73" s="143"/>
      <c r="C73" s="59"/>
      <c r="D73" s="60"/>
      <c r="E73" s="196" t="s">
        <v>105</v>
      </c>
      <c r="F73" s="197" t="s">
        <v>16</v>
      </c>
      <c r="G73" s="197" t="s">
        <v>240</v>
      </c>
    </row>
    <row r="74" spans="1:10" x14ac:dyDescent="0.3">
      <c r="A74" s="53" t="s">
        <v>11</v>
      </c>
      <c r="B74" s="46" t="s">
        <v>10</v>
      </c>
      <c r="C74" s="46" t="s">
        <v>5</v>
      </c>
      <c r="D74" s="47">
        <v>32625</v>
      </c>
      <c r="E74" s="46">
        <v>1</v>
      </c>
      <c r="F74" s="54"/>
      <c r="G74" s="54">
        <f>ROUNDUP((D74*E74)+(D74*E74*7.75%)+50,0)</f>
        <v>35204</v>
      </c>
    </row>
    <row r="75" spans="1:10" x14ac:dyDescent="0.3">
      <c r="A75" s="53" t="s">
        <v>12</v>
      </c>
      <c r="B75" s="46" t="s">
        <v>13</v>
      </c>
      <c r="C75" s="46" t="s">
        <v>5</v>
      </c>
      <c r="D75" s="47">
        <v>12975</v>
      </c>
      <c r="E75" s="46">
        <v>1</v>
      </c>
      <c r="F75" s="54"/>
      <c r="G75" s="54">
        <f t="shared" ref="G75:G81" si="13">ROUNDUP((D75*E75)+(D75*E75*7.75%)+50,0)</f>
        <v>14031</v>
      </c>
    </row>
    <row r="76" spans="1:10" x14ac:dyDescent="0.3">
      <c r="A76" s="53" t="s">
        <v>14</v>
      </c>
      <c r="B76" s="46" t="s">
        <v>15</v>
      </c>
      <c r="C76" s="46" t="s">
        <v>6</v>
      </c>
      <c r="D76" s="47">
        <v>28275</v>
      </c>
      <c r="E76" s="46">
        <v>1</v>
      </c>
      <c r="F76" s="54"/>
      <c r="G76" s="54">
        <f t="shared" si="13"/>
        <v>30517</v>
      </c>
    </row>
    <row r="77" spans="1:10" x14ac:dyDescent="0.3">
      <c r="A77" s="61" t="s">
        <v>20</v>
      </c>
      <c r="B77" s="46" t="s">
        <v>78</v>
      </c>
      <c r="C77" s="46" t="s">
        <v>21</v>
      </c>
      <c r="D77" s="47">
        <v>5568.33</v>
      </c>
      <c r="E77" s="46">
        <v>1</v>
      </c>
      <c r="F77" s="54"/>
      <c r="G77" s="54">
        <f t="shared" si="13"/>
        <v>6050</v>
      </c>
    </row>
    <row r="78" spans="1:10" x14ac:dyDescent="0.3">
      <c r="A78" s="61" t="s">
        <v>116</v>
      </c>
      <c r="B78" s="46" t="s">
        <v>79</v>
      </c>
      <c r="C78" s="46" t="s">
        <v>21</v>
      </c>
      <c r="D78" s="47">
        <v>6185.83</v>
      </c>
      <c r="E78" s="46">
        <v>1</v>
      </c>
      <c r="F78" s="54"/>
      <c r="G78" s="54">
        <f t="shared" si="13"/>
        <v>6716</v>
      </c>
      <c r="H78" s="11"/>
    </row>
    <row r="79" spans="1:10" ht="28.8" x14ac:dyDescent="0.3">
      <c r="A79" s="61" t="str">
        <f>A63</f>
        <v>BDLKULSR4KEXTR3</v>
      </c>
      <c r="B79" s="61" t="str">
        <f>B63</f>
        <v>4K/UHD capture box</v>
      </c>
      <c r="C79" s="61" t="str">
        <f>C63</f>
        <v>Black Magic Design</v>
      </c>
      <c r="D79" s="81">
        <f>D63</f>
        <v>3000</v>
      </c>
      <c r="E79" s="48">
        <f>E63</f>
        <v>1</v>
      </c>
      <c r="F79" s="54">
        <v>3000</v>
      </c>
      <c r="G79" s="54"/>
    </row>
    <row r="80" spans="1:10" x14ac:dyDescent="0.3">
      <c r="A80" s="61" t="str">
        <f>A64</f>
        <v>MacPro 2019</v>
      </c>
      <c r="B80" s="61" t="str">
        <f>B64</f>
        <v>Mac Pro 2019 for capture management</v>
      </c>
      <c r="C80" s="61" t="str">
        <f>C64</f>
        <v>Apple Computer</v>
      </c>
      <c r="D80" s="81">
        <f>D64</f>
        <v>6000</v>
      </c>
      <c r="E80" s="48">
        <f>E64</f>
        <v>1</v>
      </c>
      <c r="F80" s="54">
        <v>6000</v>
      </c>
      <c r="G80" s="54"/>
    </row>
    <row r="81" spans="1:9" x14ac:dyDescent="0.3">
      <c r="A81" s="53" t="s">
        <v>65</v>
      </c>
      <c r="B81" s="46" t="s">
        <v>64</v>
      </c>
      <c r="C81" s="46" t="s">
        <v>63</v>
      </c>
      <c r="D81" s="47">
        <v>12500</v>
      </c>
      <c r="E81" s="46">
        <v>1</v>
      </c>
      <c r="F81" s="54"/>
      <c r="G81" s="54">
        <f t="shared" si="13"/>
        <v>13519</v>
      </c>
    </row>
    <row r="82" spans="1:9" ht="15" thickBot="1" x14ac:dyDescent="0.35">
      <c r="A82" s="40"/>
      <c r="B82" s="25"/>
      <c r="C82" s="25"/>
      <c r="D82" s="131" t="s">
        <v>82</v>
      </c>
      <c r="E82" s="132"/>
      <c r="F82" s="45">
        <f>SUM(F74:F81)</f>
        <v>9000</v>
      </c>
      <c r="G82" s="45">
        <f>SUM(G74:G81)</f>
        <v>106037</v>
      </c>
    </row>
    <row r="83" spans="1:9" ht="15" thickBot="1" x14ac:dyDescent="0.35">
      <c r="A83" s="40"/>
      <c r="B83" s="25"/>
      <c r="C83" s="25"/>
      <c r="D83" s="31"/>
      <c r="E83" s="25"/>
      <c r="F83" s="41"/>
      <c r="G83" s="202" t="s">
        <v>237</v>
      </c>
    </row>
    <row r="84" spans="1:9" ht="15" thickBot="1" x14ac:dyDescent="0.35">
      <c r="A84" s="142" t="s">
        <v>77</v>
      </c>
      <c r="B84" s="143"/>
      <c r="C84" s="59"/>
      <c r="D84" s="60"/>
      <c r="E84" s="59"/>
      <c r="F84" s="77"/>
    </row>
    <row r="85" spans="1:9" ht="15" thickBot="1" x14ac:dyDescent="0.35">
      <c r="A85" s="55"/>
      <c r="B85" s="56" t="s">
        <v>77</v>
      </c>
      <c r="C85" s="62"/>
      <c r="D85" s="139" t="s">
        <v>107</v>
      </c>
      <c r="E85" s="141"/>
      <c r="F85" s="29">
        <v>35490</v>
      </c>
      <c r="G85" s="32"/>
      <c r="H85" s="11">
        <f>F85*1.0775</f>
        <v>38240.474999999999</v>
      </c>
      <c r="I85" s="1" t="s">
        <v>233</v>
      </c>
    </row>
    <row r="86" spans="1:9" ht="15" thickBot="1" x14ac:dyDescent="0.35">
      <c r="A86" s="40"/>
      <c r="B86" s="25"/>
      <c r="C86" s="25"/>
      <c r="D86" s="31"/>
      <c r="E86" s="25"/>
      <c r="F86" s="41"/>
    </row>
    <row r="87" spans="1:9" x14ac:dyDescent="0.3">
      <c r="A87" s="142" t="s">
        <v>80</v>
      </c>
      <c r="B87" s="143"/>
      <c r="C87" s="59"/>
      <c r="D87" s="60"/>
      <c r="E87" s="59"/>
      <c r="F87" s="77"/>
    </row>
    <row r="88" spans="1:9" ht="15.6" x14ac:dyDescent="0.3">
      <c r="A88" s="63"/>
      <c r="B88" s="46" t="str">
        <f>B40</f>
        <v>Optical design consulting fees</v>
      </c>
      <c r="C88" s="46"/>
      <c r="D88" s="47">
        <f>D40</f>
        <v>8000</v>
      </c>
      <c r="E88" s="46">
        <f>E40</f>
        <v>1</v>
      </c>
      <c r="F88" s="54">
        <f>F40</f>
        <v>8000</v>
      </c>
    </row>
    <row r="89" spans="1:9" ht="16.2" thickBot="1" x14ac:dyDescent="0.35">
      <c r="A89" s="64"/>
      <c r="B89" s="56" t="str">
        <f>B46</f>
        <v>Pressure testing of camera housing and dome per hour</v>
      </c>
      <c r="C89" s="56" t="str">
        <f>C46</f>
        <v>Maripro S.B.</v>
      </c>
      <c r="D89" s="57">
        <f>D46</f>
        <v>175</v>
      </c>
      <c r="E89" s="56">
        <f>E46</f>
        <v>6</v>
      </c>
      <c r="F89" s="58">
        <f>F46</f>
        <v>1050</v>
      </c>
    </row>
    <row r="90" spans="1:9" ht="16.2" thickBot="1" x14ac:dyDescent="0.35">
      <c r="A90" s="42"/>
      <c r="B90" s="25"/>
      <c r="C90" s="25"/>
      <c r="D90" s="131" t="s">
        <v>103</v>
      </c>
      <c r="E90" s="132"/>
      <c r="F90" s="45">
        <f>SUM(F88:F89)</f>
        <v>9050</v>
      </c>
      <c r="G90" s="32"/>
    </row>
    <row r="91" spans="1:9" ht="15" thickBot="1" x14ac:dyDescent="0.35">
      <c r="A91" s="40"/>
      <c r="B91" s="25"/>
      <c r="C91" s="25"/>
      <c r="D91" s="31"/>
      <c r="E91" s="25"/>
      <c r="F91" s="41"/>
    </row>
    <row r="92" spans="1:9" x14ac:dyDescent="0.3">
      <c r="A92" s="142" t="s">
        <v>83</v>
      </c>
      <c r="B92" s="144"/>
      <c r="C92" s="59"/>
      <c r="D92" s="60"/>
      <c r="E92" s="59"/>
      <c r="F92" s="77"/>
    </row>
    <row r="93" spans="1:9" x14ac:dyDescent="0.3">
      <c r="A93" s="53"/>
      <c r="B93" s="46" t="s">
        <v>111</v>
      </c>
      <c r="C93" s="66"/>
      <c r="D93" s="47">
        <v>750</v>
      </c>
      <c r="E93" s="72">
        <v>1</v>
      </c>
      <c r="F93" s="54">
        <f t="shared" ref="F93:F96" si="14">D93*E93</f>
        <v>750</v>
      </c>
    </row>
    <row r="94" spans="1:9" x14ac:dyDescent="0.3">
      <c r="A94" s="53"/>
      <c r="B94" s="46" t="s">
        <v>110</v>
      </c>
      <c r="C94" s="73"/>
      <c r="D94" s="47">
        <v>600</v>
      </c>
      <c r="E94" s="72">
        <v>1</v>
      </c>
      <c r="F94" s="54">
        <f t="shared" si="14"/>
        <v>600</v>
      </c>
    </row>
    <row r="95" spans="1:9" x14ac:dyDescent="0.3">
      <c r="A95" s="53"/>
      <c r="B95" s="46" t="s">
        <v>109</v>
      </c>
      <c r="C95" s="73"/>
      <c r="D95" s="47">
        <v>150</v>
      </c>
      <c r="E95" s="72">
        <v>1</v>
      </c>
      <c r="F95" s="54">
        <f t="shared" si="14"/>
        <v>150</v>
      </c>
    </row>
    <row r="96" spans="1:9" x14ac:dyDescent="0.3">
      <c r="A96" s="53"/>
      <c r="B96" s="46" t="s">
        <v>94</v>
      </c>
      <c r="C96" s="69"/>
      <c r="D96" s="47">
        <v>150</v>
      </c>
      <c r="E96" s="72">
        <v>1</v>
      </c>
      <c r="F96" s="54">
        <f t="shared" si="14"/>
        <v>150</v>
      </c>
    </row>
    <row r="97" spans="1:7" ht="15.6" x14ac:dyDescent="0.3">
      <c r="A97" s="49" t="s">
        <v>99</v>
      </c>
      <c r="B97" s="46"/>
      <c r="C97" s="25"/>
      <c r="D97" s="31"/>
      <c r="E97" s="25"/>
      <c r="F97" s="41"/>
    </row>
    <row r="98" spans="1:7" x14ac:dyDescent="0.3">
      <c r="A98" s="53"/>
      <c r="B98" s="46" t="s">
        <v>100</v>
      </c>
      <c r="C98" s="74"/>
      <c r="D98" s="47">
        <v>150</v>
      </c>
      <c r="E98" s="46">
        <v>1</v>
      </c>
      <c r="F98" s="54">
        <f t="shared" ref="F98" si="15">D98*E98</f>
        <v>150</v>
      </c>
    </row>
    <row r="99" spans="1:7" x14ac:dyDescent="0.3">
      <c r="A99" s="53"/>
      <c r="B99" s="46" t="s">
        <v>101</v>
      </c>
      <c r="C99" s="4"/>
      <c r="D99" s="47">
        <v>100</v>
      </c>
      <c r="E99" s="46">
        <v>1</v>
      </c>
      <c r="F99" s="54">
        <f t="shared" ref="F99" si="16">D99*E99</f>
        <v>100</v>
      </c>
    </row>
    <row r="100" spans="1:7" ht="15" thickBot="1" x14ac:dyDescent="0.35">
      <c r="A100" s="55"/>
      <c r="B100" s="56" t="s">
        <v>102</v>
      </c>
      <c r="C100" s="76"/>
      <c r="D100" s="57">
        <v>75</v>
      </c>
      <c r="E100" s="56">
        <v>1</v>
      </c>
      <c r="F100" s="58">
        <f t="shared" ref="F100" si="17">D100*E100</f>
        <v>75</v>
      </c>
    </row>
    <row r="101" spans="1:7" ht="15" thickBot="1" x14ac:dyDescent="0.35">
      <c r="A101" s="40"/>
      <c r="B101" s="25"/>
      <c r="C101" s="25"/>
      <c r="D101" s="131" t="s">
        <v>86</v>
      </c>
      <c r="E101" s="132"/>
      <c r="F101" s="45">
        <f>SUM(F93:F100)</f>
        <v>1975</v>
      </c>
      <c r="G101" s="32"/>
    </row>
    <row r="102" spans="1:7" ht="15" thickBot="1" x14ac:dyDescent="0.35">
      <c r="A102" s="40"/>
      <c r="B102" s="25"/>
      <c r="C102" s="25"/>
      <c r="D102" s="31"/>
      <c r="E102" s="25"/>
      <c r="F102" s="41"/>
    </row>
    <row r="103" spans="1:7" ht="15" thickBot="1" x14ac:dyDescent="0.35">
      <c r="A103" s="142" t="s">
        <v>81</v>
      </c>
      <c r="B103" s="143"/>
      <c r="C103" s="78"/>
      <c r="D103" s="79"/>
      <c r="E103" s="78"/>
      <c r="F103" s="80"/>
    </row>
    <row r="104" spans="1:7" ht="15" thickBot="1" x14ac:dyDescent="0.35">
      <c r="A104" s="50"/>
      <c r="B104" s="51" t="s">
        <v>115</v>
      </c>
      <c r="C104" s="52"/>
      <c r="D104" s="139" t="s">
        <v>106</v>
      </c>
      <c r="E104" s="141"/>
      <c r="F104" s="29">
        <f>(F85+F82)*7.75%</f>
        <v>3447.9749999999999</v>
      </c>
      <c r="G104" s="32"/>
    </row>
    <row r="105" spans="1:7" ht="15" thickBot="1" x14ac:dyDescent="0.35">
      <c r="A105" s="40"/>
      <c r="B105" s="25"/>
      <c r="C105" s="25"/>
      <c r="D105" s="31"/>
      <c r="E105" s="25"/>
      <c r="F105" s="41"/>
    </row>
    <row r="106" spans="1:7" x14ac:dyDescent="0.3">
      <c r="A106" s="142" t="s">
        <v>84</v>
      </c>
      <c r="B106" s="143"/>
      <c r="C106" s="59"/>
      <c r="D106" s="60"/>
      <c r="E106" s="59"/>
      <c r="F106" s="77"/>
    </row>
    <row r="107" spans="1:7" x14ac:dyDescent="0.3">
      <c r="A107" s="53"/>
      <c r="B107" s="46" t="str">
        <f>B39</f>
        <v>Optical glass shipping and customs costs</v>
      </c>
      <c r="C107" s="66"/>
      <c r="D107" s="67"/>
      <c r="E107" s="68"/>
      <c r="F107" s="65">
        <f>F39</f>
        <v>950</v>
      </c>
    </row>
    <row r="108" spans="1:7" ht="15" thickBot="1" x14ac:dyDescent="0.35">
      <c r="A108" s="53"/>
      <c r="B108" s="46" t="s">
        <v>85</v>
      </c>
      <c r="C108" s="69"/>
      <c r="D108" s="70"/>
      <c r="E108" s="71"/>
      <c r="F108" s="75">
        <v>300</v>
      </c>
    </row>
    <row r="109" spans="1:7" ht="15" thickBot="1" x14ac:dyDescent="0.35">
      <c r="A109" s="40"/>
      <c r="B109" s="25"/>
      <c r="C109" s="25"/>
      <c r="D109" s="137" t="s">
        <v>87</v>
      </c>
      <c r="E109" s="138"/>
      <c r="F109" s="29">
        <f>SUM(F107:F108)</f>
        <v>1250</v>
      </c>
      <c r="G109" s="32"/>
    </row>
    <row r="110" spans="1:7" ht="15" thickBot="1" x14ac:dyDescent="0.35">
      <c r="A110" s="40"/>
      <c r="B110" s="25"/>
      <c r="C110" s="25"/>
      <c r="D110" s="31"/>
      <c r="E110" s="25"/>
      <c r="F110" s="41"/>
    </row>
    <row r="111" spans="1:7" ht="18.600000000000001" thickBot="1" x14ac:dyDescent="0.4">
      <c r="A111" s="43"/>
      <c r="B111" s="44"/>
      <c r="C111" s="44"/>
      <c r="D111" s="139" t="s">
        <v>236</v>
      </c>
      <c r="E111" s="140"/>
      <c r="F111" s="39">
        <f>SUM(F82,F85,F90,F101,F104,F109)</f>
        <v>60212.974999999999</v>
      </c>
      <c r="G111" s="33"/>
    </row>
    <row r="112" spans="1:7" x14ac:dyDescent="0.3">
      <c r="G112" s="201" t="s">
        <v>238</v>
      </c>
    </row>
    <row r="113" spans="5:8" x14ac:dyDescent="0.3">
      <c r="E113" s="1" t="s">
        <v>88</v>
      </c>
      <c r="F113" s="11">
        <f>SUM(F70,F101,F104,F109)</f>
        <v>159292.255</v>
      </c>
      <c r="G113" s="23">
        <f>F111+G82</f>
        <v>166249.97500000001</v>
      </c>
      <c r="H113" s="11">
        <f>SUM(H74:H111)</f>
        <v>38240.474999999999</v>
      </c>
    </row>
    <row r="116" spans="5:8" ht="43.2" x14ac:dyDescent="0.3">
      <c r="E116" s="1" t="s">
        <v>239</v>
      </c>
    </row>
  </sheetData>
  <mergeCells count="26">
    <mergeCell ref="D85:E85"/>
    <mergeCell ref="A73:B73"/>
    <mergeCell ref="A84:B84"/>
    <mergeCell ref="A87:B87"/>
    <mergeCell ref="A92:B92"/>
    <mergeCell ref="D109:E109"/>
    <mergeCell ref="D90:E90"/>
    <mergeCell ref="D111:E111"/>
    <mergeCell ref="D104:E104"/>
    <mergeCell ref="A103:B103"/>
    <mergeCell ref="A106:B106"/>
    <mergeCell ref="D101:E101"/>
    <mergeCell ref="A1:B1"/>
    <mergeCell ref="A2:B2"/>
    <mergeCell ref="A49:B49"/>
    <mergeCell ref="D82:E82"/>
    <mergeCell ref="A43:B43"/>
    <mergeCell ref="A58:B58"/>
    <mergeCell ref="A15:B15"/>
    <mergeCell ref="A62:B62"/>
    <mergeCell ref="A19:B19"/>
    <mergeCell ref="A27:B27"/>
    <mergeCell ref="A10:B10"/>
    <mergeCell ref="A35:B35"/>
    <mergeCell ref="A72:G72"/>
    <mergeCell ref="G2:H2"/>
  </mergeCells>
  <pageMargins left="0.7" right="0.7" top="0.75" bottom="0.75" header="0.3" footer="0.3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33" sqref="E33"/>
    </sheetView>
  </sheetViews>
  <sheetFormatPr defaultRowHeight="14.4" x14ac:dyDescent="0.3"/>
  <cols>
    <col min="1" max="1" width="17.109375" style="82" customWidth="1"/>
    <col min="2" max="2" width="21.109375" style="82" customWidth="1"/>
    <col min="3" max="3" width="15.6640625" style="82" customWidth="1"/>
    <col min="4" max="4" width="17.77734375" style="82" customWidth="1"/>
    <col min="5" max="5" width="31.21875" style="82" customWidth="1"/>
    <col min="6" max="6" width="12.88671875" style="82" customWidth="1"/>
    <col min="7" max="8" width="12.88671875" style="83" customWidth="1"/>
    <col min="9" max="9" width="11.77734375" style="83" customWidth="1"/>
    <col min="10" max="10" width="10.77734375" style="83" customWidth="1"/>
    <col min="11" max="11" width="40.6640625" style="82" customWidth="1"/>
    <col min="12" max="16384" width="8.88671875" style="82"/>
  </cols>
  <sheetData>
    <row r="1" spans="1:11" ht="21.6" thickBot="1" x14ac:dyDescent="0.35">
      <c r="A1" s="158" t="s">
        <v>124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</row>
    <row r="2" spans="1:11" ht="58.2" thickBot="1" x14ac:dyDescent="0.35">
      <c r="A2" s="86" t="s">
        <v>125</v>
      </c>
      <c r="B2" s="86" t="s">
        <v>126</v>
      </c>
      <c r="C2" s="86" t="s">
        <v>127</v>
      </c>
      <c r="D2" s="86" t="s">
        <v>128</v>
      </c>
      <c r="E2" s="86" t="s">
        <v>129</v>
      </c>
      <c r="F2" s="86" t="s">
        <v>130</v>
      </c>
      <c r="G2" s="87" t="s">
        <v>131</v>
      </c>
      <c r="H2" s="87" t="s">
        <v>182</v>
      </c>
      <c r="I2" s="87" t="s">
        <v>132</v>
      </c>
      <c r="J2" s="87" t="s">
        <v>133</v>
      </c>
      <c r="K2" s="86" t="s">
        <v>2</v>
      </c>
    </row>
    <row r="3" spans="1:11" ht="101.4" thickBot="1" x14ac:dyDescent="0.35">
      <c r="A3" s="100" t="s">
        <v>134</v>
      </c>
      <c r="B3" s="93" t="s">
        <v>135</v>
      </c>
      <c r="C3" s="93" t="s">
        <v>136</v>
      </c>
      <c r="D3" s="93" t="s">
        <v>137</v>
      </c>
      <c r="E3" s="94" t="s">
        <v>138</v>
      </c>
      <c r="F3" s="95">
        <v>43728</v>
      </c>
      <c r="G3" s="85">
        <v>335000</v>
      </c>
      <c r="H3" s="85">
        <f>((G3-I3)/2)+I3</f>
        <v>217000</v>
      </c>
      <c r="I3" s="96">
        <v>99000</v>
      </c>
      <c r="J3" s="96">
        <f>G3+(2*I3)</f>
        <v>533000</v>
      </c>
      <c r="K3" s="97" t="s">
        <v>197</v>
      </c>
    </row>
    <row r="4" spans="1:11" x14ac:dyDescent="0.3">
      <c r="A4" s="145" t="s">
        <v>139</v>
      </c>
      <c r="B4" s="148" t="s">
        <v>140</v>
      </c>
      <c r="C4" s="148" t="s">
        <v>141</v>
      </c>
      <c r="D4" s="148" t="s">
        <v>142</v>
      </c>
      <c r="E4" s="161" t="s">
        <v>143</v>
      </c>
      <c r="F4" s="156">
        <v>43728</v>
      </c>
      <c r="G4" s="101" t="s">
        <v>144</v>
      </c>
      <c r="H4" s="101" t="s">
        <v>144</v>
      </c>
      <c r="I4" s="151">
        <v>66759</v>
      </c>
      <c r="J4" s="151">
        <f>G5+G7+(2*I4)</f>
        <v>288160</v>
      </c>
      <c r="K4" s="152" t="s">
        <v>145</v>
      </c>
    </row>
    <row r="5" spans="1:11" x14ac:dyDescent="0.3">
      <c r="A5" s="155"/>
      <c r="B5" s="149"/>
      <c r="C5" s="149"/>
      <c r="D5" s="149"/>
      <c r="E5" s="149"/>
      <c r="F5" s="149"/>
      <c r="G5" s="99">
        <v>87883</v>
      </c>
      <c r="H5" s="99">
        <f>G5/2</f>
        <v>43941.5</v>
      </c>
      <c r="I5" s="162"/>
      <c r="J5" s="149"/>
      <c r="K5" s="153"/>
    </row>
    <row r="6" spans="1:11" x14ac:dyDescent="0.3">
      <c r="A6" s="155"/>
      <c r="B6" s="149"/>
      <c r="C6" s="149" t="s">
        <v>146</v>
      </c>
      <c r="D6" s="149" t="s">
        <v>147</v>
      </c>
      <c r="E6" s="157" t="s">
        <v>148</v>
      </c>
      <c r="F6" s="149"/>
      <c r="G6" s="102" t="s">
        <v>149</v>
      </c>
      <c r="H6" s="102" t="s">
        <v>149</v>
      </c>
      <c r="I6" s="162"/>
      <c r="J6" s="149"/>
      <c r="K6" s="153"/>
    </row>
    <row r="7" spans="1:11" ht="15" thickBot="1" x14ac:dyDescent="0.35">
      <c r="A7" s="155"/>
      <c r="B7" s="149"/>
      <c r="C7" s="149"/>
      <c r="D7" s="149"/>
      <c r="E7" s="149"/>
      <c r="F7" s="149"/>
      <c r="G7" s="88">
        <v>66759</v>
      </c>
      <c r="H7" s="88">
        <f>G7</f>
        <v>66759</v>
      </c>
      <c r="I7" s="149"/>
      <c r="J7" s="149"/>
      <c r="K7" s="153"/>
    </row>
    <row r="8" spans="1:11" ht="15" thickBot="1" x14ac:dyDescent="0.35">
      <c r="A8" s="147"/>
      <c r="B8" s="150"/>
      <c r="C8" s="91"/>
      <c r="D8" s="91"/>
      <c r="E8" s="91"/>
      <c r="F8" s="107" t="s">
        <v>16</v>
      </c>
      <c r="G8" s="85">
        <f>G5+G7</f>
        <v>154642</v>
      </c>
      <c r="H8" s="85">
        <f>H5+H7</f>
        <v>110700.5</v>
      </c>
      <c r="I8" s="91"/>
      <c r="J8" s="91"/>
      <c r="K8" s="154"/>
    </row>
    <row r="9" spans="1:11" x14ac:dyDescent="0.3">
      <c r="A9" s="145" t="s">
        <v>156</v>
      </c>
      <c r="B9" s="148" t="s">
        <v>157</v>
      </c>
      <c r="C9" s="92" t="s">
        <v>158</v>
      </c>
      <c r="D9" s="92" t="s">
        <v>159</v>
      </c>
      <c r="E9" s="103" t="s">
        <v>160</v>
      </c>
      <c r="F9" s="156">
        <v>43728</v>
      </c>
      <c r="G9" s="101" t="s">
        <v>144</v>
      </c>
      <c r="H9" s="101" t="s">
        <v>144</v>
      </c>
      <c r="I9" s="151">
        <v>52000</v>
      </c>
      <c r="J9" s="151">
        <f>G10+G12+(2*I9)</f>
        <v>306000</v>
      </c>
      <c r="K9" s="152" t="s">
        <v>161</v>
      </c>
    </row>
    <row r="10" spans="1:11" x14ac:dyDescent="0.3">
      <c r="A10" s="146"/>
      <c r="B10" s="149"/>
      <c r="C10" s="90" t="s">
        <v>162</v>
      </c>
      <c r="D10" s="90" t="s">
        <v>159</v>
      </c>
      <c r="E10" s="98" t="s">
        <v>163</v>
      </c>
      <c r="F10" s="149"/>
      <c r="G10" s="104">
        <v>137000</v>
      </c>
      <c r="H10" s="104">
        <f>G10/2</f>
        <v>68500</v>
      </c>
      <c r="I10" s="149"/>
      <c r="J10" s="149"/>
      <c r="K10" s="153"/>
    </row>
    <row r="11" spans="1:11" x14ac:dyDescent="0.3">
      <c r="A11" s="146"/>
      <c r="B11" s="149"/>
      <c r="C11" s="90" t="s">
        <v>164</v>
      </c>
      <c r="D11" s="90" t="s">
        <v>159</v>
      </c>
      <c r="E11" s="98" t="s">
        <v>165</v>
      </c>
      <c r="F11" s="149"/>
      <c r="G11" s="102" t="s">
        <v>149</v>
      </c>
      <c r="H11" s="102" t="s">
        <v>149</v>
      </c>
      <c r="I11" s="149"/>
      <c r="J11" s="149"/>
      <c r="K11" s="153"/>
    </row>
    <row r="12" spans="1:11" ht="15" thickBot="1" x14ac:dyDescent="0.35">
      <c r="A12" s="146"/>
      <c r="B12" s="149"/>
      <c r="C12" s="90" t="s">
        <v>166</v>
      </c>
      <c r="D12" s="90" t="s">
        <v>159</v>
      </c>
      <c r="E12" s="98" t="s">
        <v>167</v>
      </c>
      <c r="F12" s="149"/>
      <c r="G12" s="89">
        <v>65000</v>
      </c>
      <c r="H12" s="89">
        <f>(G12+I9)/2</f>
        <v>58500</v>
      </c>
      <c r="I12" s="149"/>
      <c r="J12" s="149"/>
      <c r="K12" s="153"/>
    </row>
    <row r="13" spans="1:11" ht="15" thickBot="1" x14ac:dyDescent="0.35">
      <c r="A13" s="105"/>
      <c r="B13" s="91"/>
      <c r="C13" s="91"/>
      <c r="D13" s="91"/>
      <c r="E13" s="106"/>
      <c r="F13" s="107" t="s">
        <v>16</v>
      </c>
      <c r="G13" s="85">
        <f>G10+G12</f>
        <v>202000</v>
      </c>
      <c r="H13" s="85">
        <f>H10+H12</f>
        <v>127000</v>
      </c>
      <c r="I13" s="91"/>
      <c r="J13" s="91"/>
      <c r="K13" s="154"/>
    </row>
    <row r="14" spans="1:11" ht="43.2" x14ac:dyDescent="0.3">
      <c r="A14" s="145" t="s">
        <v>168</v>
      </c>
      <c r="B14" s="148" t="s">
        <v>169</v>
      </c>
      <c r="C14" s="92" t="s">
        <v>170</v>
      </c>
      <c r="D14" s="92" t="s">
        <v>171</v>
      </c>
      <c r="E14" s="103" t="s">
        <v>172</v>
      </c>
      <c r="F14" s="156">
        <v>43728</v>
      </c>
      <c r="G14" s="101" t="s">
        <v>144</v>
      </c>
      <c r="H14" s="101" t="s">
        <v>144</v>
      </c>
      <c r="I14" s="151">
        <v>107000</v>
      </c>
      <c r="J14" s="151">
        <f>G18+(2*I14)</f>
        <v>418000</v>
      </c>
      <c r="K14" s="152" t="s">
        <v>173</v>
      </c>
    </row>
    <row r="15" spans="1:11" ht="28.8" x14ac:dyDescent="0.3">
      <c r="A15" s="155"/>
      <c r="B15" s="149"/>
      <c r="C15" s="90" t="s">
        <v>174</v>
      </c>
      <c r="D15" s="90" t="s">
        <v>175</v>
      </c>
      <c r="E15" s="98" t="s">
        <v>176</v>
      </c>
      <c r="F15" s="149"/>
      <c r="G15" s="104">
        <v>97000</v>
      </c>
      <c r="H15" s="104">
        <f>G15/2</f>
        <v>48500</v>
      </c>
      <c r="I15" s="149"/>
      <c r="J15" s="149"/>
      <c r="K15" s="153"/>
    </row>
    <row r="16" spans="1:11" x14ac:dyDescent="0.3">
      <c r="A16" s="155"/>
      <c r="B16" s="149"/>
      <c r="C16" s="90"/>
      <c r="D16" s="90"/>
      <c r="E16" s="98"/>
      <c r="F16" s="149"/>
      <c r="G16" s="102" t="s">
        <v>149</v>
      </c>
      <c r="H16" s="102" t="s">
        <v>149</v>
      </c>
      <c r="I16" s="149"/>
      <c r="J16" s="149"/>
      <c r="K16" s="153"/>
    </row>
    <row r="17" spans="1:11" ht="15" thickBot="1" x14ac:dyDescent="0.35">
      <c r="A17" s="155"/>
      <c r="B17" s="149"/>
      <c r="C17" s="90" t="s">
        <v>177</v>
      </c>
      <c r="D17" s="90"/>
      <c r="E17" s="98" t="s">
        <v>178</v>
      </c>
      <c r="F17" s="149"/>
      <c r="G17" s="89">
        <v>107000</v>
      </c>
      <c r="H17" s="89">
        <v>107000</v>
      </c>
      <c r="I17" s="149"/>
      <c r="J17" s="149"/>
      <c r="K17" s="153"/>
    </row>
    <row r="18" spans="1:11" ht="15" thickBot="1" x14ac:dyDescent="0.35">
      <c r="A18" s="147"/>
      <c r="B18" s="150"/>
      <c r="C18" s="91"/>
      <c r="D18" s="91"/>
      <c r="E18" s="106"/>
      <c r="F18" s="107" t="s">
        <v>16</v>
      </c>
      <c r="G18" s="85">
        <f>G15+G17</f>
        <v>204000</v>
      </c>
      <c r="H18" s="85">
        <f>H15+H17</f>
        <v>155500</v>
      </c>
      <c r="I18" s="150"/>
      <c r="J18" s="150"/>
      <c r="K18" s="154"/>
    </row>
    <row r="19" spans="1:11" x14ac:dyDescent="0.3">
      <c r="A19" s="145" t="s">
        <v>179</v>
      </c>
      <c r="B19" s="148" t="s">
        <v>180</v>
      </c>
      <c r="C19" s="92"/>
      <c r="D19" s="92"/>
      <c r="E19" s="92"/>
      <c r="F19" s="92"/>
      <c r="G19" s="101" t="s">
        <v>144</v>
      </c>
      <c r="H19" s="101" t="s">
        <v>144</v>
      </c>
      <c r="I19" s="151">
        <f>G22</f>
        <v>52598.21</v>
      </c>
      <c r="J19" s="151">
        <f>G20+G22+(2*I19)</f>
        <v>206834.63</v>
      </c>
      <c r="K19" s="152" t="s">
        <v>181</v>
      </c>
    </row>
    <row r="20" spans="1:11" x14ac:dyDescent="0.3">
      <c r="A20" s="146"/>
      <c r="B20" s="149"/>
      <c r="C20" s="90"/>
      <c r="D20" s="90"/>
      <c r="E20" s="90"/>
      <c r="F20" s="90"/>
      <c r="G20" s="104">
        <f>'MBARI&amp;VendorSummary'!D10</f>
        <v>49040</v>
      </c>
      <c r="H20" s="104">
        <f>G20/2</f>
        <v>24520</v>
      </c>
      <c r="I20" s="149"/>
      <c r="J20" s="149"/>
      <c r="K20" s="153"/>
    </row>
    <row r="21" spans="1:11" x14ac:dyDescent="0.3">
      <c r="A21" s="146"/>
      <c r="B21" s="149"/>
      <c r="C21" s="90"/>
      <c r="D21" s="90"/>
      <c r="E21" s="90"/>
      <c r="F21" s="90"/>
      <c r="G21" s="102" t="s">
        <v>149</v>
      </c>
      <c r="H21" s="102" t="s">
        <v>149</v>
      </c>
      <c r="I21" s="149"/>
      <c r="J21" s="149"/>
      <c r="K21" s="153"/>
    </row>
    <row r="22" spans="1:11" ht="15" thickBot="1" x14ac:dyDescent="0.35">
      <c r="A22" s="146"/>
      <c r="B22" s="149"/>
      <c r="C22" s="90"/>
      <c r="D22" s="90"/>
      <c r="E22" s="90"/>
      <c r="F22" s="90"/>
      <c r="G22" s="89">
        <f>'MBARI&amp;VendorSummary'!D19</f>
        <v>52598.21</v>
      </c>
      <c r="H22" s="89">
        <f>G22</f>
        <v>52598.21</v>
      </c>
      <c r="I22" s="149"/>
      <c r="J22" s="149"/>
      <c r="K22" s="153"/>
    </row>
    <row r="23" spans="1:11" ht="15" thickBot="1" x14ac:dyDescent="0.35">
      <c r="A23" s="147"/>
      <c r="B23" s="150"/>
      <c r="C23" s="91"/>
      <c r="D23" s="91"/>
      <c r="E23" s="91"/>
      <c r="F23" s="107" t="s">
        <v>16</v>
      </c>
      <c r="G23" s="85">
        <f>G20+G22</f>
        <v>101638.20999999999</v>
      </c>
      <c r="H23" s="85">
        <f>H20+H22</f>
        <v>77118.209999999992</v>
      </c>
      <c r="I23" s="88"/>
      <c r="J23" s="88"/>
      <c r="K23" s="154"/>
    </row>
    <row r="24" spans="1:11" ht="43.8" thickBot="1" x14ac:dyDescent="0.35">
      <c r="A24" s="100" t="s">
        <v>150</v>
      </c>
      <c r="B24" s="93" t="s">
        <v>151</v>
      </c>
      <c r="C24" s="93" t="s">
        <v>152</v>
      </c>
      <c r="D24" s="93" t="s">
        <v>153</v>
      </c>
      <c r="E24" s="94" t="s">
        <v>154</v>
      </c>
      <c r="F24" s="95">
        <v>43728</v>
      </c>
      <c r="G24" s="96"/>
      <c r="H24" s="96"/>
      <c r="I24" s="96"/>
      <c r="J24" s="96"/>
      <c r="K24" s="97" t="s">
        <v>155</v>
      </c>
    </row>
  </sheetData>
  <mergeCells count="30">
    <mergeCell ref="A9:A12"/>
    <mergeCell ref="B9:B12"/>
    <mergeCell ref="F9:F12"/>
    <mergeCell ref="A19:A23"/>
    <mergeCell ref="F14:F17"/>
    <mergeCell ref="B19:B23"/>
    <mergeCell ref="K19:K23"/>
    <mergeCell ref="A14:A18"/>
    <mergeCell ref="B14:B18"/>
    <mergeCell ref="I14:I18"/>
    <mergeCell ref="J14:J18"/>
    <mergeCell ref="K14:K18"/>
    <mergeCell ref="I19:I22"/>
    <mergeCell ref="J19:J22"/>
    <mergeCell ref="I9:I12"/>
    <mergeCell ref="J9:J12"/>
    <mergeCell ref="A1:K1"/>
    <mergeCell ref="C4:C5"/>
    <mergeCell ref="D4:D5"/>
    <mergeCell ref="E4:E5"/>
    <mergeCell ref="F4:F7"/>
    <mergeCell ref="I4:I7"/>
    <mergeCell ref="J4:J7"/>
    <mergeCell ref="A4:A8"/>
    <mergeCell ref="B4:B8"/>
    <mergeCell ref="K4:K8"/>
    <mergeCell ref="K9:K13"/>
    <mergeCell ref="C6:C7"/>
    <mergeCell ref="D6:D7"/>
    <mergeCell ref="E6:E7"/>
  </mergeCells>
  <hyperlinks>
    <hyperlink ref="E3" r:id="rId1"/>
    <hyperlink ref="E4" r:id="rId2"/>
    <hyperlink ref="E6" r:id="rId3"/>
    <hyperlink ref="E9" r:id="rId4"/>
    <hyperlink ref="E10" r:id="rId5"/>
    <hyperlink ref="E11" r:id="rId6"/>
    <hyperlink ref="E12" r:id="rId7"/>
    <hyperlink ref="E14" r:id="rId8"/>
    <hyperlink ref="E15" r:id="rId9"/>
    <hyperlink ref="E24" r:id="rId10"/>
    <hyperlink ref="E17" r:id="rId1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24"/>
    </sheetView>
  </sheetViews>
  <sheetFormatPr defaultRowHeight="14.4" x14ac:dyDescent="0.3"/>
  <cols>
    <col min="1" max="1" width="17.109375" style="82" customWidth="1"/>
    <col min="2" max="2" width="15.6640625" style="82" customWidth="1"/>
    <col min="3" max="3" width="12.88671875" style="82" customWidth="1"/>
    <col min="4" max="4" width="12.88671875" style="83" customWidth="1"/>
    <col min="5" max="5" width="11.77734375" style="83" customWidth="1"/>
    <col min="6" max="6" width="10.77734375" style="83" customWidth="1"/>
    <col min="7" max="7" width="40.6640625" style="82" customWidth="1"/>
    <col min="8" max="16384" width="8.88671875" style="82"/>
  </cols>
  <sheetData>
    <row r="1" spans="1:7" ht="21.6" thickBot="1" x14ac:dyDescent="0.35">
      <c r="A1" s="158" t="s">
        <v>124</v>
      </c>
      <c r="B1" s="159"/>
      <c r="C1" s="159"/>
      <c r="D1" s="159"/>
      <c r="E1" s="159"/>
      <c r="F1" s="159"/>
      <c r="G1" s="160"/>
    </row>
    <row r="2" spans="1:7" ht="29.4" thickBot="1" x14ac:dyDescent="0.35">
      <c r="A2" s="227" t="s">
        <v>125</v>
      </c>
      <c r="B2" s="228" t="s">
        <v>127</v>
      </c>
      <c r="C2" s="228" t="s">
        <v>130</v>
      </c>
      <c r="D2" s="229" t="s">
        <v>131</v>
      </c>
      <c r="E2" s="229" t="s">
        <v>132</v>
      </c>
      <c r="F2" s="229" t="s">
        <v>133</v>
      </c>
      <c r="G2" s="230" t="s">
        <v>2</v>
      </c>
    </row>
    <row r="3" spans="1:7" ht="72.599999999999994" thickBot="1" x14ac:dyDescent="0.35">
      <c r="A3" s="100" t="s">
        <v>134</v>
      </c>
      <c r="B3" s="93" t="s">
        <v>136</v>
      </c>
      <c r="C3" s="95">
        <v>43728</v>
      </c>
      <c r="D3" s="85">
        <v>335000</v>
      </c>
      <c r="E3" s="96">
        <v>99000</v>
      </c>
      <c r="F3" s="96">
        <f>D3+(2*E3)</f>
        <v>533000</v>
      </c>
      <c r="G3" s="97" t="s">
        <v>268</v>
      </c>
    </row>
    <row r="4" spans="1:7" ht="14.4" customHeight="1" x14ac:dyDescent="0.3">
      <c r="A4" s="145" t="s">
        <v>139</v>
      </c>
      <c r="B4" s="148" t="s">
        <v>141</v>
      </c>
      <c r="C4" s="156">
        <v>43728</v>
      </c>
      <c r="D4" s="101" t="s">
        <v>144</v>
      </c>
      <c r="E4" s="151">
        <v>66759</v>
      </c>
      <c r="F4" s="151">
        <f>D5+D7+(2*E4)</f>
        <v>288160</v>
      </c>
      <c r="G4" s="152" t="s">
        <v>269</v>
      </c>
    </row>
    <row r="5" spans="1:7" x14ac:dyDescent="0.3">
      <c r="A5" s="155"/>
      <c r="B5" s="149"/>
      <c r="C5" s="149"/>
      <c r="D5" s="126">
        <v>87883</v>
      </c>
      <c r="E5" s="162"/>
      <c r="F5" s="149"/>
      <c r="G5" s="153"/>
    </row>
    <row r="6" spans="1:7" x14ac:dyDescent="0.3">
      <c r="A6" s="155"/>
      <c r="B6" s="149" t="s">
        <v>146</v>
      </c>
      <c r="C6" s="149"/>
      <c r="D6" s="102" t="s">
        <v>149</v>
      </c>
      <c r="E6" s="162"/>
      <c r="F6" s="149"/>
      <c r="G6" s="153"/>
    </row>
    <row r="7" spans="1:7" ht="15" thickBot="1" x14ac:dyDescent="0.35">
      <c r="A7" s="155"/>
      <c r="B7" s="149"/>
      <c r="C7" s="149"/>
      <c r="D7" s="88">
        <v>66759</v>
      </c>
      <c r="E7" s="149"/>
      <c r="F7" s="149"/>
      <c r="G7" s="153"/>
    </row>
    <row r="8" spans="1:7" ht="15" thickBot="1" x14ac:dyDescent="0.35">
      <c r="A8" s="147"/>
      <c r="B8" s="124"/>
      <c r="C8" s="107" t="s">
        <v>16</v>
      </c>
      <c r="D8" s="85">
        <f>D5+D7</f>
        <v>154642</v>
      </c>
      <c r="E8" s="124"/>
      <c r="F8" s="124"/>
      <c r="G8" s="154"/>
    </row>
    <row r="9" spans="1:7" ht="14.4" customHeight="1" x14ac:dyDescent="0.3">
      <c r="A9" s="145" t="s">
        <v>156</v>
      </c>
      <c r="B9" s="123" t="s">
        <v>158</v>
      </c>
      <c r="C9" s="156">
        <v>43728</v>
      </c>
      <c r="D9" s="101" t="s">
        <v>144</v>
      </c>
      <c r="E9" s="151">
        <v>52000</v>
      </c>
      <c r="F9" s="151">
        <f>D10+D12+(2*E9)</f>
        <v>306000</v>
      </c>
      <c r="G9" s="152" t="s">
        <v>271</v>
      </c>
    </row>
    <row r="10" spans="1:7" x14ac:dyDescent="0.3">
      <c r="A10" s="146"/>
      <c r="B10" s="122" t="s">
        <v>162</v>
      </c>
      <c r="C10" s="149"/>
      <c r="D10" s="104">
        <v>137000</v>
      </c>
      <c r="E10" s="149"/>
      <c r="F10" s="149"/>
      <c r="G10" s="153"/>
    </row>
    <row r="11" spans="1:7" x14ac:dyDescent="0.3">
      <c r="A11" s="146"/>
      <c r="B11" s="122" t="s">
        <v>164</v>
      </c>
      <c r="C11" s="149"/>
      <c r="D11" s="102" t="s">
        <v>149</v>
      </c>
      <c r="E11" s="149"/>
      <c r="F11" s="149"/>
      <c r="G11" s="153"/>
    </row>
    <row r="12" spans="1:7" ht="15" thickBot="1" x14ac:dyDescent="0.35">
      <c r="A12" s="146"/>
      <c r="B12" s="122" t="s">
        <v>166</v>
      </c>
      <c r="C12" s="149"/>
      <c r="D12" s="89">
        <v>65000</v>
      </c>
      <c r="E12" s="149"/>
      <c r="F12" s="149"/>
      <c r="G12" s="153"/>
    </row>
    <row r="13" spans="1:7" ht="15" thickBot="1" x14ac:dyDescent="0.35">
      <c r="A13" s="121"/>
      <c r="B13" s="124"/>
      <c r="C13" s="107" t="s">
        <v>16</v>
      </c>
      <c r="D13" s="85">
        <f>D10+D12</f>
        <v>202000</v>
      </c>
      <c r="E13" s="124"/>
      <c r="F13" s="124"/>
      <c r="G13" s="154"/>
    </row>
    <row r="14" spans="1:7" ht="43.2" customHeight="1" x14ac:dyDescent="0.3">
      <c r="A14" s="145" t="s">
        <v>168</v>
      </c>
      <c r="B14" s="123" t="s">
        <v>170</v>
      </c>
      <c r="C14" s="156">
        <v>43728</v>
      </c>
      <c r="D14" s="101" t="s">
        <v>144</v>
      </c>
      <c r="E14" s="151">
        <v>107000</v>
      </c>
      <c r="F14" s="151">
        <f>D18+(2*E14)</f>
        <v>418000</v>
      </c>
      <c r="G14" s="152" t="s">
        <v>270</v>
      </c>
    </row>
    <row r="15" spans="1:7" ht="28.8" x14ac:dyDescent="0.3">
      <c r="A15" s="155"/>
      <c r="B15" s="122" t="s">
        <v>174</v>
      </c>
      <c r="C15" s="149"/>
      <c r="D15" s="104">
        <v>97000</v>
      </c>
      <c r="E15" s="149"/>
      <c r="F15" s="149"/>
      <c r="G15" s="153"/>
    </row>
    <row r="16" spans="1:7" x14ac:dyDescent="0.3">
      <c r="A16" s="155"/>
      <c r="B16" s="122"/>
      <c r="C16" s="149"/>
      <c r="D16" s="102" t="s">
        <v>149</v>
      </c>
      <c r="E16" s="149"/>
      <c r="F16" s="149"/>
      <c r="G16" s="153"/>
    </row>
    <row r="17" spans="1:7" ht="15" thickBot="1" x14ac:dyDescent="0.35">
      <c r="A17" s="155"/>
      <c r="B17" s="122" t="s">
        <v>177</v>
      </c>
      <c r="C17" s="149"/>
      <c r="D17" s="89">
        <v>107000</v>
      </c>
      <c r="E17" s="149"/>
      <c r="F17" s="149"/>
      <c r="G17" s="153"/>
    </row>
    <row r="18" spans="1:7" ht="15" thickBot="1" x14ac:dyDescent="0.35">
      <c r="A18" s="147"/>
      <c r="B18" s="124"/>
      <c r="C18" s="107" t="s">
        <v>16</v>
      </c>
      <c r="D18" s="85">
        <f>D15+D17</f>
        <v>204000</v>
      </c>
      <c r="E18" s="150"/>
      <c r="F18" s="150"/>
      <c r="G18" s="154"/>
    </row>
    <row r="19" spans="1:7" x14ac:dyDescent="0.3">
      <c r="A19" s="145" t="s">
        <v>263</v>
      </c>
      <c r="B19" s="123"/>
      <c r="C19" s="123"/>
      <c r="D19" s="101" t="s">
        <v>144</v>
      </c>
      <c r="E19" s="151">
        <f>D22</f>
        <v>52598.21</v>
      </c>
      <c r="F19" s="151">
        <f>D20+D22+(2*E19)</f>
        <v>206834.63</v>
      </c>
      <c r="G19" s="152" t="s">
        <v>266</v>
      </c>
    </row>
    <row r="20" spans="1:7" x14ac:dyDescent="0.3">
      <c r="A20" s="146"/>
      <c r="B20" s="122"/>
      <c r="C20" s="122"/>
      <c r="D20" s="104">
        <f>'MBARI&amp;VendorSummary'!D10</f>
        <v>49040</v>
      </c>
      <c r="E20" s="149"/>
      <c r="F20" s="149"/>
      <c r="G20" s="153"/>
    </row>
    <row r="21" spans="1:7" x14ac:dyDescent="0.3">
      <c r="A21" s="146"/>
      <c r="B21" s="122"/>
      <c r="C21" s="122"/>
      <c r="D21" s="102" t="s">
        <v>149</v>
      </c>
      <c r="E21" s="149"/>
      <c r="F21" s="149"/>
      <c r="G21" s="153"/>
    </row>
    <row r="22" spans="1:7" ht="15" thickBot="1" x14ac:dyDescent="0.35">
      <c r="A22" s="146"/>
      <c r="B22" s="122"/>
      <c r="C22" s="122"/>
      <c r="D22" s="89">
        <f>'MBARI&amp;VendorSummary'!D19</f>
        <v>52598.21</v>
      </c>
      <c r="E22" s="149"/>
      <c r="F22" s="149"/>
      <c r="G22" s="153"/>
    </row>
    <row r="23" spans="1:7" ht="15" thickBot="1" x14ac:dyDescent="0.35">
      <c r="A23" s="147"/>
      <c r="B23" s="124"/>
      <c r="C23" s="107" t="s">
        <v>16</v>
      </c>
      <c r="D23" s="85">
        <f>D20+D22</f>
        <v>101638.20999999999</v>
      </c>
      <c r="E23" s="88"/>
      <c r="F23" s="88"/>
      <c r="G23" s="154"/>
    </row>
    <row r="24" spans="1:7" ht="15" thickBot="1" x14ac:dyDescent="0.35">
      <c r="A24" s="100" t="s">
        <v>264</v>
      </c>
      <c r="B24" s="93" t="s">
        <v>152</v>
      </c>
      <c r="C24" s="95">
        <v>43728</v>
      </c>
      <c r="D24" s="85" t="s">
        <v>265</v>
      </c>
      <c r="E24" s="96"/>
      <c r="F24" s="96"/>
      <c r="G24" s="97" t="s">
        <v>267</v>
      </c>
    </row>
  </sheetData>
  <mergeCells count="22">
    <mergeCell ref="A19:A23"/>
    <mergeCell ref="E19:E22"/>
    <mergeCell ref="F19:F22"/>
    <mergeCell ref="G19:G23"/>
    <mergeCell ref="E9:E12"/>
    <mergeCell ref="F9:F12"/>
    <mergeCell ref="G9:G13"/>
    <mergeCell ref="A14:A18"/>
    <mergeCell ref="C14:C17"/>
    <mergeCell ref="E14:E18"/>
    <mergeCell ref="F14:F18"/>
    <mergeCell ref="G14:G18"/>
    <mergeCell ref="B6:B7"/>
    <mergeCell ref="A9:A12"/>
    <mergeCell ref="C9:C12"/>
    <mergeCell ref="A1:G1"/>
    <mergeCell ref="A4:A8"/>
    <mergeCell ref="B4:B5"/>
    <mergeCell ref="C4:C7"/>
    <mergeCell ref="E4:E7"/>
    <mergeCell ref="F4:F7"/>
    <mergeCell ref="G4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3" sqref="C13"/>
    </sheetView>
  </sheetViews>
  <sheetFormatPr defaultRowHeight="14.4" x14ac:dyDescent="0.3"/>
  <cols>
    <col min="1" max="1" width="22.88671875" customWidth="1"/>
    <col min="2" max="2" width="12.109375" customWidth="1"/>
    <col min="3" max="3" width="11.5546875" customWidth="1"/>
    <col min="4" max="4" width="16" customWidth="1"/>
    <col min="5" max="5" width="16.5546875" customWidth="1"/>
  </cols>
  <sheetData>
    <row r="1" spans="1:5" x14ac:dyDescent="0.3">
      <c r="A1" t="s">
        <v>229</v>
      </c>
    </row>
    <row r="3" spans="1:5" ht="15" thickBot="1" x14ac:dyDescent="0.35"/>
    <row r="4" spans="1:5" ht="15" thickBot="1" x14ac:dyDescent="0.35">
      <c r="A4" s="133" t="s">
        <v>248</v>
      </c>
      <c r="B4" s="209"/>
      <c r="C4" s="209"/>
      <c r="D4" s="210"/>
    </row>
    <row r="5" spans="1:5" x14ac:dyDescent="0.3">
      <c r="A5" s="214"/>
      <c r="B5" s="211" t="s">
        <v>230</v>
      </c>
      <c r="C5" s="211" t="s">
        <v>231</v>
      </c>
      <c r="D5" s="215"/>
    </row>
    <row r="6" spans="1:5" x14ac:dyDescent="0.3">
      <c r="A6" s="216" t="s">
        <v>119</v>
      </c>
      <c r="B6" s="208">
        <f>(80000/2)</f>
        <v>40000</v>
      </c>
      <c r="C6" s="208">
        <f>(57000/2)+('MBARI&amp;VendorSummary'!F10/2)</f>
        <v>98700</v>
      </c>
      <c r="D6" s="218" t="s">
        <v>247</v>
      </c>
    </row>
    <row r="7" spans="1:5" ht="15" thickBot="1" x14ac:dyDescent="0.35">
      <c r="A7" s="53" t="s">
        <v>262</v>
      </c>
      <c r="B7" s="213">
        <f>('Raw&amp;ProposalFormatedCosts'!G70)*1.0775</f>
        <v>83102.187499999985</v>
      </c>
      <c r="C7" s="213">
        <f>'MBARI&amp;VendorSummary'!F17+('Raw&amp;ProposalFormatedCosts'!H70*1.0775)+(VendorCostComparsion_NRE_Share!H12)</f>
        <v>118405.88920000001</v>
      </c>
      <c r="D7" s="218"/>
    </row>
    <row r="8" spans="1:5" ht="15" thickBot="1" x14ac:dyDescent="0.35">
      <c r="A8" s="55" t="s">
        <v>232</v>
      </c>
      <c r="B8" s="217">
        <f t="shared" ref="B8:C8" si="0">SUM(B6:B7)</f>
        <v>123102.18749999999</v>
      </c>
      <c r="C8" s="217">
        <f t="shared" si="0"/>
        <v>217105.88920000001</v>
      </c>
      <c r="D8" s="212">
        <f>SUM(B8:C8)</f>
        <v>340208.07669999998</v>
      </c>
      <c r="E8" s="182"/>
    </row>
    <row r="9" spans="1:5" ht="15" thickBot="1" x14ac:dyDescent="0.35">
      <c r="A9" s="120"/>
      <c r="B9" s="182"/>
      <c r="C9" s="182"/>
      <c r="D9" s="182"/>
      <c r="E9" s="182"/>
    </row>
    <row r="10" spans="1:5" ht="15" thickBot="1" x14ac:dyDescent="0.35">
      <c r="A10" s="133" t="s">
        <v>249</v>
      </c>
      <c r="B10" s="209"/>
      <c r="C10" s="209"/>
      <c r="D10" s="210"/>
    </row>
    <row r="11" spans="1:5" x14ac:dyDescent="0.3">
      <c r="A11" s="214"/>
      <c r="B11" s="211" t="s">
        <v>230</v>
      </c>
      <c r="C11" s="211" t="s">
        <v>231</v>
      </c>
      <c r="D11" s="215"/>
    </row>
    <row r="12" spans="1:5" x14ac:dyDescent="0.3">
      <c r="A12" s="216" t="s">
        <v>119</v>
      </c>
      <c r="B12" s="208">
        <f>(80000/3)</f>
        <v>26666.666666666668</v>
      </c>
      <c r="C12" s="208">
        <f>(57000/3)+('MBARI&amp;VendorSummary'!F10/3)</f>
        <v>65800</v>
      </c>
      <c r="D12" s="218" t="s">
        <v>247</v>
      </c>
    </row>
    <row r="13" spans="1:5" ht="15" thickBot="1" x14ac:dyDescent="0.35">
      <c r="A13" s="53" t="s">
        <v>262</v>
      </c>
      <c r="B13" s="213">
        <f>('Raw&amp;ProposalFormatedCosts'!G70)*1.0775</f>
        <v>83102.187499999985</v>
      </c>
      <c r="C13" s="213">
        <f>'MBARI&amp;VendorSummary'!F17+('Raw&amp;ProposalFormatedCosts'!H70*1.0775)+(VendorCostComparsion_NRE_Share!H12)</f>
        <v>118405.88920000001</v>
      </c>
      <c r="D13" s="218"/>
    </row>
    <row r="14" spans="1:5" ht="15" thickBot="1" x14ac:dyDescent="0.35">
      <c r="A14" s="55" t="s">
        <v>232</v>
      </c>
      <c r="B14" s="217">
        <f t="shared" ref="B14" si="1">SUM(B12:B13)</f>
        <v>109768.85416666666</v>
      </c>
      <c r="C14" s="217">
        <f t="shared" ref="C14" si="2">SUM(C12:C13)</f>
        <v>184205.88920000001</v>
      </c>
      <c r="D14" s="212">
        <f>SUM(B14:C14)</f>
        <v>293974.74336666666</v>
      </c>
    </row>
  </sheetData>
  <mergeCells count="4">
    <mergeCell ref="A10:D10"/>
    <mergeCell ref="A4:D4"/>
    <mergeCell ref="D6:D7"/>
    <mergeCell ref="D12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6" sqref="B6"/>
    </sheetView>
  </sheetViews>
  <sheetFormatPr defaultRowHeight="14.4" x14ac:dyDescent="0.3"/>
  <cols>
    <col min="1" max="1" width="18.77734375" style="82" customWidth="1"/>
    <col min="2" max="2" width="16.5546875" style="82" customWidth="1"/>
    <col min="3" max="3" width="12" style="82" customWidth="1"/>
    <col min="4" max="4" width="11.88671875" style="83" customWidth="1"/>
    <col min="5" max="5" width="10.88671875" style="83" customWidth="1"/>
    <col min="6" max="6" width="12.77734375" style="82" customWidth="1"/>
    <col min="7" max="7" width="9.5546875" style="82" customWidth="1"/>
    <col min="8" max="8" width="13.6640625" style="82" customWidth="1"/>
    <col min="9" max="9" width="10.88671875" style="82" customWidth="1"/>
    <col min="10" max="10" width="19.109375" style="82" customWidth="1"/>
    <col min="11" max="11" width="13.5546875" style="82" customWidth="1"/>
    <col min="12" max="16384" width="8.88671875" style="82"/>
  </cols>
  <sheetData>
    <row r="1" spans="1:11" ht="18.600000000000001" thickBot="1" x14ac:dyDescent="0.35">
      <c r="A1" s="163" t="s">
        <v>216</v>
      </c>
      <c r="B1" s="164"/>
      <c r="C1" s="164"/>
      <c r="D1" s="165"/>
      <c r="E1" s="165"/>
      <c r="F1" s="165"/>
      <c r="G1" s="165"/>
      <c r="H1" s="165"/>
      <c r="I1" s="165"/>
      <c r="J1" s="165"/>
      <c r="K1" s="166"/>
    </row>
    <row r="2" spans="1:11" ht="43.2" x14ac:dyDescent="0.3">
      <c r="A2" s="116"/>
      <c r="B2" s="117" t="s">
        <v>186</v>
      </c>
      <c r="C2" s="117" t="s">
        <v>187</v>
      </c>
      <c r="D2" s="118" t="s">
        <v>188</v>
      </c>
      <c r="E2" s="118" t="s">
        <v>214</v>
      </c>
      <c r="F2" s="117" t="s">
        <v>189</v>
      </c>
      <c r="G2" s="117" t="s">
        <v>217</v>
      </c>
      <c r="H2" s="117" t="s">
        <v>190</v>
      </c>
      <c r="I2" s="117" t="s">
        <v>195</v>
      </c>
      <c r="J2" s="117" t="s">
        <v>202</v>
      </c>
      <c r="K2" s="119" t="s">
        <v>191</v>
      </c>
    </row>
    <row r="3" spans="1:11" ht="28.8" x14ac:dyDescent="0.3">
      <c r="A3" s="114" t="s">
        <v>192</v>
      </c>
      <c r="B3" s="109" t="s">
        <v>200</v>
      </c>
      <c r="C3" s="109" t="s">
        <v>193</v>
      </c>
      <c r="D3" s="108">
        <f>'MBARI&amp;VendorSummary'!D9+'MBARI&amp;VendorSummary'!D18</f>
        <v>36838.21</v>
      </c>
      <c r="E3" s="108"/>
      <c r="F3" s="108">
        <f>'MBARI&amp;VendorSummary'!D8+'MBARI&amp;VendorSummary'!D17</f>
        <v>64800</v>
      </c>
      <c r="G3" s="108" t="s">
        <v>218</v>
      </c>
      <c r="H3" s="109" t="s">
        <v>207</v>
      </c>
      <c r="I3" s="109" t="s">
        <v>201</v>
      </c>
      <c r="J3" s="109" t="s">
        <v>194</v>
      </c>
      <c r="K3" s="110" t="s">
        <v>212</v>
      </c>
    </row>
    <row r="4" spans="1:11" ht="28.8" x14ac:dyDescent="0.3">
      <c r="A4" s="114" t="s">
        <v>196</v>
      </c>
      <c r="B4" s="109" t="s">
        <v>200</v>
      </c>
      <c r="C4" s="109" t="s">
        <v>198</v>
      </c>
      <c r="D4" s="108">
        <f>VendorCostComparsion_NRE_Share!G8</f>
        <v>154642</v>
      </c>
      <c r="E4" s="108">
        <f>VendorCostComparsion_NRE_Share!H8</f>
        <v>110700.5</v>
      </c>
      <c r="F4" s="108" t="s">
        <v>206</v>
      </c>
      <c r="G4" s="108" t="s">
        <v>218</v>
      </c>
      <c r="H4" s="109" t="s">
        <v>208</v>
      </c>
      <c r="I4" s="109" t="s">
        <v>205</v>
      </c>
      <c r="J4" s="109" t="s">
        <v>203</v>
      </c>
      <c r="K4" s="110" t="s">
        <v>211</v>
      </c>
    </row>
    <row r="5" spans="1:11" ht="40.799999999999997" customHeight="1" x14ac:dyDescent="0.3">
      <c r="A5" s="114" t="s">
        <v>199</v>
      </c>
      <c r="B5" s="109" t="s">
        <v>200</v>
      </c>
      <c r="C5" s="109" t="s">
        <v>193</v>
      </c>
      <c r="D5" s="108">
        <f>VendorCostComparsion_NRE_Share!G13</f>
        <v>202000</v>
      </c>
      <c r="E5" s="108">
        <f>VendorCostComparsion_NRE_Share!H13</f>
        <v>127000</v>
      </c>
      <c r="F5" s="109" t="s">
        <v>206</v>
      </c>
      <c r="G5" s="109" t="s">
        <v>219</v>
      </c>
      <c r="H5" s="109" t="s">
        <v>208</v>
      </c>
      <c r="I5" s="109" t="s">
        <v>204</v>
      </c>
      <c r="J5" s="109" t="s">
        <v>203</v>
      </c>
      <c r="K5" s="110" t="s">
        <v>210</v>
      </c>
    </row>
    <row r="6" spans="1:11" ht="43.8" thickBot="1" x14ac:dyDescent="0.35">
      <c r="A6" s="115" t="s">
        <v>209</v>
      </c>
      <c r="B6" s="111" t="s">
        <v>213</v>
      </c>
      <c r="C6" s="111" t="s">
        <v>198</v>
      </c>
      <c r="D6" s="112">
        <f>VendorCostComparsion_NRE_Share!G18</f>
        <v>204000</v>
      </c>
      <c r="E6" s="112">
        <f>VendorCostComparsion_NRE_Share!H18</f>
        <v>155500</v>
      </c>
      <c r="F6" s="111" t="s">
        <v>206</v>
      </c>
      <c r="G6" s="111" t="s">
        <v>218</v>
      </c>
      <c r="H6" s="111" t="s">
        <v>207</v>
      </c>
      <c r="I6" s="111" t="s">
        <v>204</v>
      </c>
      <c r="J6" s="111" t="s">
        <v>203</v>
      </c>
      <c r="K6" s="113" t="s">
        <v>210</v>
      </c>
    </row>
    <row r="14" spans="1:11" x14ac:dyDescent="0.3">
      <c r="F14" s="83"/>
      <c r="G14" s="83"/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C16" sqref="C16:C17"/>
    </sheetView>
  </sheetViews>
  <sheetFormatPr defaultRowHeight="14.4" x14ac:dyDescent="0.3"/>
  <cols>
    <col min="1" max="1" width="49.6640625" style="120" customWidth="1"/>
    <col min="2" max="2" width="15.109375" style="120" customWidth="1"/>
    <col min="3" max="3" width="13.44140625" style="120" customWidth="1"/>
    <col min="4" max="4" width="13.88671875" style="120" customWidth="1"/>
    <col min="5" max="5" width="12.77734375" style="82" customWidth="1"/>
    <col min="6" max="16384" width="8.88671875" style="120"/>
  </cols>
  <sheetData>
    <row r="1" spans="1:5" ht="58.2" thickBot="1" x14ac:dyDescent="0.35">
      <c r="A1" s="168" t="s">
        <v>227</v>
      </c>
      <c r="B1" s="169" t="s">
        <v>226</v>
      </c>
      <c r="C1" s="169" t="s">
        <v>222</v>
      </c>
      <c r="D1" s="181" t="s">
        <v>225</v>
      </c>
      <c r="E1" s="231" t="s">
        <v>228</v>
      </c>
    </row>
    <row r="2" spans="1:5" ht="26.4" customHeight="1" x14ac:dyDescent="0.3">
      <c r="A2" s="172" t="s">
        <v>272</v>
      </c>
      <c r="B2" s="175">
        <v>0</v>
      </c>
      <c r="C2" s="175">
        <f>'Raw&amp;ProposalFormatedCosts'!G82+'Raw&amp;ProposalFormatedCosts'!F111</f>
        <v>166249.97500000001</v>
      </c>
      <c r="D2" s="178">
        <f>SUM(B2:C2)</f>
        <v>166249.97500000001</v>
      </c>
      <c r="E2" s="232">
        <f>D2-$C$2</f>
        <v>0</v>
      </c>
    </row>
    <row r="3" spans="1:5" ht="31.2" x14ac:dyDescent="0.3">
      <c r="A3" s="173" t="s">
        <v>273</v>
      </c>
      <c r="B3" s="176">
        <f>'Raw&amp;ProposalFormatedCosts'!G82</f>
        <v>106037</v>
      </c>
      <c r="C3" s="176">
        <f>'Raw&amp;ProposalFormatedCosts'!F111</f>
        <v>60212.974999999999</v>
      </c>
      <c r="D3" s="179">
        <f t="shared" ref="D3:D5" si="0">SUM(B3:C3)</f>
        <v>166249.97500000001</v>
      </c>
      <c r="E3" s="233">
        <f t="shared" ref="E3:E5" si="1">D3-$C$2</f>
        <v>0</v>
      </c>
    </row>
    <row r="4" spans="1:5" ht="31.2" x14ac:dyDescent="0.3">
      <c r="A4" s="173" t="s">
        <v>224</v>
      </c>
      <c r="B4" s="176">
        <f>('Raw&amp;ProposalFormatedCosts'!G82+80000)</f>
        <v>186037</v>
      </c>
      <c r="C4" s="176">
        <f>C3+57000+((65000-(('Raw&amp;ProposalFormatedCosts'!F41+'Raw&amp;ProposalFormatedCosts'!F47)))*1.0775)</f>
        <v>153294.14000000001</v>
      </c>
      <c r="D4" s="179">
        <f t="shared" si="0"/>
        <v>339331.14</v>
      </c>
      <c r="E4" s="233">
        <f t="shared" si="1"/>
        <v>173081.16500000001</v>
      </c>
    </row>
    <row r="5" spans="1:5" ht="31.8" thickBot="1" x14ac:dyDescent="0.35">
      <c r="A5" s="174" t="s">
        <v>223</v>
      </c>
      <c r="B5" s="177">
        <f>('Raw&amp;ProposalFormatedCosts'!G82+(80000/2))</f>
        <v>146037</v>
      </c>
      <c r="C5" s="177">
        <f>C3+((57000/2)+((((65000+52000)/2)-('Raw&amp;ProposalFormatedCosts'!F41+'Raw&amp;ProposalFormatedCosts'!F47))*1.0775))</f>
        <v>117790.38999999998</v>
      </c>
      <c r="D5" s="180">
        <f t="shared" si="0"/>
        <v>263827.39</v>
      </c>
      <c r="E5" s="234">
        <f t="shared" si="1"/>
        <v>97577.415000000008</v>
      </c>
    </row>
    <row r="6" spans="1:5" ht="29.4" thickBot="1" x14ac:dyDescent="0.35">
      <c r="A6" s="237" t="s">
        <v>274</v>
      </c>
      <c r="B6" s="238">
        <f>B4-B3</f>
        <v>80000</v>
      </c>
      <c r="C6" s="171">
        <f>C4-C3</f>
        <v>93081.165000000008</v>
      </c>
      <c r="D6" s="240">
        <f>D4-D3</f>
        <v>173081.16500000001</v>
      </c>
    </row>
    <row r="7" spans="1:5" ht="43.8" thickBot="1" x14ac:dyDescent="0.35">
      <c r="A7" s="235" t="s">
        <v>275</v>
      </c>
      <c r="B7" s="239">
        <f>B5-B3</f>
        <v>40000</v>
      </c>
      <c r="C7" s="170">
        <f t="shared" ref="C7:D7" si="2">C5-C3</f>
        <v>57577.414999999986</v>
      </c>
      <c r="D7" s="241">
        <f t="shared" si="2"/>
        <v>97577.415000000008</v>
      </c>
    </row>
    <row r="8" spans="1:5" ht="15" thickBot="1" x14ac:dyDescent="0.35">
      <c r="A8" s="236" t="s">
        <v>276</v>
      </c>
      <c r="B8" s="242">
        <f>B6-B7</f>
        <v>40000</v>
      </c>
      <c r="C8" s="243">
        <f t="shared" ref="C8:D8" si="3">C6-C7</f>
        <v>35503.750000000022</v>
      </c>
      <c r="D8" s="244">
        <f t="shared" si="3"/>
        <v>75503.75</v>
      </c>
    </row>
    <row r="11" spans="1:5" x14ac:dyDescent="0.3">
      <c r="C11" s="120" t="s">
        <v>108</v>
      </c>
    </row>
    <row r="18" spans="1:1" x14ac:dyDescent="0.3">
      <c r="A18" s="120" t="s">
        <v>108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MBARI&amp;VendorSummary</vt:lpstr>
      <vt:lpstr>Raw&amp;ProposalFormatedCosts</vt:lpstr>
      <vt:lpstr>VendorCostComparsion_NRE_Share</vt:lpstr>
      <vt:lpstr>VendorCostComparisonGraphic</vt:lpstr>
      <vt:lpstr>SharedNREBreakdown</vt:lpstr>
      <vt:lpstr>ComparisonMatrix</vt:lpstr>
      <vt:lpstr>CostBuyAhead+2020Summary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2019-10-30T22:59:51Z</cp:lastPrinted>
  <dcterms:created xsi:type="dcterms:W3CDTF">2019-05-03T22:18:49Z</dcterms:created>
  <dcterms:modified xsi:type="dcterms:W3CDTF">2019-10-31T22:27:14Z</dcterms:modified>
</cp:coreProperties>
</file>