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2010_MesoPelagic_LRAUV\Project Drawings\Proj_ME_Dwgs\Dp_PressureHull\"/>
    </mc:Choice>
  </mc:AlternateContent>
  <bookViews>
    <workbookView xWindow="0" yWindow="0" windowWidth="22995" windowHeight="9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55" i="1" l="1"/>
  <c r="AD55" i="1" s="1"/>
  <c r="AA55" i="1"/>
  <c r="P55" i="1"/>
  <c r="V55" i="1"/>
  <c r="AB49" i="1"/>
  <c r="AB52" i="1"/>
  <c r="AA52" i="1"/>
  <c r="P52" i="1"/>
  <c r="V52" i="1"/>
  <c r="AA49" i="1"/>
  <c r="P49" i="1"/>
  <c r="V49" i="1"/>
  <c r="AC49" i="1" l="1"/>
  <c r="AD52" i="1"/>
  <c r="AC52" i="1"/>
  <c r="AE52" i="1" s="1"/>
  <c r="AD49" i="1"/>
  <c r="AE49" i="1" s="1"/>
  <c r="AC55" i="1"/>
  <c r="AE55" i="1" s="1"/>
  <c r="AB46" i="1"/>
  <c r="AA46" i="1"/>
  <c r="V46" i="1"/>
  <c r="P46" i="1"/>
  <c r="AB43" i="1"/>
  <c r="V43" i="1"/>
  <c r="E43" i="1"/>
  <c r="P43" i="1" s="1"/>
  <c r="AD43" i="1" l="1"/>
  <c r="AA43" i="1"/>
  <c r="AD46" i="1"/>
  <c r="AC43" i="1"/>
  <c r="AE43" i="1" s="1"/>
  <c r="AC46" i="1"/>
  <c r="AE46" i="1" s="1"/>
  <c r="AB30" i="1"/>
  <c r="AA30" i="1"/>
  <c r="AB40" i="1"/>
  <c r="AA40" i="1"/>
  <c r="P40" i="1"/>
  <c r="V40" i="1"/>
  <c r="P30" i="1"/>
  <c r="V30" i="1"/>
  <c r="AB36" i="1"/>
  <c r="AA36" i="1"/>
  <c r="P36" i="1"/>
  <c r="AB33" i="1"/>
  <c r="AA33" i="1"/>
  <c r="P33" i="1"/>
  <c r="AC33" i="1" l="1"/>
  <c r="AC36" i="1"/>
  <c r="AD33" i="1"/>
  <c r="AD40" i="1"/>
  <c r="AD36" i="1"/>
  <c r="AC30" i="1"/>
  <c r="AD30" i="1"/>
  <c r="AE30" i="1" s="1"/>
  <c r="AE33" i="1"/>
  <c r="AC40" i="1"/>
  <c r="AE40" i="1" s="1"/>
  <c r="AE36" i="1"/>
  <c r="AB8" i="1"/>
  <c r="AB11" i="1"/>
  <c r="AB14" i="1"/>
  <c r="AB17" i="1"/>
  <c r="AB18" i="1"/>
  <c r="AB21" i="1"/>
  <c r="AB24" i="1"/>
  <c r="AB27" i="1"/>
  <c r="AA27" i="1"/>
  <c r="P27" i="1"/>
  <c r="V27" i="1"/>
  <c r="N76" i="1"/>
  <c r="AA76" i="1"/>
  <c r="V76" i="1"/>
  <c r="T76" i="1"/>
  <c r="P76" i="1"/>
  <c r="P74" i="1"/>
  <c r="N74" i="1"/>
  <c r="AA74" i="1"/>
  <c r="AA73" i="1"/>
  <c r="P73" i="1"/>
  <c r="N73" i="1"/>
  <c r="T74" i="1"/>
  <c r="V73" i="1"/>
  <c r="T73" i="1"/>
  <c r="N71" i="1"/>
  <c r="N70" i="1"/>
  <c r="T69" i="1"/>
  <c r="N69" i="1"/>
  <c r="AA65" i="1"/>
  <c r="V65" i="1"/>
  <c r="T65" i="1"/>
  <c r="P65" i="1"/>
  <c r="N65" i="1"/>
  <c r="AA64" i="1"/>
  <c r="V64" i="1"/>
  <c r="T64" i="1"/>
  <c r="P64" i="1"/>
  <c r="N64" i="1"/>
  <c r="N63" i="1"/>
  <c r="N62" i="1"/>
  <c r="V63" i="1"/>
  <c r="V62" i="1"/>
  <c r="AD73" i="1" l="1"/>
  <c r="AE73" i="1" s="1"/>
  <c r="AD27" i="1"/>
  <c r="AD64" i="1"/>
  <c r="AE64" i="1" s="1"/>
  <c r="AD65" i="1"/>
  <c r="AE65" i="1" s="1"/>
  <c r="AC27" i="1"/>
  <c r="AD74" i="1"/>
  <c r="AE74" i="1" s="1"/>
  <c r="AE27" i="1"/>
  <c r="AD76" i="1"/>
  <c r="AE76" i="1" s="1"/>
  <c r="AA24" i="1"/>
  <c r="P24" i="1"/>
  <c r="AD24" i="1" s="1"/>
  <c r="AC24" i="1" l="1"/>
  <c r="AA21" i="1"/>
  <c r="P21" i="1"/>
  <c r="AD21" i="1" s="1"/>
  <c r="AE24" i="1" l="1"/>
  <c r="AC21" i="1"/>
  <c r="AE21" i="1" s="1"/>
  <c r="P18" i="1"/>
  <c r="AD18" i="1" s="1"/>
  <c r="AA18" i="1"/>
  <c r="AA17" i="1"/>
  <c r="P17" i="1"/>
  <c r="AD17" i="1" s="1"/>
  <c r="P14" i="1"/>
  <c r="AD14" i="1"/>
  <c r="AA14" i="1"/>
  <c r="AA11" i="1"/>
  <c r="P11" i="1"/>
  <c r="AD11" i="1" l="1"/>
  <c r="AC17" i="1"/>
  <c r="AC18" i="1"/>
  <c r="AE18" i="1" s="1"/>
  <c r="AE17" i="1"/>
  <c r="AC14" i="1"/>
  <c r="AE14" i="1" s="1"/>
  <c r="AC11" i="1"/>
  <c r="AE11" i="1" l="1"/>
  <c r="E8" i="1"/>
  <c r="AA8" i="1" s="1"/>
  <c r="AC8" i="1" l="1"/>
  <c r="P8" i="1"/>
  <c r="AD8" i="1" s="1"/>
  <c r="P71" i="1"/>
  <c r="T71" i="1"/>
  <c r="AA71" i="1"/>
  <c r="P70" i="1"/>
  <c r="T70" i="1"/>
  <c r="AA70" i="1"/>
  <c r="AD70" i="1" l="1"/>
  <c r="AE70" i="1" s="1"/>
  <c r="AD71" i="1"/>
  <c r="AE71" i="1" s="1"/>
  <c r="AE8" i="1"/>
  <c r="T63" i="1" l="1"/>
  <c r="T62" i="1"/>
  <c r="P69" i="1"/>
  <c r="AD69" i="1" s="1"/>
  <c r="P81" i="1"/>
  <c r="AD81" i="1" l="1"/>
  <c r="AE81" i="1" s="1"/>
  <c r="AA81" i="1"/>
  <c r="AA69" i="1"/>
  <c r="AA63" i="1"/>
  <c r="AA62" i="1"/>
  <c r="P63" i="1"/>
  <c r="AD63" i="1" s="1"/>
  <c r="P62" i="1"/>
  <c r="AD62" i="1" s="1"/>
  <c r="AE69" i="1" l="1"/>
  <c r="AE63" i="1"/>
  <c r="AE62" i="1"/>
  <c r="L1" i="1" l="1"/>
  <c r="V36" i="1" l="1"/>
  <c r="V33" i="1"/>
  <c r="V24" i="1"/>
  <c r="V21" i="1"/>
  <c r="V17" i="1"/>
  <c r="V11" i="1"/>
  <c r="V8" i="1"/>
  <c r="V14" i="1"/>
</calcChain>
</file>

<file path=xl/sharedStrings.xml><?xml version="1.0" encoding="utf-8"?>
<sst xmlns="http://schemas.openxmlformats.org/spreadsheetml/2006/main" count="91" uniqueCount="63">
  <si>
    <t>Ring Stiffened PV comparison Table</t>
  </si>
  <si>
    <t>Clear I.D.</t>
  </si>
  <si>
    <t>I.D. shell</t>
  </si>
  <si>
    <t>O.D SHELL</t>
  </si>
  <si>
    <t>No. of Frames (N)</t>
  </si>
  <si>
    <t>Frame Spacing (L.f)</t>
  </si>
  <si>
    <t>b.0</t>
  </si>
  <si>
    <t>h.0</t>
  </si>
  <si>
    <t>b.2</t>
  </si>
  <si>
    <t>h.2</t>
  </si>
  <si>
    <t>Axisymmetric Yield Stress</t>
  </si>
  <si>
    <t>Asymmetric (Lobar) Buckling [Shell Instability] P.crit</t>
  </si>
  <si>
    <t>Design Depth (m) =</t>
  </si>
  <si>
    <t xml:space="preserve">q (psi) = </t>
  </si>
  <si>
    <t>Stress @ Frame</t>
  </si>
  <si>
    <t>Frame Tripping (stress) compare to Stress @ Frame</t>
  </si>
  <si>
    <t>Shell Length (L.b)</t>
  </si>
  <si>
    <t>Wet Wt. @ Depth</t>
  </si>
  <si>
    <t>Shell Wall Thickness</t>
  </si>
  <si>
    <t>Margin of Safety for Buckling</t>
  </si>
  <si>
    <t>Wet Wt. of Case</t>
  </si>
  <si>
    <t>Ext. Vol. of Case (in^3)</t>
  </si>
  <si>
    <t>Radial Disp. Shell @ Mid-Bay (in.)</t>
  </si>
  <si>
    <t>Radial Disp. Shell @ Frame(in.)</t>
  </si>
  <si>
    <t>General Instability P.crit (K1)</t>
  </si>
  <si>
    <t>Axial Disp.Shell (in./in.)</t>
  </si>
  <si>
    <t>LRAUV  300m (Aluminum)</t>
  </si>
  <si>
    <t>Delta Radius Change  EXTERNAL (in)</t>
  </si>
  <si>
    <t>Difference</t>
  </si>
  <si>
    <t>x</t>
  </si>
  <si>
    <t>Max. Stress (Hoop Str)</t>
  </si>
  <si>
    <t>b.1 (web)</t>
  </si>
  <si>
    <t>h.1 (web)</t>
  </si>
  <si>
    <t>Dry Wt. of Case (lbf.)</t>
  </si>
  <si>
    <t>SW-density=</t>
  </si>
  <si>
    <t>.03706 lbf/in^3</t>
  </si>
  <si>
    <t>SW-density_DEEP=</t>
  </si>
  <si>
    <t>SW-density_@300m =</t>
  </si>
  <si>
    <t>.03706+(300*1.45876*.03706)/325,000 = .037110</t>
  </si>
  <si>
    <t>LM Graphite_Epoxy  Fiber Tube 1500m (48L@+/-80)</t>
  </si>
  <si>
    <t>.03706+(1500*1.45876*.03706)/325,000 = .037143</t>
  </si>
  <si>
    <t>LM Graphite_Epoxy  Fiber Tube 1500m (48L@+/-70)</t>
  </si>
  <si>
    <t>LM Graphite_Epoxy  Fiber Tube 1500m (48L@+/-60)</t>
  </si>
  <si>
    <t>Thin</t>
  </si>
  <si>
    <t>Thick</t>
  </si>
  <si>
    <t>thick</t>
  </si>
  <si>
    <t>thin</t>
  </si>
  <si>
    <t>Titanium Tube 1500m</t>
  </si>
  <si>
    <t>LM Graphite_Epoxy  Fiber Tube 1500m (50L@+/-60)</t>
  </si>
  <si>
    <t>LM Graphite_Epoxy  Fiber Tube 1500m (54L@+/-60)</t>
  </si>
  <si>
    <t>LM Graphite_Epoxy  Fiber Tube 1500m (56L@+/-60)</t>
  </si>
  <si>
    <t>Aluminum Tube 1500m</t>
  </si>
  <si>
    <t>Margin of Safety over 1.375</t>
  </si>
  <si>
    <t>Margin of Safety for Buckling over 2</t>
  </si>
  <si>
    <t>SF =</t>
  </si>
  <si>
    <t>LM Graphite_Epoxy  Fiber Tube 1500m (56L@+/-55)</t>
  </si>
  <si>
    <t>LM Graphite_Epoxy  Fiber Tube 1500m (58L@+/-60)</t>
  </si>
  <si>
    <t>LM Graphite_Epoxy  Fiber Tube 1500m (58L@+/-55)</t>
  </si>
  <si>
    <t>LM Graphite_Epoxy  Fiber Tube 1500m (54L@+/-55)</t>
  </si>
  <si>
    <t>thick-9.8</t>
  </si>
  <si>
    <t>LM Graphite_Epoxy  Fiber Tube 1500m (52L@+/-55)</t>
  </si>
  <si>
    <t>thin-10.2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</si>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</sst>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textRotation="75"/>
    </xf>
    <xf numFmtId="49" fontId="0" fillId="0" borderId="0" xfId="0" applyNumberFormat="1" applyAlignment="1">
      <alignment textRotation="75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textRotation="75"/>
    </xf>
    <xf numFmtId="49" fontId="0" fillId="2" borderId="0" xfId="0" applyNumberFormat="1" applyFill="1" applyAlignment="1">
      <alignment textRotation="75" wrapText="1"/>
    </xf>
    <xf numFmtId="167" fontId="0" fillId="0" borderId="0" xfId="0" applyNumberFormat="1"/>
    <xf numFmtId="168" fontId="0" fillId="0" borderId="0" xfId="0" applyNumberFormat="1"/>
    <xf numFmtId="0" fontId="1" fillId="0" borderId="0" xfId="1"/>
    <xf numFmtId="0" fontId="2" fillId="0" borderId="0" xfId="0" applyFont="1"/>
    <xf numFmtId="2" fontId="2" fillId="0" borderId="0" xfId="0" applyNumberFormat="1" applyFont="1"/>
    <xf numFmtId="2" fontId="0" fillId="2" borderId="0" xfId="0" applyNumberFormat="1" applyFill="1"/>
    <xf numFmtId="0" fontId="3" fillId="0" borderId="0" xfId="0" applyFont="1"/>
    <xf numFmtId="2" fontId="3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W-density_@300m%20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9"/>
  <sheetViews>
    <sheetView tabSelected="1" topLeftCell="A2" zoomScale="90" zoomScaleNormal="90" zoomScalePageLayoutView="50" workbookViewId="0">
      <pane ySplit="4485" activePane="bottomLeft"/>
      <selection activeCell="AB3" sqref="AB3"/>
      <selection pane="bottomLeft" activeCell="AJ13" sqref="AJ13"/>
    </sheetView>
  </sheetViews>
  <sheetFormatPr defaultRowHeight="15" x14ac:dyDescent="0.25"/>
  <cols>
    <col min="1" max="1" width="9" customWidth="1"/>
    <col min="2" max="2" width="7.140625" customWidth="1"/>
    <col min="3" max="4" width="7.7109375" customWidth="1"/>
    <col min="5" max="5" width="9" customWidth="1"/>
    <col min="6" max="7" width="7.42578125" customWidth="1"/>
    <col min="8" max="8" width="7.28515625" customWidth="1"/>
    <col min="9" max="9" width="6.5703125" customWidth="1"/>
    <col min="10" max="10" width="7.42578125" customWidth="1"/>
    <col min="11" max="11" width="7.28515625" customWidth="1"/>
    <col min="12" max="12" width="6.42578125" customWidth="1"/>
    <col min="15" max="15" width="11.85546875" customWidth="1"/>
    <col min="16" max="16" width="11.42578125" customWidth="1"/>
    <col min="17" max="17" width="11" customWidth="1"/>
    <col min="18" max="18" width="7.5703125" customWidth="1"/>
    <col min="19" max="20" width="7.42578125" customWidth="1"/>
    <col min="26" max="26" width="2.5703125" customWidth="1"/>
    <col min="34" max="34" width="17.7109375" customWidth="1"/>
  </cols>
  <sheetData>
    <row r="1" spans="1:38" ht="25.9" customHeight="1" x14ac:dyDescent="0.25">
      <c r="A1" t="s">
        <v>0</v>
      </c>
      <c r="G1" t="s">
        <v>12</v>
      </c>
      <c r="I1" s="10">
        <v>1500</v>
      </c>
      <c r="K1" t="s">
        <v>13</v>
      </c>
      <c r="L1" s="2">
        <f>$I$1*1.45876</f>
        <v>2188.14</v>
      </c>
      <c r="O1" t="s">
        <v>34</v>
      </c>
      <c r="P1" t="s">
        <v>35</v>
      </c>
      <c r="S1" t="s">
        <v>36</v>
      </c>
      <c r="V1" t="s">
        <v>40</v>
      </c>
    </row>
    <row r="2" spans="1:38" ht="19.899999999999999" customHeight="1" x14ac:dyDescent="0.25">
      <c r="M2" s="8"/>
      <c r="N2" s="8"/>
      <c r="O2" s="8"/>
      <c r="P2" s="9" t="s">
        <v>10</v>
      </c>
      <c r="Q2" s="8"/>
      <c r="R2" s="8"/>
      <c r="S2" s="8"/>
      <c r="T2" s="8"/>
    </row>
    <row r="3" spans="1:38" s="3" customFormat="1" ht="180.75" customHeight="1" x14ac:dyDescent="0.25">
      <c r="A3" s="11" t="s">
        <v>1</v>
      </c>
      <c r="B3" s="11" t="s">
        <v>16</v>
      </c>
      <c r="C3" s="11" t="s">
        <v>2</v>
      </c>
      <c r="D3" s="11" t="s">
        <v>18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31</v>
      </c>
      <c r="K3" s="11" t="s">
        <v>32</v>
      </c>
      <c r="L3" s="11" t="s">
        <v>8</v>
      </c>
      <c r="M3" s="11" t="s">
        <v>9</v>
      </c>
      <c r="N3" s="11" t="s">
        <v>25</v>
      </c>
      <c r="O3" s="11" t="s">
        <v>27</v>
      </c>
      <c r="P3" s="3" t="s">
        <v>22</v>
      </c>
      <c r="Q3" s="11" t="s">
        <v>23</v>
      </c>
      <c r="R3" s="11" t="s">
        <v>14</v>
      </c>
      <c r="S3" s="11" t="s">
        <v>30</v>
      </c>
      <c r="T3" s="11" t="s">
        <v>52</v>
      </c>
      <c r="U3" s="12" t="s">
        <v>11</v>
      </c>
      <c r="V3" s="4" t="s">
        <v>53</v>
      </c>
      <c r="W3" s="12" t="s">
        <v>24</v>
      </c>
      <c r="X3" s="12" t="s">
        <v>19</v>
      </c>
      <c r="Y3" s="12" t="s">
        <v>15</v>
      </c>
      <c r="AA3" s="3" t="s">
        <v>21</v>
      </c>
      <c r="AB3" s="11" t="s">
        <v>33</v>
      </c>
      <c r="AC3" s="3" t="s">
        <v>20</v>
      </c>
      <c r="AD3" s="3" t="s">
        <v>17</v>
      </c>
      <c r="AE3" s="3" t="s">
        <v>28</v>
      </c>
    </row>
    <row r="5" spans="1:38" x14ac:dyDescent="0.25">
      <c r="A5" s="5"/>
      <c r="C5" s="5"/>
      <c r="D5" s="5"/>
      <c r="E5" s="5"/>
      <c r="F5" s="2"/>
      <c r="G5" s="2"/>
      <c r="I5" s="2"/>
      <c r="J5" s="5"/>
      <c r="K5" s="5"/>
      <c r="L5" s="5"/>
      <c r="M5" s="5"/>
      <c r="P5" s="7"/>
      <c r="Q5" s="7"/>
      <c r="R5" s="2"/>
      <c r="V5" s="6"/>
      <c r="AA5" s="2"/>
      <c r="AC5" s="1"/>
      <c r="AE5" s="6"/>
      <c r="AJ5" s="6"/>
    </row>
    <row r="6" spans="1:38" x14ac:dyDescent="0.25">
      <c r="A6" s="5"/>
      <c r="C6" s="5"/>
      <c r="D6" s="5"/>
      <c r="E6" s="5"/>
      <c r="F6" s="2"/>
      <c r="G6" s="2"/>
      <c r="I6" s="2"/>
      <c r="J6" s="5"/>
      <c r="K6" s="5"/>
      <c r="L6" s="5"/>
      <c r="M6" s="5"/>
      <c r="P6" s="7"/>
      <c r="Q6" s="7"/>
      <c r="R6" s="2"/>
      <c r="T6" s="10" t="s">
        <v>54</v>
      </c>
      <c r="V6" s="18" t="s">
        <v>54</v>
      </c>
      <c r="AA6" s="2"/>
      <c r="AC6" s="1"/>
      <c r="AE6" s="6"/>
      <c r="AJ6" s="6"/>
    </row>
    <row r="7" spans="1:38" x14ac:dyDescent="0.25">
      <c r="A7" t="s">
        <v>39</v>
      </c>
      <c r="C7" s="5"/>
      <c r="D7" s="5"/>
      <c r="G7" s="2"/>
      <c r="J7" s="5"/>
      <c r="K7" s="5"/>
      <c r="L7" s="5"/>
      <c r="P7" s="7"/>
      <c r="Q7" s="7"/>
      <c r="AC7" s="1"/>
      <c r="AJ7" s="6"/>
    </row>
    <row r="8" spans="1:38" x14ac:dyDescent="0.25">
      <c r="A8">
        <v>12</v>
      </c>
      <c r="B8">
        <v>36</v>
      </c>
      <c r="C8">
        <v>12</v>
      </c>
      <c r="D8">
        <v>0.58799999999999997</v>
      </c>
      <c r="E8">
        <f>C8+2*D8</f>
        <v>13.176</v>
      </c>
      <c r="G8" s="2"/>
      <c r="J8" s="5"/>
      <c r="K8" s="5"/>
      <c r="L8" s="5"/>
      <c r="M8" t="s">
        <v>46</v>
      </c>
      <c r="N8" s="14">
        <v>7.8519999999999996E-3</v>
      </c>
      <c r="O8">
        <v>5.5279999999999999E-3</v>
      </c>
      <c r="P8" s="7">
        <f>E8/2-O8</f>
        <v>6.5824720000000001</v>
      </c>
      <c r="Q8" s="7"/>
      <c r="S8">
        <v>25297</v>
      </c>
      <c r="T8">
        <v>2.0979999999999999</v>
      </c>
      <c r="U8">
        <v>4158</v>
      </c>
      <c r="V8" s="6">
        <f>U8/$L$1</f>
        <v>1.9002440428857388</v>
      </c>
      <c r="AA8" s="2">
        <f>(PI()/4)*E8^2*B8</f>
        <v>4908.6216037218564</v>
      </c>
      <c r="AB8" s="1">
        <f>1.3254*B8</f>
        <v>47.714399999999998</v>
      </c>
      <c r="AC8" s="6">
        <f>AB8-AA8*0.03706</f>
        <v>-134.19911663393202</v>
      </c>
      <c r="AD8" s="6">
        <f>AB8-(((PI()/4)*(2*P8)^2*(36-(N8*36)))*0.037143)</f>
        <v>-132.87150662030592</v>
      </c>
      <c r="AE8" s="6">
        <f>AC8-AD8</f>
        <v>-1.3276100136260993</v>
      </c>
      <c r="AI8" s="5"/>
      <c r="AJ8" s="6"/>
      <c r="AK8" s="6"/>
      <c r="AL8" s="2"/>
    </row>
    <row r="9" spans="1:38" x14ac:dyDescent="0.25">
      <c r="A9" s="5"/>
      <c r="C9" s="5"/>
      <c r="D9" s="5"/>
      <c r="E9" s="5"/>
      <c r="F9" s="2"/>
      <c r="G9" s="2"/>
      <c r="I9" s="2"/>
      <c r="J9" s="5"/>
      <c r="K9" s="5"/>
      <c r="L9" s="5"/>
      <c r="M9" s="5"/>
      <c r="P9" s="7"/>
      <c r="Q9" s="7"/>
      <c r="R9" s="2"/>
      <c r="V9" s="6"/>
      <c r="AA9" s="2"/>
      <c r="AC9" s="1"/>
      <c r="AE9" s="6"/>
      <c r="AI9" s="5"/>
      <c r="AJ9" s="6"/>
      <c r="AK9" s="6"/>
      <c r="AL9" s="2"/>
    </row>
    <row r="10" spans="1:38" x14ac:dyDescent="0.25">
      <c r="A10" t="s">
        <v>41</v>
      </c>
      <c r="C10" s="5"/>
      <c r="D10" s="5"/>
      <c r="G10" s="2"/>
      <c r="J10" s="5"/>
      <c r="K10" s="5"/>
      <c r="L10" s="5"/>
      <c r="P10" s="7"/>
      <c r="Q10" s="7"/>
      <c r="AC10" s="1"/>
      <c r="AI10" s="5"/>
      <c r="AJ10" s="6"/>
      <c r="AK10" s="6"/>
      <c r="AL10" s="2"/>
    </row>
    <row r="11" spans="1:38" x14ac:dyDescent="0.25">
      <c r="A11">
        <v>12</v>
      </c>
      <c r="B11">
        <v>36</v>
      </c>
      <c r="C11">
        <v>12</v>
      </c>
      <c r="D11">
        <v>0.58799999999999997</v>
      </c>
      <c r="E11">
        <v>13.176</v>
      </c>
      <c r="G11" s="2"/>
      <c r="J11" s="5"/>
      <c r="K11" s="5"/>
      <c r="L11" s="5"/>
      <c r="M11" t="s">
        <v>46</v>
      </c>
      <c r="N11" s="14">
        <v>5.9589999999999999E-3</v>
      </c>
      <c r="O11">
        <v>4.1373E-3</v>
      </c>
      <c r="P11" s="7">
        <f>E11/2-O11</f>
        <v>6.5838627000000001</v>
      </c>
      <c r="Q11" s="7"/>
      <c r="S11">
        <v>25010</v>
      </c>
      <c r="T11">
        <v>2.93</v>
      </c>
      <c r="U11">
        <v>3690</v>
      </c>
      <c r="V11" s="6">
        <f>U11/$L$1</f>
        <v>1.6863637610024953</v>
      </c>
      <c r="AA11" s="2">
        <f>(PI()/4)*E11^2*B11</f>
        <v>4908.6216037218564</v>
      </c>
      <c r="AB11" s="1">
        <f>1.3254*B11</f>
        <v>47.714399999999998</v>
      </c>
      <c r="AC11" s="6">
        <f>AB11-AA11*0.03706</f>
        <v>-134.19911663393202</v>
      </c>
      <c r="AD11" s="6">
        <f>AB11-(((PI()/4)*(2*P11)^2*(36-(N11*36)))*0.037143)</f>
        <v>-133.2925207792884</v>
      </c>
      <c r="AE11" s="6">
        <f>AC11-AD11</f>
        <v>-0.90659585464362635</v>
      </c>
      <c r="AI11" s="5"/>
      <c r="AJ11" s="6"/>
      <c r="AK11" s="6"/>
      <c r="AL11" s="2"/>
    </row>
    <row r="12" spans="1:38" x14ac:dyDescent="0.25">
      <c r="A12" s="5"/>
      <c r="C12" s="5"/>
      <c r="D12" s="5"/>
      <c r="E12" s="5"/>
      <c r="F12" s="2"/>
      <c r="G12" s="2"/>
      <c r="I12" s="2"/>
      <c r="J12" s="5"/>
      <c r="K12" s="5"/>
      <c r="L12" s="5"/>
      <c r="M12" s="5"/>
      <c r="P12" s="7"/>
      <c r="Q12" s="7"/>
      <c r="R12" s="2"/>
      <c r="V12" s="6"/>
      <c r="AA12" s="2"/>
      <c r="AC12" s="1"/>
      <c r="AE12" s="6"/>
      <c r="AI12" s="5"/>
      <c r="AJ12" s="6"/>
      <c r="AK12" s="6"/>
      <c r="AL12" s="2"/>
    </row>
    <row r="13" spans="1:38" x14ac:dyDescent="0.25">
      <c r="A13" t="s">
        <v>42</v>
      </c>
      <c r="C13" s="5"/>
      <c r="D13" s="5"/>
      <c r="G13" s="2"/>
      <c r="J13" s="5"/>
      <c r="K13" s="5"/>
      <c r="L13" s="5"/>
      <c r="P13" s="7"/>
      <c r="Q13" s="7"/>
      <c r="AC13" s="1"/>
      <c r="AI13" s="5"/>
      <c r="AJ13" s="6"/>
      <c r="AK13" s="6"/>
      <c r="AL13" s="2"/>
    </row>
    <row r="14" spans="1:38" x14ac:dyDescent="0.25">
      <c r="A14">
        <v>12</v>
      </c>
      <c r="B14">
        <v>36</v>
      </c>
      <c r="C14">
        <v>12</v>
      </c>
      <c r="D14">
        <v>0.58799999999999997</v>
      </c>
      <c r="E14">
        <v>13.176</v>
      </c>
      <c r="G14" s="2"/>
      <c r="J14" s="5"/>
      <c r="K14" s="5"/>
      <c r="L14" s="5"/>
      <c r="M14" t="s">
        <v>46</v>
      </c>
      <c r="N14" s="14">
        <v>2.8869999999999998E-3</v>
      </c>
      <c r="O14">
        <v>6.7019999999999996E-3</v>
      </c>
      <c r="P14" s="7">
        <f>E14/2-O14</f>
        <v>6.5812980000000003</v>
      </c>
      <c r="Q14" s="7"/>
      <c r="S14">
        <v>25261</v>
      </c>
      <c r="T14">
        <v>5.88</v>
      </c>
      <c r="U14">
        <v>3069</v>
      </c>
      <c r="V14" s="6">
        <f>U14/$L$1</f>
        <v>1.4025610792728072</v>
      </c>
      <c r="AA14" s="2">
        <f>(PI()/4)*E14^2*B14</f>
        <v>4908.6216037218564</v>
      </c>
      <c r="AB14" s="1">
        <f>1.3254*B14</f>
        <v>47.714399999999998</v>
      </c>
      <c r="AC14" s="6">
        <f>AB14-AA14*0.03706</f>
        <v>-134.19911663393202</v>
      </c>
      <c r="AD14" s="6">
        <f>AB14-(((PI()/4)*(2*P14)^2*(36-(N14*36)))*0.037143)</f>
        <v>-133.71047907751893</v>
      </c>
      <c r="AE14" s="6">
        <f>AC14-AD14</f>
        <v>-0.48863755641309581</v>
      </c>
      <c r="AI14" s="5"/>
      <c r="AJ14" s="6"/>
      <c r="AK14" s="6"/>
      <c r="AL14" s="2"/>
    </row>
    <row r="15" spans="1:38" x14ac:dyDescent="0.25">
      <c r="A15" s="5"/>
      <c r="C15" s="5"/>
      <c r="D15" s="5"/>
      <c r="G15" s="2"/>
      <c r="J15" s="5"/>
      <c r="K15" s="5"/>
      <c r="L15" s="5"/>
      <c r="P15" s="7"/>
      <c r="Q15" s="7"/>
      <c r="AC15" s="1"/>
      <c r="AI15" s="5"/>
      <c r="AJ15" s="6"/>
      <c r="AK15" s="6"/>
      <c r="AL15" s="2"/>
    </row>
    <row r="16" spans="1:38" x14ac:dyDescent="0.25">
      <c r="A16" t="s">
        <v>48</v>
      </c>
      <c r="C16" s="5"/>
      <c r="D16" s="5"/>
      <c r="G16" s="2"/>
      <c r="J16" s="5"/>
      <c r="K16" s="5"/>
      <c r="L16" s="5"/>
      <c r="P16" s="7"/>
      <c r="Q16" s="7"/>
      <c r="AC16" s="1"/>
      <c r="AI16" s="5"/>
      <c r="AJ16" s="6"/>
      <c r="AK16" s="6"/>
      <c r="AL16" s="2"/>
    </row>
    <row r="17" spans="1:38" x14ac:dyDescent="0.25">
      <c r="A17">
        <v>12</v>
      </c>
      <c r="B17">
        <v>36</v>
      </c>
      <c r="C17">
        <v>12</v>
      </c>
      <c r="D17">
        <v>0.61250000000000004</v>
      </c>
      <c r="E17">
        <v>13.225</v>
      </c>
      <c r="G17" s="2"/>
      <c r="J17" s="5"/>
      <c r="K17" s="5"/>
      <c r="L17" s="5"/>
      <c r="M17" t="s">
        <v>43</v>
      </c>
      <c r="N17" s="14">
        <v>2.7799999999999999E-3</v>
      </c>
      <c r="O17">
        <v>6.4749999999999999E-3</v>
      </c>
      <c r="P17" s="7">
        <f>E17/2-O17</f>
        <v>6.6060249999999998</v>
      </c>
      <c r="Q17" s="7"/>
      <c r="S17">
        <v>23639</v>
      </c>
      <c r="T17">
        <v>6.17</v>
      </c>
      <c r="U17">
        <v>3431</v>
      </c>
      <c r="V17" s="6">
        <f>U17/$L$1</f>
        <v>1.5679983913277944</v>
      </c>
      <c r="AA17" s="2">
        <f>(PI()/4)*E17^2*B17</f>
        <v>4945.1986674743694</v>
      </c>
      <c r="AB17" s="1">
        <f>1.3833*B17</f>
        <v>49.7988</v>
      </c>
      <c r="AC17" s="6">
        <f>AB17-AA17*0.03706</f>
        <v>-133.47026261660014</v>
      </c>
      <c r="AD17" s="6">
        <f>AB17-(((PI()/4)*(2*P17)^2*(B17-(N17*B17)))*0.037143)</f>
        <v>-133.01154052673434</v>
      </c>
      <c r="AE17" s="6">
        <f>AC17-AD17</f>
        <v>-0.45872208986580176</v>
      </c>
      <c r="AI17" s="5"/>
      <c r="AJ17" s="6"/>
      <c r="AK17" s="6"/>
      <c r="AL17" s="2"/>
    </row>
    <row r="18" spans="1:38" x14ac:dyDescent="0.25">
      <c r="A18">
        <v>12</v>
      </c>
      <c r="B18">
        <v>36</v>
      </c>
      <c r="C18">
        <v>12</v>
      </c>
      <c r="D18">
        <v>0.61250000000000004</v>
      </c>
      <c r="E18">
        <v>13.225</v>
      </c>
      <c r="G18" s="2"/>
      <c r="J18" s="5"/>
      <c r="K18" s="5"/>
      <c r="L18" s="5"/>
      <c r="M18" t="s">
        <v>44</v>
      </c>
      <c r="N18">
        <v>2.918E-3</v>
      </c>
      <c r="O18">
        <v>5.8180000000000003E-3</v>
      </c>
      <c r="P18" s="7">
        <f>E18/2-O18</f>
        <v>6.6066820000000002</v>
      </c>
      <c r="Q18" s="14"/>
      <c r="S18">
        <v>23589</v>
      </c>
      <c r="T18" s="6">
        <v>6</v>
      </c>
      <c r="AA18" s="2">
        <f>(PI()/4)*E18^2*B18</f>
        <v>4945.1986674743694</v>
      </c>
      <c r="AB18" s="1">
        <f>1.3833*B18</f>
        <v>49.7988</v>
      </c>
      <c r="AC18" s="6">
        <f>AB18-AA18*0.03706</f>
        <v>-133.47026261660014</v>
      </c>
      <c r="AD18" s="6">
        <f>AB18-(((PI()/4)*(2*P18)^2*(B18-(N18*B18)))*0.037143)</f>
        <v>-133.02260182896356</v>
      </c>
      <c r="AE18" s="6">
        <f>AC18-AD18</f>
        <v>-0.44766078763657902</v>
      </c>
      <c r="AI18" s="5"/>
      <c r="AJ18" s="6"/>
      <c r="AK18" s="6"/>
      <c r="AL18" s="2"/>
    </row>
    <row r="19" spans="1:38" x14ac:dyDescent="0.25">
      <c r="G19" s="2"/>
      <c r="J19" s="5"/>
      <c r="K19" s="5"/>
      <c r="L19" s="5"/>
      <c r="P19" s="7"/>
      <c r="Q19" s="7"/>
      <c r="V19" s="6"/>
      <c r="AA19" s="2"/>
      <c r="AB19" s="1"/>
      <c r="AC19" s="6"/>
      <c r="AD19" s="6"/>
      <c r="AE19" s="6"/>
      <c r="AI19" s="5"/>
      <c r="AJ19" s="6"/>
      <c r="AK19" s="6"/>
      <c r="AL19" s="2"/>
    </row>
    <row r="20" spans="1:38" x14ac:dyDescent="0.25">
      <c r="A20" t="s">
        <v>49</v>
      </c>
      <c r="G20" s="2"/>
      <c r="J20" s="5"/>
      <c r="K20" s="5"/>
      <c r="L20" s="5"/>
      <c r="P20" s="7"/>
      <c r="Q20" s="7"/>
      <c r="V20" s="6"/>
      <c r="AA20" s="2"/>
      <c r="AB20" s="1"/>
      <c r="AC20" s="6"/>
      <c r="AD20" s="6"/>
      <c r="AE20" s="6"/>
      <c r="AI20" s="5"/>
      <c r="AJ20" s="6"/>
      <c r="AK20" s="6"/>
      <c r="AL20" s="2"/>
    </row>
    <row r="21" spans="1:38" x14ac:dyDescent="0.25">
      <c r="A21">
        <v>12</v>
      </c>
      <c r="B21">
        <v>36</v>
      </c>
      <c r="C21">
        <v>12</v>
      </c>
      <c r="D21">
        <v>0.66149999999999998</v>
      </c>
      <c r="E21">
        <v>13.323</v>
      </c>
      <c r="G21" s="2"/>
      <c r="J21" s="5"/>
      <c r="K21" s="5"/>
      <c r="L21" s="5"/>
      <c r="M21" t="s">
        <v>45</v>
      </c>
      <c r="N21">
        <v>2.6849999999999999E-3</v>
      </c>
      <c r="O21">
        <v>5.5100000000000001E-3</v>
      </c>
      <c r="P21" s="7">
        <f>E21/2-O21</f>
        <v>6.6559900000000001</v>
      </c>
      <c r="Q21" s="7"/>
      <c r="S21">
        <v>22903</v>
      </c>
      <c r="T21">
        <v>6.35</v>
      </c>
      <c r="U21" s="16">
        <v>4212</v>
      </c>
      <c r="V21" s="17">
        <f>U21/$L$1</f>
        <v>1.9249225369491898</v>
      </c>
      <c r="AA21" s="2">
        <f>(PI()/4)*E21^2*B21</f>
        <v>5018.7601150333066</v>
      </c>
      <c r="AB21" s="1">
        <f>1.4998*B21</f>
        <v>53.992800000000003</v>
      </c>
      <c r="AC21" s="6">
        <f>AB21-AA21*0.03706</f>
        <v>-132.00244986313436</v>
      </c>
      <c r="AD21" s="6">
        <f>AB21-(((PI()/4)*(2*P21)^2*(B21-(N21*B21)))*0.037143)</f>
        <v>-131.61106872904162</v>
      </c>
      <c r="AE21" s="6">
        <f>AC21-AD21</f>
        <v>-0.39138113409273956</v>
      </c>
      <c r="AI21" s="5"/>
      <c r="AJ21" s="6"/>
      <c r="AK21" s="6"/>
      <c r="AL21" s="2"/>
    </row>
    <row r="22" spans="1:38" x14ac:dyDescent="0.25">
      <c r="G22" s="2"/>
      <c r="J22" s="5"/>
      <c r="K22" s="5"/>
      <c r="L22" s="5"/>
      <c r="P22" s="7"/>
      <c r="Q22" s="7"/>
      <c r="U22" s="16"/>
      <c r="V22" s="17"/>
      <c r="AA22" s="2"/>
      <c r="AB22" s="1"/>
      <c r="AC22" s="6"/>
      <c r="AD22" s="6"/>
      <c r="AE22" s="6"/>
      <c r="AI22" s="5"/>
      <c r="AJ22" s="6"/>
      <c r="AK22" s="6"/>
      <c r="AL22" s="2"/>
    </row>
    <row r="23" spans="1:38" x14ac:dyDescent="0.25">
      <c r="A23" t="s">
        <v>50</v>
      </c>
      <c r="G23" s="2"/>
      <c r="J23" s="5"/>
      <c r="K23" s="5"/>
      <c r="L23" s="5"/>
      <c r="AA23" s="2"/>
      <c r="AB23" s="1"/>
      <c r="AC23" s="6"/>
      <c r="AD23" s="6"/>
      <c r="AE23" s="6"/>
      <c r="AI23" s="5"/>
      <c r="AJ23" s="6"/>
      <c r="AK23" s="6"/>
      <c r="AL23" s="2"/>
    </row>
    <row r="24" spans="1:38" x14ac:dyDescent="0.25">
      <c r="A24">
        <v>12</v>
      </c>
      <c r="B24">
        <v>36</v>
      </c>
      <c r="C24">
        <v>12</v>
      </c>
      <c r="D24">
        <v>0.68600000000000005</v>
      </c>
      <c r="E24">
        <v>13.372</v>
      </c>
      <c r="G24" s="2"/>
      <c r="J24" s="5"/>
      <c r="K24" s="5"/>
      <c r="L24" s="5"/>
      <c r="M24" t="s">
        <v>45</v>
      </c>
      <c r="N24" s="14">
        <v>2.6029999999999998E-3</v>
      </c>
      <c r="O24">
        <v>5.3270000000000001E-3</v>
      </c>
      <c r="P24" s="7">
        <f>E24/2-O24</f>
        <v>6.6806729999999996</v>
      </c>
      <c r="Q24" s="7"/>
      <c r="S24">
        <v>22185</v>
      </c>
      <c r="T24">
        <v>6.55</v>
      </c>
      <c r="U24" s="16">
        <v>4660</v>
      </c>
      <c r="V24" s="17">
        <f>U24/$L$1</f>
        <v>2.1296626358459698</v>
      </c>
      <c r="AA24" s="2">
        <f>(PI()/4)*E24^2*B24</f>
        <v>5055.7444988397292</v>
      </c>
      <c r="AB24" s="1">
        <f>1.5584*B24</f>
        <v>56.102400000000003</v>
      </c>
      <c r="AC24" s="6">
        <f>AB24-AA24*0.03706</f>
        <v>-131.26349112700035</v>
      </c>
      <c r="AD24" s="6">
        <f>AB24-(((PI()/4)*(2*P24)^2*(B24-(N24*B24)))*0.037143)</f>
        <v>-130.89597775099406</v>
      </c>
      <c r="AE24" s="6">
        <f>AC24-AD24</f>
        <v>-0.36751337600628631</v>
      </c>
      <c r="AI24" s="5"/>
      <c r="AJ24" s="6"/>
      <c r="AK24" s="6"/>
      <c r="AL24" s="2"/>
    </row>
    <row r="25" spans="1:38" x14ac:dyDescent="0.25">
      <c r="G25" s="2"/>
      <c r="J25" s="5"/>
      <c r="K25" s="5"/>
      <c r="L25" s="5"/>
      <c r="N25" s="14"/>
      <c r="P25" s="7"/>
      <c r="Q25" s="7"/>
      <c r="U25" s="16"/>
      <c r="V25" s="17"/>
      <c r="AA25" s="2"/>
      <c r="AB25" s="1"/>
      <c r="AC25" s="6"/>
      <c r="AD25" s="6"/>
      <c r="AE25" s="6"/>
      <c r="AI25" s="5"/>
      <c r="AJ25" s="6"/>
      <c r="AK25" s="6"/>
      <c r="AL25" s="2"/>
    </row>
    <row r="26" spans="1:38" x14ac:dyDescent="0.25">
      <c r="A26" t="s">
        <v>50</v>
      </c>
      <c r="G26" s="2"/>
      <c r="J26" s="5"/>
      <c r="K26" s="5"/>
      <c r="L26" s="5"/>
      <c r="N26" s="14"/>
      <c r="P26" s="7"/>
      <c r="Q26" s="7"/>
      <c r="U26" s="16"/>
      <c r="V26" s="17"/>
      <c r="AA26" s="2"/>
      <c r="AB26" s="1"/>
      <c r="AC26" s="6"/>
      <c r="AD26" s="6"/>
      <c r="AE26" s="6"/>
      <c r="AI26" s="5"/>
      <c r="AJ26" s="6"/>
      <c r="AK26" s="6"/>
      <c r="AL26" s="2"/>
    </row>
    <row r="27" spans="1:38" x14ac:dyDescent="0.25">
      <c r="A27">
        <v>12.25</v>
      </c>
      <c r="B27">
        <v>36</v>
      </c>
      <c r="C27" s="5">
        <v>12.25</v>
      </c>
      <c r="D27" s="5">
        <v>0.68600000000000005</v>
      </c>
      <c r="E27">
        <v>13.622</v>
      </c>
      <c r="G27" s="2"/>
      <c r="J27" s="5"/>
      <c r="K27" s="5"/>
      <c r="L27" s="5"/>
      <c r="M27" t="s">
        <v>45</v>
      </c>
      <c r="N27">
        <v>2.4559999999999998E-3</v>
      </c>
      <c r="O27">
        <v>6.2529999999999999E-3</v>
      </c>
      <c r="P27" s="7">
        <f>E27/2-O27</f>
        <v>6.8047469999999999</v>
      </c>
      <c r="Q27" s="7"/>
      <c r="S27">
        <v>21877</v>
      </c>
      <c r="T27">
        <v>6.91</v>
      </c>
      <c r="U27" s="16">
        <v>4226</v>
      </c>
      <c r="V27" s="17">
        <f>U27/2188</f>
        <v>1.9314442413162705</v>
      </c>
      <c r="AA27" s="2">
        <f>(PI()/4)*E27^2*B27</f>
        <v>5246.5538410444851</v>
      </c>
      <c r="AB27" s="1">
        <f>1.6198*B27</f>
        <v>58.312799999999996</v>
      </c>
      <c r="AC27" s="6">
        <f>AB27-AA27*0.03706</f>
        <v>-136.12448534910862</v>
      </c>
      <c r="AD27" s="6">
        <f>AB27-(((PI()/4)*(2*P27)^2*(B27-(N27*B27)))*0.037143)</f>
        <v>-135.72456939270847</v>
      </c>
      <c r="AE27" s="6">
        <f>AC27-AD27</f>
        <v>-0.39991595640015021</v>
      </c>
      <c r="AI27" s="5"/>
      <c r="AJ27" s="6"/>
      <c r="AK27" s="6"/>
      <c r="AL27" s="2"/>
    </row>
    <row r="28" spans="1:38" x14ac:dyDescent="0.25">
      <c r="C28" s="5"/>
      <c r="D28" s="5"/>
      <c r="G28" s="2"/>
      <c r="J28" s="5"/>
      <c r="K28" s="5"/>
      <c r="L28" s="5"/>
      <c r="P28" s="7"/>
      <c r="Q28" s="7"/>
      <c r="U28" s="16"/>
      <c r="V28" s="17"/>
      <c r="AA28" s="2"/>
      <c r="AB28" s="1"/>
      <c r="AC28" s="6"/>
      <c r="AD28" s="6"/>
      <c r="AE28" s="6"/>
      <c r="AI28" s="5"/>
      <c r="AJ28" s="6"/>
      <c r="AK28" s="6"/>
      <c r="AL28" s="2"/>
    </row>
    <row r="29" spans="1:38" x14ac:dyDescent="0.25">
      <c r="A29" t="s">
        <v>50</v>
      </c>
      <c r="G29" s="2"/>
      <c r="J29" s="5"/>
      <c r="K29" s="5"/>
      <c r="L29" s="5"/>
      <c r="P29" s="7"/>
      <c r="Q29" s="7"/>
      <c r="U29" s="16"/>
      <c r="V29" s="17"/>
      <c r="AA29" s="2"/>
      <c r="AB29" s="1"/>
      <c r="AC29" s="6"/>
      <c r="AD29" s="6"/>
      <c r="AE29" s="6"/>
      <c r="AI29" s="5"/>
      <c r="AJ29" s="6"/>
      <c r="AK29" s="6"/>
      <c r="AL29" s="2"/>
    </row>
    <row r="30" spans="1:38" x14ac:dyDescent="0.25">
      <c r="A30">
        <v>12.5</v>
      </c>
      <c r="B30">
        <v>36</v>
      </c>
      <c r="C30" s="5">
        <v>12.5</v>
      </c>
      <c r="D30" s="5">
        <v>0.68600000000000005</v>
      </c>
      <c r="E30">
        <v>13.872</v>
      </c>
      <c r="G30" s="2"/>
      <c r="J30" s="5"/>
      <c r="K30" s="5"/>
      <c r="L30" s="5"/>
      <c r="M30" t="s">
        <v>45</v>
      </c>
      <c r="N30" s="14">
        <v>2.6949999999999999E-3</v>
      </c>
      <c r="O30">
        <v>5.7590000000000002E-3</v>
      </c>
      <c r="P30" s="7">
        <f>E30/2-O30</f>
        <v>6.9302409999999997</v>
      </c>
      <c r="Q30" s="7"/>
      <c r="S30">
        <v>22992</v>
      </c>
      <c r="T30">
        <v>6.33</v>
      </c>
      <c r="U30" s="16">
        <v>4227</v>
      </c>
      <c r="V30" s="17">
        <f>U30/2188</f>
        <v>1.9319012797074955</v>
      </c>
      <c r="AA30" s="2">
        <f>(PI()/4)*E30^2*B30</f>
        <v>5440.8974749845302</v>
      </c>
      <c r="AB30" s="1">
        <f>1.6198*B30</f>
        <v>58.312799999999996</v>
      </c>
      <c r="AC30" s="6">
        <f>AB30-AA30*0.03706</f>
        <v>-143.3268604229267</v>
      </c>
      <c r="AD30" s="6">
        <f>AB30-(((PI()/4)*(2*P30)^2*(B30-(N30*B30)))*0.037143)</f>
        <v>-142.89926733547327</v>
      </c>
      <c r="AE30" s="6">
        <f>AC30-AD30</f>
        <v>-0.42759308745343105</v>
      </c>
      <c r="AI30" s="5"/>
      <c r="AJ30" s="6"/>
      <c r="AK30" s="6"/>
      <c r="AL30" s="2"/>
    </row>
    <row r="31" spans="1:38" x14ac:dyDescent="0.25">
      <c r="C31" s="5"/>
      <c r="D31" s="5"/>
      <c r="G31" s="2"/>
      <c r="J31" s="5"/>
      <c r="K31" s="5"/>
      <c r="L31" s="5"/>
      <c r="P31" s="7"/>
      <c r="Q31" s="7"/>
      <c r="U31" s="16"/>
      <c r="V31" s="17"/>
      <c r="AA31" s="2"/>
      <c r="AB31" s="1"/>
      <c r="AC31" s="6"/>
      <c r="AD31" s="6"/>
      <c r="AE31" s="6"/>
      <c r="AI31" s="5"/>
      <c r="AJ31" s="6"/>
      <c r="AK31" s="6"/>
      <c r="AL31" s="2"/>
    </row>
    <row r="32" spans="1:38" x14ac:dyDescent="0.25">
      <c r="A32" t="s">
        <v>50</v>
      </c>
      <c r="G32" s="2"/>
      <c r="J32" s="5"/>
      <c r="K32" s="5"/>
      <c r="L32" s="5"/>
      <c r="P32" s="7"/>
      <c r="Q32" s="7"/>
      <c r="U32" s="16"/>
      <c r="V32" s="17"/>
      <c r="AA32" s="2"/>
      <c r="AB32" s="1"/>
      <c r="AC32" s="6"/>
      <c r="AD32" s="6"/>
      <c r="AE32" s="6"/>
      <c r="AI32" s="5"/>
      <c r="AJ32" s="6"/>
      <c r="AK32" s="6"/>
      <c r="AL32" s="2"/>
    </row>
    <row r="33" spans="1:38" x14ac:dyDescent="0.25">
      <c r="A33">
        <v>12</v>
      </c>
      <c r="B33">
        <v>40</v>
      </c>
      <c r="C33">
        <v>12</v>
      </c>
      <c r="D33">
        <v>0.68600000000000005</v>
      </c>
      <c r="E33">
        <v>13.372</v>
      </c>
      <c r="G33" s="2"/>
      <c r="J33" s="5"/>
      <c r="K33" s="5"/>
      <c r="L33" s="5"/>
      <c r="M33" t="s">
        <v>45</v>
      </c>
      <c r="N33" s="14">
        <v>2.6029999999999998E-3</v>
      </c>
      <c r="O33">
        <v>5.3270000000000001E-3</v>
      </c>
      <c r="P33" s="7">
        <f>E33/2-O33</f>
        <v>6.6806729999999996</v>
      </c>
      <c r="Q33" s="7"/>
      <c r="S33">
        <v>22185</v>
      </c>
      <c r="T33">
        <v>6.55</v>
      </c>
      <c r="U33" s="16">
        <v>4510</v>
      </c>
      <c r="V33" s="17">
        <f>U33/$L$1</f>
        <v>2.0611112634474944</v>
      </c>
      <c r="AA33" s="2">
        <f>(PI()/4)*E33^2*B33</f>
        <v>5617.4938875996986</v>
      </c>
      <c r="AB33" s="1">
        <f>1.5584*B33</f>
        <v>62.335999999999999</v>
      </c>
      <c r="AC33" s="6">
        <f>AB33-AA33*0.03706</f>
        <v>-145.84832347444484</v>
      </c>
      <c r="AD33" s="6">
        <f>AB33-(((PI()/4)*(2*P33)^2*(B33-(N33*B33)))*0.037143)</f>
        <v>-145.43997527888229</v>
      </c>
      <c r="AE33" s="6">
        <f>AC33-AD33</f>
        <v>-0.40834819556255297</v>
      </c>
      <c r="AI33" s="5"/>
      <c r="AJ33" s="6"/>
      <c r="AK33" s="6"/>
      <c r="AL33" s="2"/>
    </row>
    <row r="34" spans="1:38" x14ac:dyDescent="0.25">
      <c r="G34" s="2"/>
      <c r="J34" s="5"/>
      <c r="K34" s="5"/>
      <c r="L34" s="5"/>
      <c r="N34" s="14"/>
      <c r="P34" s="7"/>
      <c r="Q34" s="7"/>
      <c r="U34" s="16"/>
      <c r="V34" s="17"/>
      <c r="AA34" s="2"/>
      <c r="AB34" s="1"/>
      <c r="AC34" s="6"/>
      <c r="AD34" s="6"/>
      <c r="AE34" s="6"/>
      <c r="AI34" s="5"/>
      <c r="AJ34" s="6"/>
      <c r="AK34" s="6"/>
      <c r="AL34" s="2"/>
    </row>
    <row r="35" spans="1:38" x14ac:dyDescent="0.25">
      <c r="A35" t="s">
        <v>55</v>
      </c>
      <c r="G35" s="2"/>
      <c r="J35" s="5"/>
      <c r="K35" s="5"/>
      <c r="L35" s="5"/>
      <c r="N35" s="14"/>
      <c r="P35" s="7"/>
      <c r="Q35" s="7"/>
      <c r="U35" s="16"/>
      <c r="V35" s="17"/>
      <c r="AA35" s="2"/>
      <c r="AB35" s="1"/>
      <c r="AC35" s="6"/>
      <c r="AD35" s="6"/>
      <c r="AE35" s="6"/>
      <c r="AI35" s="5"/>
      <c r="AJ35" s="6"/>
      <c r="AK35" s="6"/>
      <c r="AL35" s="2"/>
    </row>
    <row r="36" spans="1:38" x14ac:dyDescent="0.25">
      <c r="A36">
        <v>12</v>
      </c>
      <c r="B36">
        <v>40</v>
      </c>
      <c r="C36">
        <v>12</v>
      </c>
      <c r="D36">
        <v>0.68600000000000005</v>
      </c>
      <c r="E36">
        <v>13.372</v>
      </c>
      <c r="G36" s="2"/>
      <c r="J36" s="5"/>
      <c r="K36" s="5"/>
      <c r="L36" s="5"/>
      <c r="M36" t="s">
        <v>45</v>
      </c>
      <c r="N36" s="14">
        <v>1.0380000000000001E-3</v>
      </c>
      <c r="O36">
        <v>9.7680000000000006E-3</v>
      </c>
      <c r="P36" s="7">
        <f>E36/2-O36</f>
        <v>6.6762319999999997</v>
      </c>
      <c r="Q36" s="7"/>
      <c r="S36">
        <v>22149</v>
      </c>
      <c r="T36">
        <v>8</v>
      </c>
      <c r="U36" s="16">
        <v>3937</v>
      </c>
      <c r="V36" s="17">
        <f>U36/$L$1</f>
        <v>1.7992450208853181</v>
      </c>
      <c r="AA36" s="2">
        <f>(PI()/4)*E36^2*B36</f>
        <v>5617.4938875996986</v>
      </c>
      <c r="AB36" s="1">
        <f>1.5584*B36</f>
        <v>62.335999999999999</v>
      </c>
      <c r="AC36" s="6">
        <f>AB36-AA36*0.03706</f>
        <v>-145.84832347444484</v>
      </c>
      <c r="AD36" s="6">
        <f>AB36-(((PI()/4)*(2*P36)^2*(B36-(N36*B36)))*0.037143)</f>
        <v>-145.48941225525505</v>
      </c>
      <c r="AE36" s="6">
        <f>AC36-AD36</f>
        <v>-0.35891121918979252</v>
      </c>
      <c r="AI36" s="5"/>
      <c r="AJ36" s="6"/>
      <c r="AK36" s="6"/>
      <c r="AL36" s="2"/>
    </row>
    <row r="37" spans="1:38" x14ac:dyDescent="0.25">
      <c r="G37" s="2"/>
      <c r="J37" s="5"/>
      <c r="K37" s="5"/>
      <c r="L37" s="5"/>
      <c r="N37" s="14"/>
      <c r="P37" s="7"/>
      <c r="Q37" s="7"/>
      <c r="U37" s="16"/>
      <c r="V37" s="17"/>
      <c r="AA37" s="2"/>
      <c r="AB37" s="1"/>
      <c r="AC37" s="6"/>
      <c r="AD37" s="6"/>
      <c r="AE37" s="6"/>
      <c r="AI37" s="5"/>
      <c r="AJ37" s="6"/>
      <c r="AK37" s="6"/>
      <c r="AL37" s="2"/>
    </row>
    <row r="38" spans="1:38" x14ac:dyDescent="0.25">
      <c r="G38" s="2"/>
      <c r="J38" s="5"/>
      <c r="K38" s="5"/>
      <c r="L38" s="5"/>
      <c r="N38" s="14"/>
      <c r="P38" s="7"/>
      <c r="Q38" s="7"/>
      <c r="U38" s="16"/>
      <c r="V38" s="17"/>
      <c r="AA38" s="2"/>
      <c r="AB38" s="1"/>
      <c r="AC38" s="6"/>
      <c r="AD38" s="6"/>
      <c r="AE38" s="6"/>
      <c r="AI38" s="5"/>
      <c r="AJ38" s="6"/>
      <c r="AK38" s="6"/>
      <c r="AL38" s="2"/>
    </row>
    <row r="39" spans="1:38" x14ac:dyDescent="0.25">
      <c r="A39" t="s">
        <v>50</v>
      </c>
      <c r="G39" s="2"/>
      <c r="J39" s="5"/>
      <c r="K39" s="5"/>
      <c r="L39" s="5"/>
      <c r="N39" s="14"/>
      <c r="P39" s="7"/>
      <c r="Q39" s="7"/>
      <c r="U39" s="16"/>
      <c r="V39" s="17"/>
      <c r="AA39" s="2"/>
      <c r="AB39" s="1"/>
      <c r="AC39" s="6"/>
      <c r="AD39" s="6"/>
      <c r="AE39" s="6"/>
      <c r="AI39" s="5"/>
      <c r="AJ39" s="6"/>
      <c r="AK39" s="6"/>
      <c r="AL39" s="2"/>
    </row>
    <row r="40" spans="1:38" x14ac:dyDescent="0.25">
      <c r="A40">
        <v>13</v>
      </c>
      <c r="B40">
        <v>36</v>
      </c>
      <c r="C40" s="5">
        <v>13</v>
      </c>
      <c r="D40" s="5">
        <v>0.68600000000000005</v>
      </c>
      <c r="E40">
        <v>14.372</v>
      </c>
      <c r="G40" s="2"/>
      <c r="J40" s="5"/>
      <c r="K40" s="5"/>
      <c r="L40" s="5"/>
      <c r="M40" t="s">
        <v>45</v>
      </c>
      <c r="N40" s="14">
        <v>2.7859999999999998E-3</v>
      </c>
      <c r="O40">
        <v>6.2090000000000001E-3</v>
      </c>
      <c r="P40" s="7">
        <f>E40/2-O40</f>
        <v>7.1797909999999998</v>
      </c>
      <c r="Q40" s="7"/>
      <c r="S40">
        <v>23798</v>
      </c>
      <c r="T40">
        <v>6.12</v>
      </c>
      <c r="U40" s="16">
        <v>3858</v>
      </c>
      <c r="V40" s="17">
        <f>U40/2188</f>
        <v>1.7632541133455211</v>
      </c>
      <c r="AA40" s="2">
        <f>(PI()/4)*E40^2*B40</f>
        <v>5840.1876180704858</v>
      </c>
      <c r="AB40" s="1">
        <f>1.6812*B40</f>
        <v>60.523200000000003</v>
      </c>
      <c r="AC40" s="6">
        <f>AB40-AA40*0.03706</f>
        <v>-155.91415312569222</v>
      </c>
      <c r="AD40" s="6">
        <f>AB40-(((PI()/4)*(2*P40)^2*(B40-(N40*B40)))*0.037143)</f>
        <v>-155.42089037261496</v>
      </c>
      <c r="AE40" s="6">
        <f>AC40-AD40</f>
        <v>-0.49326275307726064</v>
      </c>
      <c r="AI40" s="5"/>
      <c r="AJ40" s="6"/>
      <c r="AK40" s="6"/>
      <c r="AL40" s="2"/>
    </row>
    <row r="41" spans="1:38" x14ac:dyDescent="0.25">
      <c r="C41" s="5"/>
      <c r="D41" s="5"/>
      <c r="G41" s="2"/>
      <c r="J41" s="5"/>
      <c r="K41" s="5"/>
      <c r="L41" s="5"/>
      <c r="N41" s="14"/>
      <c r="P41" s="7"/>
      <c r="Q41" s="7"/>
      <c r="U41" s="16"/>
      <c r="V41" s="17"/>
      <c r="AA41" s="2"/>
      <c r="AB41" s="1"/>
      <c r="AC41" s="6"/>
      <c r="AD41" s="6"/>
      <c r="AE41" s="6"/>
      <c r="AI41" s="5"/>
      <c r="AJ41" s="6"/>
      <c r="AK41" s="6"/>
      <c r="AL41" s="2"/>
    </row>
    <row r="42" spans="1:38" x14ac:dyDescent="0.25">
      <c r="A42" t="s">
        <v>56</v>
      </c>
      <c r="G42" s="2"/>
      <c r="J42" s="5"/>
      <c r="K42" s="5"/>
      <c r="L42" s="5"/>
      <c r="N42" s="14"/>
      <c r="P42" s="7"/>
      <c r="Q42" s="7"/>
      <c r="U42" s="16"/>
      <c r="V42" s="17"/>
      <c r="AA42" s="2"/>
      <c r="AB42" s="1"/>
      <c r="AC42" s="6"/>
      <c r="AD42" s="6"/>
      <c r="AE42" s="6"/>
      <c r="AI42" s="5"/>
      <c r="AJ42" s="6"/>
      <c r="AK42" s="6"/>
      <c r="AL42" s="2"/>
    </row>
    <row r="43" spans="1:38" x14ac:dyDescent="0.25">
      <c r="A43">
        <v>13</v>
      </c>
      <c r="B43">
        <v>40</v>
      </c>
      <c r="C43" s="5">
        <v>13</v>
      </c>
      <c r="D43" s="7">
        <v>0.71050000000000002</v>
      </c>
      <c r="E43">
        <f>A43+(2*D43)</f>
        <v>14.420999999999999</v>
      </c>
      <c r="G43" s="2"/>
      <c r="J43" s="5"/>
      <c r="K43" s="5"/>
      <c r="L43" s="5"/>
      <c r="M43" t="s">
        <v>45</v>
      </c>
      <c r="N43" s="14">
        <v>2.7039999999999998E-3</v>
      </c>
      <c r="O43">
        <v>6.0099999999999997E-3</v>
      </c>
      <c r="P43" s="7">
        <f>E43/2-O43</f>
        <v>7.2044899999999998</v>
      </c>
      <c r="Q43" s="7"/>
      <c r="S43">
        <v>23075</v>
      </c>
      <c r="T43">
        <v>6.31</v>
      </c>
      <c r="U43" s="16">
        <v>4077</v>
      </c>
      <c r="V43" s="17">
        <f>U43/2188</f>
        <v>1.8633455210237659</v>
      </c>
      <c r="AA43" s="2">
        <f>(PI()/4)*E43^2*B43</f>
        <v>6533.4207332763081</v>
      </c>
      <c r="AB43" s="1">
        <f>1.7444*B43</f>
        <v>69.775999999999996</v>
      </c>
      <c r="AC43" s="6">
        <f>AB43-AA43*0.03706</f>
        <v>-172.35257237522001</v>
      </c>
      <c r="AD43" s="6">
        <f>AB43-(((PI()/4)*(2*P43)^2*(B43-(N43*B43)))*0.037143)</f>
        <v>-171.83539077898956</v>
      </c>
      <c r="AE43" s="6">
        <f>AC43-AD43</f>
        <v>-0.51718159623044357</v>
      </c>
      <c r="AI43" s="5"/>
      <c r="AJ43" s="6"/>
      <c r="AK43" s="6"/>
      <c r="AL43" s="2"/>
    </row>
    <row r="44" spans="1:38" x14ac:dyDescent="0.25">
      <c r="C44" s="5"/>
      <c r="D44" s="5"/>
      <c r="G44" s="2"/>
      <c r="J44" s="5"/>
      <c r="K44" s="5"/>
      <c r="L44" s="5"/>
      <c r="N44" s="14"/>
      <c r="P44" s="7"/>
      <c r="Q44" s="7"/>
      <c r="U44" s="16"/>
      <c r="V44" s="17"/>
      <c r="AA44" s="2"/>
      <c r="AB44" s="1"/>
      <c r="AC44" s="6"/>
      <c r="AD44" s="6"/>
      <c r="AE44" s="6"/>
      <c r="AI44" s="5"/>
      <c r="AJ44" s="6"/>
      <c r="AK44" s="6"/>
      <c r="AL44" s="2"/>
    </row>
    <row r="45" spans="1:38" x14ac:dyDescent="0.25">
      <c r="A45" t="s">
        <v>57</v>
      </c>
      <c r="C45" s="5"/>
      <c r="D45" s="5"/>
      <c r="G45" s="2"/>
      <c r="J45" s="5"/>
      <c r="K45" s="5"/>
      <c r="L45" s="5"/>
      <c r="N45" s="14"/>
      <c r="P45" s="7"/>
      <c r="Q45" s="7"/>
      <c r="U45" s="16"/>
      <c r="V45" s="17"/>
      <c r="AA45" s="2"/>
      <c r="AB45" s="1"/>
      <c r="AC45" s="6"/>
      <c r="AD45" s="6"/>
      <c r="AE45" s="6"/>
      <c r="AI45" s="5"/>
      <c r="AJ45" s="6"/>
      <c r="AK45" s="6"/>
      <c r="AL45" s="2"/>
    </row>
    <row r="46" spans="1:38" x14ac:dyDescent="0.25">
      <c r="A46">
        <v>13</v>
      </c>
      <c r="B46">
        <v>40</v>
      </c>
      <c r="C46" s="5">
        <v>13</v>
      </c>
      <c r="D46" s="7">
        <v>0.71050000000000002</v>
      </c>
      <c r="E46">
        <v>14.420999999999999</v>
      </c>
      <c r="G46" s="2"/>
      <c r="J46" s="5"/>
      <c r="K46" s="5"/>
      <c r="L46" s="5"/>
      <c r="M46" t="s">
        <v>45</v>
      </c>
      <c r="N46" s="14">
        <v>1.075E-3</v>
      </c>
      <c r="O46">
        <v>1.1010000000000001E-2</v>
      </c>
      <c r="P46" s="7">
        <f>E46/2-O46</f>
        <v>7.1994899999999999</v>
      </c>
      <c r="Q46" s="7"/>
      <c r="S46">
        <v>23037</v>
      </c>
      <c r="T46">
        <v>7.7</v>
      </c>
      <c r="U46" s="16">
        <v>3595</v>
      </c>
      <c r="V46" s="17">
        <f>U46/2188</f>
        <v>1.6430530164533821</v>
      </c>
      <c r="AA46" s="2">
        <f>(PI()/4)*E46^2*B46</f>
        <v>6533.4207332763081</v>
      </c>
      <c r="AB46" s="1">
        <f>1.7444*B46</f>
        <v>69.775999999999996</v>
      </c>
      <c r="AC46" s="6">
        <f>AB46-AA46*0.03706</f>
        <v>-172.35257237522001</v>
      </c>
      <c r="AD46" s="6">
        <f>AB46-(((PI()/4)*(2*P46)^2*(B46-(N46*B46)))*0.037143)</f>
        <v>-171.8942494098028</v>
      </c>
      <c r="AE46" s="6">
        <f>AC46-AD46</f>
        <v>-0.45832296541721007</v>
      </c>
      <c r="AG46" t="s">
        <v>62</v>
      </c>
      <c r="AI46" s="5"/>
      <c r="AJ46" s="6"/>
      <c r="AK46" s="6"/>
      <c r="AL46" s="2"/>
    </row>
    <row r="47" spans="1:38" x14ac:dyDescent="0.25">
      <c r="C47" s="5"/>
      <c r="D47" s="7"/>
      <c r="G47" s="2"/>
      <c r="J47" s="5"/>
      <c r="K47" s="5"/>
      <c r="L47" s="5"/>
      <c r="N47" s="14"/>
      <c r="P47" s="7"/>
      <c r="Q47" s="7"/>
      <c r="U47" s="16"/>
      <c r="V47" s="17"/>
      <c r="AA47" s="2"/>
      <c r="AB47" s="1"/>
      <c r="AC47" s="6"/>
      <c r="AD47" s="6"/>
      <c r="AE47" s="6"/>
      <c r="AI47" s="5"/>
      <c r="AJ47" s="6"/>
      <c r="AK47" s="6"/>
      <c r="AL47" s="2"/>
    </row>
    <row r="48" spans="1:38" x14ac:dyDescent="0.25">
      <c r="A48" t="s">
        <v>55</v>
      </c>
      <c r="C48" s="5"/>
      <c r="D48" s="5"/>
      <c r="G48" s="2"/>
      <c r="J48" s="5"/>
      <c r="K48" s="5"/>
      <c r="L48" s="5"/>
      <c r="N48" s="14"/>
      <c r="P48" s="7"/>
      <c r="Q48" s="7"/>
      <c r="U48" s="16"/>
      <c r="V48" s="17"/>
      <c r="AA48" s="2"/>
      <c r="AB48" s="1"/>
      <c r="AC48" s="6"/>
      <c r="AD48" s="6"/>
      <c r="AE48" s="6"/>
      <c r="AI48" s="5"/>
      <c r="AJ48" s="6"/>
      <c r="AK48" s="6"/>
      <c r="AL48" s="2"/>
    </row>
    <row r="49" spans="1:38" x14ac:dyDescent="0.25">
      <c r="A49">
        <v>13</v>
      </c>
      <c r="B49">
        <v>40</v>
      </c>
      <c r="C49" s="5">
        <v>13</v>
      </c>
      <c r="D49" s="7">
        <v>0.68600000000000005</v>
      </c>
      <c r="E49">
        <v>14.372</v>
      </c>
      <c r="G49" s="2"/>
      <c r="J49" s="5"/>
      <c r="K49" s="5"/>
      <c r="L49" s="5"/>
      <c r="M49" t="s">
        <v>45</v>
      </c>
      <c r="N49" s="14">
        <v>1.0039999999999999E-3</v>
      </c>
      <c r="O49">
        <v>1.136E-2</v>
      </c>
      <c r="P49" s="7">
        <f>E49/2-O49</f>
        <v>7.1746400000000001</v>
      </c>
      <c r="Q49" s="7"/>
      <c r="S49">
        <v>23759</v>
      </c>
      <c r="T49">
        <v>7.47</v>
      </c>
      <c r="U49" s="16">
        <v>3262</v>
      </c>
      <c r="V49" s="17">
        <f>U49/2188</f>
        <v>1.4908592321755028</v>
      </c>
      <c r="AA49" s="2">
        <f>(PI()/4)*E49^2*B49</f>
        <v>6489.0973534116511</v>
      </c>
      <c r="AB49" s="1">
        <f>1.6812*B49</f>
        <v>67.248000000000005</v>
      </c>
      <c r="AC49" s="6">
        <f>AB49-AA49*0.03706</f>
        <v>-173.2379479174358</v>
      </c>
      <c r="AD49" s="6">
        <f>AB49-(((PI()/4)*(2*P49)^2*(B49-(N49*B49)))*0.037143)</f>
        <v>-172.7738730947645</v>
      </c>
      <c r="AE49" s="6">
        <f>AC49-AD49</f>
        <v>-0.46407482267130717</v>
      </c>
      <c r="AI49" s="5"/>
      <c r="AJ49" s="6"/>
      <c r="AK49" s="6"/>
      <c r="AL49" s="2"/>
    </row>
    <row r="50" spans="1:38" x14ac:dyDescent="0.25">
      <c r="C50" s="5"/>
      <c r="D50" s="7"/>
      <c r="G50" s="2"/>
      <c r="J50" s="5"/>
      <c r="K50" s="5"/>
      <c r="L50" s="5"/>
      <c r="N50" s="14"/>
      <c r="P50" s="7"/>
      <c r="Q50" s="7"/>
      <c r="U50" s="16"/>
      <c r="V50" s="17"/>
      <c r="AA50" s="2"/>
      <c r="AB50" s="1"/>
      <c r="AC50" s="6"/>
      <c r="AD50" s="6"/>
      <c r="AE50" s="6"/>
      <c r="AI50" s="5"/>
      <c r="AJ50" s="6"/>
      <c r="AK50" s="6"/>
      <c r="AL50" s="2"/>
    </row>
    <row r="51" spans="1:38" x14ac:dyDescent="0.25">
      <c r="A51" t="s">
        <v>58</v>
      </c>
      <c r="C51" s="5"/>
      <c r="D51" s="5"/>
      <c r="G51" s="2"/>
      <c r="J51" s="5"/>
      <c r="K51" s="5"/>
      <c r="L51" s="5"/>
      <c r="AA51" s="2"/>
      <c r="AB51" s="1"/>
      <c r="AC51" s="6"/>
      <c r="AD51" s="6"/>
      <c r="AE51" s="6"/>
      <c r="AI51" s="5"/>
      <c r="AJ51" s="6"/>
      <c r="AK51" s="6"/>
      <c r="AL51" s="2"/>
    </row>
    <row r="52" spans="1:38" x14ac:dyDescent="0.25">
      <c r="A52">
        <v>13</v>
      </c>
      <c r="B52">
        <v>40</v>
      </c>
      <c r="C52" s="5">
        <v>13</v>
      </c>
      <c r="D52" s="7">
        <v>0.66149999999999998</v>
      </c>
      <c r="E52">
        <v>14.323</v>
      </c>
      <c r="G52" s="2"/>
      <c r="J52" s="5"/>
      <c r="K52" s="5"/>
      <c r="L52" s="5"/>
      <c r="M52" t="s">
        <v>59</v>
      </c>
      <c r="N52" s="14">
        <v>1.1360000000000001E-3</v>
      </c>
      <c r="O52">
        <v>1.174E-2</v>
      </c>
      <c r="P52" s="7">
        <f>E52/2-O52</f>
        <v>7.1497600000000006</v>
      </c>
      <c r="Q52" s="7"/>
      <c r="S52">
        <v>24535</v>
      </c>
      <c r="T52">
        <v>7.2</v>
      </c>
      <c r="U52" s="16">
        <v>2951</v>
      </c>
      <c r="V52" s="17">
        <f>U52/2188</f>
        <v>1.3487202925045705</v>
      </c>
      <c r="AA52" s="2">
        <f>(PI()/4)*E52^2*B52</f>
        <v>6444.9248328262192</v>
      </c>
      <c r="AB52" s="1">
        <f>1.6182*B52</f>
        <v>64.728000000000009</v>
      </c>
      <c r="AC52" s="6">
        <f>AB52-AA52*0.03706</f>
        <v>-174.1209143045397</v>
      </c>
      <c r="AD52" s="6">
        <f>AB52-(((PI()/4)*(2*P52)^2*(B52-(N52*B52)))*0.037143)</f>
        <v>-173.60058309771858</v>
      </c>
      <c r="AE52" s="6">
        <f>AC52-AD52</f>
        <v>-0.52033120682111189</v>
      </c>
      <c r="AI52" s="5"/>
      <c r="AJ52" s="6"/>
      <c r="AK52" s="6"/>
      <c r="AL52" s="2"/>
    </row>
    <row r="53" spans="1:38" x14ac:dyDescent="0.25">
      <c r="C53" s="5"/>
      <c r="D53" s="7"/>
      <c r="G53" s="2"/>
      <c r="J53" s="5"/>
      <c r="K53" s="5"/>
      <c r="L53" s="5"/>
      <c r="N53" s="14"/>
      <c r="P53" s="7"/>
      <c r="Q53" s="7"/>
      <c r="U53" s="16"/>
      <c r="V53" s="17"/>
      <c r="AA53" s="2"/>
      <c r="AB53" s="1"/>
      <c r="AC53" s="6"/>
      <c r="AD53" s="6"/>
      <c r="AE53" s="6"/>
      <c r="AI53" s="5"/>
      <c r="AJ53" s="6"/>
      <c r="AK53" s="6"/>
      <c r="AL53" s="2"/>
    </row>
    <row r="54" spans="1:38" x14ac:dyDescent="0.25">
      <c r="A54" t="s">
        <v>60</v>
      </c>
      <c r="C54" s="5"/>
      <c r="D54" s="5"/>
      <c r="G54" s="2"/>
      <c r="J54" s="5"/>
      <c r="K54" s="5"/>
      <c r="L54" s="5"/>
      <c r="N54" s="14"/>
      <c r="P54" s="7"/>
      <c r="Q54" s="7"/>
      <c r="U54" s="16"/>
      <c r="V54" s="17"/>
      <c r="AA54" s="2"/>
      <c r="AB54" s="1"/>
      <c r="AC54" s="6"/>
      <c r="AD54" s="6"/>
      <c r="AE54" s="6"/>
      <c r="AI54" s="5"/>
      <c r="AJ54" s="6"/>
      <c r="AK54" s="6"/>
      <c r="AL54" s="2"/>
    </row>
    <row r="55" spans="1:38" x14ac:dyDescent="0.25">
      <c r="A55">
        <v>13</v>
      </c>
      <c r="B55">
        <v>40</v>
      </c>
      <c r="C55" s="5">
        <v>13</v>
      </c>
      <c r="D55" s="7">
        <v>0.63700000000000001</v>
      </c>
      <c r="E55">
        <v>14.273999999999999</v>
      </c>
      <c r="G55" s="2"/>
      <c r="J55" s="5"/>
      <c r="K55" s="5"/>
      <c r="L55" s="5"/>
      <c r="M55" t="s">
        <v>61</v>
      </c>
      <c r="N55" s="14">
        <v>1.1689999999999999E-3</v>
      </c>
      <c r="O55">
        <v>1.2149999999999999E-2</v>
      </c>
      <c r="P55" s="7">
        <f>E55/2-O55</f>
        <v>7.1248499999999995</v>
      </c>
      <c r="Q55" s="7"/>
      <c r="S55">
        <v>25369</v>
      </c>
      <c r="T55">
        <v>6.99</v>
      </c>
      <c r="U55" s="19">
        <v>2659</v>
      </c>
      <c r="V55" s="20">
        <f>U55/2188</f>
        <v>1.2152650822669104</v>
      </c>
      <c r="AA55" s="2">
        <f>(PI()/4)*E55^2*B55</f>
        <v>6400.9031715200117</v>
      </c>
      <c r="AB55" s="1">
        <f>1.5555*B55</f>
        <v>62.220000000000006</v>
      </c>
      <c r="AC55" s="6">
        <f>AB55-AA55*0.03706</f>
        <v>-174.99747153653166</v>
      </c>
      <c r="AD55" s="6">
        <f>AB55-(((PI()/4)*(2*P55)^2*(B55-(N55*B55)))*0.037143)</f>
        <v>-174.44296771631869</v>
      </c>
      <c r="AE55" s="6">
        <f>AC55-AD55</f>
        <v>-0.55450382021297173</v>
      </c>
      <c r="AI55" s="5"/>
      <c r="AJ55" s="6"/>
      <c r="AK55" s="6"/>
      <c r="AL55" s="2"/>
    </row>
    <row r="56" spans="1:38" x14ac:dyDescent="0.25">
      <c r="C56" s="5"/>
      <c r="D56" s="7"/>
      <c r="G56" s="2"/>
      <c r="J56" s="5"/>
      <c r="K56" s="5"/>
      <c r="L56" s="5"/>
      <c r="N56" s="14"/>
      <c r="P56" s="7"/>
      <c r="Q56" s="7"/>
      <c r="U56" s="16"/>
      <c r="V56" s="17"/>
      <c r="AA56" s="2"/>
      <c r="AB56" s="1"/>
      <c r="AC56" s="6"/>
      <c r="AD56" s="6"/>
      <c r="AE56" s="6"/>
      <c r="AI56" s="5"/>
      <c r="AJ56" s="6"/>
      <c r="AK56" s="6"/>
      <c r="AL56" s="2"/>
    </row>
    <row r="57" spans="1:38" x14ac:dyDescent="0.25">
      <c r="C57" s="5"/>
      <c r="D57" s="7"/>
      <c r="G57" s="2"/>
      <c r="J57" s="5"/>
      <c r="K57" s="5"/>
      <c r="L57" s="5"/>
      <c r="N57" s="14"/>
      <c r="P57" s="7"/>
      <c r="Q57" s="7"/>
      <c r="U57" s="16"/>
      <c r="V57" s="17"/>
      <c r="AA57" s="2"/>
      <c r="AB57" s="1"/>
      <c r="AC57" s="6"/>
      <c r="AD57" s="6"/>
      <c r="AE57" s="6"/>
      <c r="AI57" s="5"/>
      <c r="AJ57" s="6"/>
      <c r="AK57" s="6"/>
      <c r="AL57" s="2"/>
    </row>
    <row r="58" spans="1:38" x14ac:dyDescent="0.25">
      <c r="C58" s="5"/>
      <c r="D58" s="7"/>
      <c r="G58" s="2"/>
      <c r="J58" s="5"/>
      <c r="K58" s="5"/>
      <c r="L58" s="5"/>
      <c r="N58" s="14"/>
      <c r="P58" s="7"/>
      <c r="Q58" s="7"/>
      <c r="U58" s="16"/>
      <c r="V58" s="17"/>
      <c r="AA58" s="2"/>
      <c r="AB58" s="1"/>
      <c r="AC58" s="6"/>
      <c r="AD58" s="6"/>
      <c r="AE58" s="6"/>
      <c r="AI58" s="5"/>
      <c r="AJ58" s="6"/>
      <c r="AK58" s="6"/>
      <c r="AL58" s="2"/>
    </row>
    <row r="59" spans="1:38" x14ac:dyDescent="0.25">
      <c r="C59" s="5"/>
      <c r="D59" s="7"/>
      <c r="G59" s="2"/>
      <c r="J59" s="5"/>
      <c r="K59" s="5"/>
      <c r="L59" s="5"/>
      <c r="N59" s="14"/>
      <c r="P59" s="7"/>
      <c r="Q59" s="7"/>
      <c r="U59" s="16"/>
      <c r="V59" s="17"/>
      <c r="AA59" s="2"/>
      <c r="AB59" s="1"/>
      <c r="AC59" s="6"/>
      <c r="AD59" s="6"/>
      <c r="AE59" s="6"/>
      <c r="AI59" s="5"/>
      <c r="AJ59" s="6"/>
      <c r="AK59" s="6"/>
      <c r="AL59" s="2"/>
    </row>
    <row r="60" spans="1:38" x14ac:dyDescent="0.25">
      <c r="N60" s="13"/>
      <c r="P60" s="7"/>
      <c r="V60" s="6"/>
      <c r="AA60" s="2"/>
      <c r="AB60" s="1"/>
      <c r="AC60" s="6"/>
      <c r="AD60" s="6"/>
      <c r="AE60" s="6"/>
      <c r="AI60" s="5"/>
      <c r="AJ60" s="6"/>
      <c r="AK60" s="6"/>
      <c r="AL60" s="2"/>
    </row>
    <row r="61" spans="1:38" x14ac:dyDescent="0.25">
      <c r="A61" t="s">
        <v>47</v>
      </c>
      <c r="AI61" s="5"/>
      <c r="AJ61" s="6"/>
      <c r="AK61" s="6"/>
      <c r="AL61" s="2"/>
    </row>
    <row r="62" spans="1:38" x14ac:dyDescent="0.25">
      <c r="A62" s="5">
        <v>11.35</v>
      </c>
      <c r="B62">
        <v>36</v>
      </c>
      <c r="C62" s="5">
        <v>11.35</v>
      </c>
      <c r="D62">
        <v>0.57499999999999996</v>
      </c>
      <c r="E62" s="5">
        <v>12.5</v>
      </c>
      <c r="M62" t="s">
        <v>46</v>
      </c>
      <c r="N62">
        <f>0.009416/36</f>
        <v>2.6155555555555556E-4</v>
      </c>
      <c r="O62">
        <v>6.9360000000000003E-3</v>
      </c>
      <c r="P62" s="7">
        <f>E62/2-O62</f>
        <v>6.2430640000000004</v>
      </c>
      <c r="S62">
        <v>19672</v>
      </c>
      <c r="T62" s="1">
        <f>125000/S62</f>
        <v>6.3542090280601871</v>
      </c>
      <c r="U62">
        <v>6051</v>
      </c>
      <c r="V62" s="6">
        <f>U62/2188</f>
        <v>2.7655393053016453</v>
      </c>
      <c r="AA62" s="2">
        <f>(PI()/4)*E62^2*B62</f>
        <v>4417.8646691106469</v>
      </c>
      <c r="AB62" s="1">
        <v>173.7</v>
      </c>
      <c r="AC62" s="6">
        <v>9.85</v>
      </c>
      <c r="AD62" s="6">
        <f>AB62-(((PI()/4)*(2*P62)^2*(36-(N62*36)))*0.037143)</f>
        <v>10.0140818008569</v>
      </c>
      <c r="AE62" s="6">
        <f>AC62-AD62</f>
        <v>-0.16408180085690027</v>
      </c>
      <c r="AI62" s="5"/>
      <c r="AJ62" s="6"/>
      <c r="AK62" s="6"/>
      <c r="AL62" s="2"/>
    </row>
    <row r="63" spans="1:38" x14ac:dyDescent="0.25">
      <c r="A63" s="5">
        <v>16.649999999999999</v>
      </c>
      <c r="B63">
        <v>36</v>
      </c>
      <c r="C63" s="5">
        <v>16.649999999999999</v>
      </c>
      <c r="D63" s="5">
        <v>0.67500000000000004</v>
      </c>
      <c r="E63" s="5">
        <v>18</v>
      </c>
      <c r="M63" t="s">
        <v>46</v>
      </c>
      <c r="N63">
        <f>0.012/36</f>
        <v>3.3333333333333332E-4</v>
      </c>
      <c r="O63">
        <v>1.2E-2</v>
      </c>
      <c r="P63" s="7">
        <f>E63/2-O63</f>
        <v>8.9879999999999995</v>
      </c>
      <c r="S63">
        <v>24346</v>
      </c>
      <c r="T63" s="1">
        <f>125000/S63</f>
        <v>5.1343136449519431</v>
      </c>
      <c r="U63">
        <v>6075</v>
      </c>
      <c r="V63" s="6">
        <f>U63/2188</f>
        <v>2.7765082266910421</v>
      </c>
      <c r="AA63" s="2">
        <f>(PI()/4)*E63^2*B63</f>
        <v>9160.8841778678361</v>
      </c>
      <c r="AB63">
        <v>318.10000000000002</v>
      </c>
      <c r="AC63" s="6">
        <v>-21.7</v>
      </c>
      <c r="AD63" s="6">
        <f>AB63-(((PI()/4)*(2*P63)^2*(36-(N63*36)))*0.037143)</f>
        <v>-21.14284002110827</v>
      </c>
      <c r="AE63" s="6">
        <f>AC63-AD63</f>
        <v>-0.55715997889172897</v>
      </c>
      <c r="AI63" s="5"/>
      <c r="AJ63" s="6"/>
      <c r="AK63" s="6"/>
      <c r="AL63" s="2"/>
    </row>
    <row r="64" spans="1:38" x14ac:dyDescent="0.25">
      <c r="A64" s="5">
        <v>16.875</v>
      </c>
      <c r="B64">
        <v>36</v>
      </c>
      <c r="C64" s="5">
        <v>16.875</v>
      </c>
      <c r="D64" s="5">
        <v>0.56299999999999994</v>
      </c>
      <c r="E64" s="5">
        <v>18</v>
      </c>
      <c r="M64" t="s">
        <v>46</v>
      </c>
      <c r="N64">
        <f>0.014/36</f>
        <v>3.8888888888888892E-4</v>
      </c>
      <c r="O64">
        <v>1.4999999999999999E-2</v>
      </c>
      <c r="P64" s="7">
        <f>E64/2-O64</f>
        <v>8.9849999999999994</v>
      </c>
      <c r="S64">
        <v>29405</v>
      </c>
      <c r="T64" s="1">
        <f>125000/S64</f>
        <v>4.250977724876722</v>
      </c>
      <c r="U64">
        <v>3563</v>
      </c>
      <c r="V64" s="17">
        <f>U64/2188</f>
        <v>1.6284277879341864</v>
      </c>
      <c r="AA64" s="2">
        <f>(PI()/4)*E64^2*B64</f>
        <v>9160.8841778678361</v>
      </c>
      <c r="AB64">
        <v>286.60000000000002</v>
      </c>
      <c r="AC64" s="6">
        <v>-53.2</v>
      </c>
      <c r="AD64" s="6">
        <f>AB64-(((PI()/4)*(2*P64)^2*(36-(N64*36)))*0.037143)</f>
        <v>-52.397573444938246</v>
      </c>
      <c r="AE64" s="6">
        <f>AC64-AD64</f>
        <v>-0.80242655506175709</v>
      </c>
      <c r="AI64" s="5"/>
      <c r="AJ64" s="6"/>
      <c r="AK64" s="6"/>
      <c r="AL64" s="2"/>
    </row>
    <row r="65" spans="1:38" x14ac:dyDescent="0.25">
      <c r="A65" s="5">
        <v>17</v>
      </c>
      <c r="B65">
        <v>36</v>
      </c>
      <c r="C65" s="5">
        <v>17</v>
      </c>
      <c r="D65" s="5">
        <v>0.625</v>
      </c>
      <c r="E65" s="5">
        <v>18.25</v>
      </c>
      <c r="M65" t="s">
        <v>46</v>
      </c>
      <c r="N65">
        <f>0.013/36</f>
        <v>3.6111111111111109E-4</v>
      </c>
      <c r="O65">
        <v>1.4E-2</v>
      </c>
      <c r="P65" s="7">
        <f>E65/2-O65</f>
        <v>9.1110000000000007</v>
      </c>
      <c r="S65">
        <v>26749</v>
      </c>
      <c r="T65" s="1">
        <f>125000/S65</f>
        <v>4.6730718905379645</v>
      </c>
      <c r="U65">
        <v>4679</v>
      </c>
      <c r="V65" s="6">
        <f>U65/2188</f>
        <v>2.1384826325411335</v>
      </c>
      <c r="AA65" s="2">
        <f>(PI()/4)*E65^2*B65</f>
        <v>9417.1203286762557</v>
      </c>
      <c r="AB65">
        <v>310.2</v>
      </c>
      <c r="AC65" s="6">
        <v>-39.1</v>
      </c>
      <c r="AD65" s="6">
        <f>AB65-(((PI()/4)*(2*P65)^2*(36-(N65*36)))*0.037143)</f>
        <v>-38.381703679332873</v>
      </c>
      <c r="AE65" s="6">
        <f>AC65-AD65</f>
        <v>-0.7182963206671289</v>
      </c>
      <c r="AI65" s="5"/>
      <c r="AJ65" s="6"/>
      <c r="AK65" s="6"/>
      <c r="AL65" s="2"/>
    </row>
    <row r="66" spans="1:38" x14ac:dyDescent="0.25">
      <c r="A66" s="5"/>
      <c r="C66" s="5"/>
      <c r="D66" s="5"/>
      <c r="E66" s="5"/>
      <c r="P66" s="7"/>
      <c r="T66" s="1"/>
      <c r="V66" s="6"/>
      <c r="AA66" s="2"/>
      <c r="AD66" s="6"/>
      <c r="AE66" s="6"/>
      <c r="AI66" s="5"/>
      <c r="AJ66" s="6"/>
      <c r="AK66" s="6"/>
      <c r="AL66" s="2"/>
    </row>
    <row r="67" spans="1:38" x14ac:dyDescent="0.25">
      <c r="V67" s="6"/>
      <c r="AI67" s="5"/>
      <c r="AJ67" s="6"/>
      <c r="AK67" s="6"/>
      <c r="AL67" s="2"/>
    </row>
    <row r="68" spans="1:38" x14ac:dyDescent="0.25">
      <c r="A68" t="s">
        <v>51</v>
      </c>
      <c r="G68">
        <v>40000</v>
      </c>
      <c r="AI68" s="5"/>
      <c r="AJ68" s="6"/>
      <c r="AK68" s="6"/>
      <c r="AL68" s="2"/>
    </row>
    <row r="69" spans="1:38" x14ac:dyDescent="0.25">
      <c r="A69" s="5">
        <v>11.35</v>
      </c>
      <c r="B69">
        <v>36</v>
      </c>
      <c r="C69" s="5">
        <v>11.35</v>
      </c>
      <c r="D69" s="5">
        <v>0.7</v>
      </c>
      <c r="E69" s="5">
        <v>12.75</v>
      </c>
      <c r="M69" t="s">
        <v>45</v>
      </c>
      <c r="N69">
        <f>0.01292/36</f>
        <v>3.5888888888888884E-4</v>
      </c>
      <c r="O69">
        <v>9.3799999999999994E-3</v>
      </c>
      <c r="P69" s="7">
        <f t="shared" ref="P69:P76" si="0">E69/2-O69</f>
        <v>6.3656199999999998</v>
      </c>
      <c r="S69">
        <v>18280</v>
      </c>
      <c r="T69" s="1">
        <f>40000/S69</f>
        <v>2.1881838074398248</v>
      </c>
      <c r="AA69" s="2">
        <f t="shared" ref="AA69:AA76" si="1">(PI()/4)*E69^2*B69</f>
        <v>4596.3464017427168</v>
      </c>
      <c r="AB69">
        <v>123.2</v>
      </c>
      <c r="AC69" s="6">
        <v>-47.3</v>
      </c>
      <c r="AD69" s="6">
        <f>AB69-(((PI()/4)*(2*P69)^2*(36-(N69*36)))*0.037143)</f>
        <v>-46.958982303467778</v>
      </c>
      <c r="AE69" s="6">
        <f t="shared" ref="AE69:AE76" si="2">AC69-AD69</f>
        <v>-0.34101769653221936</v>
      </c>
      <c r="AI69" s="5"/>
      <c r="AJ69" s="6"/>
      <c r="AK69" s="6"/>
      <c r="AL69" s="2"/>
    </row>
    <row r="70" spans="1:38" x14ac:dyDescent="0.25">
      <c r="A70" s="5">
        <v>13.6</v>
      </c>
      <c r="B70">
        <v>36</v>
      </c>
      <c r="C70" s="5">
        <v>13.6</v>
      </c>
      <c r="D70">
        <v>0.875</v>
      </c>
      <c r="E70" s="5">
        <v>15.35</v>
      </c>
      <c r="M70" t="s">
        <v>45</v>
      </c>
      <c r="N70">
        <f>0.01247/36</f>
        <v>3.4638888888888892E-4</v>
      </c>
      <c r="O70">
        <v>1.0800000000000001E-2</v>
      </c>
      <c r="P70" s="7">
        <f t="shared" si="0"/>
        <v>7.6642000000000001</v>
      </c>
      <c r="S70">
        <v>17650</v>
      </c>
      <c r="T70" s="1">
        <f>40000/S70</f>
        <v>2.2662889518413598</v>
      </c>
      <c r="AA70" s="2">
        <f t="shared" si="1"/>
        <v>6662.069235184149</v>
      </c>
      <c r="AB70">
        <v>183.1</v>
      </c>
      <c r="AC70" s="6">
        <v>-64</v>
      </c>
      <c r="AD70" s="6">
        <f t="shared" ref="AD70:AD76" si="3">AB70-(((PI()/4)*(2*P70)^2*(36-(N70*36)))*0.037143)</f>
        <v>-63.567850602288217</v>
      </c>
      <c r="AE70" s="6">
        <f t="shared" si="2"/>
        <v>-0.43214939771178251</v>
      </c>
      <c r="AI70" s="5"/>
      <c r="AJ70" s="6"/>
      <c r="AK70" s="6"/>
      <c r="AL70" s="2"/>
    </row>
    <row r="71" spans="1:38" x14ac:dyDescent="0.25">
      <c r="A71" s="5">
        <v>14</v>
      </c>
      <c r="B71">
        <v>36</v>
      </c>
      <c r="C71" s="5">
        <v>14</v>
      </c>
      <c r="D71" s="5">
        <v>0.75</v>
      </c>
      <c r="E71" s="5">
        <v>15.5</v>
      </c>
      <c r="M71" t="s">
        <v>45</v>
      </c>
      <c r="N71">
        <f>0.01456/36</f>
        <v>4.0444444444444447E-4</v>
      </c>
      <c r="O71">
        <v>1.3100000000000001E-2</v>
      </c>
      <c r="P71" s="7">
        <f t="shared" si="0"/>
        <v>7.7369000000000003</v>
      </c>
      <c r="S71">
        <v>20600</v>
      </c>
      <c r="T71" s="1">
        <f>40000/S71</f>
        <v>1.941747572815534</v>
      </c>
      <c r="AA71" s="2">
        <f t="shared" si="1"/>
        <v>6792.9087152245302</v>
      </c>
      <c r="AB71">
        <v>167.9</v>
      </c>
      <c r="AC71" s="6">
        <v>-84.1</v>
      </c>
      <c r="AD71" s="6">
        <f t="shared" si="3"/>
        <v>-83.455061785598673</v>
      </c>
      <c r="AE71" s="6">
        <f t="shared" si="2"/>
        <v>-0.64493821440132137</v>
      </c>
      <c r="AI71" s="5"/>
      <c r="AJ71" s="6"/>
      <c r="AK71" s="6"/>
      <c r="AL71" s="2"/>
    </row>
    <row r="72" spans="1:38" x14ac:dyDescent="0.25">
      <c r="A72" s="5"/>
      <c r="C72" s="5"/>
      <c r="D72" s="5"/>
      <c r="E72" s="5"/>
      <c r="P72" s="7"/>
      <c r="T72" s="1"/>
      <c r="AA72" s="2"/>
      <c r="AC72" s="6"/>
      <c r="AD72" s="6"/>
      <c r="AE72" s="6"/>
      <c r="AI72" s="5"/>
      <c r="AJ72" s="6"/>
      <c r="AK72" s="6"/>
      <c r="AL72" s="2"/>
    </row>
    <row r="73" spans="1:38" x14ac:dyDescent="0.25">
      <c r="A73" s="5">
        <v>14.25</v>
      </c>
      <c r="B73">
        <v>36</v>
      </c>
      <c r="C73" s="5">
        <v>14.25</v>
      </c>
      <c r="D73" s="5">
        <v>0.68700000000000006</v>
      </c>
      <c r="E73" s="5">
        <v>15.625</v>
      </c>
      <c r="M73" t="s">
        <v>46</v>
      </c>
      <c r="N73">
        <f>0.015/36</f>
        <v>4.1666666666666664E-4</v>
      </c>
      <c r="O73">
        <v>1.4800000000000001E-2</v>
      </c>
      <c r="P73" s="7">
        <f t="shared" si="0"/>
        <v>7.7976999999999999</v>
      </c>
      <c r="S73">
        <v>20609</v>
      </c>
      <c r="T73" s="1">
        <f>40000/S73</f>
        <v>1.9408996069678295</v>
      </c>
      <c r="U73">
        <v>4323</v>
      </c>
      <c r="V73" s="17">
        <f>U73/2188</f>
        <v>1.9757769652650823</v>
      </c>
      <c r="AA73" s="2">
        <f t="shared" si="1"/>
        <v>6902.9135454853849</v>
      </c>
      <c r="AB73">
        <v>160.69999999999999</v>
      </c>
      <c r="AC73" s="6">
        <v>-95.3</v>
      </c>
      <c r="AD73" s="6">
        <f t="shared" si="3"/>
        <v>-94.617982055898665</v>
      </c>
      <c r="AE73" s="6">
        <f t="shared" si="2"/>
        <v>-0.68201794410133232</v>
      </c>
      <c r="AI73" s="5"/>
      <c r="AJ73" s="6"/>
      <c r="AK73" s="6"/>
      <c r="AL73" s="2"/>
    </row>
    <row r="74" spans="1:38" x14ac:dyDescent="0.25">
      <c r="A74" s="5">
        <v>14.25</v>
      </c>
      <c r="B74">
        <v>36</v>
      </c>
      <c r="C74" s="5">
        <v>14.25</v>
      </c>
      <c r="D74" s="5">
        <v>0.68700000000000006</v>
      </c>
      <c r="E74" s="5">
        <v>15.625</v>
      </c>
      <c r="M74" t="s">
        <v>45</v>
      </c>
      <c r="N74">
        <f>0.0159/36</f>
        <v>4.416666666666667E-4</v>
      </c>
      <c r="O74">
        <v>1.47E-2</v>
      </c>
      <c r="P74" s="7">
        <f t="shared" si="0"/>
        <v>7.7977999999999996</v>
      </c>
      <c r="S74">
        <v>22550</v>
      </c>
      <c r="T74" s="1">
        <f>40000/S74</f>
        <v>1.7738359201773837</v>
      </c>
      <c r="AA74" s="2">
        <f t="shared" si="1"/>
        <v>6902.9135454853849</v>
      </c>
      <c r="AB74">
        <v>160.69999999999999</v>
      </c>
      <c r="AC74" s="6">
        <v>-95.3</v>
      </c>
      <c r="AD74" s="6">
        <f t="shared" si="3"/>
        <v>-94.618144869789603</v>
      </c>
      <c r="AE74" s="6">
        <f t="shared" si="2"/>
        <v>-0.68185513021039412</v>
      </c>
      <c r="AI74" s="5"/>
      <c r="AJ74" s="6"/>
      <c r="AK74" s="6"/>
      <c r="AL74" s="2"/>
    </row>
    <row r="75" spans="1:38" x14ac:dyDescent="0.25">
      <c r="A75" s="5"/>
      <c r="C75" s="5"/>
      <c r="D75" s="5"/>
      <c r="E75" s="5"/>
      <c r="P75" s="7"/>
      <c r="T75" s="1"/>
      <c r="AA75" s="2"/>
      <c r="AC75" s="6"/>
      <c r="AD75" s="6"/>
      <c r="AE75" s="6"/>
      <c r="AI75" s="5"/>
      <c r="AJ75" s="6"/>
      <c r="AK75" s="6"/>
      <c r="AL75" s="2"/>
    </row>
    <row r="76" spans="1:38" x14ac:dyDescent="0.25">
      <c r="A76" s="5">
        <v>14.45</v>
      </c>
      <c r="B76">
        <v>36</v>
      </c>
      <c r="C76" s="5">
        <v>14.45</v>
      </c>
      <c r="D76" s="5">
        <v>0.68700000000000006</v>
      </c>
      <c r="E76" s="5">
        <v>15.824999999999999</v>
      </c>
      <c r="M76" t="s">
        <v>46</v>
      </c>
      <c r="N76">
        <f>0.0148/36</f>
        <v>4.1111111111111112E-4</v>
      </c>
      <c r="O76">
        <v>1.52E-2</v>
      </c>
      <c r="P76" s="7">
        <f t="shared" si="0"/>
        <v>7.8972999999999995</v>
      </c>
      <c r="S76">
        <v>20885</v>
      </c>
      <c r="T76" s="1">
        <f>40000/S76</f>
        <v>1.9152501795547043</v>
      </c>
      <c r="U76">
        <v>4282</v>
      </c>
      <c r="V76" s="17">
        <f>U76/2188</f>
        <v>1.9570383912248628</v>
      </c>
      <c r="AA76" s="2">
        <f t="shared" si="1"/>
        <v>7080.7591056051024</v>
      </c>
      <c r="AB76">
        <v>163.6</v>
      </c>
      <c r="AC76" s="6">
        <v>-99.1</v>
      </c>
      <c r="AD76" s="6">
        <f t="shared" si="3"/>
        <v>-98.283444274700827</v>
      </c>
      <c r="AE76" s="6">
        <f t="shared" si="2"/>
        <v>-0.81655572529916753</v>
      </c>
      <c r="AI76" s="5"/>
      <c r="AJ76" s="6"/>
      <c r="AK76" s="6"/>
      <c r="AL76" s="2"/>
    </row>
    <row r="77" spans="1:38" x14ac:dyDescent="0.25">
      <c r="A77" s="5"/>
      <c r="C77" s="5"/>
      <c r="D77" s="5"/>
      <c r="E77" s="5"/>
      <c r="P77" s="7"/>
      <c r="T77" s="1"/>
      <c r="V77" s="6"/>
      <c r="AA77" s="2"/>
      <c r="AC77" s="6"/>
      <c r="AD77" s="6"/>
      <c r="AE77" s="6"/>
      <c r="AI77" s="5"/>
      <c r="AJ77" s="6"/>
      <c r="AK77" s="6"/>
      <c r="AL77" s="2"/>
    </row>
    <row r="78" spans="1:38" x14ac:dyDescent="0.25">
      <c r="A78" s="5"/>
      <c r="C78" s="5"/>
      <c r="D78" s="5"/>
      <c r="E78" s="5"/>
      <c r="P78" s="7"/>
      <c r="T78" s="1"/>
      <c r="V78" s="6"/>
      <c r="AA78" s="2"/>
      <c r="AC78" s="6"/>
      <c r="AD78" s="6"/>
      <c r="AE78" s="6"/>
      <c r="AI78" s="5"/>
      <c r="AJ78" s="6"/>
      <c r="AK78" s="6"/>
      <c r="AL78" s="2"/>
    </row>
    <row r="79" spans="1:38" x14ac:dyDescent="0.25">
      <c r="AI79" s="5"/>
      <c r="AJ79" s="6"/>
      <c r="AK79" s="6"/>
      <c r="AL79" s="2"/>
    </row>
    <row r="80" spans="1:38" x14ac:dyDescent="0.25">
      <c r="A80" t="s">
        <v>26</v>
      </c>
      <c r="S80" s="15" t="s">
        <v>37</v>
      </c>
      <c r="V80" t="s">
        <v>38</v>
      </c>
      <c r="AI80" s="5"/>
      <c r="AJ80" s="6"/>
      <c r="AK80" s="6"/>
      <c r="AL80" s="2"/>
    </row>
    <row r="81" spans="1:38" x14ac:dyDescent="0.25">
      <c r="A81" s="5">
        <v>11.35</v>
      </c>
      <c r="B81">
        <v>36</v>
      </c>
      <c r="C81" s="5">
        <v>11.35</v>
      </c>
      <c r="D81" s="5">
        <v>0.32500000000000001</v>
      </c>
      <c r="E81" s="5">
        <v>12</v>
      </c>
      <c r="M81" t="s">
        <v>46</v>
      </c>
      <c r="N81">
        <v>1.3899999999999999E-4</v>
      </c>
      <c r="O81">
        <v>4.0000000000000001E-3</v>
      </c>
      <c r="P81" s="7">
        <f>E81/2-O81</f>
        <v>5.9960000000000004</v>
      </c>
      <c r="S81">
        <v>8080</v>
      </c>
      <c r="T81">
        <v>4.9000000000000004</v>
      </c>
      <c r="U81">
        <v>957</v>
      </c>
      <c r="V81">
        <v>2.1</v>
      </c>
      <c r="AA81" s="2">
        <f>(PI()/4)*E81^2*B81</f>
        <v>4071.5040790523717</v>
      </c>
      <c r="AB81">
        <v>42</v>
      </c>
      <c r="AC81" s="6">
        <v>-108.8</v>
      </c>
      <c r="AD81" s="6">
        <f>AB81-(((PI()/4)*(2*P81)^2*(36-(N81*36)))*0.03711)</f>
        <v>-108.87115149903084</v>
      </c>
      <c r="AE81" s="6">
        <f>AC81-AD81</f>
        <v>7.1151499030847276E-2</v>
      </c>
      <c r="AG81" t="s">
        <v>29</v>
      </c>
      <c r="AI81" s="5"/>
      <c r="AJ81" s="6"/>
      <c r="AK81" s="6"/>
      <c r="AL81" s="2"/>
    </row>
    <row r="82" spans="1:38" x14ac:dyDescent="0.25">
      <c r="A82" s="5"/>
      <c r="C82" s="5"/>
      <c r="D82" s="5"/>
      <c r="E82" s="5"/>
      <c r="P82" s="7"/>
      <c r="AA82" s="2"/>
    </row>
    <row r="83" spans="1:38" x14ac:dyDescent="0.25">
      <c r="A83" s="5"/>
      <c r="C83" s="5"/>
      <c r="D83" s="5"/>
      <c r="E83" s="5"/>
      <c r="P83" s="7"/>
      <c r="AA83" s="2"/>
    </row>
    <row r="84" spans="1:38" x14ac:dyDescent="0.25">
      <c r="A84" s="5"/>
      <c r="C84" s="5"/>
      <c r="D84" s="5"/>
      <c r="E84" s="5"/>
      <c r="P84" s="7"/>
      <c r="AA84" s="2"/>
    </row>
    <row r="86" spans="1:38" x14ac:dyDescent="0.25">
      <c r="D86" s="5"/>
    </row>
    <row r="89" spans="1:38" x14ac:dyDescent="0.25">
      <c r="P89" s="7"/>
      <c r="V89" s="5"/>
      <c r="AA89" s="2"/>
      <c r="AB89" s="6"/>
      <c r="AC89" s="6"/>
      <c r="AD89" s="6"/>
      <c r="AE89" s="6"/>
    </row>
  </sheetData>
  <hyperlinks>
    <hyperlink ref="S80" r:id="rId1"/>
  </hyperlinks>
  <pageMargins left="0.25" right="0.25" top="0.75" bottom="0.75" header="0.3" footer="0.3"/>
  <pageSetup paperSize="119" scale="7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2019-08-26T21:54:57Z</cp:lastPrinted>
  <dcterms:created xsi:type="dcterms:W3CDTF">2019-05-03T22:17:26Z</dcterms:created>
  <dcterms:modified xsi:type="dcterms:W3CDTF">2021-09-01T18:00:42Z</dcterms:modified>
</cp:coreProperties>
</file>