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table+xml" PartName="/xl/tables/table13.xml"/>
  <Override ContentType="application/vnd.openxmlformats-officedocument.spreadsheetml.table+xml" PartName="/xl/tables/table4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table+xml" PartName="/xl/tables/table15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table+xml" PartName="/xl/tables/table11.xml"/>
  <Override ContentType="application/vnd.openxmlformats-officedocument.spreadsheetml.table+xml" PartName="/xl/tables/table5.xml"/>
  <Override ContentType="application/vnd.openxmlformats-officedocument.spreadsheetml.table+xml" PartName="/xl/tables/table3.xml"/>
  <Override ContentType="application/vnd.openxmlformats-officedocument.spreadsheetml.table+xml" PartName="/xl/tables/table10.xml"/>
  <Override ContentType="application/vnd.openxmlformats-officedocument.spreadsheetml.table+xml" PartName="/xl/tables/table7.xml"/>
  <Override ContentType="application/vnd.openxmlformats-officedocument.spreadsheetml.table+xml" PartName="/xl/tables/table14.xml"/>
  <Override ContentType="application/vnd.openxmlformats-officedocument.spreadsheetml.table+xml" PartName="/xl/tables/table12.xml"/>
  <Override ContentType="application/vnd.openxmlformats-officedocument.spreadsheetml.table+xml" PartName="/xl/tables/table9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mmunication Comparison" sheetId="1" r:id="rId4"/>
    <sheet state="visible" name="Ship Use 2020" sheetId="2" r:id="rId5"/>
    <sheet state="visible" name="WF Tests" sheetId="3" r:id="rId6"/>
    <sheet state="hidden" name="Budget Rev1" sheetId="4" r:id="rId7"/>
    <sheet state="visible" name="Budget 2020" sheetId="5" r:id="rId8"/>
    <sheet state="visible" name="Budget 2021" sheetId="6" r:id="rId9"/>
    <sheet state="visible" name="Wowza Cloud Quote" sheetId="7" r:id="rId10"/>
    <sheet state="visible" name="Bandwidth Estimates" sheetId="8" r:id="rId11"/>
  </sheets>
  <definedNames/>
  <calcPr/>
</workbook>
</file>

<file path=xl/sharedStrings.xml><?xml version="1.0" encoding="utf-8"?>
<sst xmlns="http://schemas.openxmlformats.org/spreadsheetml/2006/main" count="676" uniqueCount="273">
  <si>
    <t>Communications Comparison</t>
  </si>
  <si>
    <t>WF Satellite</t>
  </si>
  <si>
    <t xml:space="preserve">RC Satellite </t>
  </si>
  <si>
    <t>Cellular</t>
  </si>
  <si>
    <t>RC Microwave</t>
  </si>
  <si>
    <t>Equipment</t>
  </si>
  <si>
    <t>Seatel 1009 8W</t>
  </si>
  <si>
    <t>TracPhone V7HTS</t>
  </si>
  <si>
    <t>New LTE Modem</t>
  </si>
  <si>
    <t>MBARI Managed</t>
  </si>
  <si>
    <t>Service Provider</t>
  </si>
  <si>
    <t>Isotropic (Current)</t>
  </si>
  <si>
    <t>KVH (Current)</t>
  </si>
  <si>
    <t>Verizon (Current)</t>
  </si>
  <si>
    <t>MBARI (Current)</t>
  </si>
  <si>
    <t>Speed Maximums</t>
  </si>
  <si>
    <t>20 mbps down / 8mbps up</t>
  </si>
  <si>
    <t>10 mbps down / 3 mbps up</t>
  </si>
  <si>
    <t>5-15mbps down / 2-10mbps up</t>
  </si>
  <si>
    <t>10mbps down / 10mbps up</t>
  </si>
  <si>
    <t>Range</t>
  </si>
  <si>
    <t>All MBARI Ops</t>
  </si>
  <si>
    <t>7 nm offshore in MBS</t>
  </si>
  <si>
    <t>Out to M2</t>
  </si>
  <si>
    <t>Reliability</t>
  </si>
  <si>
    <t>high</t>
  </si>
  <si>
    <t>mid (untested)</t>
  </si>
  <si>
    <t>low</t>
  </si>
  <si>
    <t>HD Cost Per Dive Day</t>
  </si>
  <si>
    <t>SD Cost Per Dive Day</t>
  </si>
  <si>
    <t>Current Cost Per Day</t>
  </si>
  <si>
    <t>N/A</t>
  </si>
  <si>
    <t>Rachel Carson</t>
  </si>
  <si>
    <t>Rachel Carson Summary</t>
  </si>
  <si>
    <t>Expedition</t>
  </si>
  <si>
    <t>Start</t>
  </si>
  <si>
    <t>End</t>
  </si>
  <si>
    <t>Days</t>
  </si>
  <si>
    <t>DURATION</t>
  </si>
  <si>
    <t>Katija</t>
  </si>
  <si>
    <t>Smith</t>
  </si>
  <si>
    <t>AMP</t>
  </si>
  <si>
    <t>Total Days:</t>
  </si>
  <si>
    <t>Total Days</t>
  </si>
  <si>
    <t>Western Flyer</t>
  </si>
  <si>
    <t>Cost at Daily Rate</t>
  </si>
  <si>
    <t>Cost at Weekly Rate</t>
  </si>
  <si>
    <t>Cost at Monthly Rate</t>
  </si>
  <si>
    <t>Best Option</t>
  </si>
  <si>
    <t>Paull</t>
  </si>
  <si>
    <t>Caress</t>
  </si>
  <si>
    <t>Barry</t>
  </si>
  <si>
    <t>Isotropic Service Rates for Telepresence</t>
  </si>
  <si>
    <t>Total Costs:</t>
  </si>
  <si>
    <t>*Not adjusted for refund on current service plan</t>
  </si>
  <si>
    <t>Current Service Refund †:</t>
  </si>
  <si>
    <t>Cost Per Month</t>
  </si>
  <si>
    <t>Net Costs:</t>
  </si>
  <si>
    <t>Cost Per Week</t>
  </si>
  <si>
    <t>Cost Per Day</t>
  </si>
  <si>
    <t>† This discount is the refunded amount based on the currently monthly agreement, which is estimated at $100 per day.</t>
  </si>
  <si>
    <t>Western Flyer Service Cost Estimates</t>
  </si>
  <si>
    <t>Length (Days)</t>
  </si>
  <si>
    <t>Service Cost</t>
  </si>
  <si>
    <t>PI</t>
  </si>
  <si>
    <t>Dates WF</t>
  </si>
  <si>
    <t>Days on WF</t>
  </si>
  <si>
    <t>Date Span RC</t>
  </si>
  <si>
    <t>Days on RC</t>
  </si>
  <si>
    <t>08/08-08/14</t>
  </si>
  <si>
    <t>07/20-07/22</t>
  </si>
  <si>
    <t>09/09-10/01</t>
  </si>
  <si>
    <t>10/12-10/17</t>
  </si>
  <si>
    <t>10/27-11/05</t>
  </si>
  <si>
    <t>08/18-08/19, 09/28-9/29</t>
  </si>
  <si>
    <t>12/01-12/06</t>
  </si>
  <si>
    <t>12/14-12/18</t>
  </si>
  <si>
    <t>09/2-12/11 (Sparse)</t>
  </si>
  <si>
    <t>Latency Reports</t>
  </si>
  <si>
    <t>uri innerspace center</t>
  </si>
  <si>
    <t>wowza cloud</t>
  </si>
  <si>
    <t>microsoft streams</t>
  </si>
  <si>
    <t>facebook</t>
  </si>
  <si>
    <t>youtube</t>
  </si>
  <si>
    <t>zoom / google meet</t>
  </si>
  <si>
    <t>Stream Target</t>
  </si>
  <si>
    <t>Video Quality</t>
  </si>
  <si>
    <t>Average Latency (s)</t>
  </si>
  <si>
    <t>emartin</t>
  </si>
  <si>
    <t>720p30</t>
  </si>
  <si>
    <t>kakani</t>
  </si>
  <si>
    <t>1080p30</t>
  </si>
  <si>
    <t>caress</t>
  </si>
  <si>
    <t>georgem</t>
  </si>
  <si>
    <t>adriana</t>
  </si>
  <si>
    <t>truston</t>
  </si>
  <si>
    <t>zoom</t>
  </si>
  <si>
    <t>480p30</t>
  </si>
  <si>
    <t xml:space="preserve">Average </t>
  </si>
  <si>
    <t>google meet</t>
  </si>
  <si>
    <t>Raw Data</t>
  </si>
  <si>
    <t>Service</t>
  </si>
  <si>
    <t>Tester</t>
  </si>
  <si>
    <t>Latency (s)</t>
  </si>
  <si>
    <t>Stream Software</t>
  </si>
  <si>
    <t>OS</t>
  </si>
  <si>
    <t>Connection</t>
  </si>
  <si>
    <t>chrome</t>
  </si>
  <si>
    <t>firefox</t>
  </si>
  <si>
    <t>safari</t>
  </si>
  <si>
    <t>vlc</t>
  </si>
  <si>
    <t>meet</t>
  </si>
  <si>
    <t>Telepresence Budget Rev 1</t>
  </si>
  <si>
    <t>Common Items, Single Setup</t>
  </si>
  <si>
    <t>Function</t>
  </si>
  <si>
    <t>Potential Item</t>
  </si>
  <si>
    <t>Cost ($)</t>
  </si>
  <si>
    <t>Video/Audio Ingestion</t>
  </si>
  <si>
    <t>Blackmagic Web Presenter or Decklink Duo 2</t>
  </si>
  <si>
    <t>Video Adapters/Cabling</t>
  </si>
  <si>
    <t>Audio Interface Components</t>
  </si>
  <si>
    <t>Audiocom WM1000 for line tap</t>
  </si>
  <si>
    <t>Audio Adapters/Cabling</t>
  </si>
  <si>
    <t>Broadcast PC</t>
  </si>
  <si>
    <t>NUC 9 Extreme with RTX2070</t>
  </si>
  <si>
    <t>Chat Server</t>
  </si>
  <si>
    <t>Skype/Zoom/XMPP</t>
  </si>
  <si>
    <t>Professional Broadcaster Software</t>
  </si>
  <si>
    <t>Wirecast</t>
  </si>
  <si>
    <t>Cloud Restreaming</t>
  </si>
  <si>
    <t>Wowza</t>
  </si>
  <si>
    <t>WF Satellite Service (Outreach/year)</t>
  </si>
  <si>
    <t>WF Satellite Service (per week of use)</t>
  </si>
  <si>
    <t>Total:</t>
  </si>
  <si>
    <t>Cloud Costs (Pick One)</t>
  </si>
  <si>
    <t>Quantity</t>
  </si>
  <si>
    <t>Extended</t>
  </si>
  <si>
    <t>Wowza (monthly)</t>
  </si>
  <si>
    <t>Annual Total:</t>
  </si>
  <si>
    <t>Telecommunications</t>
  </si>
  <si>
    <t>Western Flyer Satellite Service</t>
  </si>
  <si>
    <t>Rachel Carson Satellite Service</t>
  </si>
  <si>
    <t>Final Totals</t>
  </si>
  <si>
    <t>Eval</t>
  </si>
  <si>
    <t>Item</t>
  </si>
  <si>
    <t>Cost</t>
  </si>
  <si>
    <t>Evaluation System Control Room Components</t>
  </si>
  <si>
    <t>WF Expanded Isotropic Service (2 days)</t>
  </si>
  <si>
    <t>RC Microwave Testing</t>
  </si>
  <si>
    <t>Wowza Cloud CDN 1 week</t>
  </si>
  <si>
    <t>Yearly Operating Costs</t>
  </si>
  <si>
    <t xml:space="preserve">Item </t>
  </si>
  <si>
    <t>Daily Cost</t>
  </si>
  <si>
    <t>2020 Days</t>
  </si>
  <si>
    <t xml:space="preserve">Western Flyer </t>
  </si>
  <si>
    <t>Labor</t>
  </si>
  <si>
    <t xml:space="preserve">Personnel </t>
  </si>
  <si>
    <t xml:space="preserve">Hours </t>
  </si>
  <si>
    <t>Eric Martin</t>
  </si>
  <si>
    <t>Ben Erwin</t>
  </si>
  <si>
    <t>Craig Okuda</t>
  </si>
  <si>
    <t>DJ Osbourne</t>
  </si>
  <si>
    <t>Adriana Sisfontes</t>
  </si>
  <si>
    <t>Telepresence Budget 2020</t>
  </si>
  <si>
    <t>Taxable</t>
  </si>
  <si>
    <t>Taxes</t>
  </si>
  <si>
    <t>Covers Both Systems</t>
  </si>
  <si>
    <t>Decklink Quad HDMI Capture Card</t>
  </si>
  <si>
    <t>SDI to HDMI Converters (2)</t>
  </si>
  <si>
    <t>Black Magic SDI to HDMI MiniConverter</t>
  </si>
  <si>
    <t>Video Cabling</t>
  </si>
  <si>
    <t xml:space="preserve">Intercom </t>
  </si>
  <si>
    <t>Intercom adapter</t>
  </si>
  <si>
    <t>Focusrite 2x2 Channel USB Audio</t>
  </si>
  <si>
    <t>Audio Cabling</t>
  </si>
  <si>
    <t>Rack Mount Hardware</t>
  </si>
  <si>
    <t>Stream Configuration Hotkey Controller</t>
  </si>
  <si>
    <t>Elgato Stream Deck Controller</t>
  </si>
  <si>
    <t>Dell 3930 Rack PC</t>
  </si>
  <si>
    <t>Cloud Restreaming Services (5 months)</t>
  </si>
  <si>
    <t>Teleconferencing Services (5 months)</t>
  </si>
  <si>
    <t>Zoom</t>
  </si>
  <si>
    <t>Costs (1 System):</t>
  </si>
  <si>
    <t>Estimated Taxes (1 System):</t>
  </si>
  <si>
    <t>Total Costs (2 Systems)†:</t>
  </si>
  <si>
    <t>† Some asses are shared between systems</t>
  </si>
  <si>
    <t>Dan Chamberlain</t>
  </si>
  <si>
    <t>Craig Dawe</t>
  </si>
  <si>
    <t>Task Group</t>
  </si>
  <si>
    <t>Unit Cost</t>
  </si>
  <si>
    <t>Qty</t>
  </si>
  <si>
    <t>Shipping?</t>
  </si>
  <si>
    <t>Hardware Refinement</t>
  </si>
  <si>
    <t>Decklink SDI 4K Capture Card</t>
  </si>
  <si>
    <t xml:space="preserve">SDI to HDMI Converters </t>
  </si>
  <si>
    <t>Microwave System</t>
  </si>
  <si>
    <t>DVEO DOZER Software update</t>
  </si>
  <si>
    <t>Web Context</t>
  </si>
  <si>
    <t>Message Broker</t>
  </si>
  <si>
    <t>Amazon MQ</t>
  </si>
  <si>
    <t>Web Hosting</t>
  </si>
  <si>
    <t>Amazon Web Services</t>
  </si>
  <si>
    <t>Web Services</t>
  </si>
  <si>
    <t>Cloud Restreaming Services (12 months)</t>
  </si>
  <si>
    <t>Cloud LiveStream Services (12 months)</t>
  </si>
  <si>
    <t>Restream.IO</t>
  </si>
  <si>
    <t>Teleconferencing Services (12 months)</t>
  </si>
  <si>
    <t>Costs:</t>
  </si>
  <si>
    <t>Taxes:</t>
  </si>
  <si>
    <t>Shipping:</t>
  </si>
  <si>
    <t>WBS</t>
  </si>
  <si>
    <t>EM</t>
  </si>
  <si>
    <t>BE</t>
  </si>
  <si>
    <t>CO</t>
  </si>
  <si>
    <t>BS</t>
  </si>
  <si>
    <t>KG</t>
  </si>
  <si>
    <t>RS</t>
  </si>
  <si>
    <t>MR</t>
  </si>
  <si>
    <t>Hardware refinement</t>
  </si>
  <si>
    <t xml:space="preserve">Software packaging </t>
  </si>
  <si>
    <t>Component</t>
  </si>
  <si>
    <t>Upload Speed (kbps)</t>
  </si>
  <si>
    <t>Download Speed (kbps)</t>
  </si>
  <si>
    <t>Assumptions</t>
  </si>
  <si>
    <t>Daily Estimates</t>
  </si>
  <si>
    <t>Video Stream</t>
  </si>
  <si>
    <t>480/30 H.264 Unicast stream to shore based redistribution</t>
  </si>
  <si>
    <t>SD 480 Stream</t>
  </si>
  <si>
    <t>HD 720 Stream</t>
  </si>
  <si>
    <t>Notes</t>
  </si>
  <si>
    <t>Audio Broadcast</t>
  </si>
  <si>
    <t>One Stream out, 2-3 stream inbound</t>
  </si>
  <si>
    <t>Ship-to-Shore Rate (mbps)</t>
  </si>
  <si>
    <t>1 stream outbound</t>
  </si>
  <si>
    <t>Data Broadcast</t>
  </si>
  <si>
    <t>1Hz basic vehicle data resampled at 1hz (10 items w/ GGA length strings)</t>
  </si>
  <si>
    <t>Shore-to-Ship Rate (mbps)</t>
  </si>
  <si>
    <t>Data and audio inbound</t>
  </si>
  <si>
    <t>Western Flyer Total (GB)</t>
  </si>
  <si>
    <t>Assumes a 12-hour stream and current ship usage</t>
  </si>
  <si>
    <t>Flyer Daily Throughput (GB):</t>
  </si>
  <si>
    <t>Estimated for a 12-hour day of streaming</t>
  </si>
  <si>
    <t>Rachel Carson Total (GB)</t>
  </si>
  <si>
    <t>Assumes a 10-hour stream and current ship usage</t>
  </si>
  <si>
    <t>Flyer's Current (GB):</t>
  </si>
  <si>
    <t>This is the allocated amount, but may be under-estimated</t>
  </si>
  <si>
    <t>New Daily (GB):</t>
  </si>
  <si>
    <t>RC Daily Throughput (GB):</t>
  </si>
  <si>
    <t>Estimated for 10 hours per day</t>
  </si>
  <si>
    <t>720/30 H.264 Unicast stream to shore based redistribution</t>
  </si>
  <si>
    <t>Daily Throughput (GB):</t>
  </si>
  <si>
    <t>Total</t>
  </si>
  <si>
    <t>RC Monthly (GB):</t>
  </si>
  <si>
    <t>10 dives per month average</t>
  </si>
  <si>
    <t>WF Monthly (GB):</t>
  </si>
  <si>
    <t>Cell costs per dive</t>
  </si>
  <si>
    <t>WF HD Daily Consumption:</t>
  </si>
  <si>
    <t xml:space="preserve">Operating Days per Month: </t>
  </si>
  <si>
    <t>HD Total GB per Month:</t>
  </si>
  <si>
    <t>HD Monthly Cost:</t>
  </si>
  <si>
    <t>HD Cost Per Dive Day:</t>
  </si>
  <si>
    <t>WF SD Daily Consumption:</t>
  </si>
  <si>
    <t>SD Total GB per Month:</t>
  </si>
  <si>
    <t xml:space="preserve">SD Monthly Cost: </t>
  </si>
  <si>
    <t>SD Cost Per Dive Day:</t>
  </si>
  <si>
    <r>
      <rPr>
        <rFont val="Arial"/>
        <color theme="1"/>
      </rPr>
      <t xml:space="preserve"> </t>
    </r>
    <r>
      <rPr>
        <rFont val="Arial"/>
        <b/>
        <color theme="1"/>
      </rPr>
      <t>KVH Cost Estimates</t>
    </r>
  </si>
  <si>
    <t>RC HD Daily Consumption:</t>
  </si>
  <si>
    <t>Select V7L-HS-150GB</t>
  </si>
  <si>
    <t>30% discount</t>
  </si>
  <si>
    <t>Dive Days in 2020:</t>
  </si>
  <si>
    <t>Annual Cost:</t>
  </si>
  <si>
    <t>RC SD Daily Consumption:</t>
  </si>
  <si>
    <t>Isotropic Cost Estimates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</si>
</sst>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&quot;$&quot;#,##0"/>
    <numFmt numFmtId="165" formatCode="m/d/yyyy"/>
    <numFmt numFmtId="166" formatCode="M/d/yyyy"/>
    <numFmt numFmtId="167" formatCode="mm/dd/yyyy"/>
    <numFmt numFmtId="168" formatCode="#,##0.00;(#,##0.00)"/>
    <numFmt numFmtId="169" formatCode="0.0"/>
    <numFmt numFmtId="170" formatCode="&quot;$&quot;#,##0.00"/>
  </numFmts>
  <fonts count="18">
    <font>
      <sz val="10.0"/>
      <color rgb="FF000000"/>
      <name val="Arial"/>
    </font>
    <font>
      <b/>
      <sz val="14.0"/>
      <color theme="1"/>
      <name val="Lato"/>
    </font>
    <font>
      <color theme="1"/>
      <name val="Lato"/>
    </font>
    <font>
      <b/>
      <sz val="10.0"/>
      <color theme="1"/>
      <name val="Lato"/>
    </font>
    <font>
      <b/>
      <color theme="1"/>
      <name val="Lato"/>
    </font>
    <font>
      <i/>
      <color theme="1"/>
      <name val="Lato"/>
    </font>
    <font>
      <color theme="1"/>
      <name val="Arial"/>
    </font>
    <font>
      <b/>
      <sz val="10.0"/>
      <color rgb="FF000000"/>
      <name val="Lato"/>
    </font>
    <font>
      <b/>
      <sz val="8.0"/>
      <color rgb="FF000000"/>
      <name val="Lato"/>
    </font>
    <font>
      <sz val="10.0"/>
      <color rgb="FF000000"/>
      <name val="Lato"/>
    </font>
    <font>
      <color rgb="FF000000"/>
      <name val="Lato"/>
    </font>
    <font>
      <sz val="10.0"/>
      <color theme="1"/>
      <name val="Lato"/>
    </font>
    <font>
      <b/>
      <i/>
      <color theme="1"/>
      <name val="Lato"/>
    </font>
    <font>
      <u/>
      <color rgb="FF1155CC"/>
      <name val="Lato"/>
    </font>
    <font>
      <u/>
      <color rgb="FF1155CC"/>
      <name val="Lato"/>
    </font>
    <font>
      <u/>
      <color rgb="FF0000FF"/>
      <name val="Lato"/>
    </font>
    <font>
      <b/>
      <color theme="1"/>
      <name val="Arial"/>
    </font>
    <font>
      <i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63D297"/>
        <bgColor rgb="FF63D297"/>
      </patternFill>
    </fill>
    <fill>
      <patternFill patternType="solid">
        <fgColor rgb="FFB0B3B2"/>
        <bgColor rgb="FFB0B3B2"/>
      </patternFill>
    </fill>
    <fill>
      <patternFill patternType="solid">
        <fgColor rgb="FFD4D4D4"/>
        <bgColor rgb="FFD4D4D4"/>
      </patternFill>
    </fill>
    <fill>
      <patternFill patternType="solid">
        <fgColor rgb="FFFFFFFF"/>
        <bgColor rgb="FFFFFFFF"/>
      </patternFill>
    </fill>
  </fills>
  <borders count="3">
    <border/>
    <border>
      <top style="thin">
        <color rgb="FF000000"/>
      </top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8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2" numFmtId="0" xfId="0" applyFont="1"/>
    <xf borderId="0" fillId="0" fontId="3" numFmtId="0" xfId="0" applyAlignment="1" applyFont="1">
      <alignment readingOrder="0"/>
    </xf>
    <xf borderId="0" fillId="0" fontId="4" numFmtId="0" xfId="0" applyFont="1"/>
    <xf borderId="0" fillId="2" fontId="5" numFmtId="0" xfId="0" applyAlignment="1" applyFill="1" applyFont="1">
      <alignment readingOrder="0"/>
    </xf>
    <xf borderId="0" fillId="0" fontId="2" numFmtId="0" xfId="0" applyAlignment="1" applyFont="1">
      <alignment readingOrder="0" shrinkToFit="0" wrapText="1"/>
    </xf>
    <xf borderId="0" fillId="0" fontId="2" numFmtId="164" xfId="0" applyAlignment="1" applyFont="1" applyNumberFormat="1">
      <alignment horizontal="left" readingOrder="0" shrinkToFit="0" wrapText="1"/>
    </xf>
    <xf borderId="0" fillId="0" fontId="6" numFmtId="164" xfId="0" applyAlignment="1" applyFont="1" applyNumberFormat="1">
      <alignment horizontal="left" readingOrder="0"/>
    </xf>
    <xf borderId="0" fillId="0" fontId="2" numFmtId="164" xfId="0" applyAlignment="1" applyFont="1" applyNumberFormat="1">
      <alignment horizontal="left"/>
    </xf>
    <xf borderId="0" fillId="0" fontId="2" numFmtId="0" xfId="0" applyAlignment="1" applyFont="1">
      <alignment horizontal="left" readingOrder="0"/>
    </xf>
    <xf borderId="0" fillId="0" fontId="2" numFmtId="0" xfId="0" applyAlignment="1" applyFont="1">
      <alignment horizontal="left" readingOrder="0" shrinkToFit="0" wrapText="1"/>
    </xf>
    <xf borderId="0" fillId="0" fontId="4" numFmtId="0" xfId="0" applyAlignment="1" applyFont="1">
      <alignment readingOrder="0"/>
    </xf>
    <xf borderId="0" fillId="3" fontId="7" numFmtId="0" xfId="0" applyAlignment="1" applyFill="1" applyFont="1">
      <alignment readingOrder="0" vertical="top"/>
    </xf>
    <xf borderId="0" fillId="0" fontId="6" numFmtId="0" xfId="0" applyFont="1"/>
    <xf borderId="0" fillId="0" fontId="3" numFmtId="0" xfId="0" applyAlignment="1" applyFont="1">
      <alignment horizontal="right" readingOrder="0"/>
    </xf>
    <xf borderId="0" fillId="0" fontId="2" numFmtId="0" xfId="0" applyFont="1"/>
    <xf borderId="0" fillId="3" fontId="8" numFmtId="0" xfId="0" applyAlignment="1" applyFont="1">
      <alignment readingOrder="0" vertical="top"/>
    </xf>
    <xf borderId="0" fillId="4" fontId="7" numFmtId="0" xfId="0" applyAlignment="1" applyFill="1" applyFont="1">
      <alignment readingOrder="0" vertical="top"/>
    </xf>
    <xf borderId="0" fillId="0" fontId="9" numFmtId="165" xfId="0" applyAlignment="1" applyFont="1" applyNumberFormat="1">
      <alignment readingOrder="0" vertical="top"/>
    </xf>
    <xf borderId="0" fillId="0" fontId="9" numFmtId="0" xfId="0" applyAlignment="1" applyFont="1">
      <alignment vertical="top"/>
    </xf>
    <xf borderId="0" fillId="0" fontId="9" numFmtId="0" xfId="0" applyAlignment="1" applyFont="1">
      <alignment readingOrder="0" vertical="top"/>
    </xf>
    <xf borderId="0" fillId="0" fontId="9" numFmtId="0" xfId="0" applyAlignment="1" applyFont="1">
      <alignment vertical="top"/>
    </xf>
    <xf borderId="0" fillId="0" fontId="10" numFmtId="0" xfId="0" applyAlignment="1" applyFont="1">
      <alignment vertical="top"/>
    </xf>
    <xf borderId="0" fillId="0" fontId="9" numFmtId="166" xfId="0" applyAlignment="1" applyFont="1" applyNumberFormat="1">
      <alignment readingOrder="0" vertical="top"/>
    </xf>
    <xf borderId="0" fillId="0" fontId="7" numFmtId="0" xfId="0" applyAlignment="1" applyFont="1">
      <alignment horizontal="right" readingOrder="0" vertical="top"/>
    </xf>
    <xf borderId="0" fillId="0" fontId="11" numFmtId="0" xfId="0" applyFont="1"/>
    <xf borderId="0" fillId="0" fontId="9" numFmtId="0" xfId="0" applyAlignment="1" applyFont="1">
      <alignment readingOrder="0" vertical="top"/>
    </xf>
    <xf borderId="0" fillId="0" fontId="3" numFmtId="0" xfId="0" applyAlignment="1" applyFont="1">
      <alignment readingOrder="0"/>
    </xf>
    <xf borderId="0" fillId="0" fontId="9" numFmtId="167" xfId="0" applyAlignment="1" applyFont="1" applyNumberFormat="1">
      <alignment readingOrder="0" vertical="top"/>
    </xf>
    <xf borderId="0" fillId="0" fontId="11" numFmtId="164" xfId="0" applyFont="1" applyNumberFormat="1"/>
    <xf borderId="0" fillId="0" fontId="2" numFmtId="164" xfId="0" applyFont="1" applyNumberFormat="1"/>
    <xf borderId="0" fillId="0" fontId="3" numFmtId="0" xfId="0" applyAlignment="1" applyFont="1">
      <alignment horizontal="right" readingOrder="0"/>
    </xf>
    <xf borderId="0" fillId="0" fontId="5" numFmtId="0" xfId="0" applyAlignment="1" applyFont="1">
      <alignment readingOrder="0"/>
    </xf>
    <xf borderId="0" fillId="0" fontId="4" numFmtId="0" xfId="0" applyAlignment="1" applyFont="1">
      <alignment horizontal="right" readingOrder="0"/>
    </xf>
    <xf borderId="0" fillId="0" fontId="2" numFmtId="168" xfId="0" applyFont="1" applyNumberFormat="1"/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2" numFmtId="0" xfId="0" applyAlignment="1" applyFont="1">
      <alignment horizontal="right" readingOrder="0"/>
    </xf>
    <xf borderId="0" fillId="0" fontId="11" numFmtId="0" xfId="0" applyFont="1"/>
    <xf borderId="0" fillId="0" fontId="2" numFmtId="164" xfId="0" applyFont="1" applyNumberFormat="1"/>
    <xf borderId="0" fillId="0" fontId="11" numFmtId="0" xfId="0" applyAlignment="1" applyFont="1">
      <alignment readingOrder="0"/>
    </xf>
    <xf borderId="0" fillId="0" fontId="11" numFmtId="0" xfId="0" applyAlignment="1" applyFont="1">
      <alignment horizontal="center"/>
    </xf>
    <xf borderId="0" fillId="0" fontId="11" numFmtId="0" xfId="0" applyAlignment="1" applyFont="1">
      <alignment horizontal="center" readingOrder="0"/>
    </xf>
    <xf borderId="0" fillId="0" fontId="11" numFmtId="0" xfId="0" applyAlignment="1" applyFont="1">
      <alignment readingOrder="0"/>
    </xf>
    <xf borderId="0" fillId="0" fontId="11" numFmtId="0" xfId="0" applyAlignment="1" applyFont="1">
      <alignment horizontal="center"/>
    </xf>
    <xf borderId="0" fillId="0" fontId="4" numFmtId="0" xfId="0" applyAlignment="1" applyFont="1">
      <alignment horizontal="right"/>
    </xf>
    <xf borderId="0" fillId="0" fontId="2" numFmtId="0" xfId="0" applyAlignment="1" applyFont="1">
      <alignment horizontal="center" readingOrder="0"/>
    </xf>
    <xf borderId="0" fillId="5" fontId="2" numFmtId="0" xfId="0" applyAlignment="1" applyFill="1" applyFont="1">
      <alignment readingOrder="0"/>
    </xf>
    <xf borderId="0" fillId="0" fontId="4" numFmtId="0" xfId="0" applyAlignment="1" applyFont="1">
      <alignment readingOrder="0"/>
    </xf>
    <xf borderId="0" fillId="5" fontId="4" numFmtId="0" xfId="0" applyAlignment="1" applyFont="1">
      <alignment horizontal="center" readingOrder="0"/>
    </xf>
    <xf borderId="0" fillId="2" fontId="4" numFmtId="0" xfId="0" applyAlignment="1" applyFont="1">
      <alignment readingOrder="0"/>
    </xf>
    <xf borderId="0" fillId="0" fontId="2" numFmtId="1" xfId="0" applyAlignment="1" applyFont="1" applyNumberFormat="1">
      <alignment horizontal="right"/>
    </xf>
    <xf borderId="0" fillId="0" fontId="2" numFmtId="169" xfId="0" applyAlignment="1" applyFont="1" applyNumberFormat="1">
      <alignment horizontal="right"/>
    </xf>
    <xf borderId="1" fillId="5" fontId="12" numFmtId="0" xfId="0" applyAlignment="1" applyBorder="1" applyFont="1">
      <alignment readingOrder="0"/>
    </xf>
    <xf borderId="1" fillId="0" fontId="2" numFmtId="1" xfId="0" applyAlignment="1" applyBorder="1" applyFont="1" applyNumberFormat="1">
      <alignment horizontal="right"/>
    </xf>
    <xf borderId="0" fillId="0" fontId="2" numFmtId="169" xfId="0" applyAlignment="1" applyFont="1" applyNumberFormat="1">
      <alignment readingOrder="0"/>
    </xf>
    <xf borderId="0" fillId="0" fontId="13" numFmtId="0" xfId="0" applyAlignment="1" applyFont="1">
      <alignment readingOrder="0"/>
    </xf>
    <xf borderId="0" fillId="0" fontId="2" numFmtId="164" xfId="0" applyAlignment="1" applyFont="1" applyNumberFormat="1">
      <alignment readingOrder="0"/>
    </xf>
    <xf borderId="0" fillId="0" fontId="10" numFmtId="0" xfId="0" applyAlignment="1" applyFont="1">
      <alignment readingOrder="0"/>
    </xf>
    <xf borderId="0" fillId="0" fontId="14" numFmtId="164" xfId="0" applyAlignment="1" applyFont="1" applyNumberFormat="1">
      <alignment readingOrder="0"/>
    </xf>
    <xf borderId="0" fillId="0" fontId="15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4" numFmtId="0" xfId="0" applyAlignment="1" applyFont="1">
      <alignment horizontal="right" readingOrder="0"/>
    </xf>
    <xf borderId="0" fillId="0" fontId="4" numFmtId="164" xfId="0" applyAlignment="1" applyFont="1" applyNumberFormat="1">
      <alignment readingOrder="0"/>
    </xf>
    <xf borderId="0" fillId="0" fontId="2" numFmtId="164" xfId="0" applyAlignment="1" applyFont="1" applyNumberFormat="1">
      <alignment horizontal="right" readingOrder="0"/>
    </xf>
    <xf borderId="0" fillId="0" fontId="6" numFmtId="0" xfId="0" applyAlignment="1" applyFont="1">
      <alignment readingOrder="0"/>
    </xf>
    <xf borderId="0" fillId="0" fontId="2" numFmtId="170" xfId="0" applyAlignment="1" applyFont="1" applyNumberFormat="1">
      <alignment readingOrder="0"/>
    </xf>
    <xf borderId="0" fillId="0" fontId="2" numFmtId="0" xfId="0" applyAlignment="1" applyFont="1">
      <alignment readingOrder="0"/>
    </xf>
    <xf borderId="0" fillId="0" fontId="6" numFmtId="164" xfId="0" applyFont="1" applyNumberFormat="1"/>
    <xf borderId="0" fillId="0" fontId="16" numFmtId="0" xfId="0" applyAlignment="1" applyFont="1">
      <alignment horizontal="center" readingOrder="0" shrinkToFit="0" vertical="top" wrapText="1"/>
    </xf>
    <xf borderId="0" fillId="0" fontId="6" numFmtId="0" xfId="0" applyAlignment="1" applyFont="1">
      <alignment shrinkToFit="0" vertical="top" wrapText="1"/>
    </xf>
    <xf borderId="0" fillId="0" fontId="16" numFmtId="0" xfId="0" applyAlignment="1" applyFont="1">
      <alignment readingOrder="0" shrinkToFit="0" vertical="top" wrapText="1"/>
    </xf>
    <xf borderId="0" fillId="0" fontId="6" numFmtId="0" xfId="0" applyAlignment="1" applyFont="1">
      <alignment readingOrder="0"/>
    </xf>
    <xf borderId="0" fillId="0" fontId="6" numFmtId="169" xfId="0" applyAlignment="1" applyFont="1" applyNumberFormat="1">
      <alignment readingOrder="0"/>
    </xf>
    <xf borderId="0" fillId="0" fontId="4" numFmtId="0" xfId="0" applyAlignment="1" applyFont="1">
      <alignment horizontal="center" readingOrder="0"/>
    </xf>
    <xf borderId="0" fillId="0" fontId="2" numFmtId="169" xfId="0" applyAlignment="1" applyFont="1" applyNumberFormat="1">
      <alignment horizontal="center"/>
    </xf>
    <xf borderId="2" fillId="0" fontId="6" numFmtId="0" xfId="0" applyAlignment="1" applyBorder="1" applyFont="1">
      <alignment readingOrder="0"/>
    </xf>
    <xf borderId="2" fillId="0" fontId="6" numFmtId="169" xfId="0" applyAlignment="1" applyBorder="1" applyFont="1" applyNumberFormat="1">
      <alignment readingOrder="0"/>
    </xf>
    <xf borderId="0" fillId="0" fontId="16" numFmtId="0" xfId="0" applyAlignment="1" applyFont="1">
      <alignment horizontal="right" readingOrder="0"/>
    </xf>
    <xf borderId="0" fillId="0" fontId="6" numFmtId="169" xfId="0" applyFont="1" applyNumberFormat="1"/>
    <xf borderId="0" fillId="0" fontId="16" numFmtId="0" xfId="0" applyAlignment="1" applyFont="1">
      <alignment horizontal="right" readingOrder="0"/>
    </xf>
    <xf borderId="0" fillId="0" fontId="6" numFmtId="169" xfId="0" applyFont="1" applyNumberFormat="1"/>
    <xf borderId="0" fillId="0" fontId="17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16" numFmtId="0" xfId="0" applyAlignment="1" applyFont="1">
      <alignment readingOrder="0"/>
    </xf>
    <xf borderId="0" fillId="0" fontId="6" numFmtId="0" xfId="0" applyAlignment="1" applyFont="1">
      <alignment horizontal="right" readingOrder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63D297"/>
          <bgColor rgb="FF63D297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7F9EF"/>
          <bgColor rgb="FFE7F9EF"/>
        </patternFill>
      </fill>
      <border/>
    </dxf>
    <dxf>
      <font/>
      <fill>
        <patternFill patternType="solid">
          <fgColor rgb="FFAFE9CA"/>
          <bgColor rgb="FFAFE9CA"/>
        </patternFill>
      </fill>
      <border/>
    </dxf>
  </dxfs>
  <tableStyles count="15">
    <tableStyle count="3" pivot="0" name="Communication Comparison-style">
      <tableStyleElement dxfId="1" type="headerRow"/>
      <tableStyleElement dxfId="2" type="firstRowStripe"/>
      <tableStyleElement dxfId="3" type="secondRowStripe"/>
    </tableStyle>
    <tableStyle count="3" pivot="0" name="Ship Use 2020-style">
      <tableStyleElement dxfId="1" type="headerRow"/>
      <tableStyleElement dxfId="2" type="firstRowStripe"/>
      <tableStyleElement dxfId="3" type="secondRowStripe"/>
    </tableStyle>
    <tableStyle count="3" pivot="0" name="Ship Use 2020-style 2">
      <tableStyleElement dxfId="1" type="headerRow"/>
      <tableStyleElement dxfId="2" type="firstRowStripe"/>
      <tableStyleElement dxfId="3" type="secondRowStripe"/>
    </tableStyle>
    <tableStyle count="3" pivot="0" name="Ship Use 2020-style 3">
      <tableStyleElement dxfId="1" type="headerRow"/>
      <tableStyleElement dxfId="2" type="firstRowStripe"/>
      <tableStyleElement dxfId="3" type="secondRowStripe"/>
    </tableStyle>
    <tableStyle count="3" pivot="0" name="WF Tests-style">
      <tableStyleElement dxfId="1" type="headerRow"/>
      <tableStyleElement dxfId="2" type="firstRowStripe"/>
      <tableStyleElement dxfId="3" type="secondRowStripe"/>
    </tableStyle>
    <tableStyle count="3" pivot="0" name="WF Tests-style 2">
      <tableStyleElement dxfId="1" type="headerRow"/>
      <tableStyleElement dxfId="2" type="firstRowStripe"/>
      <tableStyleElement dxfId="3" type="secondRowStripe"/>
    </tableStyle>
    <tableStyle count="4" pivot="0" name="Budget Rev1-style">
      <tableStyleElement dxfId="1" type="headerRow"/>
      <tableStyleElement dxfId="2" type="firstRowStripe"/>
      <tableStyleElement dxfId="3" type="secondRowStripe"/>
      <tableStyleElement dxfId="4" type="totalRow"/>
    </tableStyle>
    <tableStyle count="4" pivot="0" name="Budget Rev1-style 2">
      <tableStyleElement dxfId="1" type="headerRow"/>
      <tableStyleElement dxfId="2" type="firstRowStripe"/>
      <tableStyleElement dxfId="3" type="secondRowStripe"/>
      <tableStyleElement dxfId="4" type="totalRow"/>
    </tableStyle>
    <tableStyle count="3" pivot="0" name="Budget Rev1-style 3">
      <tableStyleElement dxfId="1" type="headerRow"/>
      <tableStyleElement dxfId="2" type="firstRowStripe"/>
      <tableStyleElement dxfId="3" type="secondRowStripe"/>
    </tableStyle>
    <tableStyle count="3" pivot="0" name="Budget Rev1-style 4">
      <tableStyleElement dxfId="1" type="headerRow"/>
      <tableStyleElement dxfId="2" type="firstRowStripe"/>
      <tableStyleElement dxfId="3" type="secondRowStripe"/>
    </tableStyle>
    <tableStyle count="3" pivot="0" name="Budget 2020-style">
      <tableStyleElement dxfId="1" type="headerRow"/>
      <tableStyleElement dxfId="2" type="firstRowStripe"/>
      <tableStyleElement dxfId="3" type="secondRowStripe"/>
    </tableStyle>
    <tableStyle count="3" pivot="0" name="Budget 2021-style">
      <tableStyleElement dxfId="1" type="headerRow"/>
      <tableStyleElement dxfId="2" type="firstRowStripe"/>
      <tableStyleElement dxfId="3" type="secondRowStripe"/>
    </tableStyle>
    <tableStyle count="3" pivot="0" name="Bandwidth Estimates-style">
      <tableStyleElement dxfId="1" type="headerRow"/>
      <tableStyleElement dxfId="2" type="firstRowStripe"/>
      <tableStyleElement dxfId="3" type="secondRowStripe"/>
    </tableStyle>
    <tableStyle count="3" pivot="0" name="Bandwidth Estimates-style 2">
      <tableStyleElement dxfId="1" type="headerRow"/>
      <tableStyleElement dxfId="2" type="firstRowStripe"/>
      <tableStyleElement dxfId="3" type="secondRowStripe"/>
    </tableStyle>
    <tableStyle count="3" pivot="0" name="Bandwidth Estimates-style 3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247650</xdr:colOff>
      <xdr:row>1</xdr:row>
      <xdr:rowOff>76200</xdr:rowOff>
    </xdr:from>
    <xdr:ext cx="8629650" cy="46958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3:E11" displayName="Table_1" id="1">
  <tableColumns count="5">
    <tableColumn name="Column1" id="1"/>
    <tableColumn name="Column2" id="2"/>
    <tableColumn name="Column3" id="3"/>
    <tableColumn name="Column4" id="4"/>
    <tableColumn name="Column5" id="5"/>
  </tableColumns>
  <tableStyleInfo name="Communication Comparison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ref="F4:G7" displayName="Table_2" id="2">
  <tableColumns count="2">
    <tableColumn name="Expedition" id="1"/>
    <tableColumn name="Days" id="2"/>
  </tableColumns>
  <tableStyleInfo name="Ship Use 2020-style" showColumnStripes="0" showFirstColumn="1" showLastColumn="1" showRowStripes="1"/>
</table>
</file>

<file path=xl/tables/table3.xml><?xml version="1.0" encoding="utf-8"?>
<table xmlns="http://schemas.openxmlformats.org/spreadsheetml/2006/main" ref="F39:H45" displayName="Table_3" id="3">
  <tableColumns count="3">
    <tableColumn name="Expedition" id="1"/>
    <tableColumn name="Length (Days)" id="2"/>
    <tableColumn name="Service Cost" id="3"/>
  </tableColumns>
  <tableStyleInfo name="Ship Use 2020-style 2" showColumnStripes="0" showFirstColumn="1" showLastColumn="1" showRowStripes="1"/>
</table>
</file>

<file path=xl/tables/table4.xml><?xml version="1.0" encoding="utf-8"?>
<table xmlns="http://schemas.openxmlformats.org/spreadsheetml/2006/main" ref="J39:N45" displayName="Table_4" id="4">
  <tableColumns count="5">
    <tableColumn name="PI" id="1"/>
    <tableColumn name="Dates WF" id="2"/>
    <tableColumn name="Days on WF" id="3"/>
    <tableColumn name="Date Span RC" id="4"/>
    <tableColumn name="Days on RC" id="5"/>
  </tableColumns>
  <tableStyleInfo name="Ship Use 2020-style 3" showColumnStripes="0" showFirstColumn="1" showLastColumn="1" showRowStripes="1"/>
</table>
</file>

<file path=xl/tables/table5.xml><?xml version="1.0" encoding="utf-8"?>
<table xmlns="http://schemas.openxmlformats.org/spreadsheetml/2006/main" headerRowCount="0" ref="A3:G10" displayName="Table_5" id="5">
  <tableColumns count="7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</tableColumns>
  <tableStyleInfo name="WF Test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6.xml><?xml version="1.0" encoding="utf-8"?>
<table xmlns="http://schemas.openxmlformats.org/spreadsheetml/2006/main" ref="I3:K10" displayName="Table_6" id="6">
  <tableColumns count="3">
    <tableColumn name="Stream Target" id="1"/>
    <tableColumn name="Video Quality" id="2"/>
    <tableColumn name="Average Latency (s)" id="3"/>
  </tableColumns>
  <tableStyleInfo name="WF Tests-style 2" showColumnStripes="0" showFirstColumn="1" showLastColumn="1" showRowStripes="1"/>
</table>
</file>

<file path=xl/tables/table7.xml><?xml version="1.0" encoding="utf-8"?>
<table xmlns="http://schemas.openxmlformats.org/spreadsheetml/2006/main" headerRowCount="0" ref="B6:F17" displayName="Table_7" id="7">
  <tableColumns count="5">
    <tableColumn name="Column1" id="1"/>
    <tableColumn name="Column2" id="2"/>
    <tableColumn name="Column3" id="3"/>
    <tableColumn name="Column4" id="4"/>
    <tableColumn name="Column5" id="5"/>
  </tableColumns>
  <tableStyleInfo name="Budget Rev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8.xml><?xml version="1.0" encoding="utf-8"?>
<table xmlns="http://schemas.openxmlformats.org/spreadsheetml/2006/main" ref="C34:D39" displayName="Table_8" id="8">
  <tableColumns count="2">
    <tableColumn name="Item" id="1"/>
    <tableColumn name="Cost" id="2"/>
  </tableColumns>
  <tableStyleInfo name="Budget Rev1-style 2" showColumnStripes="0" showFirstColumn="1" showLastColumn="1" showRowStripes="1"/>
</table>
</file>

<file path=xl/tables/table9.xml><?xml version="1.0" encoding="utf-8"?>
<table xmlns="http://schemas.openxmlformats.org/spreadsheetml/2006/main" ref="B21:F24" displayName="Table_9" id="9">
  <tableColumns count="5">
    <tableColumn name="Function" id="1"/>
    <tableColumn name="Potential Item" id="2"/>
    <tableColumn name="Cost ($)" id="3"/>
    <tableColumn name="Quantity" id="4"/>
    <tableColumn name="Extended" id="5"/>
  </tableColumns>
  <tableStyleInfo name="Budget Rev1-style 3" showColumnStripes="0" showFirstColumn="1" showLastColumn="1" showRowStripes="1"/>
</table>
</file>

<file path=xl/tables/table10.xml><?xml version="1.0" encoding="utf-8"?>
<table xmlns="http://schemas.openxmlformats.org/spreadsheetml/2006/main" ref="B27:F30" displayName="Table_10" id="10">
  <tableColumns count="5">
    <tableColumn name="Function" id="1"/>
    <tableColumn name="Potential Item" id="2"/>
    <tableColumn name="Cost ($)" id="3"/>
    <tableColumn name="Quantity" id="4"/>
    <tableColumn name="Extended" id="5"/>
  </tableColumns>
  <tableStyleInfo name="Budget Rev1-style 4" showColumnStripes="0" showFirstColumn="1" showLastColumn="1" showRowStripes="1"/>
</table>
</file>

<file path=xl/tables/table11.xml><?xml version="1.0" encoding="utf-8"?>
<table xmlns="http://schemas.openxmlformats.org/spreadsheetml/2006/main" ref="B6:G18" displayName="Table_11" id="11">
  <tableColumns count="6">
    <tableColumn name="Function" id="1"/>
    <tableColumn name="Item" id="2"/>
    <tableColumn name="Cost" id="3"/>
    <tableColumn name="Taxable" id="4"/>
    <tableColumn name="Taxes" id="5"/>
    <tableColumn name="Covers Both Systems" id="6"/>
  </tableColumns>
  <tableStyleInfo name="Budget 2020-style" showColumnStripes="0" showFirstColumn="1" showLastColumn="1" showRowStripes="1"/>
</table>
</file>

<file path=xl/tables/table12.xml><?xml version="1.0" encoding="utf-8"?>
<table xmlns="http://schemas.openxmlformats.org/spreadsheetml/2006/main" headerRowCount="0" ref="B6:K22" displayName="Table_12" id="12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Budget 202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3.xml><?xml version="1.0" encoding="utf-8"?>
<table xmlns="http://schemas.openxmlformats.org/spreadsheetml/2006/main" ref="A11:D19" displayName="Table_13" id="13">
  <tableColumns count="4">
    <tableColumn name="Component" id="1"/>
    <tableColumn name="Upload Speed (kbps)" id="2"/>
    <tableColumn name="Download Speed (kbps)" id="3"/>
    <tableColumn name="Assumptions" id="4"/>
  </tableColumns>
  <tableStyleInfo name="Bandwidth Estimates-style" showColumnStripes="0" showFirstColumn="1" showLastColumn="1" showRowStripes="1"/>
</table>
</file>

<file path=xl/tables/table14.xml><?xml version="1.0" encoding="utf-8"?>
<table xmlns="http://schemas.openxmlformats.org/spreadsheetml/2006/main" headerRowCount="0" ref="F2:I6" displayName="Table_14" id="14">
  <tableColumns count="4">
    <tableColumn name="Column1" id="1"/>
    <tableColumn name="Column2" id="2"/>
    <tableColumn name="Column3" id="3"/>
    <tableColumn name="Column4" id="4"/>
  </tableColumns>
  <tableStyleInfo name="Bandwidth Estimates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5.xml><?xml version="1.0" encoding="utf-8"?>
<table xmlns="http://schemas.openxmlformats.org/spreadsheetml/2006/main" ref="A1:D9" displayName="Table_15" id="15">
  <tableColumns count="4">
    <tableColumn name="Component" id="1"/>
    <tableColumn name="Upload Speed (kbps)" id="2"/>
    <tableColumn name="Download Speed (kbps)" id="3"/>
    <tableColumn name="Assumptions" id="4"/>
  </tableColumns>
  <tableStyleInfo name="Bandwidth Estimates-style 3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891AD"/>
      </a:accent1>
      <a:accent2>
        <a:srgbClr val="004561"/>
      </a:accent2>
      <a:accent3>
        <a:srgbClr val="FF6F31"/>
      </a:accent3>
      <a:accent4>
        <a:srgbClr val="1C7685"/>
      </a:accent4>
      <a:accent5>
        <a:srgbClr val="0F45A8"/>
      </a:accent5>
      <a:accent6>
        <a:srgbClr val="4CDC8B"/>
      </a:accent6>
      <a:hlink>
        <a:srgbClr val="0097A7"/>
      </a:hlink>
      <a:folHlink>
        <a:srgbClr val="0097A7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6" Type="http://schemas.openxmlformats.org/officeDocument/2006/relationships/table" Target="../tables/table3.xml"/><Relationship Id="rId7" Type="http://schemas.openxmlformats.org/officeDocument/2006/relationships/table" Target="../tables/table4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4" Type="http://schemas.openxmlformats.org/officeDocument/2006/relationships/table" Target="../tables/table5.xml"/><Relationship Id="rId5" Type="http://schemas.openxmlformats.org/officeDocument/2006/relationships/table" Target="../tables/table6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hyperlink" Target="https://www.blackmagicdesign.com/products/blackmagicwebpresenter" TargetMode="External"/><Relationship Id="rId2" Type="http://schemas.openxmlformats.org/officeDocument/2006/relationships/hyperlink" Target="https://www.rtsintercoms.com/bm/rts/file?i=97675&amp;lg=eng" TargetMode="External"/><Relationship Id="rId3" Type="http://schemas.openxmlformats.org/officeDocument/2006/relationships/hyperlink" Target="https://simplynuc.com/9i5qn-shop/" TargetMode="External"/><Relationship Id="rId4" Type="http://schemas.openxmlformats.org/officeDocument/2006/relationships/hyperlink" Target="https://en.wikipedia.org/wiki/XMPP" TargetMode="External"/><Relationship Id="rId11" Type="http://schemas.openxmlformats.org/officeDocument/2006/relationships/table" Target="../tables/table7.xml"/><Relationship Id="rId13" Type="http://schemas.openxmlformats.org/officeDocument/2006/relationships/table" Target="../tables/table9.xml"/><Relationship Id="rId12" Type="http://schemas.openxmlformats.org/officeDocument/2006/relationships/table" Target="../tables/table8.xml"/><Relationship Id="rId14" Type="http://schemas.openxmlformats.org/officeDocument/2006/relationships/table" Target="../tables/table10.xml"/><Relationship Id="rId5" Type="http://schemas.openxmlformats.org/officeDocument/2006/relationships/hyperlink" Target="https://www.telestream.net/wirecast/" TargetMode="External"/><Relationship Id="rId6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hyperlink" Target="https://www.bhphotovideo.com/c/product/1464918-REG/blackmagic_design_bdlkdvqdhdmi4k_decklink_quad_hdmi_recorder.html" TargetMode="External"/><Relationship Id="rId2" Type="http://schemas.openxmlformats.org/officeDocument/2006/relationships/hyperlink" Target="https://www.bhphotovideo.com/c/product/1247784-REG/blackmagic_design_convcmic_sh_micro_converter_sdi_to.html" TargetMode="External"/><Relationship Id="rId3" Type="http://schemas.openxmlformats.org/officeDocument/2006/relationships/hyperlink" Target="https://www.rtsintercoms.com/bm/rts/file?i=97675&amp;lg=eng" TargetMode="External"/><Relationship Id="rId4" Type="http://schemas.openxmlformats.org/officeDocument/2006/relationships/hyperlink" Target="https://www.bhphotovideo.com/c/product/1479275-REG/focusrite_scarlett_2i2_3g_scarlett_2i2_usb_audio.html" TargetMode="External"/><Relationship Id="rId10" Type="http://schemas.openxmlformats.org/officeDocument/2006/relationships/table" Target="../tables/table11.xml"/><Relationship Id="rId5" Type="http://schemas.openxmlformats.org/officeDocument/2006/relationships/hyperlink" Target="https://www.amazon.com/Elgato-Stream-Deck-Controller-customizable/dp/B06XKNZT1P/ref=pd_pg_c_d_dps_0_2/140-6442777-1451228?_encoding=UTF8&amp;pd_rd_i=B06XKNZT1P&amp;pd_rd_r=2d67d4db-2b32-4ea5-bcb0-2a18733a1b70&amp;pd_rd_w=h7mqY&amp;pd_rd_wg=hrBQj&amp;pf_rd_p=79ba09e2-b819-4ad0-84ae-fda224067c95&amp;pf_rd_r=B5SF2WGCD2MGA4DKKQME&amp;psc=1&amp;refRID=B5SF2WGCD2MGA4DKKQME" TargetMode="External"/><Relationship Id="rId6" Type="http://schemas.openxmlformats.org/officeDocument/2006/relationships/hyperlink" Target="https://www.dell.com/en-us/work/shop/pdr/precision-3930r-workstation/xctop3930rus3?selectionState=eyJPQyI6InhjdG9wMzkzMHJ1czMiLCJNb2RzIjpbeyJJZCI6NCwiT3B0cyI6W3siSWQiOiJHMkpPOUkzIn1dfSx7IklkIjo4LCJPcHRzIjpbeyJJZCI6IkdTOEZQOUUifV19LHsiSWQiOjExLCJPcHRzIjpbeyJJZCI6IkdXSTk4NlkifV19LHsiSWQiOjEyLCJPcHRzIjpbeyJJZCI6IkdLSkQxNFEifV19LHsiSWQiOjE0NiwiT3B0cyI6W3siSWQiOiJHN1M2R01VIn1dfSx7IklkIjo2NjksIk9wdHMiOlt7IklkIjoiRzZTRk9BTCJ9XX0seyJJZCI6NzQ5LCJPcHRzIjpbeyJJZCI6IkcwMTRLSlgifV19LHsiSWQiOjIwMDAxMywiT3B0cyI6W3siSWQiOiJHN1ZUOFozIn1dfV0sIlRpIjoiIiwiRGkiOiIifQ%3D%3D&amp;cartItemId=" TargetMode="External"/><Relationship Id="rId7" Type="http://schemas.openxmlformats.org/officeDocument/2006/relationships/hyperlink" Target="https://www.telestream.net/wirecast/" TargetMode="External"/><Relationship Id="rId8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hyperlink" Target="https://www.bhphotovideo.com/c/product/1464918-REG/blackmagic_design_bdlkdvqdhdmi4k_decklink_quad_hdmi_recorder.html" TargetMode="External"/><Relationship Id="rId2" Type="http://schemas.openxmlformats.org/officeDocument/2006/relationships/hyperlink" Target="https://www.bhphotovideo.com/c/product/1247784-REG/blackmagic_design_convcmic_sh_micro_converter_sdi_to.html" TargetMode="External"/><Relationship Id="rId3" Type="http://schemas.openxmlformats.org/officeDocument/2006/relationships/hyperlink" Target="https://www.rtsintercoms.com/bm/rts/file?i=97675&amp;lg=eng" TargetMode="External"/><Relationship Id="rId4" Type="http://schemas.openxmlformats.org/officeDocument/2006/relationships/hyperlink" Target="https://www.bhphotovideo.com/c/product/1479275-REG/focusrite_scarlett_2i2_3g_scarlett_2i2_usb_audio.html" TargetMode="External"/><Relationship Id="rId10" Type="http://schemas.openxmlformats.org/officeDocument/2006/relationships/table" Target="../tables/table12.xml"/><Relationship Id="rId5" Type="http://schemas.openxmlformats.org/officeDocument/2006/relationships/hyperlink" Target="https://www.amazon.com/Elgato-Stream-Deck-Controller-customizable/dp/B06XKNZT1P/ref=pd_pg_c_d_dps_0_2/140-6442777-1451228?_encoding=UTF8&amp;pd_rd_i=B06XKNZT1P&amp;pd_rd_r=2d67d4db-2b32-4ea5-bcb0-2a18733a1b70&amp;pd_rd_w=h7mqY&amp;pd_rd_wg=hrBQj&amp;pf_rd_p=79ba09e2-b819-4ad0-84ae-fda224067c95&amp;pf_rd_r=B5SF2WGCD2MGA4DKKQME&amp;psc=1&amp;refRID=B5SF2WGCD2MGA4DKKQME" TargetMode="External"/><Relationship Id="rId6" Type="http://schemas.openxmlformats.org/officeDocument/2006/relationships/hyperlink" Target="https://www.dell.com/en-us/work/shop/pdr/precision-3930r-workstation/xctop3930rus3?selectionState=eyJPQyI6InhjdG9wMzkzMHJ1czMiLCJNb2RzIjpbeyJJZCI6NCwiT3B0cyI6W3siSWQiOiJHMkpPOUkzIn1dfSx7IklkIjo4LCJPcHRzIjpbeyJJZCI6IkdTOEZQOUUifV19LHsiSWQiOjExLCJPcHRzIjpbeyJJZCI6IkdXSTk4NlkifV19LHsiSWQiOjEyLCJPcHRzIjpbeyJJZCI6IkdLSkQxNFEifV19LHsiSWQiOjE0NiwiT3B0cyI6W3siSWQiOiJHN1M2R01VIn1dfSx7IklkIjo2NjksIk9wdHMiOlt7IklkIjoiRzZTRk9BTCJ9XX0seyJJZCI6NzQ5LCJPcHRzIjpbeyJJZCI6IkcwMTRLSlgifV19LHsiSWQiOjIwMDAxMywiT3B0cyI6W3siSWQiOiJHN1ZUOFozIn1dfV0sIlRpIjoiIiwiRGkiOiIifQ%3D%3D&amp;cartItemId=" TargetMode="External"/><Relationship Id="rId7" Type="http://schemas.openxmlformats.org/officeDocument/2006/relationships/hyperlink" Target="http://restream.io/" TargetMode="External"/><Relationship Id="rId8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Relationship Id="rId5" Type="http://schemas.openxmlformats.org/officeDocument/2006/relationships/table" Target="../tables/table13.xml"/><Relationship Id="rId6" Type="http://schemas.openxmlformats.org/officeDocument/2006/relationships/table" Target="../tables/table14.xml"/><Relationship Id="rId7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3.71"/>
    <col customWidth="1" min="2" max="5" width="27.71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A3" s="3"/>
      <c r="B3" s="4" t="s">
        <v>1</v>
      </c>
      <c r="C3" s="4" t="s">
        <v>2</v>
      </c>
      <c r="D3" s="4" t="s">
        <v>3</v>
      </c>
      <c r="E3" s="4" t="s">
        <v>4</v>
      </c>
      <c r="F3" s="5"/>
      <c r="G3" s="5"/>
      <c r="H3" s="5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6" t="s">
        <v>5</v>
      </c>
      <c r="B4" s="7" t="s">
        <v>6</v>
      </c>
      <c r="C4" s="7" t="s">
        <v>7</v>
      </c>
      <c r="D4" s="7" t="s">
        <v>8</v>
      </c>
      <c r="E4" s="7" t="s">
        <v>9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A5" s="6" t="s">
        <v>10</v>
      </c>
      <c r="B5" s="7" t="s">
        <v>11</v>
      </c>
      <c r="C5" s="7" t="s">
        <v>12</v>
      </c>
      <c r="D5" s="7" t="s">
        <v>13</v>
      </c>
      <c r="E5" s="7" t="s">
        <v>14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6" t="s">
        <v>15</v>
      </c>
      <c r="B6" s="7" t="s">
        <v>16</v>
      </c>
      <c r="C6" s="7" t="s">
        <v>17</v>
      </c>
      <c r="D6" s="7" t="s">
        <v>18</v>
      </c>
      <c r="E6" s="7" t="s">
        <v>19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A7" s="6" t="s">
        <v>20</v>
      </c>
      <c r="B7" s="7" t="s">
        <v>21</v>
      </c>
      <c r="C7" s="7" t="s">
        <v>21</v>
      </c>
      <c r="D7" s="7" t="s">
        <v>22</v>
      </c>
      <c r="E7" s="7" t="s">
        <v>23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A8" s="6" t="s">
        <v>24</v>
      </c>
      <c r="B8" s="7" t="s">
        <v>25</v>
      </c>
      <c r="C8" s="7" t="s">
        <v>26</v>
      </c>
      <c r="D8" s="7" t="s">
        <v>27</v>
      </c>
      <c r="E8" s="7" t="s">
        <v>25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6" t="s">
        <v>28</v>
      </c>
      <c r="B9" s="8">
        <v>485.0</v>
      </c>
      <c r="C9" s="8">
        <f>'Bandwidth Estimates'!B47</f>
        <v>804.93</v>
      </c>
      <c r="D9" s="8">
        <f>'Bandwidth Estimates'!B32</f>
        <v>189.2901143</v>
      </c>
      <c r="E9" s="9">
        <v>0.0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6" t="s">
        <v>29</v>
      </c>
      <c r="B10" s="8">
        <v>843.0</v>
      </c>
      <c r="C10" s="8">
        <f>'Bandwidth Estimates'!B54</f>
        <v>804.93</v>
      </c>
      <c r="D10" s="10">
        <f>'Bandwidth Estimates'!B39</f>
        <v>108.2901143</v>
      </c>
      <c r="E10" s="8">
        <v>0.0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>
      <c r="A11" s="6" t="s">
        <v>30</v>
      </c>
      <c r="B11" s="8">
        <v>100.0</v>
      </c>
      <c r="C11" s="8">
        <v>198.0</v>
      </c>
      <c r="D11" s="11" t="s">
        <v>31</v>
      </c>
      <c r="E11" s="12" t="s">
        <v>31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</row>
  </sheetData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4" max="4" width="8.57"/>
    <col customWidth="1" min="5" max="5" width="17.14"/>
    <col customWidth="1" min="6" max="6" width="16.0"/>
    <col customWidth="1" min="7" max="7" width="12.43"/>
    <col customWidth="1" min="12" max="12" width="12.86"/>
    <col customWidth="1" min="13" max="13" width="24.14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>
      <c r="A3" s="13" t="s">
        <v>32</v>
      </c>
      <c r="B3" s="2"/>
      <c r="C3" s="2"/>
      <c r="D3" s="2"/>
      <c r="E3" s="2"/>
      <c r="F3" s="13" t="s">
        <v>33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>
      <c r="A4" s="14" t="s">
        <v>34</v>
      </c>
      <c r="B4" s="14" t="s">
        <v>35</v>
      </c>
      <c r="C4" s="14" t="s">
        <v>36</v>
      </c>
      <c r="D4" s="14" t="s">
        <v>37</v>
      </c>
      <c r="E4" s="15"/>
      <c r="F4" s="4" t="s">
        <v>34</v>
      </c>
      <c r="G4" s="16" t="s">
        <v>37</v>
      </c>
      <c r="H4" s="17"/>
      <c r="I4" s="17"/>
      <c r="J4" s="17"/>
      <c r="K4" s="17"/>
      <c r="L4" s="17"/>
      <c r="M4" s="17"/>
      <c r="N4" s="2"/>
      <c r="O4" s="2"/>
      <c r="P4" s="18" t="s">
        <v>38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>
      <c r="A5" s="19" t="s">
        <v>39</v>
      </c>
      <c r="B5" s="20">
        <v>44032.0</v>
      </c>
      <c r="C5" s="20">
        <v>44033.0</v>
      </c>
      <c r="D5" s="21">
        <f t="shared" ref="D5:D17" si="1">C5-B5+1</f>
        <v>2</v>
      </c>
      <c r="E5" s="21"/>
      <c r="F5" s="22" t="str">
        <f>IFERROR(__xludf.DUMMYFUNCTION("unique(A5:A17)"),"Katija")</f>
        <v>Katija</v>
      </c>
      <c r="G5" s="23">
        <f>sumif(A5:A17,"=Katija",D5:D17)</f>
        <v>2</v>
      </c>
      <c r="H5" s="24"/>
      <c r="I5" s="24"/>
      <c r="J5" s="24"/>
      <c r="K5" s="24"/>
      <c r="L5" s="24"/>
      <c r="M5" s="24"/>
      <c r="N5" s="24"/>
      <c r="O5" s="24"/>
      <c r="P5" s="24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>
      <c r="A6" s="19" t="s">
        <v>40</v>
      </c>
      <c r="B6" s="25">
        <v>44061.0</v>
      </c>
      <c r="C6" s="25">
        <v>44062.0</v>
      </c>
      <c r="D6" s="21">
        <f t="shared" si="1"/>
        <v>2</v>
      </c>
      <c r="E6" s="21"/>
      <c r="F6" s="23" t="str">
        <f>IFERROR(__xludf.DUMMYFUNCTION("""COMPUTED_VALUE"""),"Smith")</f>
        <v>Smith</v>
      </c>
      <c r="G6" s="23">
        <f>sumif(A6:A18,"=Smith",D6:D18)</f>
        <v>4</v>
      </c>
      <c r="H6" s="24"/>
      <c r="I6" s="24"/>
      <c r="J6" s="24"/>
      <c r="K6" s="24"/>
      <c r="L6" s="24"/>
      <c r="M6" s="24"/>
      <c r="N6" s="24"/>
      <c r="O6" s="24"/>
      <c r="P6" s="24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>
      <c r="A7" s="19" t="s">
        <v>41</v>
      </c>
      <c r="B7" s="25">
        <v>44076.0</v>
      </c>
      <c r="C7" s="25">
        <v>44076.0</v>
      </c>
      <c r="D7" s="21">
        <f t="shared" si="1"/>
        <v>1</v>
      </c>
      <c r="E7" s="21"/>
      <c r="F7" s="23" t="str">
        <f>IFERROR(__xludf.DUMMYFUNCTION("""COMPUTED_VALUE"""),"AMP")</f>
        <v>AMP</v>
      </c>
      <c r="G7" s="23">
        <f>sumif(A7:A19,"=AMP",D7:D19)</f>
        <v>11</v>
      </c>
      <c r="H7" s="24"/>
      <c r="I7" s="24"/>
      <c r="J7" s="24"/>
      <c r="K7" s="24"/>
      <c r="L7" s="24"/>
      <c r="M7" s="24"/>
      <c r="N7" s="24"/>
      <c r="O7" s="24"/>
      <c r="P7" s="24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>
      <c r="A8" s="19" t="s">
        <v>41</v>
      </c>
      <c r="B8" s="25">
        <v>44084.0</v>
      </c>
      <c r="C8" s="25">
        <v>44084.0</v>
      </c>
      <c r="D8" s="21">
        <f t="shared" si="1"/>
        <v>1</v>
      </c>
      <c r="E8" s="21"/>
      <c r="F8" s="21"/>
      <c r="G8" s="21"/>
      <c r="H8" s="24"/>
      <c r="I8" s="24"/>
      <c r="J8" s="24"/>
      <c r="K8" s="24"/>
      <c r="L8" s="24"/>
      <c r="M8" s="24"/>
      <c r="N8" s="24"/>
      <c r="O8" s="24"/>
      <c r="P8" s="24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>
      <c r="A9" s="19" t="s">
        <v>41</v>
      </c>
      <c r="B9" s="25">
        <v>44091.0</v>
      </c>
      <c r="C9" s="25">
        <v>44091.0</v>
      </c>
      <c r="D9" s="21">
        <f t="shared" si="1"/>
        <v>1</v>
      </c>
      <c r="E9" s="21"/>
      <c r="F9" s="26" t="s">
        <v>42</v>
      </c>
      <c r="G9" s="21">
        <f>D18</f>
        <v>17</v>
      </c>
      <c r="H9" s="24"/>
      <c r="I9" s="24"/>
      <c r="J9" s="24"/>
      <c r="K9" s="24"/>
      <c r="L9" s="24"/>
      <c r="M9" s="24"/>
      <c r="N9" s="24"/>
      <c r="O9" s="24"/>
      <c r="P9" s="24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>
      <c r="A10" s="19" t="s">
        <v>41</v>
      </c>
      <c r="B10" s="25">
        <v>44095.0</v>
      </c>
      <c r="C10" s="25">
        <v>44095.0</v>
      </c>
      <c r="D10" s="21">
        <f t="shared" si="1"/>
        <v>1</v>
      </c>
      <c r="E10" s="21"/>
      <c r="F10" s="21"/>
      <c r="G10" s="21"/>
      <c r="H10" s="24"/>
      <c r="I10" s="24"/>
      <c r="J10" s="24"/>
      <c r="K10" s="24"/>
      <c r="L10" s="24"/>
      <c r="M10" s="24"/>
      <c r="N10" s="24"/>
      <c r="O10" s="24"/>
      <c r="P10" s="24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>
      <c r="A11" s="19" t="s">
        <v>41</v>
      </c>
      <c r="B11" s="25">
        <v>44099.0</v>
      </c>
      <c r="C11" s="25">
        <v>44099.0</v>
      </c>
      <c r="D11" s="21">
        <f t="shared" si="1"/>
        <v>1</v>
      </c>
      <c r="E11" s="21"/>
      <c r="F11" s="21"/>
      <c r="G11" s="21"/>
      <c r="H11" s="24"/>
      <c r="I11" s="24"/>
      <c r="J11" s="24"/>
      <c r="K11" s="24"/>
      <c r="L11" s="24"/>
      <c r="M11" s="24"/>
      <c r="N11" s="24"/>
      <c r="O11" s="24"/>
      <c r="P11" s="24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>
      <c r="A12" s="19" t="s">
        <v>40</v>
      </c>
      <c r="B12" s="25">
        <v>44102.0</v>
      </c>
      <c r="C12" s="25">
        <v>44103.0</v>
      </c>
      <c r="D12" s="21">
        <f t="shared" si="1"/>
        <v>2</v>
      </c>
      <c r="E12" s="21"/>
      <c r="F12" s="21"/>
      <c r="G12" s="21"/>
      <c r="H12" s="24"/>
      <c r="I12" s="24"/>
      <c r="J12" s="24"/>
      <c r="K12" s="24"/>
      <c r="L12" s="24"/>
      <c r="M12" s="24"/>
      <c r="N12" s="24"/>
      <c r="O12" s="24"/>
      <c r="P12" s="24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>
      <c r="A13" s="19" t="s">
        <v>41</v>
      </c>
      <c r="B13" s="25">
        <v>44151.0</v>
      </c>
      <c r="C13" s="25">
        <v>44152.0</v>
      </c>
      <c r="D13" s="21">
        <f t="shared" si="1"/>
        <v>2</v>
      </c>
      <c r="E13" s="21"/>
      <c r="F13" s="21"/>
      <c r="G13" s="21"/>
      <c r="H13" s="24"/>
      <c r="I13" s="24"/>
      <c r="J13" s="24"/>
      <c r="K13" s="24"/>
      <c r="L13" s="24"/>
      <c r="M13" s="24"/>
      <c r="N13" s="24"/>
      <c r="O13" s="24"/>
      <c r="P13" s="24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>
      <c r="A14" s="19" t="s">
        <v>41</v>
      </c>
      <c r="B14" s="25">
        <v>44169.0</v>
      </c>
      <c r="C14" s="25">
        <v>44169.0</v>
      </c>
      <c r="D14" s="21">
        <f t="shared" si="1"/>
        <v>1</v>
      </c>
      <c r="E14" s="21"/>
      <c r="F14" s="21"/>
      <c r="G14" s="21"/>
      <c r="H14" s="24"/>
      <c r="I14" s="24"/>
      <c r="J14" s="24"/>
      <c r="K14" s="24"/>
      <c r="L14" s="24"/>
      <c r="M14" s="24"/>
      <c r="N14" s="24"/>
      <c r="O14" s="24"/>
      <c r="P14" s="24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>
      <c r="A15" s="19" t="s">
        <v>41</v>
      </c>
      <c r="B15" s="25">
        <v>44172.0</v>
      </c>
      <c r="C15" s="25">
        <v>44172.0</v>
      </c>
      <c r="D15" s="21">
        <f t="shared" si="1"/>
        <v>1</v>
      </c>
      <c r="E15" s="21"/>
      <c r="F15" s="21"/>
      <c r="G15" s="21"/>
      <c r="H15" s="24"/>
      <c r="I15" s="24"/>
      <c r="J15" s="24"/>
      <c r="K15" s="24"/>
      <c r="L15" s="24"/>
      <c r="M15" s="24"/>
      <c r="N15" s="24"/>
      <c r="O15" s="24"/>
      <c r="P15" s="24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>
      <c r="A16" s="19" t="s">
        <v>41</v>
      </c>
      <c r="B16" s="25">
        <v>44174.0</v>
      </c>
      <c r="C16" s="25">
        <v>44174.0</v>
      </c>
      <c r="D16" s="21">
        <f t="shared" si="1"/>
        <v>1</v>
      </c>
      <c r="E16" s="21"/>
      <c r="F16" s="21"/>
      <c r="G16" s="21"/>
      <c r="H16" s="24"/>
      <c r="I16" s="24"/>
      <c r="J16" s="24"/>
      <c r="K16" s="24"/>
      <c r="L16" s="24"/>
      <c r="M16" s="24"/>
      <c r="N16" s="24"/>
      <c r="O16" s="24"/>
      <c r="P16" s="24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>
      <c r="A17" s="19" t="s">
        <v>41</v>
      </c>
      <c r="B17" s="25">
        <v>44176.0</v>
      </c>
      <c r="C17" s="25">
        <v>44176.0</v>
      </c>
      <c r="D17" s="21">
        <f t="shared" si="1"/>
        <v>1</v>
      </c>
      <c r="E17" s="21"/>
      <c r="F17" s="21"/>
      <c r="G17" s="21"/>
      <c r="H17" s="24"/>
      <c r="I17" s="24"/>
      <c r="J17" s="24"/>
      <c r="K17" s="24"/>
      <c r="L17" s="24"/>
      <c r="M17" s="24"/>
      <c r="N17" s="24"/>
      <c r="O17" s="24"/>
      <c r="P17" s="24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>
      <c r="A18" s="27"/>
      <c r="B18" s="21"/>
      <c r="C18" s="28" t="s">
        <v>43</v>
      </c>
      <c r="D18" s="21">
        <f>SUM(D5:D17)</f>
        <v>17</v>
      </c>
      <c r="E18" s="21"/>
      <c r="F18" s="21"/>
      <c r="G18" s="21"/>
      <c r="H18" s="24"/>
      <c r="I18" s="24"/>
      <c r="J18" s="24"/>
      <c r="K18" s="24"/>
      <c r="L18" s="24"/>
      <c r="M18" s="24"/>
      <c r="N18" s="24"/>
      <c r="O18" s="24"/>
      <c r="P18" s="24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>
      <c r="A19" s="27"/>
      <c r="B19" s="27"/>
      <c r="C19" s="27"/>
      <c r="D19" s="27"/>
      <c r="E19" s="27"/>
      <c r="F19" s="27"/>
      <c r="G19" s="27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>
      <c r="A20" s="29" t="s">
        <v>44</v>
      </c>
      <c r="B20" s="27"/>
      <c r="C20" s="27"/>
      <c r="D20" s="27"/>
      <c r="E20" s="27"/>
      <c r="F20" s="27"/>
      <c r="G20" s="27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>
      <c r="A21" s="14" t="s">
        <v>34</v>
      </c>
      <c r="B21" s="14" t="s">
        <v>35</v>
      </c>
      <c r="C21" s="14" t="s">
        <v>36</v>
      </c>
      <c r="D21" s="14" t="s">
        <v>37</v>
      </c>
      <c r="E21" s="14" t="s">
        <v>45</v>
      </c>
      <c r="F21" s="14" t="s">
        <v>46</v>
      </c>
      <c r="G21" s="14" t="s">
        <v>47</v>
      </c>
      <c r="H21" s="14" t="s">
        <v>48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>
      <c r="A22" s="19" t="s">
        <v>39</v>
      </c>
      <c r="B22" s="30">
        <v>44051.0</v>
      </c>
      <c r="C22" s="30">
        <v>44057.0</v>
      </c>
      <c r="D22" s="27">
        <f t="shared" ref="D22:D27" si="2">C22-B22+1</f>
        <v>7</v>
      </c>
      <c r="E22" s="31">
        <f t="shared" ref="E22:E27" si="3">D22*$B$34</f>
        <v>7686</v>
      </c>
      <c r="F22" s="31">
        <f t="shared" ref="F22:F27" si="4">CEILING(D22/7,1)*$B$33</f>
        <v>5903</v>
      </c>
      <c r="G22" s="31">
        <f t="shared" ref="G22:G27" si="5">CEILING(D22/30,1)*$B$32</f>
        <v>19457</v>
      </c>
      <c r="H22" s="32">
        <f t="shared" ref="H22:H27" si="6">Min(E22:G22)</f>
        <v>5903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>
      <c r="A23" s="19" t="s">
        <v>49</v>
      </c>
      <c r="B23" s="30">
        <v>44083.0</v>
      </c>
      <c r="C23" s="30">
        <v>44105.0</v>
      </c>
      <c r="D23" s="27">
        <f t="shared" si="2"/>
        <v>23</v>
      </c>
      <c r="E23" s="31">
        <f t="shared" si="3"/>
        <v>25254</v>
      </c>
      <c r="F23" s="31">
        <f t="shared" si="4"/>
        <v>23612</v>
      </c>
      <c r="G23" s="31">
        <f t="shared" si="5"/>
        <v>19457</v>
      </c>
      <c r="H23" s="32">
        <f t="shared" si="6"/>
        <v>19457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>
      <c r="A24" s="19" t="s">
        <v>50</v>
      </c>
      <c r="B24" s="20">
        <v>44116.0</v>
      </c>
      <c r="C24" s="20">
        <v>44121.0</v>
      </c>
      <c r="D24" s="27">
        <f t="shared" si="2"/>
        <v>6</v>
      </c>
      <c r="E24" s="31">
        <f t="shared" si="3"/>
        <v>6588</v>
      </c>
      <c r="F24" s="31">
        <f t="shared" si="4"/>
        <v>5903</v>
      </c>
      <c r="G24" s="31">
        <f t="shared" si="5"/>
        <v>19457</v>
      </c>
      <c r="H24" s="32">
        <f t="shared" si="6"/>
        <v>5903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>
      <c r="A25" s="19" t="s">
        <v>40</v>
      </c>
      <c r="B25" s="20">
        <v>44131.0</v>
      </c>
      <c r="C25" s="30">
        <v>44140.0</v>
      </c>
      <c r="D25" s="27">
        <f t="shared" si="2"/>
        <v>10</v>
      </c>
      <c r="E25" s="31">
        <f t="shared" si="3"/>
        <v>10980</v>
      </c>
      <c r="F25" s="31">
        <f t="shared" si="4"/>
        <v>11806</v>
      </c>
      <c r="G25" s="31">
        <f t="shared" si="5"/>
        <v>19457</v>
      </c>
      <c r="H25" s="32">
        <f t="shared" si="6"/>
        <v>10980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>
      <c r="A26" s="19" t="s">
        <v>51</v>
      </c>
      <c r="B26" s="20">
        <v>44166.0</v>
      </c>
      <c r="C26" s="20">
        <v>44171.0</v>
      </c>
      <c r="D26" s="27">
        <f t="shared" si="2"/>
        <v>6</v>
      </c>
      <c r="E26" s="31">
        <f t="shared" si="3"/>
        <v>6588</v>
      </c>
      <c r="F26" s="31">
        <f t="shared" si="4"/>
        <v>5903</v>
      </c>
      <c r="G26" s="31">
        <f t="shared" si="5"/>
        <v>19457</v>
      </c>
      <c r="H26" s="32">
        <f t="shared" si="6"/>
        <v>5903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>
      <c r="A27" s="19" t="s">
        <v>41</v>
      </c>
      <c r="B27" s="20">
        <v>44179.0</v>
      </c>
      <c r="C27" s="20">
        <v>44183.0</v>
      </c>
      <c r="D27" s="27">
        <f t="shared" si="2"/>
        <v>5</v>
      </c>
      <c r="E27" s="31">
        <f t="shared" si="3"/>
        <v>5490</v>
      </c>
      <c r="F27" s="31">
        <f t="shared" si="4"/>
        <v>5903</v>
      </c>
      <c r="G27" s="31">
        <f t="shared" si="5"/>
        <v>19457</v>
      </c>
      <c r="H27" s="32">
        <f t="shared" si="6"/>
        <v>5490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>
      <c r="A28" s="27"/>
      <c r="B28" s="27"/>
      <c r="C28" s="2"/>
      <c r="D28" s="2"/>
      <c r="E28" s="27"/>
      <c r="F28" s="27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>
      <c r="A29" s="2"/>
      <c r="B29" s="2"/>
      <c r="E29" s="2"/>
      <c r="F29" s="33" t="s">
        <v>42</v>
      </c>
      <c r="H29" s="27">
        <f>SUM(D22:D27)</f>
        <v>57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>
      <c r="A30" s="13" t="s">
        <v>52</v>
      </c>
      <c r="B30" s="2"/>
      <c r="C30" s="2"/>
      <c r="D30" s="2"/>
      <c r="E30" s="2"/>
      <c r="F30" s="33" t="s">
        <v>53</v>
      </c>
      <c r="H30" s="32">
        <f>SUM(H22:H27)</f>
        <v>53636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>
      <c r="A31" s="34" t="s">
        <v>54</v>
      </c>
      <c r="B31" s="2"/>
      <c r="C31" s="2"/>
      <c r="D31" s="2"/>
      <c r="E31" s="2"/>
      <c r="F31" s="35" t="s">
        <v>55</v>
      </c>
      <c r="H31" s="36">
        <f>-H29*100</f>
        <v>-5700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>
      <c r="A32" s="37" t="s">
        <v>56</v>
      </c>
      <c r="B32" s="38">
        <v>19457.0</v>
      </c>
      <c r="C32" s="2"/>
      <c r="D32" s="2"/>
      <c r="E32" s="2"/>
      <c r="F32" s="35" t="s">
        <v>57</v>
      </c>
      <c r="H32" s="32">
        <f>SUM(H30:H31)</f>
        <v>47936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>
      <c r="A33" s="37" t="s">
        <v>58</v>
      </c>
      <c r="B33" s="38">
        <v>5903.0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>
      <c r="A34" s="37" t="s">
        <v>59</v>
      </c>
      <c r="B34" s="38">
        <v>1098.0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>
      <c r="A36" s="37" t="s">
        <v>60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>
      <c r="A38" s="2"/>
      <c r="B38" s="2"/>
      <c r="C38" s="2"/>
      <c r="D38" s="2"/>
      <c r="E38" s="2"/>
      <c r="F38" s="13" t="s">
        <v>61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>
      <c r="A39" s="2"/>
      <c r="B39" s="2"/>
      <c r="C39" s="2"/>
      <c r="D39" s="2"/>
      <c r="E39" s="2"/>
      <c r="F39" s="39" t="s">
        <v>34</v>
      </c>
      <c r="G39" s="39" t="s">
        <v>62</v>
      </c>
      <c r="H39" s="40" t="s">
        <v>63</v>
      </c>
      <c r="I39" s="2"/>
      <c r="J39" s="39" t="s">
        <v>64</v>
      </c>
      <c r="K39" s="39" t="s">
        <v>65</v>
      </c>
      <c r="L39" s="39" t="s">
        <v>66</v>
      </c>
      <c r="M39" s="39" t="s">
        <v>67</v>
      </c>
      <c r="N39" s="39" t="s">
        <v>68</v>
      </c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>
      <c r="A40" s="2"/>
      <c r="B40" s="2"/>
      <c r="C40" s="2"/>
      <c r="D40" s="2"/>
      <c r="E40" s="2"/>
      <c r="F40" s="39" t="str">
        <f t="shared" ref="F40:F45" si="7">A22</f>
        <v>Katija</v>
      </c>
      <c r="G40" s="41">
        <f t="shared" ref="G40:G45" si="8">D22</f>
        <v>7</v>
      </c>
      <c r="H40" s="42">
        <f t="shared" ref="H40:H45" si="9">H22</f>
        <v>5903</v>
      </c>
      <c r="I40" s="2"/>
      <c r="J40" s="39" t="str">
        <f t="shared" ref="J40:J45" si="10">A22</f>
        <v>Katija</v>
      </c>
      <c r="K40" s="43" t="s">
        <v>69</v>
      </c>
      <c r="L40" s="44">
        <f t="shared" ref="L40:L45" si="11">D22</f>
        <v>7</v>
      </c>
      <c r="M40" s="43" t="s">
        <v>70</v>
      </c>
      <c r="N40" s="45">
        <v>2.0</v>
      </c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>
      <c r="A41" s="2"/>
      <c r="B41" s="2"/>
      <c r="C41" s="2"/>
      <c r="D41" s="2"/>
      <c r="E41" s="2"/>
      <c r="F41" s="39" t="str">
        <f t="shared" si="7"/>
        <v>Paull</v>
      </c>
      <c r="G41" s="41">
        <f t="shared" si="8"/>
        <v>23</v>
      </c>
      <c r="H41" s="42">
        <f t="shared" si="9"/>
        <v>19457</v>
      </c>
      <c r="I41" s="2"/>
      <c r="J41" s="39" t="str">
        <f t="shared" si="10"/>
        <v>Paull</v>
      </c>
      <c r="K41" s="43" t="s">
        <v>71</v>
      </c>
      <c r="L41" s="44">
        <f t="shared" si="11"/>
        <v>23</v>
      </c>
      <c r="M41" s="46"/>
      <c r="N41" s="47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>
      <c r="A42" s="2"/>
      <c r="B42" s="2"/>
      <c r="C42" s="2"/>
      <c r="D42" s="2"/>
      <c r="E42" s="2"/>
      <c r="F42" s="39" t="str">
        <f t="shared" si="7"/>
        <v>Caress</v>
      </c>
      <c r="G42" s="41">
        <f t="shared" si="8"/>
        <v>6</v>
      </c>
      <c r="H42" s="42">
        <f t="shared" si="9"/>
        <v>5903</v>
      </c>
      <c r="I42" s="2"/>
      <c r="J42" s="39" t="str">
        <f t="shared" si="10"/>
        <v>Caress</v>
      </c>
      <c r="K42" s="43" t="s">
        <v>72</v>
      </c>
      <c r="L42" s="44">
        <f t="shared" si="11"/>
        <v>6</v>
      </c>
      <c r="M42" s="41"/>
      <c r="N42" s="47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>
      <c r="A43" s="2"/>
      <c r="B43" s="2"/>
      <c r="C43" s="2"/>
      <c r="D43" s="2"/>
      <c r="E43" s="2"/>
      <c r="F43" s="39" t="str">
        <f t="shared" si="7"/>
        <v>Smith</v>
      </c>
      <c r="G43" s="41">
        <f t="shared" si="8"/>
        <v>10</v>
      </c>
      <c r="H43" s="42">
        <f t="shared" si="9"/>
        <v>10980</v>
      </c>
      <c r="I43" s="2"/>
      <c r="J43" s="39" t="str">
        <f t="shared" si="10"/>
        <v>Smith</v>
      </c>
      <c r="K43" s="43" t="s">
        <v>73</v>
      </c>
      <c r="L43" s="44">
        <f t="shared" si="11"/>
        <v>10</v>
      </c>
      <c r="M43" s="43" t="s">
        <v>74</v>
      </c>
      <c r="N43" s="45">
        <v>4.0</v>
      </c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>
      <c r="A44" s="2"/>
      <c r="B44" s="2"/>
      <c r="C44" s="2"/>
      <c r="D44" s="2"/>
      <c r="E44" s="2"/>
      <c r="F44" s="39" t="str">
        <f t="shared" si="7"/>
        <v>Barry</v>
      </c>
      <c r="G44" s="41">
        <f t="shared" si="8"/>
        <v>6</v>
      </c>
      <c r="H44" s="42">
        <f t="shared" si="9"/>
        <v>5903</v>
      </c>
      <c r="I44" s="2"/>
      <c r="J44" s="39" t="str">
        <f t="shared" si="10"/>
        <v>Barry</v>
      </c>
      <c r="K44" s="43" t="s">
        <v>75</v>
      </c>
      <c r="L44" s="44">
        <f t="shared" si="11"/>
        <v>6</v>
      </c>
      <c r="M44" s="41"/>
      <c r="N44" s="47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>
      <c r="A45" s="2"/>
      <c r="B45" s="2"/>
      <c r="C45" s="2"/>
      <c r="D45" s="2"/>
      <c r="E45" s="2"/>
      <c r="F45" s="39" t="str">
        <f t="shared" si="7"/>
        <v>AMP</v>
      </c>
      <c r="G45" s="41">
        <f t="shared" si="8"/>
        <v>5</v>
      </c>
      <c r="H45" s="42">
        <f t="shared" si="9"/>
        <v>5490</v>
      </c>
      <c r="I45" s="2"/>
      <c r="J45" s="39" t="str">
        <f t="shared" si="10"/>
        <v>AMP</v>
      </c>
      <c r="K45" s="43" t="s">
        <v>76</v>
      </c>
      <c r="L45" s="44">
        <f t="shared" si="11"/>
        <v>5</v>
      </c>
      <c r="M45" s="43" t="s">
        <v>77</v>
      </c>
      <c r="N45" s="45">
        <v>11.0</v>
      </c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>
      <c r="A47" s="2"/>
      <c r="B47" s="2"/>
      <c r="C47" s="2"/>
      <c r="D47" s="2"/>
      <c r="E47" s="2"/>
      <c r="F47" s="48" t="str">
        <f t="shared" ref="F47:F50" si="12">F29</f>
        <v>Total Days:</v>
      </c>
      <c r="H47" s="2">
        <f t="shared" ref="H47:H50" si="13">H29</f>
        <v>57</v>
      </c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>
      <c r="A48" s="2"/>
      <c r="B48" s="2"/>
      <c r="C48" s="2"/>
      <c r="D48" s="2"/>
      <c r="E48" s="2"/>
      <c r="F48" s="48" t="str">
        <f t="shared" si="12"/>
        <v>Total Costs:</v>
      </c>
      <c r="H48" s="32">
        <f t="shared" si="13"/>
        <v>53636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>
      <c r="A49" s="2"/>
      <c r="B49" s="2"/>
      <c r="C49" s="2"/>
      <c r="D49" s="2"/>
      <c r="E49" s="2"/>
      <c r="F49" s="48" t="str">
        <f t="shared" si="12"/>
        <v>Current Service Refund †:</v>
      </c>
      <c r="H49" s="36">
        <f t="shared" si="13"/>
        <v>-5700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>
      <c r="A50" s="2"/>
      <c r="B50" s="2"/>
      <c r="C50" s="2"/>
      <c r="D50" s="2"/>
      <c r="E50" s="2"/>
      <c r="F50" s="48" t="str">
        <f t="shared" si="12"/>
        <v>Net Costs:</v>
      </c>
      <c r="H50" s="32">
        <f t="shared" si="13"/>
        <v>47936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</row>
  </sheetData>
  <mergeCells count="8">
    <mergeCell ref="F29:G29"/>
    <mergeCell ref="F30:G30"/>
    <mergeCell ref="F31:G31"/>
    <mergeCell ref="F32:G32"/>
    <mergeCell ref="F47:G47"/>
    <mergeCell ref="F48:G48"/>
    <mergeCell ref="F49:G49"/>
    <mergeCell ref="F50:G50"/>
  </mergeCells>
  <drawing r:id="rId1"/>
  <tableParts count="3"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1.0"/>
    <col customWidth="1" min="2" max="2" width="19.14"/>
    <col customWidth="1" min="4" max="4" width="17.14"/>
    <col customWidth="1" min="7" max="7" width="17.86"/>
    <col customWidth="1" min="9" max="9" width="20.57"/>
    <col customWidth="1" min="11" max="11" width="18.71"/>
  </cols>
  <sheetData>
    <row r="1">
      <c r="A1" s="37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>
      <c r="A2" s="2"/>
      <c r="B2" s="2"/>
      <c r="C2" s="49"/>
      <c r="D2" s="49"/>
      <c r="E2" s="49"/>
      <c r="F2" s="49"/>
      <c r="G2" s="49"/>
      <c r="H2" s="49"/>
      <c r="I2" s="49"/>
      <c r="J2" s="49"/>
      <c r="K2" s="49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>
      <c r="A3" s="50"/>
      <c r="B3" s="51" t="s">
        <v>79</v>
      </c>
      <c r="C3" s="51" t="s">
        <v>80</v>
      </c>
      <c r="D3" s="51" t="s">
        <v>81</v>
      </c>
      <c r="E3" s="51" t="s">
        <v>82</v>
      </c>
      <c r="F3" s="51" t="s">
        <v>83</v>
      </c>
      <c r="G3" s="51" t="s">
        <v>84</v>
      </c>
      <c r="H3" s="37"/>
      <c r="I3" s="51" t="s">
        <v>85</v>
      </c>
      <c r="J3" s="52" t="s">
        <v>86</v>
      </c>
      <c r="K3" s="52" t="s">
        <v>87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>
      <c r="A4" s="53" t="s">
        <v>88</v>
      </c>
      <c r="B4" s="54">
        <f t="shared" ref="B4:G4" si="1">IFERROR(AVERAGEIFS($C$15:$C$103,$B$15:$B$103,$A4,$A$15:$A$103,B$3),"N/A")</f>
        <v>36.16666667</v>
      </c>
      <c r="C4" s="54">
        <f t="shared" si="1"/>
        <v>17</v>
      </c>
      <c r="D4" s="54" t="str">
        <f t="shared" si="1"/>
        <v>N/A</v>
      </c>
      <c r="E4" s="54">
        <f t="shared" si="1"/>
        <v>17</v>
      </c>
      <c r="F4" s="54">
        <f t="shared" si="1"/>
        <v>34</v>
      </c>
      <c r="G4" s="54">
        <f t="shared" si="1"/>
        <v>2</v>
      </c>
      <c r="H4" s="2"/>
      <c r="I4" s="39" t="s">
        <v>79</v>
      </c>
      <c r="J4" s="40" t="s">
        <v>89</v>
      </c>
      <c r="K4" s="55">
        <f>B10</f>
        <v>35.45833333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>
      <c r="A5" s="53" t="s">
        <v>90</v>
      </c>
      <c r="B5" s="54">
        <f t="shared" ref="B5:G5" si="2">IFERROR(AVERAGEIFS($C$15:$C$103,$B$15:$B$103,$A5,$A$15:$A$103,B$3),"N/A")</f>
        <v>36.55555556</v>
      </c>
      <c r="C5" s="54">
        <f t="shared" si="2"/>
        <v>32.66666667</v>
      </c>
      <c r="D5" s="54">
        <f t="shared" si="2"/>
        <v>30.5</v>
      </c>
      <c r="E5" s="54" t="str">
        <f t="shared" si="2"/>
        <v>N/A</v>
      </c>
      <c r="F5" s="54" t="str">
        <f t="shared" si="2"/>
        <v>N/A</v>
      </c>
      <c r="G5" s="54" t="str">
        <f t="shared" si="2"/>
        <v>N/A</v>
      </c>
      <c r="H5" s="2"/>
      <c r="I5" s="39" t="s">
        <v>80</v>
      </c>
      <c r="J5" s="40" t="s">
        <v>91</v>
      </c>
      <c r="K5" s="55">
        <f>C10</f>
        <v>23.66666667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</row>
    <row r="6">
      <c r="A6" s="53" t="s">
        <v>92</v>
      </c>
      <c r="B6" s="54">
        <f t="shared" ref="B6:B9" si="4">IFERROR(AVERAGEIFS($C$15:$C$103,$B$15:$B$103,$A6,$A$15:$A$103,B$3),"N/A")</f>
        <v>35.44444444</v>
      </c>
      <c r="C6" s="54">
        <f t="shared" ref="C6:G6" si="3">AVERAGEIFS($C$15:$C$103,$B$15:$B$103,$A6,$A$15:$A$103,C$3)</f>
        <v>27</v>
      </c>
      <c r="D6" s="54">
        <f t="shared" si="3"/>
        <v>29.2</v>
      </c>
      <c r="E6" s="54">
        <f t="shared" si="3"/>
        <v>19</v>
      </c>
      <c r="F6" s="54">
        <f t="shared" si="3"/>
        <v>26</v>
      </c>
      <c r="G6" s="54">
        <f t="shared" si="3"/>
        <v>1.666666667</v>
      </c>
      <c r="H6" s="2"/>
      <c r="I6" s="39" t="s">
        <v>81</v>
      </c>
      <c r="J6" s="40" t="s">
        <v>89</v>
      </c>
      <c r="K6" s="55">
        <f>D10</f>
        <v>27.69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</row>
    <row r="7">
      <c r="A7" s="53" t="s">
        <v>93</v>
      </c>
      <c r="B7" s="54">
        <f t="shared" si="4"/>
        <v>33.66666667</v>
      </c>
      <c r="C7" s="54" t="str">
        <f t="shared" ref="C7:G7" si="5">IFERROR(AVERAGEIFS($C$15:$C$103,$B$15:$B$103,$A7,$A$15:$A$103,C$3),"N/A")</f>
        <v>N/A</v>
      </c>
      <c r="D7" s="54">
        <f t="shared" si="5"/>
        <v>26.75</v>
      </c>
      <c r="E7" s="54">
        <f t="shared" si="5"/>
        <v>27</v>
      </c>
      <c r="F7" s="54">
        <f t="shared" si="5"/>
        <v>18.5</v>
      </c>
      <c r="G7" s="54">
        <f t="shared" si="5"/>
        <v>1.25</v>
      </c>
      <c r="H7" s="2"/>
      <c r="I7" s="39" t="s">
        <v>82</v>
      </c>
      <c r="J7" s="40" t="s">
        <v>91</v>
      </c>
      <c r="K7" s="55">
        <f>E10</f>
        <v>22.5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</row>
    <row r="8">
      <c r="A8" s="53" t="s">
        <v>94</v>
      </c>
      <c r="B8" s="54" t="str">
        <f t="shared" si="4"/>
        <v>N/A</v>
      </c>
      <c r="C8" s="54">
        <f t="shared" ref="C8:G8" si="6">IFERROR(AVERAGEIFS($C$15:$C$103,$B$15:$B$103,$A8,$A$15:$A$103,C$3),"N/A")</f>
        <v>18</v>
      </c>
      <c r="D8" s="54">
        <f t="shared" si="6"/>
        <v>26</v>
      </c>
      <c r="E8" s="54" t="str">
        <f t="shared" si="6"/>
        <v>N/A</v>
      </c>
      <c r="F8" s="54">
        <f t="shared" si="6"/>
        <v>30</v>
      </c>
      <c r="G8" s="54">
        <f t="shared" si="6"/>
        <v>1</v>
      </c>
      <c r="H8" s="2"/>
      <c r="I8" s="39" t="s">
        <v>83</v>
      </c>
      <c r="J8" s="40" t="s">
        <v>89</v>
      </c>
      <c r="K8" s="55">
        <f>F10</f>
        <v>26.26666667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</row>
    <row r="9">
      <c r="A9" s="53" t="s">
        <v>95</v>
      </c>
      <c r="B9" s="54" t="str">
        <f t="shared" si="4"/>
        <v>N/A</v>
      </c>
      <c r="C9" s="54" t="str">
        <f t="shared" ref="C9:G9" si="7">IFERROR(AVERAGEIFS($C$15:$C$103,$B$15:$B$103,$A9,$A$15:$A$103,C$3),"N/A")</f>
        <v>N/A</v>
      </c>
      <c r="D9" s="54">
        <f t="shared" si="7"/>
        <v>26</v>
      </c>
      <c r="E9" s="54">
        <f t="shared" si="7"/>
        <v>27</v>
      </c>
      <c r="F9" s="54">
        <f t="shared" si="7"/>
        <v>22.83333333</v>
      </c>
      <c r="G9" s="54" t="str">
        <f t="shared" si="7"/>
        <v>N/A</v>
      </c>
      <c r="H9" s="2"/>
      <c r="I9" s="39" t="s">
        <v>96</v>
      </c>
      <c r="J9" s="40" t="s">
        <v>97</v>
      </c>
      <c r="K9" s="55">
        <f>G10</f>
        <v>1.479166667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>
      <c r="A10" s="56" t="s">
        <v>98</v>
      </c>
      <c r="B10" s="57">
        <f t="shared" ref="B10:G10" si="8">AVERAGE(B4:B9)</f>
        <v>35.45833333</v>
      </c>
      <c r="C10" s="57">
        <f t="shared" si="8"/>
        <v>23.66666667</v>
      </c>
      <c r="D10" s="57">
        <f t="shared" si="8"/>
        <v>27.69</v>
      </c>
      <c r="E10" s="57">
        <f t="shared" si="8"/>
        <v>22.5</v>
      </c>
      <c r="F10" s="57">
        <f t="shared" si="8"/>
        <v>26.26666667</v>
      </c>
      <c r="G10" s="57">
        <f t="shared" si="8"/>
        <v>1.479166667</v>
      </c>
      <c r="H10" s="2"/>
      <c r="I10" s="39" t="s">
        <v>99</v>
      </c>
      <c r="J10" s="40" t="s">
        <v>89</v>
      </c>
      <c r="K10" s="58">
        <f>G10</f>
        <v>1.479166667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>
      <c r="A11" s="13"/>
      <c r="B11" s="37"/>
      <c r="C11" s="37"/>
      <c r="D11" s="37"/>
      <c r="E11" s="37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</row>
    <row r="12">
      <c r="A12" s="13" t="s">
        <v>100</v>
      </c>
      <c r="B12" s="37"/>
      <c r="C12" s="37"/>
      <c r="D12" s="37"/>
      <c r="E12" s="37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</row>
    <row r="14">
      <c r="A14" s="13" t="s">
        <v>101</v>
      </c>
      <c r="B14" s="37" t="s">
        <v>102</v>
      </c>
      <c r="C14" s="37" t="s">
        <v>103</v>
      </c>
      <c r="D14" s="37" t="s">
        <v>104</v>
      </c>
      <c r="E14" s="37" t="s">
        <v>105</v>
      </c>
      <c r="F14" s="37" t="s">
        <v>106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</row>
    <row r="15">
      <c r="A15" s="37" t="s">
        <v>82</v>
      </c>
      <c r="B15" s="37" t="s">
        <v>93</v>
      </c>
      <c r="C15" s="37">
        <v>33.0</v>
      </c>
      <c r="D15" s="37" t="s">
        <v>107</v>
      </c>
      <c r="E15" s="37"/>
      <c r="F15" s="37" t="str">
        <f t="shared" ref="F15:F103" si="9">SWITCH(B15,"emartin","at&amp;t 5G","adriana", "mbari", "Cable (Comcast)")</f>
        <v>Cable (Comcast)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</row>
    <row r="16">
      <c r="A16" s="37" t="s">
        <v>82</v>
      </c>
      <c r="B16" s="37" t="s">
        <v>92</v>
      </c>
      <c r="C16" s="37">
        <v>25.0</v>
      </c>
      <c r="D16" s="37" t="s">
        <v>108</v>
      </c>
      <c r="E16" s="37"/>
      <c r="F16" s="37" t="str">
        <f t="shared" si="9"/>
        <v>Cable (Comcast)</v>
      </c>
      <c r="G16" s="37"/>
      <c r="H16" s="37"/>
      <c r="I16" s="37"/>
      <c r="J16" s="37"/>
      <c r="K16" s="37"/>
      <c r="L16" s="37"/>
      <c r="M16" s="37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</row>
    <row r="17">
      <c r="A17" s="37" t="s">
        <v>82</v>
      </c>
      <c r="B17" s="37" t="s">
        <v>88</v>
      </c>
      <c r="C17" s="37">
        <v>14.0</v>
      </c>
      <c r="D17" s="37" t="s">
        <v>109</v>
      </c>
      <c r="E17" s="2"/>
      <c r="F17" s="37" t="str">
        <f t="shared" si="9"/>
        <v>at&amp;t 5G</v>
      </c>
      <c r="G17" s="37"/>
      <c r="H17" s="37"/>
      <c r="I17" s="37"/>
      <c r="J17" s="37"/>
      <c r="K17" s="37"/>
      <c r="L17" s="37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</row>
    <row r="18">
      <c r="A18" s="37" t="s">
        <v>82</v>
      </c>
      <c r="B18" s="37" t="s">
        <v>93</v>
      </c>
      <c r="C18" s="37">
        <v>21.0</v>
      </c>
      <c r="D18" s="37" t="s">
        <v>109</v>
      </c>
      <c r="E18" s="2"/>
      <c r="F18" s="37" t="str">
        <f t="shared" si="9"/>
        <v>Cable (Comcast)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</row>
    <row r="19">
      <c r="A19" s="37" t="s">
        <v>82</v>
      </c>
      <c r="B19" s="37" t="s">
        <v>95</v>
      </c>
      <c r="C19" s="37">
        <v>36.0</v>
      </c>
      <c r="D19" s="37" t="s">
        <v>109</v>
      </c>
      <c r="E19" s="2"/>
      <c r="F19" s="37" t="str">
        <f t="shared" si="9"/>
        <v>Cable (Comcast)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</row>
    <row r="20">
      <c r="A20" s="37" t="s">
        <v>82</v>
      </c>
      <c r="B20" s="37" t="s">
        <v>95</v>
      </c>
      <c r="C20" s="37">
        <v>29.0</v>
      </c>
      <c r="D20" s="37" t="s">
        <v>109</v>
      </c>
      <c r="E20" s="2"/>
      <c r="F20" s="37" t="str">
        <f t="shared" si="9"/>
        <v>Cable (Comcast)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</row>
    <row r="21">
      <c r="A21" s="37" t="s">
        <v>82</v>
      </c>
      <c r="B21" s="37" t="s">
        <v>92</v>
      </c>
      <c r="C21" s="37">
        <v>13.0</v>
      </c>
      <c r="D21" s="37" t="s">
        <v>108</v>
      </c>
      <c r="E21" s="2"/>
      <c r="F21" s="37" t="str">
        <f t="shared" si="9"/>
        <v>Cable (Comcast)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</row>
    <row r="22">
      <c r="A22" s="37" t="s">
        <v>82</v>
      </c>
      <c r="B22" s="37" t="s">
        <v>95</v>
      </c>
      <c r="C22" s="37">
        <v>20.0</v>
      </c>
      <c r="D22" s="37" t="s">
        <v>109</v>
      </c>
      <c r="E22" s="2"/>
      <c r="F22" s="37" t="str">
        <f t="shared" si="9"/>
        <v>Cable (Comcast)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</row>
    <row r="23">
      <c r="A23" s="37" t="s">
        <v>82</v>
      </c>
      <c r="B23" s="37" t="s">
        <v>95</v>
      </c>
      <c r="C23" s="37">
        <v>30.0</v>
      </c>
      <c r="D23" s="37" t="s">
        <v>107</v>
      </c>
      <c r="E23" s="2"/>
      <c r="F23" s="37" t="str">
        <f t="shared" si="9"/>
        <v>Cable (Comcast)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</row>
    <row r="24">
      <c r="A24" s="37" t="s">
        <v>82</v>
      </c>
      <c r="B24" s="37" t="s">
        <v>88</v>
      </c>
      <c r="C24" s="37">
        <v>20.0</v>
      </c>
      <c r="D24" s="37" t="s">
        <v>109</v>
      </c>
      <c r="E24" s="2"/>
      <c r="F24" s="37" t="str">
        <f t="shared" si="9"/>
        <v>at&amp;t 5G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</row>
    <row r="25">
      <c r="A25" s="37" t="s">
        <v>82</v>
      </c>
      <c r="B25" s="37" t="s">
        <v>95</v>
      </c>
      <c r="C25" s="37">
        <v>20.0</v>
      </c>
      <c r="D25" s="37" t="s">
        <v>107</v>
      </c>
      <c r="E25" s="2"/>
      <c r="F25" s="37" t="str">
        <f t="shared" si="9"/>
        <v>Cable (Comcast)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</row>
    <row r="26">
      <c r="A26" s="37" t="s">
        <v>81</v>
      </c>
      <c r="B26" s="37" t="s">
        <v>93</v>
      </c>
      <c r="C26" s="37">
        <v>25.0</v>
      </c>
      <c r="D26" s="37" t="s">
        <v>108</v>
      </c>
      <c r="E26" s="2"/>
      <c r="F26" s="37" t="str">
        <f t="shared" si="9"/>
        <v>Cable (Comcast)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</row>
    <row r="27">
      <c r="A27" s="37" t="s">
        <v>81</v>
      </c>
      <c r="B27" s="37" t="s">
        <v>93</v>
      </c>
      <c r="C27" s="37">
        <v>25.0</v>
      </c>
      <c r="D27" s="37" t="s">
        <v>107</v>
      </c>
      <c r="E27" s="2"/>
      <c r="F27" s="37" t="str">
        <f t="shared" si="9"/>
        <v>Cable (Comcast)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</row>
    <row r="28">
      <c r="A28" s="37" t="s">
        <v>81</v>
      </c>
      <c r="B28" s="37" t="s">
        <v>92</v>
      </c>
      <c r="C28" s="37">
        <v>42.0</v>
      </c>
      <c r="D28" s="37" t="s">
        <v>108</v>
      </c>
      <c r="E28" s="2"/>
      <c r="F28" s="37" t="str">
        <f t="shared" si="9"/>
        <v>Cable (Comcast)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</row>
    <row r="29">
      <c r="A29" s="37" t="s">
        <v>81</v>
      </c>
      <c r="B29" s="37" t="s">
        <v>94</v>
      </c>
      <c r="C29" s="37">
        <v>28.0</v>
      </c>
      <c r="D29" s="37" t="s">
        <v>108</v>
      </c>
      <c r="E29" s="2"/>
      <c r="F29" s="37" t="str">
        <f t="shared" si="9"/>
        <v>mbari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</row>
    <row r="30">
      <c r="A30" s="37" t="s">
        <v>81</v>
      </c>
      <c r="B30" s="37" t="s">
        <v>93</v>
      </c>
      <c r="C30" s="37">
        <v>30.0</v>
      </c>
      <c r="D30" s="37" t="s">
        <v>109</v>
      </c>
      <c r="E30" s="2"/>
      <c r="F30" s="37" t="str">
        <f t="shared" si="9"/>
        <v>Cable (Comcast)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</row>
    <row r="31">
      <c r="A31" s="37" t="s">
        <v>81</v>
      </c>
      <c r="B31" s="37" t="s">
        <v>90</v>
      </c>
      <c r="C31" s="37">
        <v>30.0</v>
      </c>
      <c r="D31" s="37" t="s">
        <v>107</v>
      </c>
      <c r="E31" s="2"/>
      <c r="F31" s="37" t="str">
        <f t="shared" si="9"/>
        <v>Cable (Comcast)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</row>
    <row r="32">
      <c r="A32" s="37" t="s">
        <v>81</v>
      </c>
      <c r="B32" s="37" t="s">
        <v>90</v>
      </c>
      <c r="C32" s="37">
        <v>31.0</v>
      </c>
      <c r="D32" s="37" t="s">
        <v>109</v>
      </c>
      <c r="E32" s="2"/>
      <c r="F32" s="37" t="str">
        <f t="shared" si="9"/>
        <v>Cable (Comcast)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>
      <c r="A33" s="37" t="s">
        <v>81</v>
      </c>
      <c r="B33" s="37" t="s">
        <v>92</v>
      </c>
      <c r="C33" s="37">
        <v>25.0</v>
      </c>
      <c r="D33" s="37" t="s">
        <v>109</v>
      </c>
      <c r="E33" s="2"/>
      <c r="F33" s="37" t="str">
        <f t="shared" si="9"/>
        <v>Cable (Comcast)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>
      <c r="A34" s="37" t="s">
        <v>81</v>
      </c>
      <c r="B34" s="37" t="s">
        <v>92</v>
      </c>
      <c r="C34" s="37">
        <v>25.0</v>
      </c>
      <c r="D34" s="37" t="s">
        <v>108</v>
      </c>
      <c r="E34" s="2"/>
      <c r="F34" s="37" t="str">
        <f t="shared" si="9"/>
        <v>Cable (Comcast)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>
      <c r="A35" s="37" t="s">
        <v>81</v>
      </c>
      <c r="B35" s="37" t="s">
        <v>92</v>
      </c>
      <c r="C35" s="37">
        <v>27.0</v>
      </c>
      <c r="D35" s="37" t="s">
        <v>109</v>
      </c>
      <c r="E35" s="2"/>
      <c r="F35" s="37" t="str">
        <f t="shared" si="9"/>
        <v>Cable (Comcast)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  <row r="36">
      <c r="A36" s="37" t="s">
        <v>81</v>
      </c>
      <c r="B36" s="37" t="s">
        <v>92</v>
      </c>
      <c r="C36" s="37">
        <v>27.0</v>
      </c>
      <c r="D36" s="37" t="s">
        <v>107</v>
      </c>
      <c r="E36" s="2"/>
      <c r="F36" s="37" t="str">
        <f t="shared" si="9"/>
        <v>Cable (Comcast)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</row>
    <row r="37">
      <c r="A37" s="37" t="s">
        <v>81</v>
      </c>
      <c r="B37" s="37" t="s">
        <v>95</v>
      </c>
      <c r="C37" s="37">
        <v>25.0</v>
      </c>
      <c r="D37" s="37" t="s">
        <v>107</v>
      </c>
      <c r="E37" s="2"/>
      <c r="F37" s="37" t="str">
        <f t="shared" si="9"/>
        <v>Cable (Comcast)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</row>
    <row r="38">
      <c r="A38" s="37" t="s">
        <v>81</v>
      </c>
      <c r="B38" s="37" t="s">
        <v>95</v>
      </c>
      <c r="C38" s="37">
        <v>27.0</v>
      </c>
      <c r="D38" s="37" t="s">
        <v>109</v>
      </c>
      <c r="E38" s="2"/>
      <c r="F38" s="37" t="str">
        <f t="shared" si="9"/>
        <v>Cable (Comcast)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</row>
    <row r="39">
      <c r="A39" s="37" t="s">
        <v>81</v>
      </c>
      <c r="B39" s="37" t="s">
        <v>94</v>
      </c>
      <c r="C39" s="37">
        <v>24.0</v>
      </c>
      <c r="D39" s="37" t="s">
        <v>108</v>
      </c>
      <c r="E39" s="2"/>
      <c r="F39" s="37" t="str">
        <f t="shared" si="9"/>
        <v>mbari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</row>
    <row r="40">
      <c r="A40" s="37" t="s">
        <v>81</v>
      </c>
      <c r="B40" s="37" t="s">
        <v>93</v>
      </c>
      <c r="C40" s="37">
        <v>27.0</v>
      </c>
      <c r="D40" s="37" t="s">
        <v>108</v>
      </c>
      <c r="E40" s="2"/>
      <c r="F40" s="37" t="str">
        <f t="shared" si="9"/>
        <v>Cable (Comcast)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</row>
    <row r="41">
      <c r="A41" s="37" t="s">
        <v>79</v>
      </c>
      <c r="B41" s="37" t="s">
        <v>93</v>
      </c>
      <c r="C41" s="37">
        <v>17.0</v>
      </c>
      <c r="D41" s="37" t="s">
        <v>107</v>
      </c>
      <c r="E41" s="2"/>
      <c r="F41" s="37" t="str">
        <f t="shared" si="9"/>
        <v>Cable (Comcast)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</row>
    <row r="42">
      <c r="A42" s="37" t="s">
        <v>79</v>
      </c>
      <c r="B42" s="37" t="s">
        <v>88</v>
      </c>
      <c r="C42" s="37">
        <v>28.0</v>
      </c>
      <c r="D42" s="37" t="s">
        <v>110</v>
      </c>
      <c r="E42" s="2"/>
      <c r="F42" s="37" t="str">
        <f t="shared" si="9"/>
        <v>at&amp;t 5G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</row>
    <row r="43">
      <c r="A43" s="37" t="s">
        <v>79</v>
      </c>
      <c r="B43" s="37" t="s">
        <v>88</v>
      </c>
      <c r="C43" s="37">
        <v>30.0</v>
      </c>
      <c r="D43" s="37" t="s">
        <v>109</v>
      </c>
      <c r="E43" s="2"/>
      <c r="F43" s="37" t="str">
        <f t="shared" si="9"/>
        <v>at&amp;t 5G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</row>
    <row r="44">
      <c r="A44" s="37" t="s">
        <v>79</v>
      </c>
      <c r="B44" s="37" t="s">
        <v>93</v>
      </c>
      <c r="C44" s="37">
        <v>44.0</v>
      </c>
      <c r="D44" s="37" t="s">
        <v>108</v>
      </c>
      <c r="E44" s="2"/>
      <c r="F44" s="37" t="str">
        <f t="shared" si="9"/>
        <v>Cable (Comcast)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</row>
    <row r="45">
      <c r="A45" s="37" t="s">
        <v>79</v>
      </c>
      <c r="B45" s="37" t="s">
        <v>92</v>
      </c>
      <c r="C45" s="37">
        <v>41.0</v>
      </c>
      <c r="D45" s="37" t="s">
        <v>108</v>
      </c>
      <c r="E45" s="2"/>
      <c r="F45" s="37" t="str">
        <f t="shared" si="9"/>
        <v>Cable (Comcast)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</row>
    <row r="46">
      <c r="A46" s="37" t="s">
        <v>79</v>
      </c>
      <c r="B46" s="37" t="s">
        <v>90</v>
      </c>
      <c r="C46" s="37">
        <v>9.0</v>
      </c>
      <c r="D46" s="37" t="s">
        <v>109</v>
      </c>
      <c r="E46" s="2"/>
      <c r="F46" s="37" t="str">
        <f t="shared" si="9"/>
        <v>Cable (Comcast)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</row>
    <row r="47">
      <c r="A47" s="37" t="s">
        <v>79</v>
      </c>
      <c r="B47" s="37" t="s">
        <v>90</v>
      </c>
      <c r="C47" s="37">
        <v>45.0</v>
      </c>
      <c r="D47" s="37" t="s">
        <v>107</v>
      </c>
      <c r="E47" s="2"/>
      <c r="F47" s="37" t="str">
        <f t="shared" si="9"/>
        <v>Cable (Comcast)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</row>
    <row r="48">
      <c r="A48" s="37" t="s">
        <v>79</v>
      </c>
      <c r="B48" s="37" t="s">
        <v>90</v>
      </c>
      <c r="C48" s="37">
        <v>36.0</v>
      </c>
      <c r="D48" s="37" t="s">
        <v>110</v>
      </c>
      <c r="E48" s="2"/>
      <c r="F48" s="37" t="str">
        <f t="shared" si="9"/>
        <v>Cable (Comcast)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</row>
    <row r="49">
      <c r="A49" s="37" t="s">
        <v>79</v>
      </c>
      <c r="B49" s="37" t="s">
        <v>90</v>
      </c>
      <c r="C49" s="37">
        <v>60.0</v>
      </c>
      <c r="D49" s="37" t="s">
        <v>110</v>
      </c>
      <c r="E49" s="2"/>
      <c r="F49" s="37" t="str">
        <f t="shared" si="9"/>
        <v>Cable (Comcast)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</row>
    <row r="50">
      <c r="A50" s="37" t="s">
        <v>79</v>
      </c>
      <c r="B50" s="37" t="s">
        <v>88</v>
      </c>
      <c r="C50" s="37">
        <v>40.0</v>
      </c>
      <c r="D50" s="37" t="s">
        <v>110</v>
      </c>
      <c r="E50" s="2"/>
      <c r="F50" s="37" t="str">
        <f t="shared" si="9"/>
        <v>at&amp;t 5G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</row>
    <row r="51">
      <c r="A51" s="37" t="s">
        <v>79</v>
      </c>
      <c r="B51" s="37" t="s">
        <v>93</v>
      </c>
      <c r="C51" s="37">
        <v>40.0</v>
      </c>
      <c r="D51" s="37" t="s">
        <v>107</v>
      </c>
      <c r="E51" s="2"/>
      <c r="F51" s="37" t="str">
        <f t="shared" si="9"/>
        <v>Cable (Comcast)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</row>
    <row r="52">
      <c r="A52" s="37" t="s">
        <v>79</v>
      </c>
      <c r="B52" s="37" t="s">
        <v>92</v>
      </c>
      <c r="C52" s="37">
        <v>36.0</v>
      </c>
      <c r="D52" s="37" t="s">
        <v>110</v>
      </c>
      <c r="E52" s="2"/>
      <c r="F52" s="37" t="str">
        <f t="shared" si="9"/>
        <v>Cable (Comcast)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</row>
    <row r="53">
      <c r="A53" s="37" t="s">
        <v>79</v>
      </c>
      <c r="B53" s="37" t="s">
        <v>92</v>
      </c>
      <c r="C53" s="37">
        <v>46.0</v>
      </c>
      <c r="D53" s="37" t="s">
        <v>108</v>
      </c>
      <c r="E53" s="2"/>
      <c r="F53" s="37" t="str">
        <f t="shared" si="9"/>
        <v>Cable (Comcast)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</row>
    <row r="54">
      <c r="A54" s="37" t="s">
        <v>79</v>
      </c>
      <c r="B54" s="37" t="s">
        <v>88</v>
      </c>
      <c r="C54" s="37">
        <v>43.0</v>
      </c>
      <c r="D54" s="37" t="s">
        <v>109</v>
      </c>
      <c r="E54" s="2"/>
      <c r="F54" s="37" t="str">
        <f t="shared" si="9"/>
        <v>at&amp;t 5G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</row>
    <row r="55">
      <c r="A55" s="37" t="s">
        <v>79</v>
      </c>
      <c r="B55" s="37" t="s">
        <v>88</v>
      </c>
      <c r="C55" s="37">
        <v>30.0</v>
      </c>
      <c r="D55" s="37" t="s">
        <v>109</v>
      </c>
      <c r="E55" s="2"/>
      <c r="F55" s="37" t="str">
        <f t="shared" si="9"/>
        <v>at&amp;t 5G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</row>
    <row r="56">
      <c r="A56" s="37" t="s">
        <v>79</v>
      </c>
      <c r="B56" s="37" t="s">
        <v>90</v>
      </c>
      <c r="C56" s="37">
        <v>27.0</v>
      </c>
      <c r="D56" s="37" t="s">
        <v>110</v>
      </c>
      <c r="E56" s="2"/>
      <c r="F56" s="37" t="str">
        <f t="shared" si="9"/>
        <v>Cable (Comcast)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</row>
    <row r="57">
      <c r="A57" s="37" t="s">
        <v>79</v>
      </c>
      <c r="B57" s="37" t="s">
        <v>92</v>
      </c>
      <c r="C57" s="37">
        <v>27.0</v>
      </c>
      <c r="D57" s="37" t="s">
        <v>108</v>
      </c>
      <c r="E57" s="2"/>
      <c r="F57" s="37" t="str">
        <f t="shared" si="9"/>
        <v>Cable (Comcast)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</row>
    <row r="58">
      <c r="A58" s="37" t="s">
        <v>79</v>
      </c>
      <c r="B58" s="37" t="s">
        <v>92</v>
      </c>
      <c r="C58" s="37">
        <v>34.0</v>
      </c>
      <c r="D58" s="37" t="s">
        <v>110</v>
      </c>
      <c r="E58" s="2"/>
      <c r="F58" s="37" t="str">
        <f t="shared" si="9"/>
        <v>Cable (Comcast)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</row>
    <row r="59">
      <c r="A59" s="37" t="s">
        <v>79</v>
      </c>
      <c r="B59" s="37" t="s">
        <v>92</v>
      </c>
      <c r="C59" s="37">
        <v>25.0</v>
      </c>
      <c r="D59" s="37" t="s">
        <v>108</v>
      </c>
      <c r="E59" s="2"/>
      <c r="F59" s="37" t="str">
        <f t="shared" si="9"/>
        <v>Cable (Comcast)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</row>
    <row r="60">
      <c r="A60" s="37" t="s">
        <v>79</v>
      </c>
      <c r="B60" s="37" t="s">
        <v>92</v>
      </c>
      <c r="C60" s="37">
        <v>45.0</v>
      </c>
      <c r="D60" s="37" t="s">
        <v>110</v>
      </c>
      <c r="E60" s="2"/>
      <c r="F60" s="37" t="str">
        <f t="shared" si="9"/>
        <v>Cable (Comcast)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</row>
    <row r="61">
      <c r="A61" s="37" t="s">
        <v>79</v>
      </c>
      <c r="B61" s="37" t="s">
        <v>90</v>
      </c>
      <c r="C61" s="37">
        <v>26.0</v>
      </c>
      <c r="D61" s="37" t="s">
        <v>107</v>
      </c>
      <c r="E61" s="2"/>
      <c r="F61" s="37" t="str">
        <f t="shared" si="9"/>
        <v>Cable (Comcast)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</row>
    <row r="62">
      <c r="A62" s="37" t="s">
        <v>79</v>
      </c>
      <c r="B62" s="37" t="s">
        <v>90</v>
      </c>
      <c r="C62" s="37">
        <v>43.0</v>
      </c>
      <c r="D62" s="37" t="s">
        <v>109</v>
      </c>
      <c r="E62" s="2"/>
      <c r="F62" s="37" t="str">
        <f t="shared" si="9"/>
        <v>Cable (Comcast)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</row>
    <row r="63">
      <c r="A63" s="37" t="s">
        <v>79</v>
      </c>
      <c r="B63" s="37" t="s">
        <v>92</v>
      </c>
      <c r="C63" s="37">
        <v>35.0</v>
      </c>
      <c r="D63" s="37" t="s">
        <v>110</v>
      </c>
      <c r="E63" s="2"/>
      <c r="F63" s="37" t="str">
        <f t="shared" si="9"/>
        <v>Cable (Comcast)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</row>
    <row r="64">
      <c r="A64" s="37" t="s">
        <v>79</v>
      </c>
      <c r="B64" s="37" t="s">
        <v>92</v>
      </c>
      <c r="C64" s="37">
        <v>30.0</v>
      </c>
      <c r="D64" s="37" t="s">
        <v>108</v>
      </c>
      <c r="E64" s="2"/>
      <c r="F64" s="37" t="str">
        <f t="shared" si="9"/>
        <v>Cable (Comcast)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</row>
    <row r="65">
      <c r="A65" s="37" t="s">
        <v>79</v>
      </c>
      <c r="B65" s="37" t="s">
        <v>88</v>
      </c>
      <c r="C65" s="37">
        <v>46.0</v>
      </c>
      <c r="D65" s="37" t="s">
        <v>109</v>
      </c>
      <c r="E65" s="2"/>
      <c r="F65" s="37" t="str">
        <f t="shared" si="9"/>
        <v>at&amp;t 5G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</row>
    <row r="66">
      <c r="A66" s="37" t="s">
        <v>79</v>
      </c>
      <c r="B66" s="37" t="s">
        <v>90</v>
      </c>
      <c r="C66" s="37">
        <v>39.0</v>
      </c>
      <c r="D66" s="37" t="s">
        <v>107</v>
      </c>
      <c r="E66" s="2"/>
      <c r="F66" s="37" t="str">
        <f t="shared" si="9"/>
        <v>Cable (Comcast)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</row>
    <row r="67">
      <c r="A67" s="37" t="s">
        <v>79</v>
      </c>
      <c r="B67" s="37" t="s">
        <v>90</v>
      </c>
      <c r="C67" s="37">
        <v>44.0</v>
      </c>
      <c r="D67" s="37" t="s">
        <v>110</v>
      </c>
      <c r="E67" s="2"/>
      <c r="F67" s="37" t="str">
        <f t="shared" si="9"/>
        <v>Cable (Comcast)</v>
      </c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</row>
    <row r="68">
      <c r="A68" s="37" t="s">
        <v>80</v>
      </c>
      <c r="B68" s="37" t="s">
        <v>88</v>
      </c>
      <c r="C68" s="37">
        <v>17.0</v>
      </c>
      <c r="D68" s="37" t="s">
        <v>109</v>
      </c>
      <c r="E68" s="2"/>
      <c r="F68" s="37" t="str">
        <f t="shared" si="9"/>
        <v>at&amp;t 5G</v>
      </c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</row>
    <row r="69">
      <c r="A69" s="37" t="s">
        <v>80</v>
      </c>
      <c r="B69" s="37" t="s">
        <v>94</v>
      </c>
      <c r="C69" s="37">
        <v>18.0</v>
      </c>
      <c r="D69" s="37" t="s">
        <v>108</v>
      </c>
      <c r="E69" s="2"/>
      <c r="F69" s="37" t="str">
        <f t="shared" si="9"/>
        <v>mbari</v>
      </c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</row>
    <row r="70">
      <c r="A70" s="37" t="s">
        <v>80</v>
      </c>
      <c r="B70" s="37" t="s">
        <v>90</v>
      </c>
      <c r="C70" s="37">
        <v>18.0</v>
      </c>
      <c r="D70" s="37" t="s">
        <v>109</v>
      </c>
      <c r="E70" s="2"/>
      <c r="F70" s="37" t="str">
        <f t="shared" si="9"/>
        <v>Cable (Comcast)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</row>
    <row r="71">
      <c r="A71" s="37" t="s">
        <v>80</v>
      </c>
      <c r="B71" s="37" t="s">
        <v>90</v>
      </c>
      <c r="C71" s="37">
        <v>20.0</v>
      </c>
      <c r="D71" s="37" t="s">
        <v>107</v>
      </c>
      <c r="E71" s="2"/>
      <c r="F71" s="37" t="str">
        <f t="shared" si="9"/>
        <v>Cable (Comcast)</v>
      </c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</row>
    <row r="72">
      <c r="A72" s="37" t="s">
        <v>80</v>
      </c>
      <c r="B72" s="37" t="s">
        <v>90</v>
      </c>
      <c r="C72" s="37">
        <v>60.0</v>
      </c>
      <c r="D72" s="37" t="s">
        <v>110</v>
      </c>
      <c r="E72" s="2"/>
      <c r="F72" s="37" t="str">
        <f t="shared" si="9"/>
        <v>Cable (Comcast)</v>
      </c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</row>
    <row r="73">
      <c r="A73" s="37" t="s">
        <v>80</v>
      </c>
      <c r="B73" s="37" t="s">
        <v>92</v>
      </c>
      <c r="C73" s="37">
        <v>20.0</v>
      </c>
      <c r="D73" s="37" t="s">
        <v>108</v>
      </c>
      <c r="E73" s="2"/>
      <c r="F73" s="37" t="str">
        <f t="shared" si="9"/>
        <v>Cable (Comcast)</v>
      </c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</row>
    <row r="74">
      <c r="A74" s="37" t="s">
        <v>80</v>
      </c>
      <c r="B74" s="37" t="s">
        <v>92</v>
      </c>
      <c r="C74" s="37">
        <v>34.0</v>
      </c>
      <c r="D74" s="37" t="s">
        <v>110</v>
      </c>
      <c r="E74" s="2"/>
      <c r="F74" s="37" t="str">
        <f t="shared" si="9"/>
        <v>Cable (Comcast)</v>
      </c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</row>
    <row r="75">
      <c r="A75" s="37" t="s">
        <v>83</v>
      </c>
      <c r="B75" s="37" t="s">
        <v>92</v>
      </c>
      <c r="C75" s="37">
        <v>25.0</v>
      </c>
      <c r="D75" s="37" t="s">
        <v>108</v>
      </c>
      <c r="E75" s="2"/>
      <c r="F75" s="37" t="str">
        <f t="shared" si="9"/>
        <v>Cable (Comcast)</v>
      </c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</row>
    <row r="76">
      <c r="A76" s="37" t="s">
        <v>83</v>
      </c>
      <c r="B76" s="37" t="s">
        <v>95</v>
      </c>
      <c r="C76" s="37">
        <v>20.0</v>
      </c>
      <c r="D76" s="37" t="s">
        <v>109</v>
      </c>
      <c r="E76" s="2"/>
      <c r="F76" s="37" t="str">
        <f t="shared" si="9"/>
        <v>Cable (Comcast)</v>
      </c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</row>
    <row r="77">
      <c r="A77" s="37" t="s">
        <v>83</v>
      </c>
      <c r="B77" s="37" t="s">
        <v>88</v>
      </c>
      <c r="C77" s="37">
        <v>30.0</v>
      </c>
      <c r="D77" s="37" t="s">
        <v>109</v>
      </c>
      <c r="E77" s="2"/>
      <c r="F77" s="37" t="str">
        <f t="shared" si="9"/>
        <v>at&amp;t 5G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</row>
    <row r="78">
      <c r="A78" s="37" t="s">
        <v>83</v>
      </c>
      <c r="B78" s="37" t="s">
        <v>95</v>
      </c>
      <c r="C78" s="37">
        <v>15.0</v>
      </c>
      <c r="D78" s="37" t="s">
        <v>109</v>
      </c>
      <c r="E78" s="2"/>
      <c r="F78" s="37" t="str">
        <f t="shared" si="9"/>
        <v>Cable (Comcast)</v>
      </c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</row>
    <row r="79">
      <c r="A79" s="37" t="s">
        <v>83</v>
      </c>
      <c r="B79" s="37" t="s">
        <v>95</v>
      </c>
      <c r="C79" s="37">
        <v>20.0</v>
      </c>
      <c r="D79" s="37" t="s">
        <v>109</v>
      </c>
      <c r="E79" s="2"/>
      <c r="F79" s="37" t="str">
        <f t="shared" si="9"/>
        <v>Cable (Comcast)</v>
      </c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</row>
    <row r="80">
      <c r="A80" s="37" t="s">
        <v>83</v>
      </c>
      <c r="B80" s="37" t="s">
        <v>88</v>
      </c>
      <c r="C80" s="37">
        <v>45.0</v>
      </c>
      <c r="D80" s="37" t="s">
        <v>109</v>
      </c>
      <c r="E80" s="2"/>
      <c r="F80" s="37" t="str">
        <f t="shared" si="9"/>
        <v>at&amp;t 5G</v>
      </c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</row>
    <row r="81">
      <c r="A81" s="37" t="s">
        <v>83</v>
      </c>
      <c r="B81" s="37" t="s">
        <v>94</v>
      </c>
      <c r="C81" s="37">
        <v>30.0</v>
      </c>
      <c r="D81" s="37" t="s">
        <v>108</v>
      </c>
      <c r="E81" s="2"/>
      <c r="F81" s="37" t="str">
        <f t="shared" si="9"/>
        <v>mbari</v>
      </c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</row>
    <row r="82">
      <c r="A82" s="37" t="s">
        <v>83</v>
      </c>
      <c r="B82" s="37" t="s">
        <v>92</v>
      </c>
      <c r="C82" s="37">
        <v>20.0</v>
      </c>
      <c r="D82" s="37" t="s">
        <v>108</v>
      </c>
      <c r="E82" s="2"/>
      <c r="F82" s="37" t="str">
        <f t="shared" si="9"/>
        <v>Cable (Comcast)</v>
      </c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</row>
    <row r="83">
      <c r="A83" s="37" t="s">
        <v>83</v>
      </c>
      <c r="B83" s="37" t="s">
        <v>92</v>
      </c>
      <c r="C83" s="37">
        <v>36.0</v>
      </c>
      <c r="D83" s="37" t="s">
        <v>108</v>
      </c>
      <c r="E83" s="2"/>
      <c r="F83" s="37" t="str">
        <f t="shared" si="9"/>
        <v>Cable (Comcast)</v>
      </c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</row>
    <row r="84">
      <c r="A84" s="37" t="s">
        <v>83</v>
      </c>
      <c r="B84" s="37" t="s">
        <v>93</v>
      </c>
      <c r="C84" s="37">
        <v>16.0</v>
      </c>
      <c r="D84" s="37" t="s">
        <v>107</v>
      </c>
      <c r="E84" s="2"/>
      <c r="F84" s="37" t="str">
        <f t="shared" si="9"/>
        <v>Cable (Comcast)</v>
      </c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</row>
    <row r="85">
      <c r="A85" s="37" t="s">
        <v>83</v>
      </c>
      <c r="B85" s="37" t="s">
        <v>95</v>
      </c>
      <c r="C85" s="37">
        <v>32.0</v>
      </c>
      <c r="D85" s="37" t="s">
        <v>107</v>
      </c>
      <c r="E85" s="2"/>
      <c r="F85" s="37" t="str">
        <f t="shared" si="9"/>
        <v>Cable (Comcast)</v>
      </c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</row>
    <row r="86">
      <c r="A86" s="37" t="s">
        <v>83</v>
      </c>
      <c r="B86" s="37" t="s">
        <v>92</v>
      </c>
      <c r="C86" s="37">
        <v>20.0</v>
      </c>
      <c r="D86" s="37" t="s">
        <v>107</v>
      </c>
      <c r="E86" s="2"/>
      <c r="F86" s="37" t="str">
        <f t="shared" si="9"/>
        <v>Cable (Comcast)</v>
      </c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</row>
    <row r="87">
      <c r="A87" s="37" t="s">
        <v>83</v>
      </c>
      <c r="B87" s="37" t="s">
        <v>92</v>
      </c>
      <c r="C87" s="37">
        <v>20.0</v>
      </c>
      <c r="D87" s="37" t="s">
        <v>108</v>
      </c>
      <c r="E87" s="2"/>
      <c r="F87" s="37" t="str">
        <f t="shared" si="9"/>
        <v>Cable (Comcast)</v>
      </c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</row>
    <row r="88">
      <c r="A88" s="37" t="s">
        <v>83</v>
      </c>
      <c r="B88" s="37" t="s">
        <v>92</v>
      </c>
      <c r="C88" s="37">
        <v>35.0</v>
      </c>
      <c r="D88" s="37" t="s">
        <v>107</v>
      </c>
      <c r="E88" s="2"/>
      <c r="F88" s="37" t="str">
        <f t="shared" si="9"/>
        <v>Cable (Comcast)</v>
      </c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</row>
    <row r="89">
      <c r="A89" s="37" t="s">
        <v>83</v>
      </c>
      <c r="B89" s="37" t="s">
        <v>95</v>
      </c>
      <c r="C89" s="37">
        <v>18.0</v>
      </c>
      <c r="D89" s="37" t="s">
        <v>107</v>
      </c>
      <c r="E89" s="2"/>
      <c r="F89" s="37" t="str">
        <f t="shared" si="9"/>
        <v>Cable (Comcast)</v>
      </c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</row>
    <row r="90">
      <c r="A90" s="37" t="s">
        <v>83</v>
      </c>
      <c r="B90" s="37" t="s">
        <v>88</v>
      </c>
      <c r="C90" s="37">
        <v>27.0</v>
      </c>
      <c r="D90" s="37" t="s">
        <v>109</v>
      </c>
      <c r="E90" s="2"/>
      <c r="F90" s="37" t="str">
        <f t="shared" si="9"/>
        <v>at&amp;t 5G</v>
      </c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</row>
    <row r="91">
      <c r="A91" s="37" t="s">
        <v>83</v>
      </c>
      <c r="B91" s="37" t="s">
        <v>93</v>
      </c>
      <c r="C91" s="37">
        <v>21.0</v>
      </c>
      <c r="D91" s="37" t="s">
        <v>107</v>
      </c>
      <c r="E91" s="2"/>
      <c r="F91" s="37" t="str">
        <f t="shared" si="9"/>
        <v>Cable (Comcast)</v>
      </c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</row>
    <row r="92">
      <c r="A92" s="37" t="s">
        <v>83</v>
      </c>
      <c r="B92" s="37" t="s">
        <v>95</v>
      </c>
      <c r="C92" s="37">
        <v>32.0</v>
      </c>
      <c r="D92" s="37" t="s">
        <v>109</v>
      </c>
      <c r="E92" s="2"/>
      <c r="F92" s="37" t="str">
        <f t="shared" si="9"/>
        <v>Cable (Comcast)</v>
      </c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</row>
    <row r="93">
      <c r="A93" s="37" t="s">
        <v>84</v>
      </c>
      <c r="B93" s="37" t="s">
        <v>88</v>
      </c>
      <c r="C93" s="37">
        <v>2.0</v>
      </c>
      <c r="D93" s="37" t="s">
        <v>96</v>
      </c>
      <c r="E93" s="2"/>
      <c r="F93" s="37" t="str">
        <f t="shared" si="9"/>
        <v>at&amp;t 5G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</row>
    <row r="94">
      <c r="A94" s="37" t="s">
        <v>84</v>
      </c>
      <c r="B94" s="37" t="s">
        <v>88</v>
      </c>
      <c r="C94" s="37">
        <v>3.0</v>
      </c>
      <c r="D94" s="37" t="s">
        <v>96</v>
      </c>
      <c r="E94" s="2"/>
      <c r="F94" s="37" t="str">
        <f t="shared" si="9"/>
        <v>at&amp;t 5G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</row>
    <row r="95">
      <c r="A95" s="37" t="s">
        <v>84</v>
      </c>
      <c r="B95" s="37" t="s">
        <v>92</v>
      </c>
      <c r="C95" s="37">
        <v>1.0</v>
      </c>
      <c r="D95" s="37" t="s">
        <v>96</v>
      </c>
      <c r="E95" s="2"/>
      <c r="F95" s="37" t="str">
        <f t="shared" si="9"/>
        <v>Cable (Comcast)</v>
      </c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</row>
    <row r="96">
      <c r="A96" s="37" t="s">
        <v>84</v>
      </c>
      <c r="B96" s="37" t="s">
        <v>94</v>
      </c>
      <c r="C96" s="37">
        <v>1.0</v>
      </c>
      <c r="D96" s="37" t="s">
        <v>96</v>
      </c>
      <c r="E96" s="2"/>
      <c r="F96" s="37" t="str">
        <f t="shared" si="9"/>
        <v>mbari</v>
      </c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</row>
    <row r="97">
      <c r="A97" s="37" t="s">
        <v>84</v>
      </c>
      <c r="B97" s="37" t="s">
        <v>93</v>
      </c>
      <c r="C97" s="37">
        <v>2.0</v>
      </c>
      <c r="D97" s="37" t="s">
        <v>96</v>
      </c>
      <c r="E97" s="2"/>
      <c r="F97" s="37" t="str">
        <f t="shared" si="9"/>
        <v>Cable (Comcast)</v>
      </c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</row>
    <row r="98">
      <c r="A98" s="37" t="s">
        <v>84</v>
      </c>
      <c r="B98" s="37" t="s">
        <v>93</v>
      </c>
      <c r="C98" s="37">
        <v>1.0</v>
      </c>
      <c r="D98" s="37" t="s">
        <v>96</v>
      </c>
      <c r="E98" s="2"/>
      <c r="F98" s="37" t="str">
        <f t="shared" si="9"/>
        <v>Cable (Comcast)</v>
      </c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</row>
    <row r="99">
      <c r="A99" s="37" t="s">
        <v>84</v>
      </c>
      <c r="B99" s="37" t="s">
        <v>92</v>
      </c>
      <c r="C99" s="37">
        <v>2.0</v>
      </c>
      <c r="D99" s="37" t="s">
        <v>111</v>
      </c>
      <c r="E99" s="2"/>
      <c r="F99" s="37" t="str">
        <f t="shared" si="9"/>
        <v>Cable (Comcast)</v>
      </c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</row>
    <row r="100">
      <c r="A100" s="37" t="s">
        <v>84</v>
      </c>
      <c r="B100" s="37" t="s">
        <v>93</v>
      </c>
      <c r="C100" s="37">
        <v>1.0</v>
      </c>
      <c r="D100" s="37" t="s">
        <v>111</v>
      </c>
      <c r="E100" s="2"/>
      <c r="F100" s="37" t="str">
        <f t="shared" si="9"/>
        <v>Cable (Comcast)</v>
      </c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</row>
    <row r="101">
      <c r="A101" s="37" t="s">
        <v>84</v>
      </c>
      <c r="B101" s="37" t="s">
        <v>88</v>
      </c>
      <c r="C101" s="37">
        <v>1.0</v>
      </c>
      <c r="D101" s="37" t="s">
        <v>111</v>
      </c>
      <c r="E101" s="2"/>
      <c r="F101" s="37" t="str">
        <f t="shared" si="9"/>
        <v>at&amp;t 5G</v>
      </c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</row>
    <row r="102">
      <c r="A102" s="37" t="s">
        <v>84</v>
      </c>
      <c r="B102" s="37" t="s">
        <v>92</v>
      </c>
      <c r="C102" s="37">
        <v>2.0</v>
      </c>
      <c r="D102" s="37" t="s">
        <v>111</v>
      </c>
      <c r="E102" s="2"/>
      <c r="F102" s="37" t="str">
        <f t="shared" si="9"/>
        <v>Cable (Comcast)</v>
      </c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</row>
    <row r="103">
      <c r="A103" s="37" t="s">
        <v>84</v>
      </c>
      <c r="B103" s="37" t="s">
        <v>93</v>
      </c>
      <c r="C103" s="37">
        <v>1.0</v>
      </c>
      <c r="D103" s="37" t="s">
        <v>111</v>
      </c>
      <c r="E103" s="2"/>
      <c r="F103" s="37" t="str">
        <f t="shared" si="9"/>
        <v>Cable (Comcast)</v>
      </c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</row>
    <row r="105">
      <c r="A105" s="2"/>
      <c r="B105" s="3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</row>
    <row r="106">
      <c r="A106" s="2"/>
      <c r="B106" s="3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</row>
  </sheetData>
  <drawing r:id="rId1"/>
  <tableParts count="2"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4.0"/>
    <col customWidth="1" min="3" max="3" width="39.86"/>
  </cols>
  <sheetData>
    <row r="1">
      <c r="A1" s="1" t="s">
        <v>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13" t="s">
        <v>113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51" t="s">
        <v>114</v>
      </c>
      <c r="C6" s="51" t="s">
        <v>115</v>
      </c>
      <c r="D6" s="51" t="s">
        <v>116</v>
      </c>
      <c r="E6" s="51"/>
      <c r="F6" s="51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39" t="s">
        <v>117</v>
      </c>
      <c r="C7" s="59" t="s">
        <v>118</v>
      </c>
      <c r="D7" s="60">
        <v>1000.0</v>
      </c>
      <c r="E7" s="39"/>
      <c r="F7" s="4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39" t="s">
        <v>119</v>
      </c>
      <c r="C8" s="39"/>
      <c r="D8" s="60">
        <v>500.0</v>
      </c>
      <c r="E8" s="39"/>
      <c r="F8" s="4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39" t="s">
        <v>120</v>
      </c>
      <c r="C9" s="59" t="s">
        <v>121</v>
      </c>
      <c r="D9" s="60">
        <v>1000.0</v>
      </c>
      <c r="E9" s="39"/>
      <c r="F9" s="4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39" t="s">
        <v>122</v>
      </c>
      <c r="C10" s="61"/>
      <c r="D10" s="60">
        <v>500.0</v>
      </c>
      <c r="E10" s="39"/>
      <c r="F10" s="4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39" t="s">
        <v>123</v>
      </c>
      <c r="C11" s="59" t="s">
        <v>124</v>
      </c>
      <c r="D11" s="60">
        <v>3300.0</v>
      </c>
      <c r="E11" s="39"/>
      <c r="F11" s="4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39" t="s">
        <v>125</v>
      </c>
      <c r="C12" s="59" t="s">
        <v>126</v>
      </c>
      <c r="D12" s="60">
        <v>0.0</v>
      </c>
      <c r="E12" s="39"/>
      <c r="F12" s="4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39" t="s">
        <v>127</v>
      </c>
      <c r="C13" s="62" t="s">
        <v>128</v>
      </c>
      <c r="D13" s="60">
        <v>700.0</v>
      </c>
      <c r="E13" s="51"/>
      <c r="F13" s="4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39" t="s">
        <v>129</v>
      </c>
      <c r="C14" s="59" t="s">
        <v>130</v>
      </c>
      <c r="D14" s="60">
        <f>200*12</f>
        <v>2400</v>
      </c>
      <c r="E14" s="51"/>
      <c r="F14" s="4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39" t="s">
        <v>131</v>
      </c>
      <c r="C15" s="63" t="str">
        <f t="shared" ref="C15:C16" si="1">HYPERLINK("https://isotropic.network","Isotropic")</f>
        <v>Isotropic</v>
      </c>
      <c r="D15" s="60">
        <f>1100*12</f>
        <v>13200</v>
      </c>
      <c r="E15" s="51"/>
      <c r="F15" s="4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39" t="s">
        <v>132</v>
      </c>
      <c r="C16" s="63" t="str">
        <f t="shared" si="1"/>
        <v>Isotropic</v>
      </c>
      <c r="D16" s="60">
        <f>800*7</f>
        <v>5600</v>
      </c>
      <c r="E16" s="51"/>
      <c r="F16" s="4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64"/>
      <c r="C17" s="65" t="s">
        <v>133</v>
      </c>
      <c r="D17" s="60">
        <f>SUM(D7:D16)</f>
        <v>28200</v>
      </c>
      <c r="E17" s="51"/>
      <c r="F17" s="4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3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13" t="s">
        <v>134</v>
      </c>
      <c r="B19" s="2"/>
      <c r="C19" s="2"/>
      <c r="D19" s="2"/>
      <c r="E19" s="2"/>
      <c r="F19" s="3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5"/>
      <c r="B20" s="2"/>
      <c r="C20" s="2"/>
      <c r="D20" s="2"/>
      <c r="E20" s="2"/>
      <c r="F20" s="3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34"/>
      <c r="B21" s="51" t="s">
        <v>114</v>
      </c>
      <c r="C21" s="51" t="s">
        <v>115</v>
      </c>
      <c r="D21" s="51" t="s">
        <v>116</v>
      </c>
      <c r="E21" s="51" t="s">
        <v>135</v>
      </c>
      <c r="F21" s="66" t="s">
        <v>136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39" t="s">
        <v>129</v>
      </c>
      <c r="C22" s="59" t="s">
        <v>137</v>
      </c>
      <c r="D22" s="60">
        <v>500.0</v>
      </c>
      <c r="E22" s="39">
        <v>12.0</v>
      </c>
      <c r="F22" s="42" t="str">
        <f>IF(#REF! = "X", E22*D22, 0)</f>
        <v>#REF!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3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39"/>
      <c r="C24" s="3"/>
      <c r="D24" s="42"/>
      <c r="E24" s="51" t="s">
        <v>138</v>
      </c>
      <c r="F24" s="42" t="str">
        <f>SUM(F22:F29)</f>
        <v>#REF!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13" t="s">
        <v>139</v>
      </c>
      <c r="B25" s="37"/>
      <c r="C25" s="2"/>
      <c r="D25" s="38"/>
      <c r="E25" s="2"/>
      <c r="F25" s="3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37"/>
      <c r="C26" s="2"/>
      <c r="D26" s="38"/>
      <c r="E26" s="2"/>
      <c r="F26" s="3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34"/>
      <c r="B27" s="51" t="s">
        <v>114</v>
      </c>
      <c r="C27" s="51" t="s">
        <v>115</v>
      </c>
      <c r="D27" s="51" t="s">
        <v>116</v>
      </c>
      <c r="E27" s="51" t="s">
        <v>135</v>
      </c>
      <c r="F27" s="66" t="s">
        <v>136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39"/>
      <c r="C28" s="39"/>
      <c r="D28" s="60"/>
      <c r="E28" s="39"/>
      <c r="F28" s="4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39" t="s">
        <v>140</v>
      </c>
      <c r="C29" s="63" t="str">
        <f>HYPERLINK("https://isotropic.network","Isotropic")</f>
        <v>Isotropic</v>
      </c>
      <c r="D29" s="60">
        <v>12000.0</v>
      </c>
      <c r="E29" s="39">
        <v>12.0</v>
      </c>
      <c r="F29" s="42" t="str">
        <f t="shared" ref="F29:F30" si="2">IF(#REF! = "X", E29*D29, 0)</f>
        <v>#REF!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39" t="s">
        <v>141</v>
      </c>
      <c r="C30" s="63" t="str">
        <f>HYPERLINK("https://kpp-public.s3.amazonaws.com/TracPhone%20V7HTS%20Leisure%20Airtime%20Rate%20Sheet%20Standard","KVH TracPhone V7")</f>
        <v>KVH TracPhone V7</v>
      </c>
      <c r="D30" s="60">
        <v>8000.0</v>
      </c>
      <c r="E30" s="39">
        <v>12.0</v>
      </c>
      <c r="F30" s="42" t="str">
        <f t="shared" si="2"/>
        <v>#REF!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13" t="s">
        <v>142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37" t="s">
        <v>143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51" t="s">
        <v>144</v>
      </c>
      <c r="D34" s="51" t="s">
        <v>145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39" t="s">
        <v>146</v>
      </c>
      <c r="D35" s="42">
        <f>sum(D8,D9,D10)</f>
        <v>2000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39" t="s">
        <v>147</v>
      </c>
      <c r="D36" s="67">
        <f>2*1098</f>
        <v>2196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39" t="s">
        <v>148</v>
      </c>
      <c r="D37" s="60">
        <v>0.0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39" t="s">
        <v>149</v>
      </c>
      <c r="D38" s="60">
        <v>200.0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65" t="s">
        <v>133</v>
      </c>
      <c r="D39" s="42">
        <f>SUM(D35:D38)</f>
        <v>4396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37" t="s">
        <v>150</v>
      </c>
      <c r="C42" s="68" t="s">
        <v>151</v>
      </c>
      <c r="D42" s="68" t="s">
        <v>152</v>
      </c>
      <c r="E42" s="37" t="s">
        <v>153</v>
      </c>
      <c r="F42" s="37" t="s">
        <v>136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68" t="s">
        <v>154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37" t="s">
        <v>155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37" t="s">
        <v>156</v>
      </c>
      <c r="D48" s="37" t="s">
        <v>157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37" t="s">
        <v>158</v>
      </c>
      <c r="D49" s="37">
        <v>40.0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37" t="s">
        <v>159</v>
      </c>
      <c r="D50" s="37">
        <v>40.0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37" t="s">
        <v>160</v>
      </c>
      <c r="D51" s="37">
        <v>40.0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37" t="s">
        <v>161</v>
      </c>
      <c r="D52" s="37">
        <v>40.0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37" t="s">
        <v>162</v>
      </c>
      <c r="D53" s="37">
        <v>40.0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  <row r="1004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</row>
    <row r="100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</row>
    <row r="1006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</row>
    <row r="1007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</row>
    <row r="100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</row>
    <row r="1009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</row>
    <row r="1010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</row>
    <row r="101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</row>
  </sheetData>
  <hyperlinks>
    <hyperlink r:id="rId1" ref="C7"/>
    <hyperlink r:id="rId2" ref="C9"/>
    <hyperlink r:id="rId3" ref="C11"/>
    <hyperlink r:id="rId4" ref="C12"/>
    <hyperlink r:id="rId5" ref="C13"/>
  </hyperlinks>
  <drawing r:id="rId6"/>
  <tableParts count="4">
    <tablePart r:id="rId11"/>
    <tablePart r:id="rId12"/>
    <tablePart r:id="rId13"/>
    <tablePart r:id="rId1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4.0"/>
    <col customWidth="1" min="3" max="3" width="33.57"/>
  </cols>
  <sheetData>
    <row r="1">
      <c r="A1" s="1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13" t="s">
        <v>113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51" t="s">
        <v>114</v>
      </c>
      <c r="C6" s="51" t="s">
        <v>144</v>
      </c>
      <c r="D6" s="65" t="s">
        <v>145</v>
      </c>
      <c r="E6" s="13" t="s">
        <v>164</v>
      </c>
      <c r="F6" s="37" t="s">
        <v>165</v>
      </c>
      <c r="G6" s="39" t="s">
        <v>166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39" t="s">
        <v>117</v>
      </c>
      <c r="C7" s="59" t="s">
        <v>167</v>
      </c>
      <c r="D7" s="60">
        <v>545.0</v>
      </c>
      <c r="E7" s="37" t="b">
        <v>1</v>
      </c>
      <c r="F7" s="32">
        <f t="shared" ref="F7:F18" si="1">IF(E7,D7*0.0775,0)</f>
        <v>42.2375</v>
      </c>
      <c r="G7" s="39" t="b">
        <v>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39" t="s">
        <v>168</v>
      </c>
      <c r="C8" s="59" t="s">
        <v>169</v>
      </c>
      <c r="D8" s="60">
        <f>59*2</f>
        <v>118</v>
      </c>
      <c r="E8" s="37" t="b">
        <v>1</v>
      </c>
      <c r="F8" s="32">
        <f t="shared" si="1"/>
        <v>9.145</v>
      </c>
      <c r="G8" s="39" t="b">
        <v>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39" t="s">
        <v>170</v>
      </c>
      <c r="C9" s="39"/>
      <c r="D9" s="60">
        <v>250.0</v>
      </c>
      <c r="E9" s="37" t="b">
        <v>1</v>
      </c>
      <c r="F9" s="32">
        <f t="shared" si="1"/>
        <v>19.375</v>
      </c>
      <c r="G9" s="39" t="b">
        <v>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39" t="s">
        <v>171</v>
      </c>
      <c r="C10" s="59" t="s">
        <v>121</v>
      </c>
      <c r="D10" s="60">
        <v>399.0</v>
      </c>
      <c r="E10" s="37" t="b">
        <v>1</v>
      </c>
      <c r="F10" s="32">
        <f t="shared" si="1"/>
        <v>30.9225</v>
      </c>
      <c r="G10" s="39" t="b">
        <v>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39" t="s">
        <v>172</v>
      </c>
      <c r="C11" s="59" t="s">
        <v>173</v>
      </c>
      <c r="D11" s="60">
        <v>149.0</v>
      </c>
      <c r="E11" s="37" t="b">
        <v>1</v>
      </c>
      <c r="F11" s="32">
        <f t="shared" si="1"/>
        <v>11.5475</v>
      </c>
      <c r="G11" s="39" t="b">
        <v>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39" t="s">
        <v>174</v>
      </c>
      <c r="C12" s="61"/>
      <c r="D12" s="60">
        <v>250.0</v>
      </c>
      <c r="E12" s="37" t="b">
        <v>1</v>
      </c>
      <c r="F12" s="32">
        <f t="shared" si="1"/>
        <v>19.375</v>
      </c>
      <c r="G12" s="39" t="b">
        <v>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39" t="s">
        <v>175</v>
      </c>
      <c r="C13" s="59"/>
      <c r="D13" s="60">
        <v>500.0</v>
      </c>
      <c r="E13" s="37" t="b">
        <v>1</v>
      </c>
      <c r="F13" s="32">
        <f t="shared" si="1"/>
        <v>38.75</v>
      </c>
      <c r="G13" s="39" t="b">
        <v>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39" t="s">
        <v>176</v>
      </c>
      <c r="C14" s="59" t="s">
        <v>177</v>
      </c>
      <c r="D14" s="60">
        <v>149.95</v>
      </c>
      <c r="E14" s="37" t="b">
        <v>1</v>
      </c>
      <c r="F14" s="32">
        <f t="shared" si="1"/>
        <v>11.621125</v>
      </c>
      <c r="G14" s="39" t="b">
        <v>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39" t="s">
        <v>123</v>
      </c>
      <c r="C15" s="59" t="s">
        <v>178</v>
      </c>
      <c r="D15" s="60">
        <v>2530.29</v>
      </c>
      <c r="E15" s="37" t="b">
        <v>1</v>
      </c>
      <c r="F15" s="32">
        <f t="shared" si="1"/>
        <v>196.097475</v>
      </c>
      <c r="G15" s="39" t="b">
        <v>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39" t="s">
        <v>127</v>
      </c>
      <c r="C16" s="62" t="s">
        <v>128</v>
      </c>
      <c r="D16" s="60">
        <v>700.0</v>
      </c>
      <c r="E16" s="37" t="b">
        <v>0</v>
      </c>
      <c r="F16" s="32">
        <f t="shared" si="1"/>
        <v>0</v>
      </c>
      <c r="G16" s="39" t="b">
        <v>1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39" t="s">
        <v>179</v>
      </c>
      <c r="C17" s="59" t="s">
        <v>130</v>
      </c>
      <c r="D17" s="60">
        <f>200*5</f>
        <v>1000</v>
      </c>
      <c r="E17" s="37" t="b">
        <v>0</v>
      </c>
      <c r="F17" s="32">
        <f t="shared" si="1"/>
        <v>0</v>
      </c>
      <c r="G17" s="39" t="b">
        <v>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39" t="s">
        <v>180</v>
      </c>
      <c r="C18" s="59" t="s">
        <v>181</v>
      </c>
      <c r="D18" s="69">
        <f>14.99*5</f>
        <v>74.95</v>
      </c>
      <c r="E18" s="37" t="b">
        <v>0</v>
      </c>
      <c r="F18" s="32">
        <f t="shared" si="1"/>
        <v>0</v>
      </c>
      <c r="G18" s="39" t="b"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70"/>
      <c r="C19" s="2"/>
      <c r="D19" s="2"/>
      <c r="E19" s="17"/>
      <c r="F19" s="3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65" t="s">
        <v>182</v>
      </c>
      <c r="D20" s="60">
        <f>SUM(D7:D18)</f>
        <v>6666.19</v>
      </c>
      <c r="E20" s="2"/>
      <c r="F20" s="3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35" t="s">
        <v>183</v>
      </c>
      <c r="D21" s="32">
        <f>SUM(F7:F18)</f>
        <v>379.0711</v>
      </c>
      <c r="E21" s="2"/>
      <c r="F21" s="3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35" t="s">
        <v>184</v>
      </c>
      <c r="D22" s="32">
        <f>2*SUMIF(G7:G18, FALSE,D7:D18)+2*D21+SUMIF(G7:G18, TRUE,D7:D18)</f>
        <v>12390.5222</v>
      </c>
      <c r="E22" s="2"/>
      <c r="F22" s="3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3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B24" s="68" t="s">
        <v>185</v>
      </c>
      <c r="D24" s="71"/>
      <c r="E24" s="15"/>
      <c r="F24" s="71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13" t="s">
        <v>155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37" t="s">
        <v>156</v>
      </c>
      <c r="D28" s="37" t="s">
        <v>157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37" t="s">
        <v>158</v>
      </c>
      <c r="D29" s="37">
        <v>40.0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37" t="s">
        <v>159</v>
      </c>
      <c r="D30" s="37">
        <v>40.0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37" t="s">
        <v>186</v>
      </c>
      <c r="D31" s="3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37" t="s">
        <v>160</v>
      </c>
      <c r="D32" s="37">
        <v>40.0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37" t="s">
        <v>187</v>
      </c>
      <c r="D33" s="37">
        <v>40.0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37" t="s">
        <v>162</v>
      </c>
      <c r="D34" s="37">
        <v>40.0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</sheetData>
  <hyperlinks>
    <hyperlink r:id="rId1" ref="C7"/>
    <hyperlink r:id="rId2" ref="C8"/>
    <hyperlink r:id="rId3" ref="C10"/>
    <hyperlink r:id="rId4" ref="C11"/>
    <hyperlink r:id="rId5" ref="C14"/>
    <hyperlink r:id="rId6" ref="C15"/>
    <hyperlink r:id="rId7" ref="C16"/>
  </hyperlinks>
  <drawing r:id="rId8"/>
  <tableParts count="1"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75"/>
  <cols>
    <col customWidth="1" min="2" max="2" width="19.71"/>
    <col customWidth="1" min="3" max="3" width="34.0"/>
    <col customWidth="1" min="4" max="4" width="34.14"/>
    <col customWidth="1" min="5" max="5" width="9.57"/>
    <col customWidth="1" min="6" max="6" width="6.71"/>
    <col customWidth="1" min="7" max="8" width="8.86"/>
    <col customWidth="1" min="9" max="10" width="9.14"/>
  </cols>
  <sheetData>
    <row r="1">
      <c r="A1" s="1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>
      <c r="A4" s="13" t="s">
        <v>113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>
      <c r="B6" s="13" t="s">
        <v>188</v>
      </c>
      <c r="C6" s="51" t="s">
        <v>114</v>
      </c>
      <c r="D6" s="51" t="s">
        <v>144</v>
      </c>
      <c r="E6" s="65" t="s">
        <v>189</v>
      </c>
      <c r="F6" s="35" t="s">
        <v>190</v>
      </c>
      <c r="G6" s="13" t="s">
        <v>136</v>
      </c>
      <c r="H6" s="13" t="s">
        <v>164</v>
      </c>
      <c r="I6" s="37" t="s">
        <v>191</v>
      </c>
      <c r="J6" s="37" t="s">
        <v>165</v>
      </c>
      <c r="K6" s="39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>
      <c r="A7" s="2"/>
      <c r="B7" s="39" t="s">
        <v>192</v>
      </c>
      <c r="C7" s="39" t="s">
        <v>117</v>
      </c>
      <c r="D7" s="59" t="s">
        <v>167</v>
      </c>
      <c r="E7" s="60">
        <v>545.0</v>
      </c>
      <c r="F7" s="37">
        <v>2.0</v>
      </c>
      <c r="G7" s="38">
        <f t="shared" ref="G7:G22" si="1">F7*E7</f>
        <v>1090</v>
      </c>
      <c r="H7" s="37" t="b">
        <v>1</v>
      </c>
      <c r="I7" s="38" t="b">
        <v>1</v>
      </c>
      <c r="J7" s="32">
        <f t="shared" ref="J7:J22" si="2">IF(H7,E7*0.0775,0)</f>
        <v>42.2375</v>
      </c>
      <c r="K7" s="39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>
      <c r="A8" s="2"/>
      <c r="B8" s="39"/>
      <c r="C8" s="39"/>
      <c r="D8" s="59" t="s">
        <v>193</v>
      </c>
      <c r="E8" s="60">
        <v>295.0</v>
      </c>
      <c r="F8" s="37">
        <v>2.0</v>
      </c>
      <c r="G8" s="38">
        <f t="shared" si="1"/>
        <v>590</v>
      </c>
      <c r="H8" s="37" t="b">
        <v>1</v>
      </c>
      <c r="I8" s="38" t="b">
        <v>1</v>
      </c>
      <c r="J8" s="32">
        <f t="shared" si="2"/>
        <v>22.8625</v>
      </c>
      <c r="K8" s="39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>
      <c r="A9" s="2"/>
      <c r="B9" s="39"/>
      <c r="C9" s="39" t="s">
        <v>194</v>
      </c>
      <c r="D9" s="59" t="s">
        <v>169</v>
      </c>
      <c r="E9" s="60">
        <v>59.0</v>
      </c>
      <c r="F9" s="37">
        <v>2.0</v>
      </c>
      <c r="G9" s="38">
        <f t="shared" si="1"/>
        <v>118</v>
      </c>
      <c r="H9" s="37" t="b">
        <v>1</v>
      </c>
      <c r="I9" s="38" t="b">
        <v>1</v>
      </c>
      <c r="J9" s="32">
        <f t="shared" si="2"/>
        <v>4.5725</v>
      </c>
      <c r="K9" s="39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>
      <c r="A10" s="2"/>
      <c r="B10" s="39"/>
      <c r="C10" s="39" t="s">
        <v>170</v>
      </c>
      <c r="D10" s="39"/>
      <c r="E10" s="60">
        <v>250.0</v>
      </c>
      <c r="F10" s="37">
        <v>2.0</v>
      </c>
      <c r="G10" s="38">
        <f t="shared" si="1"/>
        <v>500</v>
      </c>
      <c r="H10" s="37" t="b">
        <v>1</v>
      </c>
      <c r="I10" s="38" t="b">
        <v>1</v>
      </c>
      <c r="J10" s="32">
        <f t="shared" si="2"/>
        <v>19.375</v>
      </c>
      <c r="K10" s="39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>
      <c r="A11" s="2"/>
      <c r="B11" s="39"/>
      <c r="C11" s="39" t="s">
        <v>171</v>
      </c>
      <c r="D11" s="59" t="s">
        <v>121</v>
      </c>
      <c r="E11" s="60">
        <v>399.0</v>
      </c>
      <c r="F11" s="37">
        <v>2.0</v>
      </c>
      <c r="G11" s="60">
        <f t="shared" si="1"/>
        <v>798</v>
      </c>
      <c r="H11" s="37" t="b">
        <v>1</v>
      </c>
      <c r="I11" s="38" t="b">
        <v>1</v>
      </c>
      <c r="J11" s="32">
        <f t="shared" si="2"/>
        <v>30.9225</v>
      </c>
      <c r="K11" s="39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>
      <c r="A12" s="2"/>
      <c r="B12" s="39"/>
      <c r="C12" s="39" t="s">
        <v>172</v>
      </c>
      <c r="D12" s="59" t="s">
        <v>173</v>
      </c>
      <c r="E12" s="60">
        <v>149.0</v>
      </c>
      <c r="F12" s="37">
        <v>2.0</v>
      </c>
      <c r="G12" s="60">
        <f t="shared" si="1"/>
        <v>298</v>
      </c>
      <c r="H12" s="37" t="b">
        <v>1</v>
      </c>
      <c r="I12" s="38" t="b">
        <v>1</v>
      </c>
      <c r="J12" s="32">
        <f t="shared" si="2"/>
        <v>11.5475</v>
      </c>
      <c r="K12" s="39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>
      <c r="A13" s="2"/>
      <c r="B13" s="39"/>
      <c r="C13" s="39" t="s">
        <v>174</v>
      </c>
      <c r="D13" s="61"/>
      <c r="E13" s="60">
        <v>250.0</v>
      </c>
      <c r="F13" s="37">
        <v>2.0</v>
      </c>
      <c r="G13" s="60">
        <f t="shared" si="1"/>
        <v>500</v>
      </c>
      <c r="H13" s="37" t="b">
        <v>1</v>
      </c>
      <c r="I13" s="38" t="b">
        <v>1</v>
      </c>
      <c r="J13" s="32">
        <f t="shared" si="2"/>
        <v>19.375</v>
      </c>
      <c r="K13" s="39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>
      <c r="A14" s="2"/>
      <c r="B14" s="39"/>
      <c r="C14" s="39" t="s">
        <v>175</v>
      </c>
      <c r="D14" s="59"/>
      <c r="E14" s="60">
        <v>500.0</v>
      </c>
      <c r="F14" s="37">
        <v>2.0</v>
      </c>
      <c r="G14" s="60">
        <f t="shared" si="1"/>
        <v>1000</v>
      </c>
      <c r="H14" s="37" t="b">
        <v>1</v>
      </c>
      <c r="I14" s="38" t="b">
        <v>1</v>
      </c>
      <c r="J14" s="32">
        <f t="shared" si="2"/>
        <v>38.75</v>
      </c>
      <c r="K14" s="39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>
      <c r="A15" s="2"/>
      <c r="B15" s="39" t="s">
        <v>195</v>
      </c>
      <c r="C15" s="39" t="s">
        <v>196</v>
      </c>
      <c r="D15" s="59"/>
      <c r="E15" s="60">
        <v>500.0</v>
      </c>
      <c r="F15" s="37">
        <v>1.0</v>
      </c>
      <c r="G15" s="60">
        <f t="shared" si="1"/>
        <v>500</v>
      </c>
      <c r="H15" s="37" t="b">
        <v>0</v>
      </c>
      <c r="I15" s="38" t="b">
        <v>0</v>
      </c>
      <c r="J15" s="32">
        <f t="shared" si="2"/>
        <v>0</v>
      </c>
      <c r="K15" s="39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>
      <c r="A16" s="2"/>
      <c r="B16" s="39"/>
      <c r="C16" s="39" t="s">
        <v>176</v>
      </c>
      <c r="D16" s="59" t="s">
        <v>177</v>
      </c>
      <c r="E16" s="60">
        <v>149.95</v>
      </c>
      <c r="F16" s="37">
        <v>2.0</v>
      </c>
      <c r="G16" s="60">
        <f t="shared" si="1"/>
        <v>299.9</v>
      </c>
      <c r="H16" s="37" t="b">
        <v>1</v>
      </c>
      <c r="I16" s="38" t="b">
        <v>1</v>
      </c>
      <c r="J16" s="32">
        <f t="shared" si="2"/>
        <v>11.621125</v>
      </c>
      <c r="K16" s="39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>
      <c r="A17" s="2"/>
      <c r="B17" s="39"/>
      <c r="C17" s="39" t="s">
        <v>123</v>
      </c>
      <c r="D17" s="59" t="s">
        <v>178</v>
      </c>
      <c r="E17" s="60">
        <v>3000.0</v>
      </c>
      <c r="F17" s="37">
        <v>2.0</v>
      </c>
      <c r="G17" s="60">
        <f t="shared" si="1"/>
        <v>6000</v>
      </c>
      <c r="H17" s="37" t="b">
        <v>1</v>
      </c>
      <c r="I17" s="38" t="b">
        <v>1</v>
      </c>
      <c r="J17" s="32">
        <f t="shared" si="2"/>
        <v>232.5</v>
      </c>
      <c r="K17" s="39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>
      <c r="A18" s="2"/>
      <c r="B18" s="39" t="s">
        <v>197</v>
      </c>
      <c r="C18" s="39" t="s">
        <v>198</v>
      </c>
      <c r="D18" s="59" t="s">
        <v>199</v>
      </c>
      <c r="E18" s="60">
        <v>525.0</v>
      </c>
      <c r="F18" s="39">
        <v>1.0</v>
      </c>
      <c r="G18" s="60">
        <f t="shared" si="1"/>
        <v>525</v>
      </c>
      <c r="H18" s="39" t="b">
        <v>0</v>
      </c>
      <c r="I18" s="38" t="b">
        <v>0</v>
      </c>
      <c r="J18" s="32">
        <f t="shared" si="2"/>
        <v>0</v>
      </c>
      <c r="K18" s="64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>
      <c r="A19" s="2"/>
      <c r="B19" s="39"/>
      <c r="C19" s="39" t="s">
        <v>200</v>
      </c>
      <c r="D19" s="59" t="s">
        <v>201</v>
      </c>
      <c r="E19" s="60">
        <v>525.0</v>
      </c>
      <c r="F19" s="37">
        <v>1.0</v>
      </c>
      <c r="G19" s="60">
        <f t="shared" si="1"/>
        <v>525</v>
      </c>
      <c r="H19" s="37" t="b">
        <v>0</v>
      </c>
      <c r="I19" s="38" t="b">
        <v>0</v>
      </c>
      <c r="J19" s="32">
        <f t="shared" si="2"/>
        <v>0</v>
      </c>
      <c r="K19" s="39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>
      <c r="A20" s="2"/>
      <c r="B20" s="39" t="s">
        <v>202</v>
      </c>
      <c r="C20" s="39" t="s">
        <v>203</v>
      </c>
      <c r="D20" s="59" t="s">
        <v>130</v>
      </c>
      <c r="E20" s="60">
        <f>200*12</f>
        <v>2400</v>
      </c>
      <c r="F20" s="37">
        <v>1.0</v>
      </c>
      <c r="G20" s="60">
        <f t="shared" si="1"/>
        <v>2400</v>
      </c>
      <c r="H20" s="37" t="b">
        <v>0</v>
      </c>
      <c r="I20" s="38" t="b">
        <v>0</v>
      </c>
      <c r="J20" s="32">
        <f t="shared" si="2"/>
        <v>0</v>
      </c>
      <c r="K20" s="39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>
      <c r="A21" s="2"/>
      <c r="B21" s="39"/>
      <c r="C21" s="39" t="s">
        <v>204</v>
      </c>
      <c r="D21" s="62" t="s">
        <v>205</v>
      </c>
      <c r="E21" s="60">
        <f>12*99</f>
        <v>1188</v>
      </c>
      <c r="F21" s="37">
        <v>1.0</v>
      </c>
      <c r="G21" s="60">
        <f t="shared" si="1"/>
        <v>1188</v>
      </c>
      <c r="H21" s="37" t="b">
        <v>0</v>
      </c>
      <c r="I21" s="38" t="b">
        <v>0</v>
      </c>
      <c r="J21" s="32">
        <f t="shared" si="2"/>
        <v>0</v>
      </c>
      <c r="K21" s="39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>
      <c r="A22" s="2"/>
      <c r="B22" s="39"/>
      <c r="C22" s="39" t="s">
        <v>206</v>
      </c>
      <c r="D22" s="59" t="s">
        <v>181</v>
      </c>
      <c r="E22" s="60">
        <f>14.99*12</f>
        <v>179.88</v>
      </c>
      <c r="F22" s="37">
        <v>2.0</v>
      </c>
      <c r="G22" s="60">
        <f t="shared" si="1"/>
        <v>359.76</v>
      </c>
      <c r="H22" s="37" t="b">
        <v>0</v>
      </c>
      <c r="I22" s="38" t="b">
        <v>0</v>
      </c>
      <c r="J22" s="32">
        <f t="shared" si="2"/>
        <v>0</v>
      </c>
      <c r="K22" s="39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>
      <c r="A23" s="2"/>
      <c r="B23" s="70"/>
      <c r="C23" s="70"/>
      <c r="D23" s="2"/>
      <c r="E23" s="2"/>
      <c r="F23" s="17"/>
      <c r="G23" s="60"/>
      <c r="H23" s="17"/>
      <c r="I23" s="32"/>
      <c r="J23" s="3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>
      <c r="A24" s="2"/>
      <c r="B24" s="2"/>
      <c r="C24" s="2"/>
      <c r="E24" s="65" t="s">
        <v>207</v>
      </c>
      <c r="G24" s="60">
        <f>sum(G7:G22)</f>
        <v>16691.66</v>
      </c>
      <c r="H24" s="2"/>
      <c r="I24" s="32"/>
      <c r="J24" s="3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>
      <c r="A25" s="2"/>
      <c r="B25" s="2"/>
      <c r="C25" s="2"/>
      <c r="E25" s="35" t="s">
        <v>208</v>
      </c>
      <c r="G25" s="60">
        <f>sum(J7:J22)</f>
        <v>433.763625</v>
      </c>
      <c r="H25" s="2"/>
      <c r="I25" s="32"/>
      <c r="J25" s="3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>
      <c r="A26" s="2"/>
      <c r="B26" s="2"/>
      <c r="C26" s="2"/>
      <c r="E26" s="35" t="s">
        <v>209</v>
      </c>
      <c r="G26" s="32">
        <f>countif(I7:I22,"TRUE")*20</f>
        <v>200</v>
      </c>
      <c r="H26" s="2"/>
      <c r="I26" s="32"/>
      <c r="J26" s="3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>
      <c r="A27" s="2"/>
      <c r="B27" s="2"/>
      <c r="C27" s="2"/>
      <c r="E27" s="35" t="s">
        <v>133</v>
      </c>
      <c r="G27" s="32">
        <f>SUM(G24:G26)</f>
        <v>17325.42363</v>
      </c>
      <c r="H27" s="2"/>
      <c r="I27" s="32"/>
      <c r="J27" s="3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>
      <c r="A28" s="2"/>
      <c r="B28" s="2"/>
      <c r="C28" s="2"/>
      <c r="D28" s="2"/>
      <c r="E28" s="2"/>
      <c r="F28" s="2"/>
      <c r="G28" s="2"/>
      <c r="H28" s="2"/>
      <c r="I28" s="32"/>
      <c r="J28" s="3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>
      <c r="B29" s="68"/>
      <c r="C29" s="68" t="s">
        <v>185</v>
      </c>
      <c r="E29" s="71"/>
      <c r="F29" s="15"/>
      <c r="G29" s="15"/>
      <c r="H29" s="15"/>
      <c r="I29" s="71"/>
      <c r="J29" s="71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>
      <c r="A31" s="2"/>
      <c r="B31" s="13"/>
      <c r="C31" s="13" t="s">
        <v>155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>
      <c r="A33" s="2"/>
      <c r="B33" s="2"/>
      <c r="C33" s="2"/>
      <c r="D33" s="37" t="s">
        <v>156</v>
      </c>
      <c r="E33" s="37" t="s">
        <v>157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>
      <c r="A34" s="2"/>
      <c r="B34" s="2"/>
      <c r="C34" s="2"/>
      <c r="D34" s="37" t="s">
        <v>158</v>
      </c>
      <c r="E34" s="37">
        <v>40.0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>
      <c r="A35" s="2"/>
      <c r="B35" s="2"/>
      <c r="C35" s="2"/>
      <c r="D35" s="37" t="s">
        <v>159</v>
      </c>
      <c r="E35" s="37">
        <v>40.0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>
      <c r="A36" s="2"/>
      <c r="B36" s="2"/>
      <c r="C36" s="2"/>
      <c r="D36" s="37" t="s">
        <v>186</v>
      </c>
      <c r="E36" s="37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>
      <c r="A37" s="2"/>
      <c r="B37" s="2"/>
      <c r="C37" s="2"/>
      <c r="D37" s="37" t="s">
        <v>160</v>
      </c>
      <c r="E37" s="37">
        <v>40.0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>
      <c r="A38" s="2"/>
      <c r="B38" s="2"/>
      <c r="C38" s="2"/>
      <c r="D38" s="37" t="s">
        <v>187</v>
      </c>
      <c r="E38" s="37">
        <v>40.0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>
      <c r="A39" s="2"/>
      <c r="B39" s="2"/>
      <c r="C39" s="2"/>
      <c r="D39" s="37" t="s">
        <v>162</v>
      </c>
      <c r="E39" s="37">
        <v>40.0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>
      <c r="A44" s="37" t="s">
        <v>210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>
      <c r="A45" s="2"/>
      <c r="B45" s="37" t="s">
        <v>188</v>
      </c>
      <c r="C45" s="2"/>
      <c r="D45" s="37" t="s">
        <v>211</v>
      </c>
      <c r="E45" s="37" t="s">
        <v>212</v>
      </c>
      <c r="F45" s="37"/>
      <c r="G45" s="37"/>
      <c r="H45" s="37" t="s">
        <v>213</v>
      </c>
      <c r="I45" s="37"/>
      <c r="J45" s="37" t="s">
        <v>214</v>
      </c>
      <c r="K45" s="37" t="s">
        <v>215</v>
      </c>
      <c r="L45" s="37" t="s">
        <v>216</v>
      </c>
      <c r="M45" s="37" t="s">
        <v>217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>
      <c r="A46" s="2"/>
      <c r="B46" s="37" t="s">
        <v>218</v>
      </c>
      <c r="C46" s="37" t="s">
        <v>219</v>
      </c>
      <c r="D46" s="37">
        <v>8.0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</sheetData>
  <hyperlinks>
    <hyperlink r:id="rId1" ref="D7"/>
    <hyperlink r:id="rId2" ref="D9"/>
    <hyperlink r:id="rId3" ref="D11"/>
    <hyperlink r:id="rId4" ref="D12"/>
    <hyperlink r:id="rId5" ref="D16"/>
    <hyperlink r:id="rId6" ref="D17"/>
    <hyperlink r:id="rId7" ref="D21"/>
  </hyperlinks>
  <drawing r:id="rId8"/>
  <tableParts count="1">
    <tablePart r:id="rId10"/>
  </tablePart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6.86"/>
  </cols>
  <sheetData>
    <row r="1">
      <c r="A1" s="68" t="s">
        <v>44</v>
      </c>
    </row>
  </sheetData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3.0"/>
    <col customWidth="1" min="2" max="2" width="14.86"/>
    <col customWidth="1" min="3" max="3" width="16.29"/>
    <col customWidth="1" min="4" max="4" width="63.29"/>
    <col customWidth="1" min="6" max="6" width="24.0"/>
    <col customWidth="1" min="9" max="9" width="43.71"/>
  </cols>
  <sheetData>
    <row r="1">
      <c r="A1" s="72" t="s">
        <v>220</v>
      </c>
      <c r="B1" s="72" t="s">
        <v>221</v>
      </c>
      <c r="C1" s="72" t="s">
        <v>222</v>
      </c>
      <c r="D1" s="72" t="s">
        <v>223</v>
      </c>
      <c r="E1" s="73"/>
      <c r="F1" s="74" t="s">
        <v>224</v>
      </c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>
      <c r="A2" s="75" t="s">
        <v>225</v>
      </c>
      <c r="B2" s="76">
        <v>1500.0</v>
      </c>
      <c r="C2" s="76">
        <v>0.0</v>
      </c>
      <c r="D2" s="75" t="s">
        <v>226</v>
      </c>
      <c r="F2" s="3"/>
      <c r="G2" s="77" t="s">
        <v>227</v>
      </c>
      <c r="H2" s="77" t="s">
        <v>228</v>
      </c>
      <c r="I2" s="51" t="s">
        <v>229</v>
      </c>
    </row>
    <row r="3">
      <c r="A3" s="75" t="s">
        <v>230</v>
      </c>
      <c r="B3" s="76">
        <v>128.0</v>
      </c>
      <c r="C3" s="76">
        <f>3*128</f>
        <v>384</v>
      </c>
      <c r="D3" s="75" t="s">
        <v>231</v>
      </c>
      <c r="F3" s="6" t="s">
        <v>232</v>
      </c>
      <c r="G3" s="78">
        <f>B5/1000</f>
        <v>1.6336</v>
      </c>
      <c r="H3" s="78">
        <f>B15/1000</f>
        <v>3.1336</v>
      </c>
      <c r="I3" s="39" t="s">
        <v>233</v>
      </c>
    </row>
    <row r="4">
      <c r="A4" s="79" t="s">
        <v>234</v>
      </c>
      <c r="B4" s="80">
        <f>70*10*8/1000</f>
        <v>5.6</v>
      </c>
      <c r="C4" s="80">
        <v>1.0</v>
      </c>
      <c r="D4" s="79" t="s">
        <v>235</v>
      </c>
      <c r="F4" s="6" t="s">
        <v>236</v>
      </c>
      <c r="G4" s="78">
        <f>C5/1000</f>
        <v>0.385</v>
      </c>
      <c r="H4" s="78">
        <f>C15/1000</f>
        <v>0.385</v>
      </c>
      <c r="I4" s="39" t="s">
        <v>237</v>
      </c>
    </row>
    <row r="5">
      <c r="A5" s="81" t="s">
        <v>133</v>
      </c>
      <c r="B5" s="82">
        <f t="shared" ref="B5:C5" si="1">SUM(B2:B4)</f>
        <v>1633.6</v>
      </c>
      <c r="C5" s="82">
        <f t="shared" si="1"/>
        <v>385</v>
      </c>
      <c r="F5" s="6" t="s">
        <v>238</v>
      </c>
      <c r="G5" s="78">
        <f t="shared" ref="G5:G6" si="3">sum(B8:C8)</f>
        <v>21.00044</v>
      </c>
      <c r="H5" s="78">
        <f t="shared" ref="H5:H6" si="4">sum(B18:C18)</f>
        <v>29.10044</v>
      </c>
      <c r="I5" s="39" t="s">
        <v>239</v>
      </c>
    </row>
    <row r="6">
      <c r="A6" s="83" t="s">
        <v>240</v>
      </c>
      <c r="B6" s="84">
        <f t="shared" ref="B6:C6" si="2">(B5)*12*60*60/1000000/8</f>
        <v>8.82144</v>
      </c>
      <c r="C6" s="84">
        <f t="shared" si="2"/>
        <v>2.079</v>
      </c>
      <c r="D6" s="75" t="s">
        <v>241</v>
      </c>
      <c r="F6" s="6" t="s">
        <v>242</v>
      </c>
      <c r="G6" s="78">
        <f t="shared" si="3"/>
        <v>9.0837</v>
      </c>
      <c r="H6" s="78">
        <f t="shared" si="4"/>
        <v>15.8337</v>
      </c>
      <c r="I6" s="39" t="s">
        <v>243</v>
      </c>
    </row>
    <row r="7">
      <c r="A7" s="83" t="s">
        <v>244</v>
      </c>
      <c r="B7" s="75">
        <v>2.7</v>
      </c>
      <c r="C7" s="75">
        <v>7.4</v>
      </c>
      <c r="D7" s="75" t="s">
        <v>245</v>
      </c>
      <c r="F7" s="85"/>
    </row>
    <row r="8">
      <c r="A8" s="83" t="s">
        <v>246</v>
      </c>
      <c r="B8" s="76">
        <f t="shared" ref="B8:C8" si="5">B7+B6</f>
        <v>11.52144</v>
      </c>
      <c r="C8" s="76">
        <f t="shared" si="5"/>
        <v>9.479</v>
      </c>
      <c r="D8" s="86"/>
    </row>
    <row r="9">
      <c r="A9" s="83" t="s">
        <v>247</v>
      </c>
      <c r="B9" s="76">
        <f t="shared" ref="B9:C9" si="6">B5*10*60*60/1000000/8</f>
        <v>7.3512</v>
      </c>
      <c r="C9" s="76">
        <f t="shared" si="6"/>
        <v>1.7325</v>
      </c>
      <c r="D9" s="75" t="s">
        <v>248</v>
      </c>
    </row>
    <row r="11">
      <c r="A11" s="72" t="s">
        <v>220</v>
      </c>
      <c r="B11" s="72" t="s">
        <v>221</v>
      </c>
      <c r="C11" s="72" t="s">
        <v>222</v>
      </c>
      <c r="D11" s="72" t="s">
        <v>223</v>
      </c>
    </row>
    <row r="12">
      <c r="A12" s="75" t="s">
        <v>225</v>
      </c>
      <c r="B12" s="76">
        <v>3000.0</v>
      </c>
      <c r="C12" s="76">
        <v>0.0</v>
      </c>
      <c r="D12" s="75" t="s">
        <v>249</v>
      </c>
    </row>
    <row r="13">
      <c r="A13" s="75" t="s">
        <v>230</v>
      </c>
      <c r="B13" s="76">
        <v>128.0</v>
      </c>
      <c r="C13" s="76">
        <f>3*128</f>
        <v>384</v>
      </c>
      <c r="D13" s="75" t="s">
        <v>231</v>
      </c>
    </row>
    <row r="14">
      <c r="A14" s="79" t="s">
        <v>234</v>
      </c>
      <c r="B14" s="80">
        <f>70*10*8/1000</f>
        <v>5.6</v>
      </c>
      <c r="C14" s="80">
        <v>1.0</v>
      </c>
      <c r="D14" s="79" t="s">
        <v>235</v>
      </c>
    </row>
    <row r="15">
      <c r="A15" s="81" t="s">
        <v>133</v>
      </c>
      <c r="B15" s="82">
        <f t="shared" ref="B15:C15" si="7">SUM(B12:B14)</f>
        <v>3133.6</v>
      </c>
      <c r="C15" s="82">
        <f t="shared" si="7"/>
        <v>385</v>
      </c>
    </row>
    <row r="16">
      <c r="A16" s="83" t="s">
        <v>250</v>
      </c>
      <c r="B16" s="84">
        <f t="shared" ref="B16:C16" si="8">(B15)*12*60*60/1000000/8</f>
        <v>16.92144</v>
      </c>
      <c r="C16" s="84">
        <f t="shared" si="8"/>
        <v>2.079</v>
      </c>
      <c r="D16" s="75" t="s">
        <v>241</v>
      </c>
    </row>
    <row r="17">
      <c r="A17" s="83" t="s">
        <v>244</v>
      </c>
      <c r="B17" s="75">
        <v>2.7</v>
      </c>
      <c r="C17" s="75">
        <v>7.4</v>
      </c>
      <c r="D17" s="75" t="s">
        <v>245</v>
      </c>
    </row>
    <row r="18">
      <c r="A18" s="83" t="s">
        <v>246</v>
      </c>
      <c r="B18" s="76">
        <f t="shared" ref="B18:C18" si="9">B17+B16</f>
        <v>19.62144</v>
      </c>
      <c r="C18" s="76">
        <f t="shared" si="9"/>
        <v>9.479</v>
      </c>
      <c r="D18" s="86"/>
    </row>
    <row r="19">
      <c r="A19" s="83" t="s">
        <v>247</v>
      </c>
      <c r="B19" s="76">
        <f t="shared" ref="B19:C19" si="10">B15*10*60*60/1000000/8</f>
        <v>14.1012</v>
      </c>
      <c r="C19" s="76">
        <f t="shared" si="10"/>
        <v>1.7325</v>
      </c>
      <c r="D19" s="75" t="s">
        <v>248</v>
      </c>
    </row>
    <row r="21">
      <c r="A21" s="87"/>
      <c r="E21" s="87" t="s">
        <v>251</v>
      </c>
    </row>
    <row r="22">
      <c r="A22" s="81" t="s">
        <v>252</v>
      </c>
      <c r="B22" s="82">
        <f t="shared" ref="B22:C22" si="11">B19*10</f>
        <v>141.012</v>
      </c>
      <c r="C22" s="82">
        <f t="shared" si="11"/>
        <v>17.325</v>
      </c>
      <c r="D22" s="68" t="s">
        <v>253</v>
      </c>
      <c r="E22" s="82">
        <f>SUM(B22:C22)</f>
        <v>158.337</v>
      </c>
    </row>
    <row r="23">
      <c r="A23" s="81" t="s">
        <v>254</v>
      </c>
      <c r="B23" s="82"/>
    </row>
    <row r="27">
      <c r="A27" s="87" t="s">
        <v>255</v>
      </c>
    </row>
    <row r="28">
      <c r="A28" s="88" t="s">
        <v>256</v>
      </c>
      <c r="B28" s="82">
        <f>sum($B$16:$C$16)</f>
        <v>19.00044</v>
      </c>
    </row>
    <row r="29">
      <c r="A29" s="88" t="s">
        <v>257</v>
      </c>
      <c r="B29" s="68">
        <v>14.0</v>
      </c>
    </row>
    <row r="30">
      <c r="A30" s="88" t="s">
        <v>258</v>
      </c>
      <c r="B30" s="82">
        <f>B29*B28</f>
        <v>266.00616</v>
      </c>
    </row>
    <row r="31">
      <c r="A31" s="88" t="s">
        <v>259</v>
      </c>
      <c r="B31" s="71">
        <f>90+(B30-10)*10</f>
        <v>2650.0616</v>
      </c>
    </row>
    <row r="32">
      <c r="A32" s="88" t="s">
        <v>260</v>
      </c>
      <c r="B32" s="71">
        <f>B31/B29</f>
        <v>189.2901143</v>
      </c>
    </row>
    <row r="35">
      <c r="A35" s="88" t="s">
        <v>261</v>
      </c>
      <c r="B35" s="82">
        <f>sum($B$6:$C$6)</f>
        <v>10.90044</v>
      </c>
    </row>
    <row r="36">
      <c r="A36" s="88" t="s">
        <v>257</v>
      </c>
      <c r="B36" s="68">
        <v>14.0</v>
      </c>
    </row>
    <row r="37">
      <c r="A37" s="88" t="s">
        <v>262</v>
      </c>
      <c r="B37" s="82">
        <f>B29*B35</f>
        <v>152.60616</v>
      </c>
    </row>
    <row r="38">
      <c r="A38" s="88" t="s">
        <v>263</v>
      </c>
      <c r="B38" s="71">
        <f>90+(B37-10)*10</f>
        <v>1516.0616</v>
      </c>
    </row>
    <row r="39">
      <c r="A39" s="88" t="s">
        <v>264</v>
      </c>
      <c r="B39" s="71">
        <f>B38/B36</f>
        <v>108.2901143</v>
      </c>
    </row>
    <row r="41">
      <c r="A41" s="68" t="s">
        <v>265</v>
      </c>
    </row>
    <row r="43">
      <c r="A43" s="88" t="s">
        <v>266</v>
      </c>
      <c r="B43" s="82">
        <f>SUM(B19:C19)</f>
        <v>15.8337</v>
      </c>
    </row>
    <row r="44">
      <c r="A44" s="88" t="s">
        <v>257</v>
      </c>
      <c r="B44" s="68">
        <v>10.0</v>
      </c>
    </row>
    <row r="45">
      <c r="A45" s="88" t="s">
        <v>258</v>
      </c>
      <c r="B45" s="82">
        <f>B44*B43</f>
        <v>158.337</v>
      </c>
      <c r="C45" s="68" t="s">
        <v>267</v>
      </c>
    </row>
    <row r="46">
      <c r="A46" s="88" t="s">
        <v>259</v>
      </c>
      <c r="B46" s="71">
        <f>11499*0.7</f>
        <v>8049.3</v>
      </c>
      <c r="C46" s="68" t="s">
        <v>268</v>
      </c>
    </row>
    <row r="47">
      <c r="A47" s="88" t="s">
        <v>260</v>
      </c>
      <c r="B47" s="71">
        <f>B46/B44</f>
        <v>804.93</v>
      </c>
    </row>
    <row r="48">
      <c r="A48" s="88" t="s">
        <v>269</v>
      </c>
      <c r="B48" s="68">
        <v>81.0</v>
      </c>
    </row>
    <row r="49">
      <c r="A49" s="81" t="s">
        <v>270</v>
      </c>
      <c r="B49" s="71">
        <f>B48*B47</f>
        <v>65199.33</v>
      </c>
    </row>
    <row r="50">
      <c r="A50" s="88" t="s">
        <v>271</v>
      </c>
      <c r="B50" s="82">
        <f>SUM(B9:C9)</f>
        <v>9.0837</v>
      </c>
    </row>
    <row r="51">
      <c r="A51" s="88" t="s">
        <v>257</v>
      </c>
      <c r="B51" s="68">
        <v>10.0</v>
      </c>
    </row>
    <row r="52">
      <c r="A52" s="88" t="s">
        <v>262</v>
      </c>
      <c r="B52" s="82">
        <f>B51*B50</f>
        <v>90.837</v>
      </c>
      <c r="C52" s="68" t="s">
        <v>267</v>
      </c>
    </row>
    <row r="53">
      <c r="A53" s="88" t="s">
        <v>263</v>
      </c>
      <c r="B53" s="71">
        <f>11499*0.7</f>
        <v>8049.3</v>
      </c>
      <c r="C53" s="68" t="s">
        <v>268</v>
      </c>
    </row>
    <row r="54">
      <c r="A54" s="88" t="s">
        <v>264</v>
      </c>
      <c r="B54" s="71">
        <f>B53/B51</f>
        <v>804.93</v>
      </c>
    </row>
    <row r="55">
      <c r="A55" s="88" t="s">
        <v>269</v>
      </c>
      <c r="B55" s="68">
        <v>81.0</v>
      </c>
    </row>
    <row r="56">
      <c r="A56" s="81" t="s">
        <v>270</v>
      </c>
      <c r="B56" s="71">
        <f>B55*B54</f>
        <v>65199.33</v>
      </c>
    </row>
    <row r="57">
      <c r="A57" s="68" t="s">
        <v>272</v>
      </c>
    </row>
    <row r="59">
      <c r="A59" s="88" t="s">
        <v>256</v>
      </c>
      <c r="B59" s="82">
        <f>sum($B$16:$C$16)</f>
        <v>19.00044</v>
      </c>
    </row>
    <row r="60">
      <c r="A60" s="88" t="s">
        <v>257</v>
      </c>
      <c r="B60" s="68">
        <v>14.0</v>
      </c>
    </row>
    <row r="61">
      <c r="A61" s="88" t="s">
        <v>258</v>
      </c>
      <c r="B61" s="82">
        <f>B60*B59</f>
        <v>266.00616</v>
      </c>
    </row>
    <row r="62">
      <c r="A62" s="88" t="s">
        <v>259</v>
      </c>
      <c r="B62" s="71">
        <f>90+(B61-10)*10</f>
        <v>2650.0616</v>
      </c>
    </row>
    <row r="63">
      <c r="A63" s="88" t="s">
        <v>260</v>
      </c>
      <c r="B63" s="71">
        <f>B62/B60</f>
        <v>189.2901143</v>
      </c>
    </row>
    <row r="64">
      <c r="A64" s="88" t="s">
        <v>269</v>
      </c>
      <c r="B64" s="68">
        <v>110.0</v>
      </c>
    </row>
    <row r="65">
      <c r="A65" s="81" t="s">
        <v>270</v>
      </c>
      <c r="B65" s="71">
        <f>B64*B63</f>
        <v>20821.91257</v>
      </c>
    </row>
    <row r="66">
      <c r="A66" s="88" t="s">
        <v>261</v>
      </c>
      <c r="B66" s="82">
        <f>sum($B$6:$C$6)</f>
        <v>10.90044</v>
      </c>
    </row>
    <row r="67">
      <c r="A67" s="88" t="s">
        <v>257</v>
      </c>
      <c r="B67" s="68">
        <v>14.0</v>
      </c>
    </row>
    <row r="68">
      <c r="A68" s="88" t="s">
        <v>262</v>
      </c>
      <c r="B68" s="82">
        <f>B60*B66</f>
        <v>152.60616</v>
      </c>
    </row>
    <row r="69">
      <c r="A69" s="88" t="s">
        <v>263</v>
      </c>
      <c r="B69" s="71">
        <f>90+(B68-10)*10</f>
        <v>1516.0616</v>
      </c>
    </row>
    <row r="70">
      <c r="A70" s="88" t="s">
        <v>264</v>
      </c>
      <c r="B70" s="71">
        <f>B69/B67</f>
        <v>108.2901143</v>
      </c>
    </row>
    <row r="71">
      <c r="A71" s="88" t="s">
        <v>269</v>
      </c>
      <c r="B71" s="68">
        <v>110.0</v>
      </c>
    </row>
    <row r="72">
      <c r="A72" s="81" t="s">
        <v>270</v>
      </c>
      <c r="B72" s="71">
        <f>B71*B70</f>
        <v>11911.91257</v>
      </c>
    </row>
  </sheetData>
  <drawing r:id="rId1"/>
  <tableParts count="3">
    <tablePart r:id="rId5"/>
    <tablePart r:id="rId6"/>
    <tablePart r:id="rId7"/>
  </tableParts>
</worksheet>
</file>