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106_Niobicon_AUV_Docking\Project.Drawings\Project.EE.Dwgs\Docking 2022\"/>
    </mc:Choice>
  </mc:AlternateContent>
  <xr:revisionPtr revIDLastSave="0" documentId="13_ncr:1_{70F84FC7-C3E3-45FC-9E88-45720CC9789F}" xr6:coauthVersionLast="36" xr6:coauthVersionMax="36" xr10:uidLastSave="{00000000-0000-0000-0000-000000000000}"/>
  <bookViews>
    <workbookView xWindow="0" yWindow="0" windowWidth="34590" windowHeight="12030" xr2:uid="{ABABB747-13C3-4FD6-84F4-4133B697030D}"/>
  </bookViews>
  <sheets>
    <sheet name="Sheet1" sheetId="1" r:id="rId1"/>
    <sheet name="Sheet2" sheetId="2" r:id="rId2"/>
    <sheet name="Opposite side routed L2+L4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B15" i="1"/>
  <c r="E14" i="1"/>
  <c r="B14" i="1"/>
  <c r="B26" i="4" l="1"/>
  <c r="B25" i="4"/>
  <c r="B23" i="4"/>
  <c r="B22" i="4"/>
  <c r="B21" i="4"/>
  <c r="E23" i="4"/>
  <c r="F23" i="4" s="1"/>
  <c r="D26" i="4"/>
  <c r="D25" i="4"/>
  <c r="E25" i="4" s="1"/>
  <c r="F25" i="4" s="1"/>
  <c r="D24" i="4"/>
  <c r="E24" i="4" s="1"/>
  <c r="F24" i="4" s="1"/>
  <c r="D22" i="4"/>
  <c r="D21" i="4"/>
  <c r="B41" i="4"/>
  <c r="B40" i="4"/>
  <c r="B61" i="4" s="1"/>
  <c r="B62" i="4" s="1"/>
  <c r="B63" i="4" s="1"/>
  <c r="B28" i="4"/>
  <c r="C28" i="4" s="1"/>
  <c r="E17" i="4"/>
  <c r="I12" i="4"/>
  <c r="E12" i="4"/>
  <c r="I11" i="4"/>
  <c r="B54" i="4" s="1"/>
  <c r="E11" i="4"/>
  <c r="B11" i="4"/>
  <c r="B12" i="4" s="1"/>
  <c r="B17" i="4" s="1"/>
  <c r="J6" i="4"/>
  <c r="J5" i="4"/>
  <c r="B25" i="3"/>
  <c r="D26" i="3"/>
  <c r="D25" i="3"/>
  <c r="D24" i="3"/>
  <c r="D23" i="3"/>
  <c r="D22" i="3"/>
  <c r="E22" i="3" s="1"/>
  <c r="F22" i="3" s="1"/>
  <c r="D21" i="3"/>
  <c r="E21" i="3" s="1"/>
  <c r="F21" i="3" s="1"/>
  <c r="C55" i="3" s="1"/>
  <c r="B26" i="3"/>
  <c r="E25" i="3"/>
  <c r="F25" i="3" s="1"/>
  <c r="B24" i="3"/>
  <c r="B23" i="3"/>
  <c r="B21" i="3"/>
  <c r="B40" i="3"/>
  <c r="B61" i="3" s="1"/>
  <c r="B28" i="3"/>
  <c r="C28" i="3" s="1"/>
  <c r="I11" i="3"/>
  <c r="I12" i="3" s="1"/>
  <c r="E11" i="3"/>
  <c r="E12" i="3" s="1"/>
  <c r="E17" i="3" s="1"/>
  <c r="B11" i="3"/>
  <c r="B12" i="3" s="1"/>
  <c r="B17" i="3" s="1"/>
  <c r="J6" i="3"/>
  <c r="J5" i="3"/>
  <c r="D26" i="2"/>
  <c r="D24" i="2"/>
  <c r="D23" i="2"/>
  <c r="D21" i="2"/>
  <c r="D22" i="2"/>
  <c r="E22" i="2" s="1"/>
  <c r="F22" i="2" s="1"/>
  <c r="B40" i="2"/>
  <c r="B43" i="2" s="1"/>
  <c r="B28" i="2"/>
  <c r="C28" i="2" s="1"/>
  <c r="B26" i="2"/>
  <c r="E26" i="2" s="1"/>
  <c r="F26" i="2" s="1"/>
  <c r="B25" i="2"/>
  <c r="E25" i="2" s="1"/>
  <c r="F25" i="2" s="1"/>
  <c r="B24" i="2"/>
  <c r="B23" i="2"/>
  <c r="B22" i="2"/>
  <c r="B21" i="2"/>
  <c r="I11" i="2"/>
  <c r="I12" i="2" s="1"/>
  <c r="E11" i="2"/>
  <c r="E12" i="2" s="1"/>
  <c r="E17" i="2" s="1"/>
  <c r="B11" i="2"/>
  <c r="B12" i="2" s="1"/>
  <c r="B17" i="2" s="1"/>
  <c r="J6" i="2"/>
  <c r="J5" i="2"/>
  <c r="B66" i="1"/>
  <c r="C53" i="1"/>
  <c r="B54" i="1"/>
  <c r="C54" i="1"/>
  <c r="C55" i="1"/>
  <c r="B67" i="1"/>
  <c r="B68" i="1" s="1"/>
  <c r="B61" i="1"/>
  <c r="B62" i="1" s="1"/>
  <c r="B48" i="1"/>
  <c r="B41" i="1"/>
  <c r="B28" i="1"/>
  <c r="C28" i="1" s="1"/>
  <c r="I11" i="1"/>
  <c r="I12" i="1" s="1"/>
  <c r="B40" i="1"/>
  <c r="B43" i="1" s="1"/>
  <c r="D23" i="1"/>
  <c r="D21" i="1"/>
  <c r="E21" i="1" s="1"/>
  <c r="F21" i="1" s="1"/>
  <c r="D22" i="1"/>
  <c r="E23" i="1"/>
  <c r="F23" i="1" s="1"/>
  <c r="D24" i="1"/>
  <c r="D25" i="1"/>
  <c r="D26" i="1"/>
  <c r="E26" i="1"/>
  <c r="F26" i="1" s="1"/>
  <c r="B26" i="1"/>
  <c r="B25" i="1"/>
  <c r="E25" i="1" s="1"/>
  <c r="F25" i="1" s="1"/>
  <c r="B24" i="1"/>
  <c r="E24" i="1" s="1"/>
  <c r="F24" i="1" s="1"/>
  <c r="B23" i="1"/>
  <c r="B22" i="1"/>
  <c r="E22" i="1" s="1"/>
  <c r="F22" i="1" s="1"/>
  <c r="B21" i="1"/>
  <c r="B69" i="1" l="1"/>
  <c r="B63" i="1"/>
  <c r="E22" i="4"/>
  <c r="F22" i="4" s="1"/>
  <c r="E21" i="4"/>
  <c r="F21" i="4" s="1"/>
  <c r="C55" i="4" s="1"/>
  <c r="E26" i="4"/>
  <c r="F26" i="4" s="1"/>
  <c r="B43" i="4"/>
  <c r="E26" i="3"/>
  <c r="F26" i="3" s="1"/>
  <c r="E23" i="3"/>
  <c r="F23" i="3" s="1"/>
  <c r="E24" i="3"/>
  <c r="F24" i="3" s="1"/>
  <c r="B62" i="3"/>
  <c r="B63" i="3" s="1"/>
  <c r="B41" i="3"/>
  <c r="B43" i="3"/>
  <c r="B54" i="3"/>
  <c r="E24" i="2"/>
  <c r="F24" i="2" s="1"/>
  <c r="E23" i="2"/>
  <c r="F23" i="2" s="1"/>
  <c r="E21" i="2"/>
  <c r="F21" i="2" s="1"/>
  <c r="C55" i="2" s="1"/>
  <c r="B44" i="2"/>
  <c r="B48" i="2"/>
  <c r="B49" i="2" s="1"/>
  <c r="B54" i="2"/>
  <c r="B55" i="2" s="1"/>
  <c r="B41" i="2"/>
  <c r="B61" i="2"/>
  <c r="B62" i="2" s="1"/>
  <c r="B63" i="2" s="1"/>
  <c r="B44" i="1"/>
  <c r="B55" i="1" s="1"/>
  <c r="B56" i="1" s="1"/>
  <c r="B49" i="1"/>
  <c r="B50" i="1" s="1"/>
  <c r="J6" i="1"/>
  <c r="J5" i="1"/>
  <c r="E11" i="1"/>
  <c r="E12" i="1" s="1"/>
  <c r="E17" i="1" s="1"/>
  <c r="B11" i="1"/>
  <c r="B12" i="1" s="1"/>
  <c r="B48" i="4" l="1"/>
  <c r="B44" i="4"/>
  <c r="B48" i="3"/>
  <c r="B44" i="3"/>
  <c r="C54" i="3" s="1"/>
  <c r="C53" i="3" s="1"/>
  <c r="B66" i="3" s="1"/>
  <c r="B67" i="3" s="1"/>
  <c r="B68" i="3" s="1"/>
  <c r="B69" i="3" s="1"/>
  <c r="B56" i="2"/>
  <c r="B50" i="2"/>
  <c r="C54" i="2"/>
  <c r="C53" i="2" s="1"/>
  <c r="B66" i="2" s="1"/>
  <c r="B67" i="2" s="1"/>
  <c r="B68" i="2" s="1"/>
  <c r="B69" i="2" s="1"/>
  <c r="B17" i="1"/>
  <c r="C54" i="4" l="1"/>
  <c r="C53" i="4" s="1"/>
  <c r="B66" i="4" s="1"/>
  <c r="B67" i="4" s="1"/>
  <c r="B68" i="4" s="1"/>
  <c r="B69" i="4" s="1"/>
  <c r="B55" i="4"/>
  <c r="B56" i="4" s="1"/>
  <c r="B49" i="4"/>
  <c r="B50" i="4" s="1"/>
  <c r="B49" i="3"/>
  <c r="B50" i="3" s="1"/>
  <c r="B55" i="3"/>
  <c r="B56" i="3" s="1"/>
</calcChain>
</file>

<file path=xl/sharedStrings.xml><?xml version="1.0" encoding="utf-8"?>
<sst xmlns="http://schemas.openxmlformats.org/spreadsheetml/2006/main" count="290" uniqueCount="55">
  <si>
    <t>Positive</t>
  </si>
  <si>
    <t>Negative</t>
  </si>
  <si>
    <t>L1+</t>
  </si>
  <si>
    <t>L1-</t>
  </si>
  <si>
    <t>Resistance</t>
  </si>
  <si>
    <t>L2+</t>
  </si>
  <si>
    <t>L3+</t>
  </si>
  <si>
    <t>L4+</t>
  </si>
  <si>
    <t>L5+</t>
  </si>
  <si>
    <t>L2-</t>
  </si>
  <si>
    <t>L3-</t>
  </si>
  <si>
    <t>L4-</t>
  </si>
  <si>
    <t>L5-</t>
  </si>
  <si>
    <t>L6+ (To switch)</t>
  </si>
  <si>
    <t>L6- (To Shunt)</t>
  </si>
  <si>
    <t>L7+ (To Inverter)</t>
  </si>
  <si>
    <t>L7- (To Inverter)</t>
  </si>
  <si>
    <t>Length (in)</t>
  </si>
  <si>
    <t>AWG Chart</t>
  </si>
  <si>
    <t>Gauge</t>
  </si>
  <si>
    <t>Total inches</t>
  </si>
  <si>
    <t>Total feet</t>
  </si>
  <si>
    <t>Ohms/1ft</t>
  </si>
  <si>
    <t>Ohms/1000ft</t>
  </si>
  <si>
    <t>Total resistance</t>
  </si>
  <si>
    <t>B1</t>
  </si>
  <si>
    <t>B2</t>
  </si>
  <si>
    <t>B3</t>
  </si>
  <si>
    <t>B4</t>
  </si>
  <si>
    <t>B5</t>
  </si>
  <si>
    <t>B6</t>
  </si>
  <si>
    <t>Total Pack Length</t>
  </si>
  <si>
    <t>Inverter Output Power</t>
  </si>
  <si>
    <t>Inverter Efficiency</t>
  </si>
  <si>
    <t>Inverter Input Power</t>
  </si>
  <si>
    <t>Number of Batteries</t>
  </si>
  <si>
    <t xml:space="preserve">Per battery Power </t>
  </si>
  <si>
    <t xml:space="preserve">Nominal Battery current </t>
  </si>
  <si>
    <t>Efficiency</t>
  </si>
  <si>
    <t>I2R % Loss</t>
  </si>
  <si>
    <t>I2R watt Loss</t>
  </si>
  <si>
    <t xml:space="preserve">R Loop </t>
  </si>
  <si>
    <t>R/Ft</t>
  </si>
  <si>
    <t>Battery Voltage</t>
  </si>
  <si>
    <t>Capacity</t>
  </si>
  <si>
    <t>Capacity/Volt</t>
  </si>
  <si>
    <t>% Capacity Loss</t>
  </si>
  <si>
    <t>Voltage Drop</t>
  </si>
  <si>
    <t>Inverter Loop</t>
  </si>
  <si>
    <t>Total Pack Length (Ft)</t>
  </si>
  <si>
    <t>Battery pack</t>
  </si>
  <si>
    <t>Inverter Current</t>
  </si>
  <si>
    <t>AWG</t>
  </si>
  <si>
    <t>L1 to L5 Total (4 AWG)</t>
  </si>
  <si>
    <t>total Feet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</si>
</sst>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4" borderId="0" xfId="0" applyFill="1"/>
    <xf numFmtId="0" fontId="0" fillId="5" borderId="0" xfId="0" applyFill="1"/>
    <xf numFmtId="0" fontId="0" fillId="0" borderId="0" xfId="0" applyNumberFormat="1"/>
    <xf numFmtId="0" fontId="0" fillId="2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95690-A591-4719-832C-6D61E89C50D3}">
  <dimension ref="A1:J70"/>
  <sheetViews>
    <sheetView tabSelected="1" workbookViewId="0">
      <selection activeCell="F15" sqref="F15"/>
    </sheetView>
  </sheetViews>
  <sheetFormatPr defaultRowHeight="15" x14ac:dyDescent="0.25"/>
  <cols>
    <col min="1" max="1" width="23.140625" customWidth="1"/>
    <col min="2" max="2" width="25" customWidth="1"/>
    <col min="3" max="3" width="25.42578125" customWidth="1"/>
    <col min="4" max="4" width="20.140625" customWidth="1"/>
    <col min="5" max="5" width="16.85546875" customWidth="1"/>
    <col min="6" max="6" width="24.140625" customWidth="1"/>
    <col min="7" max="7" width="15.140625" customWidth="1"/>
    <col min="8" max="8" width="20.5703125" customWidth="1"/>
    <col min="9" max="9" width="12.42578125" customWidth="1"/>
    <col min="10" max="10" width="13.28515625" customWidth="1"/>
  </cols>
  <sheetData>
    <row r="1" spans="1:10" x14ac:dyDescent="0.25">
      <c r="A1" s="5"/>
      <c r="B1" s="5"/>
      <c r="C1" s="5"/>
      <c r="D1" s="5"/>
      <c r="E1" s="5"/>
      <c r="F1" s="5"/>
    </row>
    <row r="2" spans="1:10" x14ac:dyDescent="0.25">
      <c r="A2" t="s">
        <v>0</v>
      </c>
      <c r="B2" t="s">
        <v>17</v>
      </c>
      <c r="C2" t="s">
        <v>4</v>
      </c>
      <c r="D2" t="s">
        <v>1</v>
      </c>
      <c r="E2" t="s">
        <v>17</v>
      </c>
      <c r="F2" t="s">
        <v>4</v>
      </c>
      <c r="H2" s="1" t="s">
        <v>18</v>
      </c>
      <c r="I2" s="1"/>
      <c r="J2" s="1"/>
    </row>
    <row r="3" spans="1:10" x14ac:dyDescent="0.25">
      <c r="A3" t="s">
        <v>2</v>
      </c>
      <c r="B3">
        <v>6.9</v>
      </c>
      <c r="D3" t="s">
        <v>3</v>
      </c>
      <c r="E3">
        <v>6.9</v>
      </c>
      <c r="H3" s="1" t="s">
        <v>19</v>
      </c>
      <c r="I3" s="1" t="s">
        <v>23</v>
      </c>
      <c r="J3" s="1" t="s">
        <v>22</v>
      </c>
    </row>
    <row r="4" spans="1:10" x14ac:dyDescent="0.25">
      <c r="A4" t="s">
        <v>5</v>
      </c>
      <c r="B4">
        <v>21.4</v>
      </c>
      <c r="D4" t="s">
        <v>9</v>
      </c>
      <c r="E4">
        <v>21.4</v>
      </c>
      <c r="H4" s="1">
        <v>0</v>
      </c>
      <c r="I4" s="1"/>
      <c r="J4" s="1"/>
    </row>
    <row r="5" spans="1:10" x14ac:dyDescent="0.25">
      <c r="A5" t="s">
        <v>6</v>
      </c>
      <c r="B5">
        <v>6.9</v>
      </c>
      <c r="D5" t="s">
        <v>10</v>
      </c>
      <c r="E5">
        <v>6.9</v>
      </c>
      <c r="H5" s="1">
        <v>2</v>
      </c>
      <c r="I5" s="1">
        <v>0.18</v>
      </c>
      <c r="J5" s="1">
        <f>I5/1000</f>
        <v>1.7999999999999998E-4</v>
      </c>
    </row>
    <row r="6" spans="1:10" x14ac:dyDescent="0.25">
      <c r="A6" t="s">
        <v>7</v>
      </c>
      <c r="B6">
        <v>21.4</v>
      </c>
      <c r="D6" t="s">
        <v>11</v>
      </c>
      <c r="E6">
        <v>21.4</v>
      </c>
      <c r="H6" s="1">
        <v>4</v>
      </c>
      <c r="I6" s="1">
        <v>0.28000000000000003</v>
      </c>
      <c r="J6" s="1">
        <f>I6/1000</f>
        <v>2.8000000000000003E-4</v>
      </c>
    </row>
    <row r="7" spans="1:10" x14ac:dyDescent="0.25">
      <c r="A7" t="s">
        <v>8</v>
      </c>
      <c r="B7">
        <v>6.9</v>
      </c>
      <c r="D7" t="s">
        <v>12</v>
      </c>
      <c r="E7">
        <v>6.9</v>
      </c>
    </row>
    <row r="8" spans="1:10" x14ac:dyDescent="0.25">
      <c r="A8" t="s">
        <v>13</v>
      </c>
      <c r="B8">
        <v>12</v>
      </c>
      <c r="D8" t="s">
        <v>14</v>
      </c>
      <c r="E8">
        <v>30</v>
      </c>
    </row>
    <row r="9" spans="1:10" x14ac:dyDescent="0.25">
      <c r="A9" t="s">
        <v>15</v>
      </c>
      <c r="B9">
        <v>10</v>
      </c>
      <c r="D9" t="s">
        <v>16</v>
      </c>
      <c r="E9">
        <v>10</v>
      </c>
      <c r="H9" t="s">
        <v>43</v>
      </c>
      <c r="I9">
        <v>13.6</v>
      </c>
      <c r="J9">
        <v>12.9</v>
      </c>
    </row>
    <row r="10" spans="1:10" x14ac:dyDescent="0.25">
      <c r="H10" t="s">
        <v>44</v>
      </c>
      <c r="I10">
        <v>1</v>
      </c>
      <c r="J10">
        <v>0</v>
      </c>
    </row>
    <row r="11" spans="1:10" x14ac:dyDescent="0.25">
      <c r="A11" t="s">
        <v>20</v>
      </c>
      <c r="B11">
        <f>SUM(B3:B9)</f>
        <v>85.5</v>
      </c>
      <c r="E11">
        <f>SUM(E3:E9)</f>
        <v>103.5</v>
      </c>
      <c r="H11" t="s">
        <v>45</v>
      </c>
      <c r="I11">
        <f>(I10-J10)/(I9-J9)</f>
        <v>1.4285714285714299</v>
      </c>
    </row>
    <row r="12" spans="1:10" x14ac:dyDescent="0.25">
      <c r="A12" t="s">
        <v>21</v>
      </c>
      <c r="B12">
        <f>B11/12</f>
        <v>7.125</v>
      </c>
      <c r="E12">
        <f>E11/12</f>
        <v>8.625</v>
      </c>
      <c r="I12">
        <f>I11*0.7</f>
        <v>1.0000000000000009</v>
      </c>
    </row>
    <row r="13" spans="1:10" x14ac:dyDescent="0.25">
      <c r="H13" t="s">
        <v>38</v>
      </c>
    </row>
    <row r="14" spans="1:10" x14ac:dyDescent="0.25">
      <c r="A14" t="s">
        <v>53</v>
      </c>
      <c r="B14">
        <f>SUM(B3:B7)</f>
        <v>63.499999999999993</v>
      </c>
      <c r="E14">
        <f>SUM(E3:E7)</f>
        <v>63.499999999999993</v>
      </c>
    </row>
    <row r="15" spans="1:10" x14ac:dyDescent="0.25">
      <c r="A15" t="s">
        <v>54</v>
      </c>
      <c r="B15">
        <f>B14/12</f>
        <v>5.2916666666666661</v>
      </c>
      <c r="E15">
        <f>E14/12</f>
        <v>5.2916666666666661</v>
      </c>
    </row>
    <row r="16" spans="1:10" x14ac:dyDescent="0.25">
      <c r="A16" t="s">
        <v>19</v>
      </c>
      <c r="B16" t="s">
        <v>24</v>
      </c>
    </row>
    <row r="17" spans="1:7" x14ac:dyDescent="0.25">
      <c r="A17">
        <v>2</v>
      </c>
      <c r="B17">
        <f>B12*J5</f>
        <v>1.2824999999999998E-3</v>
      </c>
      <c r="E17">
        <f>E12*J5</f>
        <v>1.5524999999999998E-3</v>
      </c>
    </row>
    <row r="20" spans="1:7" x14ac:dyDescent="0.25">
      <c r="A20" s="2"/>
      <c r="B20" s="2" t="s">
        <v>0</v>
      </c>
      <c r="C20" s="2"/>
      <c r="D20" s="2" t="s">
        <v>1</v>
      </c>
      <c r="E20" s="2" t="s">
        <v>31</v>
      </c>
      <c r="F20" s="2" t="s">
        <v>49</v>
      </c>
      <c r="G20" s="2"/>
    </row>
    <row r="21" spans="1:7" x14ac:dyDescent="0.25">
      <c r="A21" t="s">
        <v>25</v>
      </c>
      <c r="B21">
        <f>0</f>
        <v>0</v>
      </c>
      <c r="D21">
        <f>SUM(E4,E6,E7)</f>
        <v>49.699999999999996</v>
      </c>
      <c r="E21">
        <f>SUM(B21,D21)</f>
        <v>49.699999999999996</v>
      </c>
      <c r="F21">
        <f>E21/12</f>
        <v>4.1416666666666666</v>
      </c>
    </row>
    <row r="22" spans="1:7" x14ac:dyDescent="0.25">
      <c r="A22" t="s">
        <v>26</v>
      </c>
      <c r="B22">
        <f>B7</f>
        <v>6.9</v>
      </c>
      <c r="D22">
        <f>E4+E6</f>
        <v>42.8</v>
      </c>
      <c r="E22">
        <f t="shared" ref="E22:E26" si="0">SUM(B22,D22)</f>
        <v>49.699999999999996</v>
      </c>
      <c r="F22">
        <f t="shared" ref="F22:F26" si="1">E22/12</f>
        <v>4.1416666666666666</v>
      </c>
    </row>
    <row r="23" spans="1:7" x14ac:dyDescent="0.25">
      <c r="A23" t="s">
        <v>27</v>
      </c>
      <c r="B23">
        <f>B6</f>
        <v>21.4</v>
      </c>
      <c r="D23">
        <f>SUM(E4,E5)</f>
        <v>28.299999999999997</v>
      </c>
      <c r="E23">
        <f t="shared" si="0"/>
        <v>49.699999999999996</v>
      </c>
      <c r="F23">
        <f t="shared" si="1"/>
        <v>4.1416666666666666</v>
      </c>
    </row>
    <row r="24" spans="1:7" x14ac:dyDescent="0.25">
      <c r="A24" t="s">
        <v>28</v>
      </c>
      <c r="B24">
        <f>SUM(B5,B6)</f>
        <v>28.299999999999997</v>
      </c>
      <c r="D24">
        <f>E4</f>
        <v>21.4</v>
      </c>
      <c r="E24">
        <f t="shared" si="0"/>
        <v>49.699999999999996</v>
      </c>
      <c r="F24">
        <f t="shared" si="1"/>
        <v>4.1416666666666666</v>
      </c>
    </row>
    <row r="25" spans="1:7" x14ac:dyDescent="0.25">
      <c r="A25" t="s">
        <v>29</v>
      </c>
      <c r="B25">
        <f>SUM(B6,B4)</f>
        <v>42.8</v>
      </c>
      <c r="D25">
        <f>E3</f>
        <v>6.9</v>
      </c>
      <c r="E25">
        <f t="shared" si="0"/>
        <v>49.699999999999996</v>
      </c>
      <c r="F25">
        <f t="shared" si="1"/>
        <v>4.1416666666666666</v>
      </c>
    </row>
    <row r="26" spans="1:7" x14ac:dyDescent="0.25">
      <c r="A26" t="s">
        <v>30</v>
      </c>
      <c r="B26">
        <f>SUM(B6,B4,B3)</f>
        <v>49.699999999999996</v>
      </c>
      <c r="D26">
        <f>0</f>
        <v>0</v>
      </c>
      <c r="E26">
        <f t="shared" si="0"/>
        <v>49.699999999999996</v>
      </c>
      <c r="F26">
        <f t="shared" si="1"/>
        <v>4.1416666666666666</v>
      </c>
    </row>
    <row r="28" spans="1:7" x14ac:dyDescent="0.25">
      <c r="A28" t="s">
        <v>48</v>
      </c>
      <c r="B28">
        <f>SUM(B8,E8,B9,E9)</f>
        <v>62</v>
      </c>
      <c r="C28">
        <f>B28/12</f>
        <v>5.166666666666667</v>
      </c>
    </row>
    <row r="38" spans="1:2" x14ac:dyDescent="0.25">
      <c r="A38" s="3" t="s">
        <v>32</v>
      </c>
      <c r="B38" s="3">
        <v>400</v>
      </c>
    </row>
    <row r="39" spans="1:2" x14ac:dyDescent="0.25">
      <c r="A39" s="3" t="s">
        <v>33</v>
      </c>
      <c r="B39" s="3">
        <v>0.9</v>
      </c>
    </row>
    <row r="40" spans="1:2" x14ac:dyDescent="0.25">
      <c r="A40" s="3" t="s">
        <v>34</v>
      </c>
      <c r="B40" s="3">
        <f>B38/B39</f>
        <v>444.44444444444446</v>
      </c>
    </row>
    <row r="41" spans="1:2" x14ac:dyDescent="0.25">
      <c r="A41" s="3" t="s">
        <v>51</v>
      </c>
      <c r="B41" s="3">
        <f>B40/13</f>
        <v>34.188034188034187</v>
      </c>
    </row>
    <row r="42" spans="1:2" x14ac:dyDescent="0.25">
      <c r="A42" s="3" t="s">
        <v>35</v>
      </c>
      <c r="B42" s="3">
        <v>6</v>
      </c>
    </row>
    <row r="43" spans="1:2" x14ac:dyDescent="0.25">
      <c r="A43" s="3" t="s">
        <v>36</v>
      </c>
      <c r="B43" s="3">
        <f>B40/B42</f>
        <v>74.074074074074076</v>
      </c>
    </row>
    <row r="44" spans="1:2" x14ac:dyDescent="0.25">
      <c r="A44" s="3" t="s">
        <v>37</v>
      </c>
      <c r="B44" s="3">
        <f>B43/13</f>
        <v>5.6980056980056979</v>
      </c>
    </row>
    <row r="45" spans="1:2" x14ac:dyDescent="0.25">
      <c r="A45" s="3"/>
      <c r="B45" s="3"/>
    </row>
    <row r="46" spans="1:2" x14ac:dyDescent="0.25">
      <c r="A46" s="6" t="s">
        <v>50</v>
      </c>
      <c r="B46" s="6"/>
    </row>
    <row r="47" spans="1:2" x14ac:dyDescent="0.25">
      <c r="A47" t="s">
        <v>39</v>
      </c>
      <c r="B47">
        <v>2.5000000000000001E-2</v>
      </c>
    </row>
    <row r="48" spans="1:2" x14ac:dyDescent="0.25">
      <c r="A48" t="s">
        <v>40</v>
      </c>
      <c r="B48">
        <f>B43*B47</f>
        <v>1.8518518518518521</v>
      </c>
    </row>
    <row r="49" spans="1:3" x14ac:dyDescent="0.25">
      <c r="A49" t="s">
        <v>41</v>
      </c>
      <c r="B49">
        <f>B48/B44/B44</f>
        <v>5.7037500000000012E-2</v>
      </c>
    </row>
    <row r="50" spans="1:3" x14ac:dyDescent="0.25">
      <c r="A50" t="s">
        <v>42</v>
      </c>
      <c r="B50">
        <f>B49/F21</f>
        <v>1.3771629778672035E-2</v>
      </c>
    </row>
    <row r="51" spans="1:3" x14ac:dyDescent="0.25">
      <c r="A51" t="s">
        <v>52</v>
      </c>
      <c r="B51">
        <v>22</v>
      </c>
    </row>
    <row r="53" spans="1:3" x14ac:dyDescent="0.25">
      <c r="A53" t="s">
        <v>46</v>
      </c>
      <c r="B53">
        <v>2.5000000000000001E-2</v>
      </c>
      <c r="C53">
        <f>C54*I11</f>
        <v>6.7426400759734162E-3</v>
      </c>
    </row>
    <row r="54" spans="1:3" x14ac:dyDescent="0.25">
      <c r="A54" t="s">
        <v>47</v>
      </c>
      <c r="B54">
        <f>B53/I11</f>
        <v>1.7499999999999984E-2</v>
      </c>
      <c r="C54">
        <f>C55*B44</f>
        <v>4.7198480531813868E-3</v>
      </c>
    </row>
    <row r="55" spans="1:3" x14ac:dyDescent="0.25">
      <c r="A55" t="s">
        <v>4</v>
      </c>
      <c r="B55">
        <f>B54/B44</f>
        <v>3.0712499999999972E-3</v>
      </c>
      <c r="C55">
        <f>C56*F21</f>
        <v>8.2833333333333337E-4</v>
      </c>
    </row>
    <row r="56" spans="1:3" x14ac:dyDescent="0.25">
      <c r="A56" t="s">
        <v>42</v>
      </c>
      <c r="B56">
        <f>B55/F21</f>
        <v>7.4154929577464716E-4</v>
      </c>
      <c r="C56">
        <v>2.0000000000000001E-4</v>
      </c>
    </row>
    <row r="57" spans="1:3" x14ac:dyDescent="0.25">
      <c r="A57" t="s">
        <v>52</v>
      </c>
      <c r="B57">
        <v>8</v>
      </c>
      <c r="C57">
        <v>4</v>
      </c>
    </row>
    <row r="59" spans="1:3" x14ac:dyDescent="0.25">
      <c r="A59" s="7" t="s">
        <v>48</v>
      </c>
      <c r="B59" s="7"/>
    </row>
    <row r="60" spans="1:3" x14ac:dyDescent="0.25">
      <c r="A60" t="s">
        <v>39</v>
      </c>
      <c r="B60">
        <v>2.5000000000000001E-2</v>
      </c>
    </row>
    <row r="61" spans="1:3" x14ac:dyDescent="0.25">
      <c r="A61" t="s">
        <v>40</v>
      </c>
      <c r="B61">
        <f>B40*B60</f>
        <v>11.111111111111112</v>
      </c>
    </row>
    <row r="62" spans="1:3" x14ac:dyDescent="0.25">
      <c r="A62" t="s">
        <v>41</v>
      </c>
      <c r="B62">
        <f>B61/B41/B41</f>
        <v>9.5062500000000025E-3</v>
      </c>
    </row>
    <row r="63" spans="1:3" x14ac:dyDescent="0.25">
      <c r="A63" t="s">
        <v>42</v>
      </c>
      <c r="B63">
        <f>B62/C28</f>
        <v>1.83991935483871E-3</v>
      </c>
    </row>
    <row r="64" spans="1:3" x14ac:dyDescent="0.25">
      <c r="A64" t="s">
        <v>52</v>
      </c>
      <c r="B64">
        <v>12</v>
      </c>
    </row>
    <row r="66" spans="1:2" x14ac:dyDescent="0.25">
      <c r="A66" t="s">
        <v>46</v>
      </c>
      <c r="B66">
        <f>0.05-C53</f>
        <v>4.3257359924026587E-2</v>
      </c>
    </row>
    <row r="67" spans="1:2" x14ac:dyDescent="0.25">
      <c r="A67" t="s">
        <v>47</v>
      </c>
      <c r="B67">
        <f>B66/I11</f>
        <v>3.028015194681858E-2</v>
      </c>
    </row>
    <row r="68" spans="1:2" x14ac:dyDescent="0.25">
      <c r="A68" t="s">
        <v>4</v>
      </c>
      <c r="B68">
        <f>B67/B41</f>
        <v>8.8569444444444351E-4</v>
      </c>
    </row>
    <row r="69" spans="1:2" x14ac:dyDescent="0.25">
      <c r="A69" t="s">
        <v>42</v>
      </c>
      <c r="B69">
        <f>B68/C28</f>
        <v>1.7142473118279551E-4</v>
      </c>
    </row>
    <row r="70" spans="1:2" x14ac:dyDescent="0.25">
      <c r="A70" t="s">
        <v>52</v>
      </c>
      <c r="B70" s="4">
        <v>1</v>
      </c>
    </row>
  </sheetData>
  <mergeCells count="3">
    <mergeCell ref="A1:F1"/>
    <mergeCell ref="A46:B46"/>
    <mergeCell ref="A59:B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0770B-1F18-4A63-9374-ABBE8454C08B}">
  <dimension ref="A1:J70"/>
  <sheetViews>
    <sheetView workbookViewId="0">
      <selection activeCell="D22" sqref="D22"/>
    </sheetView>
  </sheetViews>
  <sheetFormatPr defaultRowHeight="15" x14ac:dyDescent="0.25"/>
  <cols>
    <col min="1" max="1" width="30.28515625" customWidth="1"/>
    <col min="2" max="2" width="21.7109375" customWidth="1"/>
    <col min="3" max="3" width="20.42578125" customWidth="1"/>
    <col min="4" max="4" width="26.42578125" customWidth="1"/>
    <col min="5" max="5" width="22" customWidth="1"/>
    <col min="6" max="6" width="21.5703125" customWidth="1"/>
    <col min="8" max="8" width="15" customWidth="1"/>
    <col min="9" max="9" width="13.5703125" customWidth="1"/>
    <col min="10" max="10" width="16.140625" customWidth="1"/>
  </cols>
  <sheetData>
    <row r="1" spans="1:10" x14ac:dyDescent="0.25">
      <c r="A1" s="5"/>
      <c r="B1" s="5"/>
      <c r="C1" s="5"/>
      <c r="D1" s="5"/>
      <c r="E1" s="5"/>
      <c r="F1" s="5"/>
    </row>
    <row r="2" spans="1:10" x14ac:dyDescent="0.25">
      <c r="A2" t="s">
        <v>0</v>
      </c>
      <c r="B2" t="s">
        <v>17</v>
      </c>
      <c r="C2" t="s">
        <v>4</v>
      </c>
      <c r="D2" t="s">
        <v>1</v>
      </c>
      <c r="E2" t="s">
        <v>17</v>
      </c>
      <c r="F2" t="s">
        <v>4</v>
      </c>
      <c r="H2" s="1" t="s">
        <v>18</v>
      </c>
      <c r="I2" s="1"/>
      <c r="J2" s="1"/>
    </row>
    <row r="3" spans="1:10" x14ac:dyDescent="0.25">
      <c r="A3" t="s">
        <v>2</v>
      </c>
      <c r="B3">
        <v>6.9</v>
      </c>
      <c r="D3" t="s">
        <v>3</v>
      </c>
      <c r="E3">
        <v>6.9</v>
      </c>
      <c r="H3" s="1" t="s">
        <v>19</v>
      </c>
      <c r="I3" s="1" t="s">
        <v>23</v>
      </c>
      <c r="J3" s="1" t="s">
        <v>22</v>
      </c>
    </row>
    <row r="4" spans="1:10" x14ac:dyDescent="0.25">
      <c r="A4" t="s">
        <v>5</v>
      </c>
      <c r="B4">
        <v>21.4</v>
      </c>
      <c r="D4" t="s">
        <v>9</v>
      </c>
      <c r="E4">
        <v>21.4</v>
      </c>
      <c r="H4" s="1">
        <v>0</v>
      </c>
      <c r="I4" s="1"/>
      <c r="J4" s="1"/>
    </row>
    <row r="5" spans="1:10" x14ac:dyDescent="0.25">
      <c r="A5" t="s">
        <v>6</v>
      </c>
      <c r="B5">
        <v>6.9</v>
      </c>
      <c r="D5" t="s">
        <v>10</v>
      </c>
      <c r="E5">
        <v>6.9</v>
      </c>
      <c r="H5" s="1">
        <v>2</v>
      </c>
      <c r="I5" s="1">
        <v>0.18</v>
      </c>
      <c r="J5" s="1">
        <f>I5/1000</f>
        <v>1.7999999999999998E-4</v>
      </c>
    </row>
    <row r="6" spans="1:10" x14ac:dyDescent="0.25">
      <c r="A6" t="s">
        <v>7</v>
      </c>
      <c r="B6">
        <v>21.4</v>
      </c>
      <c r="D6" t="s">
        <v>11</v>
      </c>
      <c r="E6">
        <v>21.4</v>
      </c>
      <c r="H6" s="1">
        <v>4</v>
      </c>
      <c r="I6" s="1">
        <v>0.28000000000000003</v>
      </c>
      <c r="J6" s="1">
        <f>I6/1000</f>
        <v>2.8000000000000003E-4</v>
      </c>
    </row>
    <row r="7" spans="1:10" x14ac:dyDescent="0.25">
      <c r="A7" t="s">
        <v>8</v>
      </c>
      <c r="B7">
        <v>6.9</v>
      </c>
      <c r="D7" t="s">
        <v>12</v>
      </c>
      <c r="E7">
        <v>6.9</v>
      </c>
    </row>
    <row r="8" spans="1:10" x14ac:dyDescent="0.25">
      <c r="A8" t="s">
        <v>13</v>
      </c>
      <c r="B8">
        <v>12</v>
      </c>
      <c r="D8" t="s">
        <v>14</v>
      </c>
      <c r="E8">
        <v>40</v>
      </c>
    </row>
    <row r="9" spans="1:10" x14ac:dyDescent="0.25">
      <c r="A9" t="s">
        <v>15</v>
      </c>
      <c r="B9">
        <v>10</v>
      </c>
      <c r="D9" t="s">
        <v>16</v>
      </c>
      <c r="E9">
        <v>10</v>
      </c>
      <c r="H9" t="s">
        <v>43</v>
      </c>
      <c r="I9">
        <v>13.6</v>
      </c>
      <c r="J9">
        <v>12.9</v>
      </c>
    </row>
    <row r="10" spans="1:10" x14ac:dyDescent="0.25">
      <c r="H10" t="s">
        <v>44</v>
      </c>
      <c r="I10">
        <v>1</v>
      </c>
      <c r="J10">
        <v>0</v>
      </c>
    </row>
    <row r="11" spans="1:10" x14ac:dyDescent="0.25">
      <c r="A11" t="s">
        <v>20</v>
      </c>
      <c r="B11">
        <f>SUM(B3:B9)</f>
        <v>85.5</v>
      </c>
      <c r="E11">
        <f>SUM(E3:E9)</f>
        <v>113.5</v>
      </c>
      <c r="H11" t="s">
        <v>45</v>
      </c>
      <c r="I11">
        <f>(I10-J10)/(I9-J9)</f>
        <v>1.4285714285714299</v>
      </c>
    </row>
    <row r="12" spans="1:10" x14ac:dyDescent="0.25">
      <c r="A12" t="s">
        <v>21</v>
      </c>
      <c r="B12">
        <f>B11/12</f>
        <v>7.125</v>
      </c>
      <c r="E12">
        <f>E11/12</f>
        <v>9.4583333333333339</v>
      </c>
      <c r="I12">
        <f>I11*0.7</f>
        <v>1.0000000000000009</v>
      </c>
    </row>
    <row r="13" spans="1:10" x14ac:dyDescent="0.25">
      <c r="H13" t="s">
        <v>38</v>
      </c>
    </row>
    <row r="16" spans="1:10" x14ac:dyDescent="0.25">
      <c r="A16" t="s">
        <v>19</v>
      </c>
      <c r="B16" t="s">
        <v>24</v>
      </c>
    </row>
    <row r="17" spans="1:7" x14ac:dyDescent="0.25">
      <c r="A17">
        <v>2</v>
      </c>
      <c r="B17">
        <f>B12*J5</f>
        <v>1.2824999999999998E-3</v>
      </c>
      <c r="E17">
        <f>E12*J5</f>
        <v>1.7025E-3</v>
      </c>
    </row>
    <row r="20" spans="1:7" x14ac:dyDescent="0.25">
      <c r="A20" s="2"/>
      <c r="B20" s="2" t="s">
        <v>0</v>
      </c>
      <c r="C20" s="2"/>
      <c r="D20" s="2" t="s">
        <v>1</v>
      </c>
      <c r="E20" s="2" t="s">
        <v>31</v>
      </c>
      <c r="F20" s="2" t="s">
        <v>49</v>
      </c>
      <c r="G20" s="2"/>
    </row>
    <row r="21" spans="1:7" x14ac:dyDescent="0.25">
      <c r="A21" t="s">
        <v>25</v>
      </c>
      <c r="B21">
        <f>0</f>
        <v>0</v>
      </c>
      <c r="D21">
        <f>SUM(E4,E6)</f>
        <v>42.8</v>
      </c>
      <c r="E21">
        <f>SUM(B21,D21)</f>
        <v>42.8</v>
      </c>
      <c r="F21">
        <f>E21/12</f>
        <v>3.5666666666666664</v>
      </c>
    </row>
    <row r="22" spans="1:7" x14ac:dyDescent="0.25">
      <c r="A22" t="s">
        <v>26</v>
      </c>
      <c r="B22">
        <f>B7</f>
        <v>6.9</v>
      </c>
      <c r="D22">
        <f>E4+E6+E7</f>
        <v>49.699999999999996</v>
      </c>
      <c r="E22">
        <f t="shared" ref="E22:E26" si="0">SUM(B22,D22)</f>
        <v>56.599999999999994</v>
      </c>
      <c r="F22">
        <f t="shared" ref="F22:F26" si="1">E22/12</f>
        <v>4.7166666666666659</v>
      </c>
    </row>
    <row r="23" spans="1:7" x14ac:dyDescent="0.25">
      <c r="A23" t="s">
        <v>27</v>
      </c>
      <c r="B23">
        <f>B6</f>
        <v>21.4</v>
      </c>
      <c r="D23">
        <f>E4</f>
        <v>21.4</v>
      </c>
      <c r="E23">
        <f t="shared" si="0"/>
        <v>42.8</v>
      </c>
      <c r="F23">
        <f t="shared" si="1"/>
        <v>3.5666666666666664</v>
      </c>
    </row>
    <row r="24" spans="1:7" x14ac:dyDescent="0.25">
      <c r="A24" t="s">
        <v>28</v>
      </c>
      <c r="B24">
        <f>SUM(B5,B6)</f>
        <v>28.299999999999997</v>
      </c>
      <c r="D24">
        <f>E4+E5</f>
        <v>28.299999999999997</v>
      </c>
      <c r="E24">
        <f t="shared" si="0"/>
        <v>56.599999999999994</v>
      </c>
      <c r="F24">
        <f t="shared" si="1"/>
        <v>4.7166666666666659</v>
      </c>
    </row>
    <row r="25" spans="1:7" x14ac:dyDescent="0.25">
      <c r="A25" t="s">
        <v>29</v>
      </c>
      <c r="B25">
        <f>SUM(B6,B4)</f>
        <v>42.8</v>
      </c>
      <c r="D25">
        <v>0</v>
      </c>
      <c r="E25">
        <f t="shared" si="0"/>
        <v>42.8</v>
      </c>
      <c r="F25">
        <f t="shared" si="1"/>
        <v>3.5666666666666664</v>
      </c>
    </row>
    <row r="26" spans="1:7" x14ac:dyDescent="0.25">
      <c r="A26" t="s">
        <v>30</v>
      </c>
      <c r="B26">
        <f>SUM(B6,B4,B3)</f>
        <v>49.699999999999996</v>
      </c>
      <c r="D26">
        <f>E3</f>
        <v>6.9</v>
      </c>
      <c r="E26">
        <f t="shared" si="0"/>
        <v>56.599999999999994</v>
      </c>
      <c r="F26">
        <f t="shared" si="1"/>
        <v>4.7166666666666659</v>
      </c>
    </row>
    <row r="28" spans="1:7" x14ac:dyDescent="0.25">
      <c r="A28" t="s">
        <v>48</v>
      </c>
      <c r="B28">
        <f>SUM(B8,E8,B9,E9)</f>
        <v>72</v>
      </c>
      <c r="C28">
        <f>B28/12</f>
        <v>6</v>
      </c>
    </row>
    <row r="38" spans="1:2" x14ac:dyDescent="0.25">
      <c r="A38" s="3" t="s">
        <v>32</v>
      </c>
      <c r="B38" s="3">
        <v>400</v>
      </c>
    </row>
    <row r="39" spans="1:2" x14ac:dyDescent="0.25">
      <c r="A39" s="3" t="s">
        <v>33</v>
      </c>
      <c r="B39" s="3">
        <v>0.9</v>
      </c>
    </row>
    <row r="40" spans="1:2" x14ac:dyDescent="0.25">
      <c r="A40" s="3" t="s">
        <v>34</v>
      </c>
      <c r="B40" s="3">
        <f>B38/B39</f>
        <v>444.44444444444446</v>
      </c>
    </row>
    <row r="41" spans="1:2" x14ac:dyDescent="0.25">
      <c r="A41" s="3" t="s">
        <v>51</v>
      </c>
      <c r="B41" s="3">
        <f>B40/13</f>
        <v>34.188034188034187</v>
      </c>
    </row>
    <row r="42" spans="1:2" x14ac:dyDescent="0.25">
      <c r="A42" s="3" t="s">
        <v>35</v>
      </c>
      <c r="B42" s="3">
        <v>6</v>
      </c>
    </row>
    <row r="43" spans="1:2" x14ac:dyDescent="0.25">
      <c r="A43" s="3" t="s">
        <v>36</v>
      </c>
      <c r="B43" s="3">
        <f>B40/B42</f>
        <v>74.074074074074076</v>
      </c>
    </row>
    <row r="44" spans="1:2" x14ac:dyDescent="0.25">
      <c r="A44" s="3" t="s">
        <v>37</v>
      </c>
      <c r="B44" s="3">
        <f>B43/13</f>
        <v>5.6980056980056979</v>
      </c>
    </row>
    <row r="45" spans="1:2" x14ac:dyDescent="0.25">
      <c r="A45" s="3"/>
      <c r="B45" s="3"/>
    </row>
    <row r="46" spans="1:2" x14ac:dyDescent="0.25">
      <c r="A46" s="6" t="s">
        <v>50</v>
      </c>
      <c r="B46" s="6"/>
    </row>
    <row r="47" spans="1:2" x14ac:dyDescent="0.25">
      <c r="A47" t="s">
        <v>39</v>
      </c>
      <c r="B47">
        <v>2.5000000000000001E-2</v>
      </c>
    </row>
    <row r="48" spans="1:2" x14ac:dyDescent="0.25">
      <c r="A48" t="s">
        <v>40</v>
      </c>
      <c r="B48">
        <f>B43*B47</f>
        <v>1.8518518518518521</v>
      </c>
    </row>
    <row r="49" spans="1:3" x14ac:dyDescent="0.25">
      <c r="A49" t="s">
        <v>41</v>
      </c>
      <c r="B49">
        <f>B48/B44/B44</f>
        <v>5.7037500000000012E-2</v>
      </c>
    </row>
    <row r="50" spans="1:3" x14ac:dyDescent="0.25">
      <c r="A50" t="s">
        <v>42</v>
      </c>
      <c r="B50">
        <f>B49/F21</f>
        <v>1.5991822429906547E-2</v>
      </c>
    </row>
    <row r="51" spans="1:3" x14ac:dyDescent="0.25">
      <c r="A51" t="s">
        <v>52</v>
      </c>
      <c r="B51">
        <v>22</v>
      </c>
    </row>
    <row r="53" spans="1:3" x14ac:dyDescent="0.25">
      <c r="A53" t="s">
        <v>46</v>
      </c>
      <c r="B53">
        <v>2.5000000000000001E-2</v>
      </c>
      <c r="C53">
        <f>C54*I11</f>
        <v>5.8065391398724785E-3</v>
      </c>
    </row>
    <row r="54" spans="1:3" x14ac:dyDescent="0.25">
      <c r="A54" t="s">
        <v>47</v>
      </c>
      <c r="B54">
        <f>B53/I11</f>
        <v>1.7499999999999984E-2</v>
      </c>
      <c r="C54">
        <f>C55*B44</f>
        <v>4.064577397910731E-3</v>
      </c>
    </row>
    <row r="55" spans="1:3" x14ac:dyDescent="0.25">
      <c r="A55" t="s">
        <v>4</v>
      </c>
      <c r="B55">
        <f>B54/B44</f>
        <v>3.0712499999999972E-3</v>
      </c>
      <c r="C55">
        <f>C56*F21</f>
        <v>7.1333333333333329E-4</v>
      </c>
    </row>
    <row r="56" spans="1:3" x14ac:dyDescent="0.25">
      <c r="A56" t="s">
        <v>42</v>
      </c>
      <c r="B56">
        <f>B55/F21</f>
        <v>8.6109813084112074E-4</v>
      </c>
      <c r="C56">
        <v>2.0000000000000001E-4</v>
      </c>
    </row>
    <row r="57" spans="1:3" x14ac:dyDescent="0.25">
      <c r="A57" t="s">
        <v>52</v>
      </c>
      <c r="B57">
        <v>8</v>
      </c>
      <c r="C57">
        <v>4</v>
      </c>
    </row>
    <row r="59" spans="1:3" x14ac:dyDescent="0.25">
      <c r="A59" s="7" t="s">
        <v>48</v>
      </c>
      <c r="B59" s="7"/>
    </row>
    <row r="60" spans="1:3" x14ac:dyDescent="0.25">
      <c r="A60" t="s">
        <v>39</v>
      </c>
      <c r="B60">
        <v>2.5000000000000001E-2</v>
      </c>
    </row>
    <row r="61" spans="1:3" x14ac:dyDescent="0.25">
      <c r="A61" t="s">
        <v>40</v>
      </c>
      <c r="B61">
        <f>B40*B60</f>
        <v>11.111111111111112</v>
      </c>
    </row>
    <row r="62" spans="1:3" x14ac:dyDescent="0.25">
      <c r="A62" t="s">
        <v>41</v>
      </c>
      <c r="B62">
        <f>B61/B41/B41</f>
        <v>9.5062500000000025E-3</v>
      </c>
    </row>
    <row r="63" spans="1:3" x14ac:dyDescent="0.25">
      <c r="A63" t="s">
        <v>42</v>
      </c>
      <c r="B63">
        <f>B62/C28</f>
        <v>1.5843750000000005E-3</v>
      </c>
    </row>
    <row r="64" spans="1:3" x14ac:dyDescent="0.25">
      <c r="A64" t="s">
        <v>52</v>
      </c>
      <c r="B64">
        <v>12</v>
      </c>
    </row>
    <row r="66" spans="1:2" x14ac:dyDescent="0.25">
      <c r="A66" t="s">
        <v>46</v>
      </c>
      <c r="B66">
        <f>0.05-C53</f>
        <v>4.4193460860127522E-2</v>
      </c>
    </row>
    <row r="67" spans="1:2" x14ac:dyDescent="0.25">
      <c r="A67" t="s">
        <v>47</v>
      </c>
      <c r="B67">
        <f>B66/I11</f>
        <v>3.0935422602089237E-2</v>
      </c>
    </row>
    <row r="68" spans="1:2" x14ac:dyDescent="0.25">
      <c r="A68" t="s">
        <v>4</v>
      </c>
      <c r="B68">
        <f>B67/B41</f>
        <v>9.0486111111111019E-4</v>
      </c>
    </row>
    <row r="69" spans="1:2" x14ac:dyDescent="0.25">
      <c r="A69" t="s">
        <v>42</v>
      </c>
      <c r="B69">
        <f>B68/C28</f>
        <v>1.5081018518518503E-4</v>
      </c>
    </row>
    <row r="70" spans="1:2" x14ac:dyDescent="0.25">
      <c r="A70" t="s">
        <v>52</v>
      </c>
      <c r="B70" s="4">
        <v>1</v>
      </c>
    </row>
  </sheetData>
  <mergeCells count="3">
    <mergeCell ref="A1:F1"/>
    <mergeCell ref="A46:B46"/>
    <mergeCell ref="A59:B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D6C8-C694-42DD-8484-9931CADBACA1}">
  <dimension ref="A1:J70"/>
  <sheetViews>
    <sheetView topLeftCell="A4" workbookViewId="0">
      <selection activeCell="B21" sqref="B21"/>
    </sheetView>
  </sheetViews>
  <sheetFormatPr defaultRowHeight="15" x14ac:dyDescent="0.25"/>
  <cols>
    <col min="1" max="1" width="21.5703125" customWidth="1"/>
    <col min="2" max="2" width="23.28515625" customWidth="1"/>
    <col min="3" max="3" width="17.42578125" customWidth="1"/>
    <col min="4" max="4" width="24.42578125" customWidth="1"/>
    <col min="5" max="5" width="19.85546875" customWidth="1"/>
    <col min="6" max="6" width="36.85546875" customWidth="1"/>
  </cols>
  <sheetData>
    <row r="1" spans="1:10" x14ac:dyDescent="0.25">
      <c r="A1" s="5"/>
      <c r="B1" s="5"/>
      <c r="C1" s="5"/>
      <c r="D1" s="5"/>
      <c r="E1" s="5"/>
      <c r="F1" s="5"/>
    </row>
    <row r="2" spans="1:10" x14ac:dyDescent="0.25">
      <c r="A2" t="s">
        <v>0</v>
      </c>
      <c r="B2" t="s">
        <v>17</v>
      </c>
      <c r="C2" t="s">
        <v>4</v>
      </c>
      <c r="D2" t="s">
        <v>1</v>
      </c>
      <c r="E2" t="s">
        <v>17</v>
      </c>
      <c r="F2" t="s">
        <v>4</v>
      </c>
      <c r="H2" s="1" t="s">
        <v>18</v>
      </c>
      <c r="I2" s="1"/>
      <c r="J2" s="1"/>
    </row>
    <row r="3" spans="1:10" x14ac:dyDescent="0.25">
      <c r="A3" t="s">
        <v>2</v>
      </c>
      <c r="B3">
        <v>6.9</v>
      </c>
      <c r="D3" t="s">
        <v>3</v>
      </c>
      <c r="E3">
        <v>6.9</v>
      </c>
      <c r="H3" s="1" t="s">
        <v>19</v>
      </c>
      <c r="I3" s="1" t="s">
        <v>23</v>
      </c>
      <c r="J3" s="1" t="s">
        <v>22</v>
      </c>
    </row>
    <row r="4" spans="1:10" x14ac:dyDescent="0.25">
      <c r="A4" t="s">
        <v>5</v>
      </c>
      <c r="B4">
        <v>16.399999999999999</v>
      </c>
      <c r="D4" t="s">
        <v>9</v>
      </c>
      <c r="E4">
        <v>21.4</v>
      </c>
      <c r="H4" s="1">
        <v>0</v>
      </c>
      <c r="I4" s="1"/>
      <c r="J4" s="1"/>
    </row>
    <row r="5" spans="1:10" x14ac:dyDescent="0.25">
      <c r="A5" t="s">
        <v>6</v>
      </c>
      <c r="B5">
        <v>6.9</v>
      </c>
      <c r="D5" t="s">
        <v>10</v>
      </c>
      <c r="E5">
        <v>6.9</v>
      </c>
      <c r="H5" s="1">
        <v>2</v>
      </c>
      <c r="I5" s="1">
        <v>0.18</v>
      </c>
      <c r="J5" s="1">
        <f>I5/1000</f>
        <v>1.7999999999999998E-4</v>
      </c>
    </row>
    <row r="6" spans="1:10" x14ac:dyDescent="0.25">
      <c r="A6" t="s">
        <v>7</v>
      </c>
      <c r="B6">
        <v>16.399999999999999</v>
      </c>
      <c r="D6" t="s">
        <v>11</v>
      </c>
      <c r="E6">
        <v>21.4</v>
      </c>
      <c r="H6" s="1">
        <v>4</v>
      </c>
      <c r="I6" s="1">
        <v>0.28000000000000003</v>
      </c>
      <c r="J6" s="1">
        <f>I6/1000</f>
        <v>2.8000000000000003E-4</v>
      </c>
    </row>
    <row r="7" spans="1:10" x14ac:dyDescent="0.25">
      <c r="A7" t="s">
        <v>8</v>
      </c>
      <c r="B7">
        <v>6.9</v>
      </c>
      <c r="D7" t="s">
        <v>12</v>
      </c>
      <c r="E7">
        <v>6.9</v>
      </c>
    </row>
    <row r="8" spans="1:10" x14ac:dyDescent="0.25">
      <c r="A8" t="s">
        <v>13</v>
      </c>
      <c r="B8">
        <v>12</v>
      </c>
      <c r="D8" t="s">
        <v>14</v>
      </c>
      <c r="E8">
        <v>40</v>
      </c>
    </row>
    <row r="9" spans="1:10" x14ac:dyDescent="0.25">
      <c r="A9" t="s">
        <v>15</v>
      </c>
      <c r="B9">
        <v>10</v>
      </c>
      <c r="D9" t="s">
        <v>16</v>
      </c>
      <c r="E9">
        <v>10</v>
      </c>
      <c r="H9" t="s">
        <v>43</v>
      </c>
      <c r="I9">
        <v>13.6</v>
      </c>
      <c r="J9">
        <v>12.9</v>
      </c>
    </row>
    <row r="10" spans="1:10" x14ac:dyDescent="0.25">
      <c r="H10" t="s">
        <v>44</v>
      </c>
      <c r="I10">
        <v>1</v>
      </c>
      <c r="J10">
        <v>0</v>
      </c>
    </row>
    <row r="11" spans="1:10" x14ac:dyDescent="0.25">
      <c r="A11" t="s">
        <v>20</v>
      </c>
      <c r="B11">
        <f>SUM(B3:B9)</f>
        <v>75.5</v>
      </c>
      <c r="E11">
        <f>SUM(E3:E9)</f>
        <v>113.5</v>
      </c>
      <c r="H11" t="s">
        <v>45</v>
      </c>
      <c r="I11">
        <f>(I10-J10)/(I9-J9)</f>
        <v>1.4285714285714299</v>
      </c>
    </row>
    <row r="12" spans="1:10" x14ac:dyDescent="0.25">
      <c r="A12" t="s">
        <v>21</v>
      </c>
      <c r="B12">
        <f>B11/12</f>
        <v>6.291666666666667</v>
      </c>
      <c r="E12">
        <f>E11/12</f>
        <v>9.4583333333333339</v>
      </c>
      <c r="I12">
        <f>I11*0.7</f>
        <v>1.0000000000000009</v>
      </c>
    </row>
    <row r="13" spans="1:10" x14ac:dyDescent="0.25">
      <c r="H13" t="s">
        <v>38</v>
      </c>
    </row>
    <row r="16" spans="1:10" x14ac:dyDescent="0.25">
      <c r="A16" t="s">
        <v>19</v>
      </c>
      <c r="B16" t="s">
        <v>24</v>
      </c>
    </row>
    <row r="17" spans="1:7" x14ac:dyDescent="0.25">
      <c r="A17">
        <v>2</v>
      </c>
      <c r="B17">
        <f>B12*J5</f>
        <v>1.1325E-3</v>
      </c>
      <c r="E17">
        <f>E12*J5</f>
        <v>1.7025E-3</v>
      </c>
    </row>
    <row r="20" spans="1:7" x14ac:dyDescent="0.25">
      <c r="A20" s="2"/>
      <c r="B20" s="2" t="s">
        <v>0</v>
      </c>
      <c r="C20" s="2"/>
      <c r="D20" s="2" t="s">
        <v>1</v>
      </c>
      <c r="E20" s="2" t="s">
        <v>31</v>
      </c>
      <c r="F20" s="2" t="s">
        <v>49</v>
      </c>
      <c r="G20" s="2"/>
    </row>
    <row r="21" spans="1:7" x14ac:dyDescent="0.25">
      <c r="A21" t="s">
        <v>25</v>
      </c>
      <c r="B21">
        <f>B7</f>
        <v>6.9</v>
      </c>
      <c r="D21">
        <f>SUM(E4,E6)</f>
        <v>42.8</v>
      </c>
      <c r="E21">
        <f>SUM(B21,D21)</f>
        <v>49.699999999999996</v>
      </c>
      <c r="F21">
        <f>E21/12</f>
        <v>4.1416666666666666</v>
      </c>
    </row>
    <row r="22" spans="1:7" x14ac:dyDescent="0.25">
      <c r="A22" t="s">
        <v>26</v>
      </c>
      <c r="B22">
        <v>0</v>
      </c>
      <c r="D22">
        <f>E4+E6+E7</f>
        <v>49.699999999999996</v>
      </c>
      <c r="E22">
        <f t="shared" ref="E22:E26" si="0">SUM(B22,D22)</f>
        <v>49.699999999999996</v>
      </c>
      <c r="F22">
        <f t="shared" ref="F22:F26" si="1">E22/12</f>
        <v>4.1416666666666666</v>
      </c>
    </row>
    <row r="23" spans="1:7" x14ac:dyDescent="0.25">
      <c r="A23" t="s">
        <v>27</v>
      </c>
      <c r="B23">
        <f>B6+B5</f>
        <v>23.299999999999997</v>
      </c>
      <c r="D23">
        <f>E4</f>
        <v>21.4</v>
      </c>
      <c r="E23">
        <f t="shared" si="0"/>
        <v>44.699999999999996</v>
      </c>
      <c r="F23">
        <f t="shared" si="1"/>
        <v>3.7249999999999996</v>
      </c>
    </row>
    <row r="24" spans="1:7" x14ac:dyDescent="0.25">
      <c r="A24" t="s">
        <v>28</v>
      </c>
      <c r="B24">
        <f>B6</f>
        <v>16.399999999999999</v>
      </c>
      <c r="D24">
        <f>E4+E5</f>
        <v>28.299999999999997</v>
      </c>
      <c r="E24">
        <f t="shared" si="0"/>
        <v>44.699999999999996</v>
      </c>
      <c r="F24">
        <f t="shared" si="1"/>
        <v>3.7249999999999996</v>
      </c>
    </row>
    <row r="25" spans="1:7" x14ac:dyDescent="0.25">
      <c r="A25" t="s">
        <v>29</v>
      </c>
      <c r="B25">
        <f>SUM(B6,B4,B3)</f>
        <v>39.699999999999996</v>
      </c>
      <c r="D25">
        <f>0</f>
        <v>0</v>
      </c>
      <c r="E25">
        <f t="shared" si="0"/>
        <v>39.699999999999996</v>
      </c>
      <c r="F25">
        <f t="shared" si="1"/>
        <v>3.3083333333333331</v>
      </c>
    </row>
    <row r="26" spans="1:7" x14ac:dyDescent="0.25">
      <c r="A26" t="s">
        <v>30</v>
      </c>
      <c r="B26">
        <f>B6+B4</f>
        <v>32.799999999999997</v>
      </c>
      <c r="D26">
        <f>E3</f>
        <v>6.9</v>
      </c>
      <c r="E26">
        <f t="shared" si="0"/>
        <v>39.699999999999996</v>
      </c>
      <c r="F26">
        <f t="shared" si="1"/>
        <v>3.3083333333333331</v>
      </c>
    </row>
    <row r="28" spans="1:7" x14ac:dyDescent="0.25">
      <c r="A28" t="s">
        <v>48</v>
      </c>
      <c r="B28">
        <f>SUM(B8,E8,B9,E9)</f>
        <v>72</v>
      </c>
      <c r="C28">
        <f>B28/12</f>
        <v>6</v>
      </c>
    </row>
    <row r="38" spans="1:2" x14ac:dyDescent="0.25">
      <c r="A38" s="3" t="s">
        <v>32</v>
      </c>
      <c r="B38" s="3">
        <v>400</v>
      </c>
    </row>
    <row r="39" spans="1:2" x14ac:dyDescent="0.25">
      <c r="A39" s="3" t="s">
        <v>33</v>
      </c>
      <c r="B39" s="3">
        <v>0.9</v>
      </c>
    </row>
    <row r="40" spans="1:2" x14ac:dyDescent="0.25">
      <c r="A40" s="3" t="s">
        <v>34</v>
      </c>
      <c r="B40" s="3">
        <f>B38/B39</f>
        <v>444.44444444444446</v>
      </c>
    </row>
    <row r="41" spans="1:2" x14ac:dyDescent="0.25">
      <c r="A41" s="3" t="s">
        <v>51</v>
      </c>
      <c r="B41" s="3">
        <f>B40/13</f>
        <v>34.188034188034187</v>
      </c>
    </row>
    <row r="42" spans="1:2" x14ac:dyDescent="0.25">
      <c r="A42" s="3" t="s">
        <v>35</v>
      </c>
      <c r="B42" s="3">
        <v>6</v>
      </c>
    </row>
    <row r="43" spans="1:2" x14ac:dyDescent="0.25">
      <c r="A43" s="3" t="s">
        <v>36</v>
      </c>
      <c r="B43" s="3">
        <f>B40/B42</f>
        <v>74.074074074074076</v>
      </c>
    </row>
    <row r="44" spans="1:2" x14ac:dyDescent="0.25">
      <c r="A44" s="3" t="s">
        <v>37</v>
      </c>
      <c r="B44" s="3">
        <f>B43/13</f>
        <v>5.6980056980056979</v>
      </c>
    </row>
    <row r="45" spans="1:2" x14ac:dyDescent="0.25">
      <c r="A45" s="3"/>
      <c r="B45" s="3"/>
    </row>
    <row r="46" spans="1:2" x14ac:dyDescent="0.25">
      <c r="A46" s="6" t="s">
        <v>50</v>
      </c>
      <c r="B46" s="6"/>
    </row>
    <row r="47" spans="1:2" x14ac:dyDescent="0.25">
      <c r="A47" t="s">
        <v>39</v>
      </c>
      <c r="B47">
        <v>2.5000000000000001E-2</v>
      </c>
    </row>
    <row r="48" spans="1:2" x14ac:dyDescent="0.25">
      <c r="A48" t="s">
        <v>40</v>
      </c>
      <c r="B48">
        <f>B43*B47</f>
        <v>1.8518518518518521</v>
      </c>
    </row>
    <row r="49" spans="1:3" x14ac:dyDescent="0.25">
      <c r="A49" t="s">
        <v>41</v>
      </c>
      <c r="B49">
        <f>B48/B44/B44</f>
        <v>5.7037500000000012E-2</v>
      </c>
    </row>
    <row r="50" spans="1:3" x14ac:dyDescent="0.25">
      <c r="A50" t="s">
        <v>42</v>
      </c>
      <c r="B50">
        <f>B49/F21</f>
        <v>1.3771629778672035E-2</v>
      </c>
    </row>
    <row r="51" spans="1:3" x14ac:dyDescent="0.25">
      <c r="A51" t="s">
        <v>52</v>
      </c>
      <c r="B51">
        <v>22</v>
      </c>
    </row>
    <row r="53" spans="1:3" x14ac:dyDescent="0.25">
      <c r="A53" t="s">
        <v>46</v>
      </c>
      <c r="B53">
        <v>2.5000000000000001E-2</v>
      </c>
      <c r="C53">
        <f>C54*I11</f>
        <v>6.7426400759734162E-3</v>
      </c>
    </row>
    <row r="54" spans="1:3" x14ac:dyDescent="0.25">
      <c r="A54" t="s">
        <v>47</v>
      </c>
      <c r="B54">
        <f>B53/I11</f>
        <v>1.7499999999999984E-2</v>
      </c>
      <c r="C54">
        <f>C55*B44</f>
        <v>4.7198480531813868E-3</v>
      </c>
    </row>
    <row r="55" spans="1:3" x14ac:dyDescent="0.25">
      <c r="A55" t="s">
        <v>4</v>
      </c>
      <c r="B55">
        <f>B54/B44</f>
        <v>3.0712499999999972E-3</v>
      </c>
      <c r="C55">
        <f>C56*F21</f>
        <v>8.2833333333333337E-4</v>
      </c>
    </row>
    <row r="56" spans="1:3" x14ac:dyDescent="0.25">
      <c r="A56" t="s">
        <v>42</v>
      </c>
      <c r="B56">
        <f>B55/F21</f>
        <v>7.4154929577464716E-4</v>
      </c>
      <c r="C56">
        <v>2.0000000000000001E-4</v>
      </c>
    </row>
    <row r="57" spans="1:3" x14ac:dyDescent="0.25">
      <c r="A57" t="s">
        <v>52</v>
      </c>
      <c r="B57">
        <v>8</v>
      </c>
      <c r="C57">
        <v>4</v>
      </c>
    </row>
    <row r="59" spans="1:3" x14ac:dyDescent="0.25">
      <c r="A59" s="7" t="s">
        <v>48</v>
      </c>
      <c r="B59" s="7"/>
    </row>
    <row r="60" spans="1:3" x14ac:dyDescent="0.25">
      <c r="A60" t="s">
        <v>39</v>
      </c>
      <c r="B60">
        <v>2.5000000000000001E-2</v>
      </c>
    </row>
    <row r="61" spans="1:3" x14ac:dyDescent="0.25">
      <c r="A61" t="s">
        <v>40</v>
      </c>
      <c r="B61">
        <f>B40*B60</f>
        <v>11.111111111111112</v>
      </c>
    </row>
    <row r="62" spans="1:3" x14ac:dyDescent="0.25">
      <c r="A62" t="s">
        <v>41</v>
      </c>
      <c r="B62">
        <f>B61/B41/B41</f>
        <v>9.5062500000000025E-3</v>
      </c>
    </row>
    <row r="63" spans="1:3" x14ac:dyDescent="0.25">
      <c r="A63" t="s">
        <v>42</v>
      </c>
      <c r="B63">
        <f>B62/C28</f>
        <v>1.5843750000000005E-3</v>
      </c>
    </row>
    <row r="64" spans="1:3" x14ac:dyDescent="0.25">
      <c r="A64" t="s">
        <v>52</v>
      </c>
      <c r="B64">
        <v>12</v>
      </c>
    </row>
    <row r="66" spans="1:2" x14ac:dyDescent="0.25">
      <c r="A66" t="s">
        <v>46</v>
      </c>
      <c r="B66">
        <f>0.05-C53</f>
        <v>4.3257359924026587E-2</v>
      </c>
    </row>
    <row r="67" spans="1:2" x14ac:dyDescent="0.25">
      <c r="A67" t="s">
        <v>47</v>
      </c>
      <c r="B67">
        <f>B66/I11</f>
        <v>3.028015194681858E-2</v>
      </c>
    </row>
    <row r="68" spans="1:2" x14ac:dyDescent="0.25">
      <c r="A68" t="s">
        <v>4</v>
      </c>
      <c r="B68">
        <f>B67/B41</f>
        <v>8.8569444444444351E-4</v>
      </c>
    </row>
    <row r="69" spans="1:2" x14ac:dyDescent="0.25">
      <c r="A69" t="s">
        <v>42</v>
      </c>
      <c r="B69">
        <f>B68/C28</f>
        <v>1.4761574074074058E-4</v>
      </c>
    </row>
    <row r="70" spans="1:2" x14ac:dyDescent="0.25">
      <c r="A70" t="s">
        <v>52</v>
      </c>
      <c r="B70" s="4">
        <v>1</v>
      </c>
    </row>
  </sheetData>
  <mergeCells count="3">
    <mergeCell ref="A1:F1"/>
    <mergeCell ref="A46:B46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5501-969E-4457-8943-F1CDAA34BA09}">
  <dimension ref="A1:J70"/>
  <sheetViews>
    <sheetView workbookViewId="0">
      <selection activeCell="B57" sqref="B57"/>
    </sheetView>
  </sheetViews>
  <sheetFormatPr defaultRowHeight="15" x14ac:dyDescent="0.25"/>
  <cols>
    <col min="1" max="1" width="20.7109375" customWidth="1"/>
    <col min="2" max="2" width="20" customWidth="1"/>
    <col min="3" max="3" width="20.85546875" customWidth="1"/>
    <col min="4" max="4" width="16.5703125" customWidth="1"/>
    <col min="5" max="5" width="21.28515625" customWidth="1"/>
    <col min="6" max="6" width="15.85546875" customWidth="1"/>
  </cols>
  <sheetData>
    <row r="1" spans="1:10" x14ac:dyDescent="0.25">
      <c r="A1" s="5"/>
      <c r="B1" s="5"/>
      <c r="C1" s="5"/>
      <c r="D1" s="5"/>
      <c r="E1" s="5"/>
      <c r="F1" s="5"/>
    </row>
    <row r="2" spans="1:10" x14ac:dyDescent="0.25">
      <c r="A2" t="s">
        <v>0</v>
      </c>
      <c r="B2" t="s">
        <v>17</v>
      </c>
      <c r="C2" t="s">
        <v>4</v>
      </c>
      <c r="D2" t="s">
        <v>1</v>
      </c>
      <c r="E2" t="s">
        <v>17</v>
      </c>
      <c r="F2" t="s">
        <v>4</v>
      </c>
      <c r="H2" s="1" t="s">
        <v>18</v>
      </c>
      <c r="I2" s="1"/>
      <c r="J2" s="1"/>
    </row>
    <row r="3" spans="1:10" x14ac:dyDescent="0.25">
      <c r="A3" t="s">
        <v>2</v>
      </c>
      <c r="B3">
        <v>6.9</v>
      </c>
      <c r="D3" t="s">
        <v>3</v>
      </c>
      <c r="E3">
        <v>6.9</v>
      </c>
      <c r="H3" s="1" t="s">
        <v>19</v>
      </c>
      <c r="I3" s="1" t="s">
        <v>23</v>
      </c>
      <c r="J3" s="1" t="s">
        <v>22</v>
      </c>
    </row>
    <row r="4" spans="1:10" x14ac:dyDescent="0.25">
      <c r="A4" t="s">
        <v>5</v>
      </c>
      <c r="B4">
        <v>21.4</v>
      </c>
      <c r="D4" t="s">
        <v>9</v>
      </c>
      <c r="E4">
        <v>21.4</v>
      </c>
      <c r="H4" s="1">
        <v>0</v>
      </c>
      <c r="I4" s="1"/>
      <c r="J4" s="1"/>
    </row>
    <row r="5" spans="1:10" x14ac:dyDescent="0.25">
      <c r="A5" t="s">
        <v>6</v>
      </c>
      <c r="B5">
        <v>6.9</v>
      </c>
      <c r="D5" t="s">
        <v>10</v>
      </c>
      <c r="E5">
        <v>6.9</v>
      </c>
      <c r="H5" s="1">
        <v>2</v>
      </c>
      <c r="I5" s="1">
        <v>0.18</v>
      </c>
      <c r="J5" s="1">
        <f>I5/1000</f>
        <v>1.7999999999999998E-4</v>
      </c>
    </row>
    <row r="6" spans="1:10" x14ac:dyDescent="0.25">
      <c r="A6" t="s">
        <v>7</v>
      </c>
      <c r="B6">
        <v>21.4</v>
      </c>
      <c r="D6" t="s">
        <v>11</v>
      </c>
      <c r="E6">
        <v>21.4</v>
      </c>
      <c r="H6" s="1">
        <v>4</v>
      </c>
      <c r="I6" s="1">
        <v>0.28000000000000003</v>
      </c>
      <c r="J6" s="1">
        <f>I6/1000</f>
        <v>2.8000000000000003E-4</v>
      </c>
    </row>
    <row r="7" spans="1:10" x14ac:dyDescent="0.25">
      <c r="A7" t="s">
        <v>8</v>
      </c>
      <c r="B7">
        <v>6.9</v>
      </c>
      <c r="D7" t="s">
        <v>12</v>
      </c>
      <c r="E7">
        <v>6.9</v>
      </c>
    </row>
    <row r="8" spans="1:10" x14ac:dyDescent="0.25">
      <c r="A8" t="s">
        <v>13</v>
      </c>
      <c r="B8">
        <v>12</v>
      </c>
      <c r="D8" t="s">
        <v>14</v>
      </c>
      <c r="E8">
        <v>40</v>
      </c>
    </row>
    <row r="9" spans="1:10" x14ac:dyDescent="0.25">
      <c r="A9" t="s">
        <v>15</v>
      </c>
      <c r="B9">
        <v>10</v>
      </c>
      <c r="D9" t="s">
        <v>16</v>
      </c>
      <c r="E9">
        <v>10</v>
      </c>
      <c r="H9" t="s">
        <v>43</v>
      </c>
      <c r="I9">
        <v>13.6</v>
      </c>
      <c r="J9">
        <v>12.9</v>
      </c>
    </row>
    <row r="10" spans="1:10" x14ac:dyDescent="0.25">
      <c r="H10" t="s">
        <v>44</v>
      </c>
      <c r="I10">
        <v>1</v>
      </c>
      <c r="J10">
        <v>0</v>
      </c>
    </row>
    <row r="11" spans="1:10" x14ac:dyDescent="0.25">
      <c r="A11" t="s">
        <v>20</v>
      </c>
      <c r="B11">
        <f>SUM(B3:B9)</f>
        <v>85.5</v>
      </c>
      <c r="E11">
        <f>SUM(E3:E9)</f>
        <v>113.5</v>
      </c>
      <c r="H11" t="s">
        <v>45</v>
      </c>
      <c r="I11">
        <f>(I10-J10)/(I9-J9)</f>
        <v>1.4285714285714299</v>
      </c>
    </row>
    <row r="12" spans="1:10" x14ac:dyDescent="0.25">
      <c r="A12" t="s">
        <v>21</v>
      </c>
      <c r="B12">
        <f>B11/12</f>
        <v>7.125</v>
      </c>
      <c r="E12">
        <f>E11/12</f>
        <v>9.4583333333333339</v>
      </c>
      <c r="I12">
        <f>I11*0.7</f>
        <v>1.0000000000000009</v>
      </c>
    </row>
    <row r="13" spans="1:10" x14ac:dyDescent="0.25">
      <c r="H13" t="s">
        <v>38</v>
      </c>
    </row>
    <row r="16" spans="1:10" x14ac:dyDescent="0.25">
      <c r="A16" t="s">
        <v>19</v>
      </c>
      <c r="B16" t="s">
        <v>24</v>
      </c>
    </row>
    <row r="17" spans="1:7" x14ac:dyDescent="0.25">
      <c r="A17">
        <v>2</v>
      </c>
      <c r="B17">
        <f>B12*J5</f>
        <v>1.2824999999999998E-3</v>
      </c>
      <c r="E17">
        <f>E12*J5</f>
        <v>1.7025E-3</v>
      </c>
    </row>
    <row r="20" spans="1:7" x14ac:dyDescent="0.25">
      <c r="A20" s="2"/>
      <c r="B20" s="2" t="s">
        <v>0</v>
      </c>
      <c r="C20" s="2"/>
      <c r="D20" s="2" t="s">
        <v>1</v>
      </c>
      <c r="E20" s="2" t="s">
        <v>31</v>
      </c>
      <c r="F20" s="2" t="s">
        <v>49</v>
      </c>
      <c r="G20" s="2"/>
    </row>
    <row r="21" spans="1:7" x14ac:dyDescent="0.25">
      <c r="A21" t="s">
        <v>25</v>
      </c>
      <c r="B21">
        <f>B6+B5</f>
        <v>28.299999999999997</v>
      </c>
      <c r="D21">
        <f>E3</f>
        <v>6.9</v>
      </c>
      <c r="E21">
        <f>SUM(B21,D21)</f>
        <v>35.199999999999996</v>
      </c>
      <c r="F21">
        <f>E21/12</f>
        <v>2.9333333333333331</v>
      </c>
    </row>
    <row r="22" spans="1:7" x14ac:dyDescent="0.25">
      <c r="A22" t="s">
        <v>26</v>
      </c>
      <c r="B22">
        <f>B6+B5+B7</f>
        <v>35.199999999999996</v>
      </c>
      <c r="D22">
        <f>E6+E7</f>
        <v>28.299999999999997</v>
      </c>
      <c r="E22">
        <f t="shared" ref="E22:E26" si="0">SUM(B22,D22)</f>
        <v>63.499999999999993</v>
      </c>
      <c r="F22">
        <f t="shared" ref="F22:F26" si="1">E22/12</f>
        <v>5.2916666666666661</v>
      </c>
    </row>
    <row r="23" spans="1:7" x14ac:dyDescent="0.25">
      <c r="A23" t="s">
        <v>27</v>
      </c>
      <c r="B23">
        <f>B5</f>
        <v>6.9</v>
      </c>
      <c r="D23">
        <v>0</v>
      </c>
      <c r="E23">
        <f t="shared" si="0"/>
        <v>6.9</v>
      </c>
      <c r="F23">
        <f t="shared" si="1"/>
        <v>0.57500000000000007</v>
      </c>
    </row>
    <row r="24" spans="1:7" x14ac:dyDescent="0.25">
      <c r="A24" t="s">
        <v>28</v>
      </c>
      <c r="B24">
        <v>0</v>
      </c>
      <c r="D24">
        <f>E5</f>
        <v>6.9</v>
      </c>
      <c r="E24">
        <f t="shared" si="0"/>
        <v>6.9</v>
      </c>
      <c r="F24">
        <f t="shared" si="1"/>
        <v>0.57500000000000007</v>
      </c>
    </row>
    <row r="25" spans="1:7" x14ac:dyDescent="0.25">
      <c r="A25" t="s">
        <v>29</v>
      </c>
      <c r="B25">
        <f>B4+B5</f>
        <v>28.299999999999997</v>
      </c>
      <c r="D25">
        <f>E4</f>
        <v>21.4</v>
      </c>
      <c r="E25">
        <f t="shared" si="0"/>
        <v>49.699999999999996</v>
      </c>
      <c r="F25">
        <f t="shared" si="1"/>
        <v>4.1416666666666666</v>
      </c>
    </row>
    <row r="26" spans="1:7" x14ac:dyDescent="0.25">
      <c r="A26" t="s">
        <v>30</v>
      </c>
      <c r="B26">
        <f>B4+B3+B5</f>
        <v>35.199999999999996</v>
      </c>
      <c r="D26">
        <f>E4+E3</f>
        <v>28.299999999999997</v>
      </c>
      <c r="E26">
        <f t="shared" si="0"/>
        <v>63.499999999999993</v>
      </c>
      <c r="F26">
        <f t="shared" si="1"/>
        <v>5.2916666666666661</v>
      </c>
    </row>
    <row r="28" spans="1:7" x14ac:dyDescent="0.25">
      <c r="A28" t="s">
        <v>48</v>
      </c>
      <c r="B28">
        <f>SUM(B8,E8,B9,E9)</f>
        <v>72</v>
      </c>
      <c r="C28">
        <f>B28/12</f>
        <v>6</v>
      </c>
    </row>
    <row r="38" spans="1:2" x14ac:dyDescent="0.25">
      <c r="A38" s="3" t="s">
        <v>32</v>
      </c>
      <c r="B38" s="3">
        <v>400</v>
      </c>
    </row>
    <row r="39" spans="1:2" x14ac:dyDescent="0.25">
      <c r="A39" s="3" t="s">
        <v>33</v>
      </c>
      <c r="B39" s="3">
        <v>0.9</v>
      </c>
    </row>
    <row r="40" spans="1:2" x14ac:dyDescent="0.25">
      <c r="A40" s="3" t="s">
        <v>34</v>
      </c>
      <c r="B40" s="3">
        <f>B38/B39</f>
        <v>444.44444444444446</v>
      </c>
    </row>
    <row r="41" spans="1:2" x14ac:dyDescent="0.25">
      <c r="A41" s="3" t="s">
        <v>51</v>
      </c>
      <c r="B41" s="3">
        <f>B40/13</f>
        <v>34.188034188034187</v>
      </c>
    </row>
    <row r="42" spans="1:2" x14ac:dyDescent="0.25">
      <c r="A42" s="3" t="s">
        <v>35</v>
      </c>
      <c r="B42" s="3">
        <v>6</v>
      </c>
    </row>
    <row r="43" spans="1:2" x14ac:dyDescent="0.25">
      <c r="A43" s="3" t="s">
        <v>36</v>
      </c>
      <c r="B43" s="3">
        <f>B40/B42</f>
        <v>74.074074074074076</v>
      </c>
    </row>
    <row r="44" spans="1:2" x14ac:dyDescent="0.25">
      <c r="A44" s="3" t="s">
        <v>37</v>
      </c>
      <c r="B44" s="3">
        <f>B43/13</f>
        <v>5.6980056980056979</v>
      </c>
    </row>
    <row r="45" spans="1:2" x14ac:dyDescent="0.25">
      <c r="A45" s="3"/>
      <c r="B45" s="3"/>
    </row>
    <row r="46" spans="1:2" x14ac:dyDescent="0.25">
      <c r="A46" s="6" t="s">
        <v>50</v>
      </c>
      <c r="B46" s="6"/>
    </row>
    <row r="47" spans="1:2" x14ac:dyDescent="0.25">
      <c r="A47" t="s">
        <v>39</v>
      </c>
      <c r="B47">
        <v>2.5000000000000001E-2</v>
      </c>
    </row>
    <row r="48" spans="1:2" x14ac:dyDescent="0.25">
      <c r="A48" t="s">
        <v>40</v>
      </c>
      <c r="B48">
        <f>B43*B47</f>
        <v>1.8518518518518521</v>
      </c>
    </row>
    <row r="49" spans="1:3" x14ac:dyDescent="0.25">
      <c r="A49" t="s">
        <v>41</v>
      </c>
      <c r="B49">
        <f>B48/B44/B44</f>
        <v>5.7037500000000012E-2</v>
      </c>
    </row>
    <row r="50" spans="1:3" x14ac:dyDescent="0.25">
      <c r="A50" t="s">
        <v>42</v>
      </c>
      <c r="B50">
        <f>B49/F21</f>
        <v>1.9444602272727277E-2</v>
      </c>
    </row>
    <row r="51" spans="1:3" x14ac:dyDescent="0.25">
      <c r="A51" t="s">
        <v>52</v>
      </c>
      <c r="B51">
        <v>22</v>
      </c>
    </row>
    <row r="53" spans="1:3" x14ac:dyDescent="0.25">
      <c r="A53" t="s">
        <v>46</v>
      </c>
      <c r="B53">
        <v>2.5000000000000001E-2</v>
      </c>
      <c r="C53">
        <f>C54*I11</f>
        <v>4.7754714421381133E-3</v>
      </c>
    </row>
    <row r="54" spans="1:3" x14ac:dyDescent="0.25">
      <c r="A54" t="s">
        <v>47</v>
      </c>
      <c r="B54">
        <f>B53/I11</f>
        <v>1.7499999999999984E-2</v>
      </c>
      <c r="C54">
        <f>C55*B44</f>
        <v>3.3428300094966762E-3</v>
      </c>
    </row>
    <row r="55" spans="1:3" x14ac:dyDescent="0.25">
      <c r="A55" t="s">
        <v>4</v>
      </c>
      <c r="B55">
        <f>B54/B44</f>
        <v>3.0712499999999972E-3</v>
      </c>
      <c r="C55">
        <f>C56*F21</f>
        <v>5.8666666666666665E-4</v>
      </c>
    </row>
    <row r="56" spans="1:3" x14ac:dyDescent="0.25">
      <c r="A56" t="s">
        <v>42</v>
      </c>
      <c r="B56">
        <f>B55/F21</f>
        <v>1.0470170454545446E-3</v>
      </c>
      <c r="C56">
        <v>2.0000000000000001E-4</v>
      </c>
    </row>
    <row r="57" spans="1:3" x14ac:dyDescent="0.25">
      <c r="A57" t="s">
        <v>52</v>
      </c>
      <c r="B57">
        <v>8</v>
      </c>
      <c r="C57">
        <v>4</v>
      </c>
    </row>
    <row r="59" spans="1:3" x14ac:dyDescent="0.25">
      <c r="A59" s="7" t="s">
        <v>48</v>
      </c>
      <c r="B59" s="7"/>
    </row>
    <row r="60" spans="1:3" x14ac:dyDescent="0.25">
      <c r="A60" t="s">
        <v>39</v>
      </c>
      <c r="B60">
        <v>2.5000000000000001E-2</v>
      </c>
    </row>
    <row r="61" spans="1:3" x14ac:dyDescent="0.25">
      <c r="A61" t="s">
        <v>40</v>
      </c>
      <c r="B61">
        <f>B40*B60</f>
        <v>11.111111111111112</v>
      </c>
    </row>
    <row r="62" spans="1:3" x14ac:dyDescent="0.25">
      <c r="A62" t="s">
        <v>41</v>
      </c>
      <c r="B62">
        <f>B61/B41/B41</f>
        <v>9.5062500000000025E-3</v>
      </c>
    </row>
    <row r="63" spans="1:3" x14ac:dyDescent="0.25">
      <c r="A63" t="s">
        <v>42</v>
      </c>
      <c r="B63">
        <f>B62/C28</f>
        <v>1.5843750000000005E-3</v>
      </c>
    </row>
    <row r="64" spans="1:3" x14ac:dyDescent="0.25">
      <c r="A64" t="s">
        <v>52</v>
      </c>
      <c r="B64">
        <v>12</v>
      </c>
    </row>
    <row r="66" spans="1:2" x14ac:dyDescent="0.25">
      <c r="A66" t="s">
        <v>46</v>
      </c>
      <c r="B66">
        <f>0.05-C53</f>
        <v>4.5224528557861889E-2</v>
      </c>
    </row>
    <row r="67" spans="1:2" x14ac:dyDescent="0.25">
      <c r="A67" t="s">
        <v>47</v>
      </c>
      <c r="B67">
        <f>B66/I11</f>
        <v>3.1657169990503289E-2</v>
      </c>
    </row>
    <row r="68" spans="1:2" x14ac:dyDescent="0.25">
      <c r="A68" t="s">
        <v>4</v>
      </c>
      <c r="B68">
        <f>B67/B41</f>
        <v>9.2597222222222126E-4</v>
      </c>
    </row>
    <row r="69" spans="1:2" x14ac:dyDescent="0.25">
      <c r="A69" t="s">
        <v>42</v>
      </c>
      <c r="B69">
        <f>B68/C28</f>
        <v>1.5432870370370353E-4</v>
      </c>
    </row>
    <row r="70" spans="1:2" x14ac:dyDescent="0.25">
      <c r="A70" t="s">
        <v>52</v>
      </c>
      <c r="B70" s="4">
        <v>1</v>
      </c>
    </row>
  </sheetData>
  <mergeCells count="3">
    <mergeCell ref="A1:F1"/>
    <mergeCell ref="A46:B46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Opposite side routed L2+L4</vt:lpstr>
      <vt:lpstr>Sheet4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McClure</dc:creator>
  <cp:lastModifiedBy>James McClure</cp:lastModifiedBy>
  <dcterms:created xsi:type="dcterms:W3CDTF">2022-09-22T18:55:30Z</dcterms:created>
  <dcterms:modified xsi:type="dcterms:W3CDTF">2022-10-19T23:59:56Z</dcterms:modified>
</cp:coreProperties>
</file>