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durkin/Projects/EXPORTS_2/EXPORTS2_DNA/PCRproduct_quantification/"/>
    </mc:Choice>
  </mc:AlternateContent>
  <xr:revisionPtr revIDLastSave="0" documentId="13_ncr:1_{FBA232EE-7D19-AC4F-AC97-5AD07DBBC77A}" xr6:coauthVersionLast="47" xr6:coauthVersionMax="47" xr10:uidLastSave="{00000000-0000-0000-0000-000000000000}"/>
  <bookViews>
    <workbookView xWindow="31320" yWindow="3500" windowWidth="29860" windowHeight="19680" tabRatio="500" activeTab="1" xr2:uid="{00000000-000D-0000-FFFF-FFFF00000000}"/>
  </bookViews>
  <sheets>
    <sheet name="2plates" sheetId="3" r:id="rId1"/>
    <sheet name="1-6" sheetId="1" r:id="rId2"/>
    <sheet name="7-12" sheetId="4" r:id="rId3"/>
  </sheets>
  <definedNames>
    <definedName name="KRIS3_18s" localSheetId="1">'1-6'!$A$14:$P$23</definedName>
    <definedName name="KRIS3_18s" localSheetId="2">'7-12'!$A$14:$P$23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1" i="1" l="1"/>
  <c r="B51" i="1"/>
  <c r="C52" i="1"/>
  <c r="B52" i="1"/>
  <c r="C53" i="1"/>
  <c r="B53" i="1"/>
  <c r="C54" i="1"/>
  <c r="B54" i="1"/>
  <c r="C55" i="1"/>
  <c r="B55" i="1"/>
  <c r="C56" i="1"/>
  <c r="B56" i="1"/>
  <c r="C57" i="1"/>
  <c r="B57" i="1"/>
  <c r="C58" i="1"/>
  <c r="B58" i="1"/>
  <c r="D53" i="1"/>
  <c r="B41" i="1"/>
  <c r="P60" i="4"/>
  <c r="C35" i="4"/>
  <c r="B35" i="4"/>
  <c r="D35" i="4" s="1"/>
  <c r="C34" i="4"/>
  <c r="B34" i="4"/>
  <c r="D34" i="4" s="1"/>
  <c r="C33" i="4"/>
  <c r="B33" i="4"/>
  <c r="C32" i="4"/>
  <c r="B32" i="4"/>
  <c r="D32" i="4" s="1"/>
  <c r="C31" i="4"/>
  <c r="B31" i="4"/>
  <c r="A31" i="4"/>
  <c r="C30" i="4"/>
  <c r="D30" i="4" s="1"/>
  <c r="B30" i="4"/>
  <c r="C29" i="4"/>
  <c r="B29" i="4"/>
  <c r="D29" i="4" s="1"/>
  <c r="C28" i="4"/>
  <c r="B28" i="4"/>
  <c r="D28" i="4" s="1"/>
  <c r="A28" i="4"/>
  <c r="F11" i="4"/>
  <c r="A11" i="4"/>
  <c r="A35" i="4" s="1"/>
  <c r="F10" i="4"/>
  <c r="A10" i="4"/>
  <c r="A34" i="4" s="1"/>
  <c r="F9" i="4"/>
  <c r="A9" i="4" s="1"/>
  <c r="A33" i="4" s="1"/>
  <c r="F8" i="4"/>
  <c r="A8" i="4"/>
  <c r="A32" i="4" s="1"/>
  <c r="F7" i="4"/>
  <c r="A7" i="4"/>
  <c r="F6" i="4"/>
  <c r="A6" i="4"/>
  <c r="A30" i="4" s="1"/>
  <c r="F5" i="4"/>
  <c r="A5" i="4" s="1"/>
  <c r="A29" i="4" s="1"/>
  <c r="F4" i="4"/>
  <c r="A4" i="4"/>
  <c r="A5" i="1"/>
  <c r="A6" i="1"/>
  <c r="A7" i="1"/>
  <c r="A8" i="1"/>
  <c r="A9" i="1"/>
  <c r="A10" i="1"/>
  <c r="F5" i="1"/>
  <c r="F6" i="1"/>
  <c r="F7" i="1"/>
  <c r="F8" i="1"/>
  <c r="F9" i="1"/>
  <c r="F10" i="1"/>
  <c r="F11" i="1"/>
  <c r="A11" i="1" s="1"/>
  <c r="F4" i="1"/>
  <c r="A4" i="1" s="1"/>
  <c r="D31" i="4" l="1"/>
  <c r="D33" i="4"/>
  <c r="B43" i="4"/>
  <c r="B42" i="4"/>
  <c r="B41" i="4"/>
  <c r="B33" i="1"/>
  <c r="C33" i="1"/>
  <c r="D33" i="1"/>
  <c r="B34" i="1"/>
  <c r="C34" i="1"/>
  <c r="B35" i="1"/>
  <c r="C35" i="1"/>
  <c r="D35" i="1"/>
  <c r="A33" i="1"/>
  <c r="A34" i="1"/>
  <c r="A35" i="1"/>
  <c r="A28" i="1"/>
  <c r="E45" i="3"/>
  <c r="H45" i="3" s="1"/>
  <c r="F44" i="3"/>
  <c r="G45" i="3"/>
  <c r="E44" i="3"/>
  <c r="H44" i="3" s="1"/>
  <c r="P60" i="1"/>
  <c r="C42" i="3" s="1"/>
  <c r="D19" i="3"/>
  <c r="E19" i="3" s="1"/>
  <c r="C19" i="3"/>
  <c r="D18" i="3"/>
  <c r="C18" i="3"/>
  <c r="F18" i="3" s="1"/>
  <c r="G18" i="3" s="1"/>
  <c r="H18" i="3" s="1"/>
  <c r="I18" i="3" s="1"/>
  <c r="E18" i="3"/>
  <c r="D17" i="3"/>
  <c r="F17" i="3" s="1"/>
  <c r="G17" i="3" s="1"/>
  <c r="H17" i="3" s="1"/>
  <c r="I17" i="3" s="1"/>
  <c r="C17" i="3"/>
  <c r="D16" i="3"/>
  <c r="C16" i="3"/>
  <c r="D15" i="3"/>
  <c r="C15" i="3"/>
  <c r="A29" i="1"/>
  <c r="A30" i="1"/>
  <c r="A31" i="1"/>
  <c r="A32" i="1"/>
  <c r="B28" i="1"/>
  <c r="B29" i="1"/>
  <c r="C29" i="1"/>
  <c r="B30" i="1"/>
  <c r="C30" i="1"/>
  <c r="B31" i="1"/>
  <c r="C31" i="1"/>
  <c r="B32" i="1"/>
  <c r="C32" i="1"/>
  <c r="C28" i="1"/>
  <c r="D34" i="1" l="1"/>
  <c r="E17" i="3"/>
  <c r="F15" i="3"/>
  <c r="G15" i="3" s="1"/>
  <c r="H15" i="3" s="1"/>
  <c r="I15" i="3" s="1"/>
  <c r="F16" i="3"/>
  <c r="G16" i="3" s="1"/>
  <c r="H16" i="3" s="1"/>
  <c r="I16" i="3" s="1"/>
  <c r="K58" i="4"/>
  <c r="B101" i="4" s="1"/>
  <c r="M57" i="4"/>
  <c r="B116" i="4" s="1"/>
  <c r="C57" i="4"/>
  <c r="E56" i="4"/>
  <c r="G55" i="4"/>
  <c r="I54" i="4"/>
  <c r="B81" i="4" s="1"/>
  <c r="K53" i="4"/>
  <c r="B96" i="4" s="1"/>
  <c r="M52" i="4"/>
  <c r="B111" i="4" s="1"/>
  <c r="C52" i="4"/>
  <c r="E51" i="4"/>
  <c r="I58" i="4"/>
  <c r="B85" i="4" s="1"/>
  <c r="M56" i="4"/>
  <c r="B115" i="4" s="1"/>
  <c r="E55" i="4"/>
  <c r="K52" i="4"/>
  <c r="B95" i="4" s="1"/>
  <c r="J57" i="4"/>
  <c r="B92" i="4" s="1"/>
  <c r="F54" i="4"/>
  <c r="B51" i="4"/>
  <c r="G56" i="4"/>
  <c r="J58" i="4"/>
  <c r="B93" i="4" s="1"/>
  <c r="L57" i="4"/>
  <c r="B108" i="4" s="1"/>
  <c r="B57" i="4"/>
  <c r="D56" i="4"/>
  <c r="F55" i="4"/>
  <c r="H54" i="4"/>
  <c r="B73" i="4" s="1"/>
  <c r="J53" i="4"/>
  <c r="B88" i="4" s="1"/>
  <c r="L52" i="4"/>
  <c r="B103" i="4" s="1"/>
  <c r="B52" i="4"/>
  <c r="D51" i="4"/>
  <c r="K57" i="4"/>
  <c r="B100" i="4" s="1"/>
  <c r="C56" i="4"/>
  <c r="G54" i="4"/>
  <c r="I53" i="4"/>
  <c r="B80" i="4" s="1"/>
  <c r="M51" i="4"/>
  <c r="B110" i="4" s="1"/>
  <c r="C51" i="4"/>
  <c r="L56" i="4"/>
  <c r="B107" i="4" s="1"/>
  <c r="H53" i="4"/>
  <c r="B72" i="4" s="1"/>
  <c r="E57" i="4"/>
  <c r="I55" i="4"/>
  <c r="B82" i="4" s="1"/>
  <c r="L53" i="4"/>
  <c r="B104" i="4" s="1"/>
  <c r="H58" i="4"/>
  <c r="B77" i="4" s="1"/>
  <c r="B56" i="4"/>
  <c r="D55" i="4"/>
  <c r="J52" i="4"/>
  <c r="B87" i="4" s="1"/>
  <c r="L51" i="4"/>
  <c r="B102" i="4" s="1"/>
  <c r="M53" i="4"/>
  <c r="B112" i="4" s="1"/>
  <c r="G51" i="4"/>
  <c r="D57" i="4"/>
  <c r="B53" i="4"/>
  <c r="G58" i="4"/>
  <c r="I57" i="4"/>
  <c r="B84" i="4" s="1"/>
  <c r="K56" i="4"/>
  <c r="B99" i="4" s="1"/>
  <c r="M55" i="4"/>
  <c r="B114" i="4" s="1"/>
  <c r="C55" i="4"/>
  <c r="E54" i="4"/>
  <c r="G53" i="4"/>
  <c r="I52" i="4"/>
  <c r="B79" i="4" s="1"/>
  <c r="K51" i="4"/>
  <c r="B94" i="4" s="1"/>
  <c r="C58" i="4"/>
  <c r="F56" i="4"/>
  <c r="H55" i="4"/>
  <c r="B74" i="4" s="1"/>
  <c r="F51" i="4"/>
  <c r="F58" i="4"/>
  <c r="H57" i="4"/>
  <c r="B76" i="4" s="1"/>
  <c r="J56" i="4"/>
  <c r="B91" i="4" s="1"/>
  <c r="L55" i="4"/>
  <c r="B106" i="4" s="1"/>
  <c r="B55" i="4"/>
  <c r="D54" i="4"/>
  <c r="F53" i="4"/>
  <c r="H52" i="4"/>
  <c r="B71" i="4" s="1"/>
  <c r="J51" i="4"/>
  <c r="B86" i="4" s="1"/>
  <c r="K54" i="4"/>
  <c r="B97" i="4" s="1"/>
  <c r="L58" i="4"/>
  <c r="B109" i="4" s="1"/>
  <c r="D52" i="4"/>
  <c r="E58" i="4"/>
  <c r="G57" i="4"/>
  <c r="I56" i="4"/>
  <c r="B83" i="4" s="1"/>
  <c r="K55" i="4"/>
  <c r="B98" i="4" s="1"/>
  <c r="M54" i="4"/>
  <c r="B113" i="4" s="1"/>
  <c r="C54" i="4"/>
  <c r="E53" i="4"/>
  <c r="G52" i="4"/>
  <c r="I51" i="4"/>
  <c r="B78" i="4" s="1"/>
  <c r="C53" i="4"/>
  <c r="E52" i="4"/>
  <c r="B58" i="4"/>
  <c r="J54" i="4"/>
  <c r="B89" i="4" s="1"/>
  <c r="D58" i="4"/>
  <c r="F57" i="4"/>
  <c r="H56" i="4"/>
  <c r="B75" i="4" s="1"/>
  <c r="J55" i="4"/>
  <c r="B90" i="4" s="1"/>
  <c r="L54" i="4"/>
  <c r="B105" i="4" s="1"/>
  <c r="B54" i="4"/>
  <c r="D53" i="4"/>
  <c r="F52" i="4"/>
  <c r="H51" i="4"/>
  <c r="B70" i="4" s="1"/>
  <c r="M58" i="4"/>
  <c r="B117" i="4" s="1"/>
  <c r="B118" i="4"/>
  <c r="D29" i="1"/>
  <c r="D28" i="1"/>
  <c r="D30" i="1"/>
  <c r="D31" i="1"/>
  <c r="D32" i="1"/>
  <c r="C44" i="3"/>
  <c r="C45" i="3"/>
  <c r="E16" i="3"/>
  <c r="F19" i="3"/>
  <c r="G19" i="3" s="1"/>
  <c r="H19" i="3" s="1"/>
  <c r="I19" i="3" s="1"/>
  <c r="E15" i="3"/>
  <c r="B42" i="1" l="1"/>
  <c r="D51" i="1" s="1"/>
  <c r="B43" i="1"/>
  <c r="F55" i="1" l="1"/>
  <c r="E51" i="1"/>
  <c r="F51" i="1"/>
  <c r="H53" i="1"/>
  <c r="B105" i="1" s="1"/>
  <c r="F58" i="1"/>
  <c r="E52" i="1"/>
  <c r="B80" i="1" s="1"/>
  <c r="F53" i="1"/>
  <c r="B89" i="1" s="1"/>
  <c r="F54" i="1"/>
  <c r="B90" i="1" s="1"/>
  <c r="F57" i="1"/>
  <c r="B93" i="1" s="1"/>
  <c r="J57" i="1"/>
  <c r="F56" i="1"/>
  <c r="B92" i="1" s="1"/>
  <c r="F52" i="1"/>
  <c r="M51" i="1"/>
  <c r="H58" i="1"/>
  <c r="B110" i="1" s="1"/>
  <c r="K54" i="1"/>
  <c r="I57" i="1"/>
  <c r="B117" i="1" s="1"/>
  <c r="D54" i="1"/>
  <c r="B74" i="1" s="1"/>
  <c r="K52" i="1"/>
  <c r="M55" i="1"/>
  <c r="H54" i="1"/>
  <c r="B106" i="1" s="1"/>
  <c r="E54" i="1"/>
  <c r="B82" i="1" s="1"/>
  <c r="M58" i="1"/>
  <c r="J51" i="1"/>
  <c r="E57" i="1"/>
  <c r="B85" i="1" s="1"/>
  <c r="J56" i="1"/>
  <c r="E55" i="1"/>
  <c r="B83" i="1" s="1"/>
  <c r="K51" i="1"/>
  <c r="E53" i="1"/>
  <c r="B81" i="1" s="1"/>
  <c r="G51" i="1"/>
  <c r="B95" i="1" s="1"/>
  <c r="L52" i="1"/>
  <c r="B71" i="1"/>
  <c r="K55" i="1"/>
  <c r="B79" i="1"/>
  <c r="K56" i="1"/>
  <c r="M57" i="1"/>
  <c r="D56" i="1"/>
  <c r="B76" i="1" s="1"/>
  <c r="L56" i="1"/>
  <c r="M52" i="1"/>
  <c r="B91" i="1"/>
  <c r="E58" i="1"/>
  <c r="B86" i="1" s="1"/>
  <c r="B87" i="1"/>
  <c r="B88" i="1"/>
  <c r="G53" i="1"/>
  <c r="B97" i="1" s="1"/>
  <c r="G54" i="1"/>
  <c r="B98" i="1" s="1"/>
  <c r="B94" i="1"/>
  <c r="J54" i="1"/>
  <c r="H57" i="1"/>
  <c r="B109" i="1" s="1"/>
  <c r="H52" i="1"/>
  <c r="B104" i="1" s="1"/>
  <c r="G55" i="1"/>
  <c r="B99" i="1" s="1"/>
  <c r="G56" i="1"/>
  <c r="B100" i="1" s="1"/>
  <c r="L55" i="1"/>
  <c r="B73" i="1"/>
  <c r="I56" i="1"/>
  <c r="B116" i="1" s="1"/>
  <c r="I51" i="1"/>
  <c r="B111" i="1" s="1"/>
  <c r="L58" i="1"/>
  <c r="L57" i="1"/>
  <c r="K58" i="1"/>
  <c r="M53" i="1"/>
  <c r="D52" i="1"/>
  <c r="B72" i="1" s="1"/>
  <c r="D57" i="1"/>
  <c r="B77" i="1" s="1"/>
  <c r="G52" i="1"/>
  <c r="B96" i="1" s="1"/>
  <c r="H56" i="1"/>
  <c r="B108" i="1" s="1"/>
  <c r="I54" i="1"/>
  <c r="B114" i="1" s="1"/>
  <c r="J53" i="1"/>
  <c r="L54" i="1"/>
  <c r="J58" i="1"/>
  <c r="I52" i="1"/>
  <c r="B112" i="1" s="1"/>
  <c r="G57" i="1"/>
  <c r="B101" i="1" s="1"/>
  <c r="D58" i="1"/>
  <c r="B78" i="1" s="1"/>
  <c r="J52" i="1"/>
  <c r="I58" i="1"/>
  <c r="B118" i="1" s="1"/>
  <c r="H55" i="1"/>
  <c r="B107" i="1" s="1"/>
  <c r="E56" i="1"/>
  <c r="B84" i="1" s="1"/>
  <c r="L53" i="1"/>
  <c r="H51" i="1"/>
  <c r="B103" i="1" s="1"/>
  <c r="K53" i="1"/>
  <c r="M56" i="1"/>
  <c r="I53" i="1"/>
  <c r="B113" i="1" s="1"/>
  <c r="K57" i="1"/>
  <c r="I55" i="1"/>
  <c r="B115" i="1" s="1"/>
  <c r="D55" i="1"/>
  <c r="B75" i="1" s="1"/>
  <c r="L51" i="1"/>
  <c r="M54" i="1"/>
  <c r="J55" i="1"/>
  <c r="G58" i="1"/>
  <c r="B10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KRIS3_18s.TXT" type="6" refreshedVersion="0" background="1" saveData="1">
    <textPr fileType="mac" sourceFile="Macintosh HD:Users:kyamahara:Desktop:KRIS3_18s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249365D-5083-7C4F-9DB4-56B83BC4AC00}" name="KRIS3_18s.TXT2" type="6" refreshedVersion="0" background="1" saveData="1">
    <textPr fileType="mac" sourceFile="Macintosh HD:Users:kyamahara:Desktop:KRIS3_18s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<sst xmlns="http://schemas.openxmlformats.org/spreadsheetml/2006/main" count="343" uniqueCount="171">
  <si>
    <t>A</t>
  </si>
  <si>
    <t>B</t>
  </si>
  <si>
    <t>C</t>
  </si>
  <si>
    <t>D</t>
  </si>
  <si>
    <t>E</t>
  </si>
  <si>
    <t>F</t>
  </si>
  <si>
    <t>G</t>
  </si>
  <si>
    <t>H</t>
  </si>
  <si>
    <t>Standard DNA (ng/uL)</t>
  </si>
  <si>
    <t>RFU 1</t>
  </si>
  <si>
    <t>RFU Ave</t>
  </si>
  <si>
    <t>Slope</t>
  </si>
  <si>
    <t>Intercept</t>
  </si>
  <si>
    <t>R^2</t>
  </si>
  <si>
    <t>Picogreen DNA</t>
  </si>
  <si>
    <t>Final Volume</t>
  </si>
  <si>
    <t>Volume of Template</t>
  </si>
  <si>
    <t>uL</t>
  </si>
  <si>
    <t>1. Enter Final DNA Concentration of Stds (ng/uL)</t>
  </si>
  <si>
    <t>2. Paste fluorescence data from the fluorometer here in the plate layout, this assumes that the first two columns are standards</t>
  </si>
  <si>
    <t>3. Calculate the standard curves for Fluoresence vs DNA conc.</t>
  </si>
  <si>
    <t>*Value less than 0 are shown in red.</t>
  </si>
  <si>
    <t>4. Converted DNA concentrations of samples in columns 3 to 12 (blue) accounting for dilution (cell B44) and DNA template (cell B45).</t>
  </si>
  <si>
    <t>RFU 2</t>
  </si>
  <si>
    <t>Stnd</t>
  </si>
  <si>
    <t>Blank</t>
  </si>
  <si>
    <t>A1</t>
  </si>
  <si>
    <t>B1</t>
  </si>
  <si>
    <t>C1</t>
  </si>
  <si>
    <t>D1</t>
  </si>
  <si>
    <t>E1</t>
  </si>
  <si>
    <t>F1</t>
  </si>
  <si>
    <t>G1</t>
  </si>
  <si>
    <t>H1</t>
  </si>
  <si>
    <t>H2</t>
  </si>
  <si>
    <t>A2</t>
  </si>
  <si>
    <t>A3</t>
  </si>
  <si>
    <t>A4</t>
  </si>
  <si>
    <t>A5</t>
  </si>
  <si>
    <t>A6</t>
  </si>
  <si>
    <t>B2</t>
  </si>
  <si>
    <t>C2</t>
  </si>
  <si>
    <t>D2</t>
  </si>
  <si>
    <t>E2</t>
  </si>
  <si>
    <t>F2</t>
  </si>
  <si>
    <t>G2</t>
  </si>
  <si>
    <t>B3</t>
  </si>
  <si>
    <t>B4</t>
  </si>
  <si>
    <t>B5</t>
  </si>
  <si>
    <t>B6</t>
  </si>
  <si>
    <t>C3</t>
  </si>
  <si>
    <t>D3</t>
  </si>
  <si>
    <t>E3</t>
  </si>
  <si>
    <t>F3</t>
  </si>
  <si>
    <t>G3</t>
  </si>
  <si>
    <t>H3</t>
  </si>
  <si>
    <t>C4</t>
  </si>
  <si>
    <t>D4</t>
  </si>
  <si>
    <t>E4</t>
  </si>
  <si>
    <t>F4</t>
  </si>
  <si>
    <t>G4</t>
  </si>
  <si>
    <t>H4</t>
  </si>
  <si>
    <t>C5</t>
  </si>
  <si>
    <t>D5</t>
  </si>
  <si>
    <t>E5</t>
  </si>
  <si>
    <t>F5</t>
  </si>
  <si>
    <t>G5</t>
  </si>
  <si>
    <t>H5</t>
  </si>
  <si>
    <t>C6</t>
  </si>
  <si>
    <t>D6</t>
  </si>
  <si>
    <t>E6</t>
  </si>
  <si>
    <t>F6</t>
  </si>
  <si>
    <t>G6</t>
  </si>
  <si>
    <t>H6</t>
  </si>
  <si>
    <t>Picogreen Quantification of DNA using Fmax Fluorometer</t>
  </si>
  <si>
    <t>1. Allow Quant-iT Picogreen reagents to come to room temperature.</t>
  </si>
  <si>
    <t xml:space="preserve">2. Determine the volume of 1X TE to make from the 20X stock. </t>
  </si>
  <si>
    <t>2a. For a full 96 well plate: 120 uL for Lamda DNA stock, 750 uL for standard makeup volume, 7840 uL for samples and 9552 uL for 1:200 Picogreen, total 18262 uL.</t>
  </si>
  <si>
    <t>2b. Add 915 uL of 20X TE Buffer to 17385 uL of PCR grade water.</t>
  </si>
  <si>
    <t>3. Prepare lamda DNA standards - determine the volume required to run 2 sets of standards per plate</t>
  </si>
  <si>
    <t xml:space="preserve">3a. Make 2 ug/mL stock from 100 ug/mL frozen stock. </t>
  </si>
  <si>
    <t xml:space="preserve">3b. Dilute stock DNA standard from 100μg/mL to 20μg/mL with 1X TE.  For standard curve in duplicate, prepare 100μL of a 20μg/mL stock by adding 20μL of the 100μg/mL stock to 80μL 1X TE.  </t>
  </si>
  <si>
    <t>3c. Prepare standards according to highlighted rows in the table below:</t>
  </si>
  <si>
    <t>TE Buffer (ul)</t>
  </si>
  <si>
    <t>*20  ug/mL (100 ng/uL) (uL)</t>
  </si>
  <si>
    <t>Total Volume (uL)</t>
  </si>
  <si>
    <t>Mass of DNA in standard (ug)</t>
  </si>
  <si>
    <t>Mass of DNA in standard (ng)</t>
  </si>
  <si>
    <t>Concentration of DNA in 100uL TE (ug/uL)</t>
  </si>
  <si>
    <t>Concentration in 200 uL TE + PG (ug/uL)</t>
  </si>
  <si>
    <t>Concentration in 200 uL TE + PG (ng/mL)</t>
  </si>
  <si>
    <t>Concentration in 200 uL TE + PG (ng/uL)</t>
  </si>
  <si>
    <t xml:space="preserve">*These are easily made with serial dilutions - 20 uL of standard in 180 uL of TE Buffer. Aliquot 100 uL of each standard into the well. </t>
  </si>
  <si>
    <t xml:space="preserve">4. Add 1X TE Buffer + Lambda DNA standard (from table above) to two columns (1 and 2) of a black 96 well plate. </t>
  </si>
  <si>
    <t>5. Prepare uknown samples by adding 2 uL of DNA to 98 uL of 1X TE Buffer</t>
  </si>
  <si>
    <t xml:space="preserve">5a. Add 98 ul of 1X TE Buffer to the remaining wells of the plate </t>
  </si>
  <si>
    <t>5b. Add 2 ul of each sample DNA template to each well containing 98 uL of 1X TE Buffer</t>
  </si>
  <si>
    <t>6. Prepare Picogreen Reagent by dilution 1:200 in 1X TE Buffer</t>
  </si>
  <si>
    <t>6a. Determine the volume of 1:200 Picogreen working stock needed for samples and standards - 100 uL of 1:200 working stock per sample and std.</t>
  </si>
  <si>
    <t xml:space="preserve">6b. For 1 full plate (96 wells) - 96 x 100 uL = 9600 uL of 1:200 is required. </t>
  </si>
  <si>
    <t>6c. Dilute the concentrated picogreen 1:200, 48 uL of Concentrated Picogreen to 9552 uL of 1X TE Buffer</t>
  </si>
  <si>
    <t>DO NOT add the working stock Picogreen until you are ready to the load the plate</t>
  </si>
  <si>
    <t>7. Add 100 uL of 1:200 Picogreen working stock to each well and pipette up and down to mix.</t>
  </si>
  <si>
    <t>8. Incubate the plate in the dark for 5 minutes</t>
  </si>
  <si>
    <t>9. While the plate is incubating set up the Fmax fluorometer</t>
  </si>
  <si>
    <t>10. Load the plate into the Fmax and hit "read"</t>
  </si>
  <si>
    <t>11. Save the results as a .txt file to open in excel</t>
  </si>
  <si>
    <t>12. Save the data to a thumb drive.</t>
  </si>
  <si>
    <t>Total Samples</t>
  </si>
  <si>
    <t xml:space="preserve">Volumes (ml) </t>
  </si>
  <si>
    <t>Stock (ml)</t>
  </si>
  <si>
    <t>Water (ml)</t>
  </si>
  <si>
    <t>1X TE</t>
  </si>
  <si>
    <t>1:200 PG in TE</t>
  </si>
  <si>
    <t>Make 14.4 ml</t>
  </si>
  <si>
    <t>1XTE</t>
  </si>
  <si>
    <t>Make 30ml</t>
  </si>
  <si>
    <t>Total Vol</t>
  </si>
  <si>
    <t>Vol of standard</t>
  </si>
  <si>
    <t>Total volume</t>
  </si>
  <si>
    <t>final diluted volume</t>
  </si>
  <si>
    <t>Concentration of standard</t>
  </si>
  <si>
    <t>A7</t>
  </si>
  <si>
    <t>A8</t>
  </si>
  <si>
    <t>A9</t>
  </si>
  <si>
    <t>A10</t>
  </si>
  <si>
    <t>A11</t>
  </si>
  <si>
    <t>A12</t>
  </si>
  <si>
    <t>B7</t>
  </si>
  <si>
    <t>B8</t>
  </si>
  <si>
    <t>B9</t>
  </si>
  <si>
    <t>B10</t>
  </si>
  <si>
    <t>B11</t>
  </si>
  <si>
    <t>B12</t>
  </si>
  <si>
    <t>C7</t>
  </si>
  <si>
    <t>C8</t>
  </si>
  <si>
    <t>C9</t>
  </si>
  <si>
    <t>C10</t>
  </si>
  <si>
    <t>C11</t>
  </si>
  <si>
    <t>C12</t>
  </si>
  <si>
    <t>D7</t>
  </si>
  <si>
    <t>D8</t>
  </si>
  <si>
    <t>D9</t>
  </si>
  <si>
    <t>D10</t>
  </si>
  <si>
    <t>D11</t>
  </si>
  <si>
    <t>D12</t>
  </si>
  <si>
    <t>E7</t>
  </si>
  <si>
    <t>E8</t>
  </si>
  <si>
    <t>E9</t>
  </si>
  <si>
    <t>E10</t>
  </si>
  <si>
    <t>E11</t>
  </si>
  <si>
    <t>E12</t>
  </si>
  <si>
    <t>F7</t>
  </si>
  <si>
    <t>F8</t>
  </si>
  <si>
    <t>F9</t>
  </si>
  <si>
    <t>F10</t>
  </si>
  <si>
    <t>F11</t>
  </si>
  <si>
    <t>F12</t>
  </si>
  <si>
    <t>G7</t>
  </si>
  <si>
    <t>G8</t>
  </si>
  <si>
    <t>G9</t>
  </si>
  <si>
    <t>G10</t>
  </si>
  <si>
    <t>G11</t>
  </si>
  <si>
    <t>G12</t>
  </si>
  <si>
    <t>H7</t>
  </si>
  <si>
    <t>H8</t>
  </si>
  <si>
    <t>H9</t>
  </si>
  <si>
    <t>H10</t>
  </si>
  <si>
    <t>H11</t>
  </si>
  <si>
    <t>H12</t>
  </si>
  <si>
    <t>volume of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</si>
</sst>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Times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1" xfId="0" applyBorder="1"/>
    <xf numFmtId="0" fontId="0" fillId="0" borderId="0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Quant-iT</a:t>
            </a:r>
            <a:r>
              <a:rPr lang="en-US" baseline="0"/>
              <a:t> Std Curve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1411069103727"/>
          <c:y val="0.162937062937063"/>
          <c:w val="0.73047528354984503"/>
          <c:h val="0.671515335058642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'1-6'!$D$27</c:f>
              <c:strCache>
                <c:ptCount val="1"/>
                <c:pt idx="0">
                  <c:v>RFU Ave</c:v>
                </c:pt>
              </c:strCache>
            </c:strRef>
          </c:tx>
          <c:spPr>
            <a:ln w="47625">
              <a:noFill/>
            </a:ln>
          </c:spPr>
          <c:xVal>
            <c:numRef>
              <c:f>'1-6'!$A$28:$A$35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</c:numCache>
            </c:numRef>
          </c:xVal>
          <c:yVal>
            <c:numRef>
              <c:f>'1-6'!$D$28:$D$35</c:f>
              <c:numCache>
                <c:formatCode>General</c:formatCode>
                <c:ptCount val="8"/>
                <c:pt idx="0">
                  <c:v>104.78100000000001</c:v>
                </c:pt>
                <c:pt idx="1">
                  <c:v>183.45750000000001</c:v>
                </c:pt>
                <c:pt idx="2">
                  <c:v>282.70499999999998</c:v>
                </c:pt>
                <c:pt idx="3">
                  <c:v>416.03200000000004</c:v>
                </c:pt>
                <c:pt idx="4">
                  <c:v>726.79899999999998</c:v>
                </c:pt>
                <c:pt idx="5">
                  <c:v>1062.31</c:v>
                </c:pt>
                <c:pt idx="6">
                  <c:v>1312.3924999999999</c:v>
                </c:pt>
                <c:pt idx="7">
                  <c:v>1610.7930000000001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B7-B84D-B107-EC15A5239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309480"/>
        <c:axId val="-2133266104"/>
      </c:scatterChart>
      <c:valAx>
        <c:axId val="-2133309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DNA</a:t>
                </a:r>
                <a:r>
                  <a:rPr lang="en-US" baseline="0"/>
                  <a:t> (ng/uL)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3266104"/>
        <c:crosses val="autoZero"/>
        <c:crossBetween val="midCat"/>
      </c:valAx>
      <c:valAx>
        <c:axId val="-2133266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Fluorescence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3309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Quant-iT</a:t>
            </a:r>
            <a:r>
              <a:rPr lang="en-US" baseline="0"/>
              <a:t> Linear Std Curve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00282359441912"/>
          <c:y val="0.19368488029905401"/>
          <c:w val="0.70980583752332205"/>
          <c:h val="0.66360424028268505"/>
        </c:manualLayout>
      </c:layout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57894254182083"/>
                  <c:y val="-3.2544754775608198E-2"/>
                </c:manualLayout>
              </c:layout>
              <c:numFmt formatCode="General" sourceLinked="0"/>
            </c:trendlineLbl>
          </c:trendline>
          <c:xVal>
            <c:numRef>
              <c:f>'1-6'!$A$28:$A$35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</c:numCache>
            </c:numRef>
          </c:xVal>
          <c:yVal>
            <c:numRef>
              <c:f>'1-6'!$D$28:$D$35</c:f>
              <c:numCache>
                <c:formatCode>General</c:formatCode>
                <c:ptCount val="8"/>
                <c:pt idx="0">
                  <c:v>104.78100000000001</c:v>
                </c:pt>
                <c:pt idx="1">
                  <c:v>183.45750000000001</c:v>
                </c:pt>
                <c:pt idx="2">
                  <c:v>282.70499999999998</c:v>
                </c:pt>
                <c:pt idx="3">
                  <c:v>416.03200000000004</c:v>
                </c:pt>
                <c:pt idx="4">
                  <c:v>726.79899999999998</c:v>
                </c:pt>
                <c:pt idx="5">
                  <c:v>1062.31</c:v>
                </c:pt>
                <c:pt idx="6">
                  <c:v>1312.3924999999999</c:v>
                </c:pt>
                <c:pt idx="7">
                  <c:v>1610.7930000000001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79-2A47-B4E1-2D25E241D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231320"/>
        <c:axId val="-2118388200"/>
      </c:scatterChart>
      <c:valAx>
        <c:axId val="-2133231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DNA (ng/uL)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8388200"/>
        <c:crosses val="autoZero"/>
        <c:crossBetween val="midCat"/>
      </c:valAx>
      <c:valAx>
        <c:axId val="-2118388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Fluorescence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3231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Quant-iT</a:t>
            </a:r>
            <a:r>
              <a:rPr lang="en-US" baseline="0"/>
              <a:t> Std Curve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1411069103727"/>
          <c:y val="0.162937062937063"/>
          <c:w val="0.73047528354984503"/>
          <c:h val="0.671515335058642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'7-12'!$D$27</c:f>
              <c:strCache>
                <c:ptCount val="1"/>
                <c:pt idx="0">
                  <c:v>RFU Ave</c:v>
                </c:pt>
              </c:strCache>
            </c:strRef>
          </c:tx>
          <c:spPr>
            <a:ln w="47625">
              <a:noFill/>
            </a:ln>
          </c:spPr>
          <c:xVal>
            <c:numRef>
              <c:f>'7-12'!$A$28:$A$35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</c:numCache>
            </c:numRef>
          </c:xVal>
          <c:yVal>
            <c:numRef>
              <c:f>'7-12'!$D$28:$D$35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B2-B047-80B3-24B63EE5C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309480"/>
        <c:axId val="-2133266104"/>
      </c:scatterChart>
      <c:valAx>
        <c:axId val="-2133309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DNA</a:t>
                </a:r>
                <a:r>
                  <a:rPr lang="en-US" baseline="0"/>
                  <a:t> (ng/uL)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3266104"/>
        <c:crosses val="autoZero"/>
        <c:crossBetween val="midCat"/>
      </c:valAx>
      <c:valAx>
        <c:axId val="-2133266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Fluorescence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3309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Quant-iT</a:t>
            </a:r>
            <a:r>
              <a:rPr lang="en-US" baseline="0"/>
              <a:t> Linear Std Curve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00282359441912"/>
          <c:y val="0.19368488029905401"/>
          <c:w val="0.70980583752332205"/>
          <c:h val="0.66360424028268505"/>
        </c:manualLayout>
      </c:layout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57894254182083"/>
                  <c:y val="-3.2544754775608198E-2"/>
                </c:manualLayout>
              </c:layout>
              <c:numFmt formatCode="General" sourceLinked="0"/>
            </c:trendlineLbl>
          </c:trendline>
          <c:xVal>
            <c:numRef>
              <c:f>'7-12'!$A$28:$A$35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</c:numCache>
            </c:numRef>
          </c:xVal>
          <c:yVal>
            <c:numRef>
              <c:f>'7-12'!$D$28:$D$35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12-AF49-BB17-C7A4FC7A0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231320"/>
        <c:axId val="-2118388200"/>
      </c:scatterChart>
      <c:valAx>
        <c:axId val="-2133231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DNA (ng/uL)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8388200"/>
        <c:crosses val="autoZero"/>
        <c:crossBetween val="midCat"/>
      </c:valAx>
      <c:valAx>
        <c:axId val="-2118388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Fluorescence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33231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23</xdr:row>
      <xdr:rowOff>114300</xdr:rowOff>
    </xdr:from>
    <xdr:to>
      <xdr:col>10</xdr:col>
      <xdr:colOff>190500</xdr:colOff>
      <xdr:row>42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355600</xdr:colOff>
      <xdr:row>23</xdr:row>
      <xdr:rowOff>76200</xdr:rowOff>
    </xdr:from>
    <xdr:to>
      <xdr:col>15</xdr:col>
      <xdr:colOff>254000</xdr:colOff>
      <xdr:row>43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23</xdr:row>
      <xdr:rowOff>114300</xdr:rowOff>
    </xdr:from>
    <xdr:to>
      <xdr:col>10</xdr:col>
      <xdr:colOff>190500</xdr:colOff>
      <xdr:row>42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721374-95FB-8041-9E5F-4CFA725E7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355600</xdr:colOff>
      <xdr:row>23</xdr:row>
      <xdr:rowOff>76200</xdr:rowOff>
    </xdr:from>
    <xdr:to>
      <xdr:col>15</xdr:col>
      <xdr:colOff>254000</xdr:colOff>
      <xdr:row>43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BECC74-FF85-FD40-AD95-9FD1D1A0B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RIS3_18s" connectionId="1" xr16:uid="{00000000-0016-0000-0100-000000000000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RIS3_18s" connectionId="2" xr16:uid="{5B1C245A-CA2E-2F47-AC09-DB3FE515EFB4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opLeftCell="A13" workbookViewId="0">
      <selection activeCell="B47" sqref="B47"/>
    </sheetView>
  </sheetViews>
  <sheetFormatPr baseColWidth="10" defaultRowHeight="16" x14ac:dyDescent="0.2"/>
  <cols>
    <col min="2" max="2" width="12.83203125" customWidth="1"/>
    <col min="3" max="3" width="12" customWidth="1"/>
    <col min="4" max="4" width="12.5" customWidth="1"/>
  </cols>
  <sheetData>
    <row r="1" spans="1:9" x14ac:dyDescent="0.2">
      <c r="A1" t="s">
        <v>74</v>
      </c>
    </row>
    <row r="3" spans="1:9" x14ac:dyDescent="0.2">
      <c r="A3" t="s">
        <v>75</v>
      </c>
    </row>
    <row r="5" spans="1:9" x14ac:dyDescent="0.2">
      <c r="A5" t="s">
        <v>76</v>
      </c>
    </row>
    <row r="6" spans="1:9" x14ac:dyDescent="0.2">
      <c r="A6" t="s">
        <v>77</v>
      </c>
    </row>
    <row r="7" spans="1:9" x14ac:dyDescent="0.2">
      <c r="A7" t="s">
        <v>78</v>
      </c>
    </row>
    <row r="9" spans="1:9" x14ac:dyDescent="0.2">
      <c r="A9" t="s">
        <v>79</v>
      </c>
    </row>
    <row r="10" spans="1:9" x14ac:dyDescent="0.2">
      <c r="A10" t="s">
        <v>80</v>
      </c>
    </row>
    <row r="11" spans="1:9" x14ac:dyDescent="0.2">
      <c r="A11" t="s">
        <v>81</v>
      </c>
    </row>
    <row r="12" spans="1:9" x14ac:dyDescent="0.2">
      <c r="A12" t="s">
        <v>82</v>
      </c>
    </row>
    <row r="14" spans="1:9" ht="68" x14ac:dyDescent="0.2">
      <c r="A14" s="12" t="s">
        <v>83</v>
      </c>
      <c r="B14" s="12" t="s">
        <v>84</v>
      </c>
      <c r="C14" s="13" t="s">
        <v>85</v>
      </c>
      <c r="D14" s="13" t="s">
        <v>86</v>
      </c>
      <c r="E14" s="13" t="s">
        <v>87</v>
      </c>
      <c r="F14" s="13" t="s">
        <v>88</v>
      </c>
      <c r="G14" s="13" t="s">
        <v>89</v>
      </c>
      <c r="H14" s="13" t="s">
        <v>90</v>
      </c>
      <c r="I14" s="13" t="s">
        <v>91</v>
      </c>
    </row>
    <row r="15" spans="1:9" x14ac:dyDescent="0.2">
      <c r="A15" s="1">
        <v>540</v>
      </c>
      <c r="B15" s="1">
        <v>60</v>
      </c>
      <c r="C15">
        <f>A15+B15</f>
        <v>600</v>
      </c>
      <c r="D15">
        <f>(20*B15)/1000</f>
        <v>1.2</v>
      </c>
      <c r="E15">
        <f>D15*1000</f>
        <v>1200</v>
      </c>
      <c r="F15">
        <f>D15/C15</f>
        <v>2E-3</v>
      </c>
      <c r="G15">
        <f>F15/2</f>
        <v>1E-3</v>
      </c>
      <c r="H15">
        <f>G15*1000000</f>
        <v>1000</v>
      </c>
      <c r="I15">
        <f>H15/1000</f>
        <v>1</v>
      </c>
    </row>
    <row r="16" spans="1:9" x14ac:dyDescent="0.2">
      <c r="A16" s="1">
        <v>540</v>
      </c>
      <c r="B16" s="1">
        <v>60</v>
      </c>
      <c r="C16">
        <f t="shared" ref="C16:C19" si="0">A16+B16</f>
        <v>600</v>
      </c>
      <c r="D16">
        <f>(2*B16)/1000</f>
        <v>0.12</v>
      </c>
      <c r="E16">
        <f t="shared" ref="E16:E19" si="1">D16*1000</f>
        <v>120</v>
      </c>
      <c r="F16">
        <f t="shared" ref="F16:F18" si="2">D16/C16</f>
        <v>1.9999999999999998E-4</v>
      </c>
      <c r="G16">
        <f t="shared" ref="G16:G19" si="3">F16/2</f>
        <v>9.9999999999999991E-5</v>
      </c>
      <c r="H16">
        <f t="shared" ref="H16:H19" si="4">G16*1000000</f>
        <v>99.999999999999986</v>
      </c>
      <c r="I16">
        <f t="shared" ref="I16:I19" si="5">H16/1000</f>
        <v>9.9999999999999992E-2</v>
      </c>
    </row>
    <row r="17" spans="1:9" x14ac:dyDescent="0.2">
      <c r="A17" s="1">
        <v>540</v>
      </c>
      <c r="B17" s="1">
        <v>60</v>
      </c>
      <c r="C17">
        <f t="shared" si="0"/>
        <v>600</v>
      </c>
      <c r="D17">
        <f>(0.2*B17)/1000</f>
        <v>1.2E-2</v>
      </c>
      <c r="E17">
        <f t="shared" si="1"/>
        <v>12</v>
      </c>
      <c r="F17">
        <f t="shared" si="2"/>
        <v>2.0000000000000002E-5</v>
      </c>
      <c r="G17">
        <f t="shared" si="3"/>
        <v>1.0000000000000001E-5</v>
      </c>
      <c r="H17">
        <f t="shared" si="4"/>
        <v>10</v>
      </c>
      <c r="I17">
        <f t="shared" si="5"/>
        <v>0.01</v>
      </c>
    </row>
    <row r="18" spans="1:9" x14ac:dyDescent="0.2">
      <c r="A18" s="1">
        <v>540</v>
      </c>
      <c r="B18" s="1">
        <v>60</v>
      </c>
      <c r="C18">
        <f t="shared" si="0"/>
        <v>600</v>
      </c>
      <c r="D18">
        <f>(0.02*B18)/1000</f>
        <v>1.1999999999999999E-3</v>
      </c>
      <c r="E18">
        <f t="shared" si="1"/>
        <v>1.2</v>
      </c>
      <c r="F18">
        <f t="shared" si="2"/>
        <v>1.9999999999999999E-6</v>
      </c>
      <c r="G18">
        <f t="shared" si="3"/>
        <v>9.9999999999999995E-7</v>
      </c>
      <c r="H18">
        <f t="shared" si="4"/>
        <v>1</v>
      </c>
      <c r="I18">
        <f t="shared" si="5"/>
        <v>1E-3</v>
      </c>
    </row>
    <row r="19" spans="1:9" x14ac:dyDescent="0.2">
      <c r="A19" s="1">
        <v>600</v>
      </c>
      <c r="B19" s="1">
        <v>0</v>
      </c>
      <c r="C19">
        <f t="shared" si="0"/>
        <v>600</v>
      </c>
      <c r="D19">
        <f>(2*B19)/1000</f>
        <v>0</v>
      </c>
      <c r="E19">
        <f t="shared" si="1"/>
        <v>0</v>
      </c>
      <c r="F19">
        <f>D19/C19</f>
        <v>0</v>
      </c>
      <c r="G19">
        <f t="shared" si="3"/>
        <v>0</v>
      </c>
      <c r="H19">
        <f t="shared" si="4"/>
        <v>0</v>
      </c>
      <c r="I19">
        <f t="shared" si="5"/>
        <v>0</v>
      </c>
    </row>
    <row r="20" spans="1:9" x14ac:dyDescent="0.2">
      <c r="A20" s="3" t="s">
        <v>92</v>
      </c>
      <c r="B20" s="3"/>
    </row>
    <row r="21" spans="1:9" x14ac:dyDescent="0.2">
      <c r="A21" s="3"/>
      <c r="B21" s="3"/>
    </row>
    <row r="22" spans="1:9" x14ac:dyDescent="0.2">
      <c r="A22" t="s">
        <v>93</v>
      </c>
    </row>
    <row r="24" spans="1:9" x14ac:dyDescent="0.2">
      <c r="A24" t="s">
        <v>94</v>
      </c>
    </row>
    <row r="25" spans="1:9" x14ac:dyDescent="0.2">
      <c r="A25" t="s">
        <v>95</v>
      </c>
    </row>
    <row r="26" spans="1:9" x14ac:dyDescent="0.2">
      <c r="A26" t="s">
        <v>96</v>
      </c>
    </row>
    <row r="28" spans="1:9" x14ac:dyDescent="0.2">
      <c r="A28" t="s">
        <v>97</v>
      </c>
    </row>
    <row r="29" spans="1:9" x14ac:dyDescent="0.2">
      <c r="A29" t="s">
        <v>98</v>
      </c>
    </row>
    <row r="30" spans="1:9" x14ac:dyDescent="0.2">
      <c r="A30" t="s">
        <v>99</v>
      </c>
    </row>
    <row r="31" spans="1:9" x14ac:dyDescent="0.2">
      <c r="A31" t="s">
        <v>100</v>
      </c>
    </row>
    <row r="33" spans="1:8" x14ac:dyDescent="0.2">
      <c r="A33" s="14" t="s">
        <v>101</v>
      </c>
    </row>
    <row r="35" spans="1:8" x14ac:dyDescent="0.2">
      <c r="A35" t="s">
        <v>102</v>
      </c>
    </row>
    <row r="36" spans="1:8" x14ac:dyDescent="0.2">
      <c r="A36" t="s">
        <v>103</v>
      </c>
    </row>
    <row r="37" spans="1:8" x14ac:dyDescent="0.2">
      <c r="A37" t="s">
        <v>104</v>
      </c>
    </row>
    <row r="38" spans="1:8" x14ac:dyDescent="0.2">
      <c r="A38" t="s">
        <v>105</v>
      </c>
    </row>
    <row r="39" spans="1:8" x14ac:dyDescent="0.2">
      <c r="A39" t="s">
        <v>106</v>
      </c>
    </row>
    <row r="40" spans="1:8" x14ac:dyDescent="0.2">
      <c r="A40" t="s">
        <v>107</v>
      </c>
    </row>
    <row r="42" spans="1:8" x14ac:dyDescent="0.2">
      <c r="B42" s="15" t="s">
        <v>108</v>
      </c>
      <c r="C42" s="15" t="e">
        <f>'1-6'!P60+#REF!</f>
        <v>#REF!</v>
      </c>
      <c r="D42" s="15"/>
      <c r="E42" s="15"/>
      <c r="F42" s="15"/>
      <c r="G42" s="15"/>
      <c r="H42" s="15"/>
    </row>
    <row r="43" spans="1:8" x14ac:dyDescent="0.2">
      <c r="B43" s="15"/>
      <c r="C43" s="15" t="s">
        <v>109</v>
      </c>
      <c r="D43" s="15"/>
      <c r="E43" s="15" t="s">
        <v>110</v>
      </c>
      <c r="F43" s="15" t="s">
        <v>111</v>
      </c>
      <c r="G43" s="15" t="s">
        <v>115</v>
      </c>
      <c r="H43" s="15" t="s">
        <v>117</v>
      </c>
    </row>
    <row r="44" spans="1:8" x14ac:dyDescent="0.2">
      <c r="B44" s="15" t="s">
        <v>112</v>
      </c>
      <c r="C44" s="15" t="e">
        <f>(SUM(A15:A19)+(C42*98))/1000+G45</f>
        <v>#REF!</v>
      </c>
      <c r="D44" s="15" t="s">
        <v>116</v>
      </c>
      <c r="E44" s="15">
        <f>1/10*30</f>
        <v>3</v>
      </c>
      <c r="F44" s="15">
        <f>30-E44</f>
        <v>27</v>
      </c>
      <c r="G44" s="15"/>
      <c r="H44" s="15">
        <f>E44+F44</f>
        <v>30</v>
      </c>
    </row>
    <row r="45" spans="1:8" x14ac:dyDescent="0.2">
      <c r="B45" s="15" t="s">
        <v>113</v>
      </c>
      <c r="C45" s="15" t="e">
        <f>(100*C42+300)/1000</f>
        <v>#REF!</v>
      </c>
      <c r="D45" s="15" t="s">
        <v>114</v>
      </c>
      <c r="E45" s="15">
        <f>0.024+0.048</f>
        <v>7.2000000000000008E-2</v>
      </c>
      <c r="F45" s="15"/>
      <c r="G45" s="15">
        <f>(9.552/2)+9.552</f>
        <v>14.327999999999999</v>
      </c>
      <c r="H45" s="15">
        <f>E45+G45</f>
        <v>14.399999999999999</v>
      </c>
    </row>
  </sheetData>
  <phoneticPr fontId="6" type="noConversion"/>
  <pageMargins left="0.75" right="0.75" top="1" bottom="1" header="0.5" footer="0.5"/>
  <pageSetup scale="6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8"/>
  <sheetViews>
    <sheetView tabSelected="1" topLeftCell="A36" zoomScaleNormal="100" workbookViewId="0">
      <selection activeCell="M58" sqref="M58"/>
    </sheetView>
  </sheetViews>
  <sheetFormatPr baseColWidth="10" defaultRowHeight="16" x14ac:dyDescent="0.2"/>
  <cols>
    <col min="1" max="1" width="19" customWidth="1"/>
    <col min="2" max="2" width="14.83203125" bestFit="1" customWidth="1"/>
    <col min="3" max="4" width="10.1640625" bestFit="1" customWidth="1"/>
    <col min="5" max="12" width="9.1640625" bestFit="1" customWidth="1"/>
    <col min="13" max="14" width="9.83203125" bestFit="1" customWidth="1"/>
    <col min="15" max="15" width="13.6640625" customWidth="1"/>
  </cols>
  <sheetData>
    <row r="1" spans="1:13" x14ac:dyDescent="0.2">
      <c r="A1" t="s">
        <v>14</v>
      </c>
    </row>
    <row r="3" spans="1:13" x14ac:dyDescent="0.2">
      <c r="A3" t="s">
        <v>18</v>
      </c>
      <c r="C3" t="s">
        <v>121</v>
      </c>
      <c r="D3" t="s">
        <v>118</v>
      </c>
      <c r="E3" t="s">
        <v>119</v>
      </c>
      <c r="F3" t="s">
        <v>120</v>
      </c>
    </row>
    <row r="4" spans="1:13" x14ac:dyDescent="0.2">
      <c r="A4" s="5">
        <f>F4</f>
        <v>0</v>
      </c>
      <c r="C4" s="5">
        <v>0</v>
      </c>
      <c r="D4">
        <v>10</v>
      </c>
      <c r="E4">
        <v>200</v>
      </c>
      <c r="F4">
        <f>C4*D4/E4</f>
        <v>0</v>
      </c>
    </row>
    <row r="5" spans="1:13" x14ac:dyDescent="0.2">
      <c r="A5" s="5">
        <f t="shared" ref="A5:A10" si="0">F5</f>
        <v>2.5000000000000001E-2</v>
      </c>
      <c r="C5" s="5">
        <v>0.5</v>
      </c>
      <c r="D5">
        <v>10</v>
      </c>
      <c r="E5">
        <v>200</v>
      </c>
      <c r="F5">
        <f t="shared" ref="F5:F11" si="1">C5*D5/E5</f>
        <v>2.5000000000000001E-2</v>
      </c>
    </row>
    <row r="6" spans="1:13" x14ac:dyDescent="0.2">
      <c r="A6" s="5">
        <f t="shared" si="0"/>
        <v>0.05</v>
      </c>
      <c r="C6" s="5">
        <v>1</v>
      </c>
      <c r="D6">
        <v>10</v>
      </c>
      <c r="E6">
        <v>200</v>
      </c>
      <c r="F6">
        <f t="shared" si="1"/>
        <v>0.05</v>
      </c>
    </row>
    <row r="7" spans="1:13" x14ac:dyDescent="0.2">
      <c r="A7" s="5">
        <f t="shared" si="0"/>
        <v>0.1</v>
      </c>
      <c r="C7" s="5">
        <v>2</v>
      </c>
      <c r="D7">
        <v>10</v>
      </c>
      <c r="E7">
        <v>200</v>
      </c>
      <c r="F7">
        <f t="shared" si="1"/>
        <v>0.1</v>
      </c>
    </row>
    <row r="8" spans="1:13" x14ac:dyDescent="0.2">
      <c r="A8" s="5">
        <f t="shared" si="0"/>
        <v>0.2</v>
      </c>
      <c r="C8" s="5">
        <v>4</v>
      </c>
      <c r="D8">
        <v>10</v>
      </c>
      <c r="E8">
        <v>200</v>
      </c>
      <c r="F8">
        <f t="shared" si="1"/>
        <v>0.2</v>
      </c>
    </row>
    <row r="9" spans="1:13" x14ac:dyDescent="0.2">
      <c r="A9" s="5">
        <f t="shared" si="0"/>
        <v>0.3</v>
      </c>
      <c r="C9" s="5">
        <v>6</v>
      </c>
      <c r="D9">
        <v>10</v>
      </c>
      <c r="E9">
        <v>200</v>
      </c>
      <c r="F9">
        <f t="shared" si="1"/>
        <v>0.3</v>
      </c>
    </row>
    <row r="10" spans="1:13" x14ac:dyDescent="0.2">
      <c r="A10" s="5">
        <f t="shared" si="0"/>
        <v>0.4</v>
      </c>
      <c r="C10" s="5">
        <v>8</v>
      </c>
      <c r="D10">
        <v>10</v>
      </c>
      <c r="E10">
        <v>200</v>
      </c>
      <c r="F10">
        <f t="shared" si="1"/>
        <v>0.4</v>
      </c>
    </row>
    <row r="11" spans="1:13" x14ac:dyDescent="0.2">
      <c r="A11" s="5">
        <f>F11</f>
        <v>0.5</v>
      </c>
      <c r="C11" s="5">
        <v>10</v>
      </c>
      <c r="D11">
        <v>10</v>
      </c>
      <c r="E11">
        <v>200</v>
      </c>
      <c r="F11">
        <f t="shared" si="1"/>
        <v>0.5</v>
      </c>
    </row>
    <row r="13" spans="1:13" x14ac:dyDescent="0.2">
      <c r="A13" t="s">
        <v>19</v>
      </c>
    </row>
    <row r="14" spans="1:13" x14ac:dyDescent="0.2">
      <c r="B14" s="1">
        <v>1</v>
      </c>
      <c r="C14" s="1">
        <v>2</v>
      </c>
      <c r="D14" s="2">
        <v>3</v>
      </c>
      <c r="E14" s="2">
        <v>4</v>
      </c>
      <c r="F14" s="2">
        <v>5</v>
      </c>
      <c r="G14" s="2">
        <v>6</v>
      </c>
      <c r="H14" s="2">
        <v>7</v>
      </c>
      <c r="I14" s="2">
        <v>8</v>
      </c>
      <c r="J14" s="2">
        <v>9</v>
      </c>
      <c r="K14" s="2">
        <v>10</v>
      </c>
      <c r="L14" s="2">
        <v>11</v>
      </c>
      <c r="M14" s="2">
        <v>12</v>
      </c>
    </row>
    <row r="15" spans="1:13" x14ac:dyDescent="0.2">
      <c r="A15" s="4" t="s">
        <v>0</v>
      </c>
      <c r="B15">
        <v>81.016000000000005</v>
      </c>
      <c r="C15">
        <v>128.54599999999999</v>
      </c>
      <c r="D15">
        <v>82.100999999999999</v>
      </c>
      <c r="E15">
        <v>236.03700000000001</v>
      </c>
      <c r="F15">
        <v>331.55399999999997</v>
      </c>
      <c r="G15">
        <v>133.28200000000001</v>
      </c>
      <c r="H15">
        <v>665.46100000000001</v>
      </c>
      <c r="I15">
        <v>353.87299999999999</v>
      </c>
      <c r="J15">
        <v>167.33600000000001</v>
      </c>
      <c r="K15">
        <v>196.57400000000001</v>
      </c>
      <c r="L15">
        <v>123.01600000000001</v>
      </c>
      <c r="M15">
        <v>157.81200000000001</v>
      </c>
    </row>
    <row r="16" spans="1:13" x14ac:dyDescent="0.2">
      <c r="A16" s="4" t="s">
        <v>1</v>
      </c>
      <c r="B16">
        <v>154.51400000000001</v>
      </c>
      <c r="C16">
        <v>212.40100000000001</v>
      </c>
      <c r="D16">
        <v>218.34299999999999</v>
      </c>
      <c r="E16">
        <v>436.02100000000002</v>
      </c>
      <c r="F16">
        <v>172.74</v>
      </c>
      <c r="G16">
        <v>155.191</v>
      </c>
      <c r="H16">
        <v>197.43299999999999</v>
      </c>
      <c r="I16">
        <v>132.33600000000001</v>
      </c>
      <c r="J16">
        <v>279.71800000000002</v>
      </c>
      <c r="K16">
        <v>128.71700000000001</v>
      </c>
      <c r="L16">
        <v>186.47</v>
      </c>
      <c r="M16">
        <v>197.328</v>
      </c>
    </row>
    <row r="17" spans="1:13" x14ac:dyDescent="0.2">
      <c r="A17" s="4" t="s">
        <v>2</v>
      </c>
      <c r="B17">
        <v>244.69800000000001</v>
      </c>
      <c r="C17">
        <v>320.71199999999999</v>
      </c>
      <c r="D17">
        <v>146.32400000000001</v>
      </c>
      <c r="E17">
        <v>170.053</v>
      </c>
      <c r="F17">
        <v>428.74799999999999</v>
      </c>
      <c r="G17">
        <v>167.11500000000001</v>
      </c>
      <c r="H17">
        <v>183.26400000000001</v>
      </c>
      <c r="I17">
        <v>227.381</v>
      </c>
      <c r="J17">
        <v>119.30800000000001</v>
      </c>
      <c r="K17">
        <v>259.94</v>
      </c>
      <c r="L17">
        <v>235.399</v>
      </c>
      <c r="M17">
        <v>189.25399999999999</v>
      </c>
    </row>
    <row r="18" spans="1:13" x14ac:dyDescent="0.2">
      <c r="A18" s="4" t="s">
        <v>3</v>
      </c>
      <c r="B18">
        <v>401.01900000000001</v>
      </c>
      <c r="C18">
        <v>431.04500000000002</v>
      </c>
      <c r="D18">
        <v>193.65700000000001</v>
      </c>
      <c r="E18">
        <v>813.41700000000003</v>
      </c>
      <c r="F18">
        <v>420.44799999999998</v>
      </c>
      <c r="G18">
        <v>122.346</v>
      </c>
      <c r="H18">
        <v>178.56899999999999</v>
      </c>
      <c r="I18">
        <v>120.75700000000001</v>
      </c>
      <c r="J18">
        <v>152.70500000000001</v>
      </c>
      <c r="K18">
        <v>229.90899999999999</v>
      </c>
      <c r="L18">
        <v>510.125</v>
      </c>
      <c r="M18">
        <v>371.113</v>
      </c>
    </row>
    <row r="19" spans="1:13" x14ac:dyDescent="0.2">
      <c r="A19" s="4" t="s">
        <v>4</v>
      </c>
      <c r="B19">
        <v>722.93600000000004</v>
      </c>
      <c r="C19">
        <v>730.66200000000003</v>
      </c>
      <c r="D19">
        <v>246.26599999999999</v>
      </c>
      <c r="E19">
        <v>277.60700000000003</v>
      </c>
      <c r="F19">
        <v>108.905</v>
      </c>
      <c r="G19">
        <v>703.40800000000002</v>
      </c>
      <c r="H19">
        <v>133.376</v>
      </c>
      <c r="I19">
        <v>134.51599999999999</v>
      </c>
      <c r="J19">
        <v>163.036</v>
      </c>
      <c r="K19">
        <v>194.03899999999999</v>
      </c>
      <c r="L19">
        <v>311.34500000000003</v>
      </c>
      <c r="M19">
        <v>293.27999999999997</v>
      </c>
    </row>
    <row r="20" spans="1:13" x14ac:dyDescent="0.2">
      <c r="A20" s="4" t="s">
        <v>5</v>
      </c>
      <c r="B20">
        <v>1010.3680000000001</v>
      </c>
      <c r="C20">
        <v>1114.252</v>
      </c>
      <c r="D20">
        <v>496.17</v>
      </c>
      <c r="E20">
        <v>401.709</v>
      </c>
      <c r="F20">
        <v>613.70399999999995</v>
      </c>
      <c r="G20">
        <v>132.11500000000001</v>
      </c>
      <c r="H20">
        <v>244.529</v>
      </c>
      <c r="I20">
        <v>182.63499999999999</v>
      </c>
      <c r="J20">
        <v>219.316</v>
      </c>
      <c r="K20">
        <v>131.26499999999999</v>
      </c>
      <c r="L20">
        <v>395.42399999999998</v>
      </c>
      <c r="M20">
        <v>164.03</v>
      </c>
    </row>
    <row r="21" spans="1:13" x14ac:dyDescent="0.2">
      <c r="A21" s="4" t="s">
        <v>6</v>
      </c>
      <c r="B21">
        <v>1248.2560000000001</v>
      </c>
      <c r="C21">
        <v>1376.529</v>
      </c>
      <c r="D21">
        <v>250.89</v>
      </c>
      <c r="E21">
        <v>467.36399999999998</v>
      </c>
      <c r="F21">
        <v>1219.076</v>
      </c>
      <c r="G21">
        <v>207.94200000000001</v>
      </c>
      <c r="H21">
        <v>315.93400000000003</v>
      </c>
      <c r="I21">
        <v>310.18700000000001</v>
      </c>
      <c r="J21">
        <v>387.488</v>
      </c>
      <c r="K21">
        <v>542.60699999999997</v>
      </c>
      <c r="L21">
        <v>353.55</v>
      </c>
      <c r="M21">
        <v>261.589</v>
      </c>
    </row>
    <row r="22" spans="1:13" x14ac:dyDescent="0.2">
      <c r="A22" s="4" t="s">
        <v>7</v>
      </c>
      <c r="B22">
        <v>1534.1590000000001</v>
      </c>
      <c r="C22">
        <v>1687.4269999999999</v>
      </c>
      <c r="D22">
        <v>759.80799999999999</v>
      </c>
      <c r="E22">
        <v>500.12400000000002</v>
      </c>
      <c r="F22">
        <v>151.73400000000001</v>
      </c>
      <c r="G22">
        <v>284.59899999999999</v>
      </c>
      <c r="H22">
        <v>164.91499999999999</v>
      </c>
      <c r="I22">
        <v>113.91</v>
      </c>
      <c r="J22">
        <v>131.941</v>
      </c>
      <c r="K22">
        <v>92.69</v>
      </c>
      <c r="L22">
        <v>139.464</v>
      </c>
      <c r="M22">
        <v>194.04900000000001</v>
      </c>
    </row>
    <row r="25" spans="1:13" x14ac:dyDescent="0.2">
      <c r="A25" t="s">
        <v>20</v>
      </c>
    </row>
    <row r="27" spans="1:13" x14ac:dyDescent="0.2">
      <c r="A27" t="s">
        <v>8</v>
      </c>
      <c r="B27" t="s">
        <v>9</v>
      </c>
      <c r="C27" t="s">
        <v>23</v>
      </c>
      <c r="D27" t="s">
        <v>10</v>
      </c>
    </row>
    <row r="28" spans="1:13" x14ac:dyDescent="0.2">
      <c r="A28">
        <f>A4</f>
        <v>0</v>
      </c>
      <c r="B28">
        <f t="shared" ref="B28:C35" si="2">B15</f>
        <v>81.016000000000005</v>
      </c>
      <c r="C28">
        <f t="shared" si="2"/>
        <v>128.54599999999999</v>
      </c>
      <c r="D28">
        <f>AVERAGE(B28:C28)</f>
        <v>104.78100000000001</v>
      </c>
    </row>
    <row r="29" spans="1:13" x14ac:dyDescent="0.2">
      <c r="A29">
        <f t="shared" ref="A29:A35" si="3">A5</f>
        <v>2.5000000000000001E-2</v>
      </c>
      <c r="B29">
        <f t="shared" si="2"/>
        <v>154.51400000000001</v>
      </c>
      <c r="C29">
        <f t="shared" si="2"/>
        <v>212.40100000000001</v>
      </c>
      <c r="D29">
        <f t="shared" ref="D29:D32" si="4">AVERAGE(B29:C29)</f>
        <v>183.45750000000001</v>
      </c>
    </row>
    <row r="30" spans="1:13" x14ac:dyDescent="0.2">
      <c r="A30">
        <f t="shared" si="3"/>
        <v>0.05</v>
      </c>
      <c r="B30">
        <f t="shared" si="2"/>
        <v>244.69800000000001</v>
      </c>
      <c r="C30">
        <f t="shared" si="2"/>
        <v>320.71199999999999</v>
      </c>
      <c r="D30">
        <f t="shared" si="4"/>
        <v>282.70499999999998</v>
      </c>
    </row>
    <row r="31" spans="1:13" x14ac:dyDescent="0.2">
      <c r="A31">
        <f t="shared" si="3"/>
        <v>0.1</v>
      </c>
      <c r="B31">
        <f t="shared" si="2"/>
        <v>401.01900000000001</v>
      </c>
      <c r="C31">
        <f t="shared" si="2"/>
        <v>431.04500000000002</v>
      </c>
      <c r="D31">
        <f t="shared" si="4"/>
        <v>416.03200000000004</v>
      </c>
    </row>
    <row r="32" spans="1:13" x14ac:dyDescent="0.2">
      <c r="A32">
        <f t="shared" si="3"/>
        <v>0.2</v>
      </c>
      <c r="B32">
        <f t="shared" si="2"/>
        <v>722.93600000000004</v>
      </c>
      <c r="C32">
        <f t="shared" si="2"/>
        <v>730.66200000000003</v>
      </c>
      <c r="D32">
        <f t="shared" si="4"/>
        <v>726.79899999999998</v>
      </c>
    </row>
    <row r="33" spans="1:4" x14ac:dyDescent="0.2">
      <c r="A33">
        <f t="shared" si="3"/>
        <v>0.3</v>
      </c>
      <c r="B33">
        <f t="shared" si="2"/>
        <v>1010.3680000000001</v>
      </c>
      <c r="C33">
        <f t="shared" si="2"/>
        <v>1114.252</v>
      </c>
      <c r="D33">
        <f t="shared" ref="D33:D35" si="5">AVERAGE(B33:C33)</f>
        <v>1062.31</v>
      </c>
    </row>
    <row r="34" spans="1:4" x14ac:dyDescent="0.2">
      <c r="A34">
        <f t="shared" si="3"/>
        <v>0.4</v>
      </c>
      <c r="B34">
        <f t="shared" si="2"/>
        <v>1248.2560000000001</v>
      </c>
      <c r="C34">
        <f t="shared" si="2"/>
        <v>1376.529</v>
      </c>
      <c r="D34">
        <f t="shared" si="5"/>
        <v>1312.3924999999999</v>
      </c>
    </row>
    <row r="35" spans="1:4" x14ac:dyDescent="0.2">
      <c r="A35">
        <f t="shared" si="3"/>
        <v>0.5</v>
      </c>
      <c r="B35">
        <f t="shared" si="2"/>
        <v>1534.1590000000001</v>
      </c>
      <c r="C35">
        <f t="shared" si="2"/>
        <v>1687.4269999999999</v>
      </c>
      <c r="D35">
        <f t="shared" si="5"/>
        <v>1610.7930000000001</v>
      </c>
    </row>
    <row r="41" spans="1:4" x14ac:dyDescent="0.2">
      <c r="A41" t="s">
        <v>11</v>
      </c>
      <c r="B41">
        <f>SLOPE(D28:D35,A28:A35)</f>
        <v>3014.5929926068793</v>
      </c>
    </row>
    <row r="42" spans="1:4" x14ac:dyDescent="0.2">
      <c r="A42" t="s">
        <v>12</v>
      </c>
      <c r="B42">
        <f>INTERCEPT(D28:D35,A28:A35)</f>
        <v>118.91075458052057</v>
      </c>
    </row>
    <row r="43" spans="1:4" x14ac:dyDescent="0.2">
      <c r="A43" t="s">
        <v>13</v>
      </c>
      <c r="B43">
        <f>RSQ(D28:D35,A28:A35)</f>
        <v>0.99889480619945414</v>
      </c>
    </row>
    <row r="44" spans="1:4" x14ac:dyDescent="0.2">
      <c r="A44" t="s">
        <v>15</v>
      </c>
      <c r="B44">
        <v>200</v>
      </c>
      <c r="C44" t="s">
        <v>17</v>
      </c>
    </row>
    <row r="45" spans="1:4" x14ac:dyDescent="0.2">
      <c r="A45" t="s">
        <v>16</v>
      </c>
      <c r="B45">
        <v>1</v>
      </c>
      <c r="C45" t="s">
        <v>17</v>
      </c>
    </row>
    <row r="46" spans="1:4" x14ac:dyDescent="0.2">
      <c r="A46" t="s">
        <v>170</v>
      </c>
      <c r="B46">
        <v>10</v>
      </c>
      <c r="C46" t="s">
        <v>17</v>
      </c>
    </row>
    <row r="48" spans="1:4" x14ac:dyDescent="0.2">
      <c r="A48" t="s">
        <v>22</v>
      </c>
    </row>
    <row r="49" spans="1:16" x14ac:dyDescent="0.2">
      <c r="A49" t="s">
        <v>21</v>
      </c>
    </row>
    <row r="50" spans="1:16" x14ac:dyDescent="0.2">
      <c r="B50" s="3">
        <v>1</v>
      </c>
      <c r="C50" s="3">
        <v>2</v>
      </c>
      <c r="D50" s="3">
        <v>3</v>
      </c>
      <c r="E50" s="3">
        <v>4</v>
      </c>
      <c r="F50" s="3">
        <v>5</v>
      </c>
      <c r="G50" s="3">
        <v>6</v>
      </c>
      <c r="H50" s="3">
        <v>7</v>
      </c>
      <c r="I50" s="3">
        <v>8</v>
      </c>
      <c r="J50" s="3">
        <v>9</v>
      </c>
      <c r="K50" s="3">
        <v>10</v>
      </c>
      <c r="L50" s="3">
        <v>11</v>
      </c>
      <c r="M50" s="3">
        <v>12</v>
      </c>
    </row>
    <row r="51" spans="1:16" x14ac:dyDescent="0.2">
      <c r="A51" s="4" t="s">
        <v>0</v>
      </c>
      <c r="B51" s="3">
        <f>((B15-$B$42)/$B$41)*($B$44/$B$46)</f>
        <v>-0.2514087618027066</v>
      </c>
      <c r="C51" s="3">
        <f>((C15-$B$42)/$B$41)*($B$44/$B$46)</f>
        <v>6.3924021870344142E-2</v>
      </c>
      <c r="D51" s="3">
        <f>((D15-$B$42)/$B$41)*($B$44/$B$45)</f>
        <v>-2.4421044347143672</v>
      </c>
      <c r="E51" s="3">
        <f>((E15-$B$42)/$B$41)*($B$44/$B$45)</f>
        <v>7.7706175066899572</v>
      </c>
      <c r="F51" s="3">
        <f>((F15-$B$42)/$B$41)*($B$44/$B$45)</f>
        <v>14.107592364274385</v>
      </c>
      <c r="G51" s="3">
        <f t="shared" ref="G51" si="6">((G15-$B$42)/$B$41)*($B$44/$B$45)</f>
        <v>0.95344515526468165</v>
      </c>
      <c r="H51" s="3">
        <f>((H15-$B$42)/$B$41)*($B$44/$B$45)</f>
        <v>36.260300926849055</v>
      </c>
      <c r="I51" s="3">
        <f t="shared" ref="I51:M51" si="7">((I15-$B$42)/$B$41)*($B$44/$B$45)</f>
        <v>15.588322934187879</v>
      </c>
      <c r="J51" s="3">
        <f t="shared" si="7"/>
        <v>3.2127219520671382</v>
      </c>
      <c r="K51" s="3">
        <f t="shared" si="7"/>
        <v>5.1524862964880631</v>
      </c>
      <c r="L51" s="3">
        <f t="shared" si="7"/>
        <v>0.27235818762581321</v>
      </c>
      <c r="M51" s="3">
        <f t="shared" si="7"/>
        <v>2.5808621936614702</v>
      </c>
    </row>
    <row r="52" spans="1:16" x14ac:dyDescent="0.2">
      <c r="A52" s="4" t="s">
        <v>1</v>
      </c>
      <c r="B52" s="3">
        <f>((B16-$B$42)/$B$41)*($B$44/$B$46)</f>
        <v>0.23620598539699655</v>
      </c>
      <c r="C52" s="3">
        <f>((C16-$B$42)/$B$41)*($B$44/$B$46)</f>
        <v>0.6202511957584923</v>
      </c>
      <c r="D52" s="3">
        <f t="shared" ref="D52:G52" si="8">((D16-$B$42)/$B$41)*($B$44/$B$45)</f>
        <v>6.5967276951370497</v>
      </c>
      <c r="E52" s="3">
        <f t="shared" si="8"/>
        <v>21.038345554253894</v>
      </c>
      <c r="F52" s="3">
        <f t="shared" si="8"/>
        <v>3.5712446457278078</v>
      </c>
      <c r="G52" s="3">
        <f t="shared" si="8"/>
        <v>2.4069747065991796</v>
      </c>
      <c r="H52" s="3">
        <f t="shared" ref="H52:M52" si="9">((H16-$B$42)/$B$41)*($B$44/$B$45)</f>
        <v>5.2094757476084386</v>
      </c>
      <c r="I52" s="3">
        <f t="shared" si="9"/>
        <v>0.8906837806897383</v>
      </c>
      <c r="J52" s="3">
        <f t="shared" si="9"/>
        <v>10.668587488516707</v>
      </c>
      <c r="K52" s="3">
        <f t="shared" si="9"/>
        <v>0.65058503376931531</v>
      </c>
      <c r="L52" s="3">
        <f t="shared" si="9"/>
        <v>4.4821470483852845</v>
      </c>
      <c r="M52" s="3">
        <f t="shared" si="9"/>
        <v>5.2025096330943068</v>
      </c>
    </row>
    <row r="53" spans="1:16" x14ac:dyDescent="0.2">
      <c r="A53" s="4" t="s">
        <v>2</v>
      </c>
      <c r="B53" s="3">
        <f>((B17-$B$42)/$B$41)*($B$44/$B$46)</f>
        <v>0.83452224381842344</v>
      </c>
      <c r="C53" s="3">
        <f>((C17-$B$42)/$B$41)*($B$44/$B$46)</f>
        <v>1.3388291282729423</v>
      </c>
      <c r="D53" s="3">
        <f>((D17-$B$42)/$B$41)*($B$44/$B$45)</f>
        <v>1.8187029218676543</v>
      </c>
      <c r="E53" s="3">
        <f t="shared" ref="D53:G53" si="10">((E17-$B$42)/$B$41)*($B$44/$B$45)</f>
        <v>3.3929784581137765</v>
      </c>
      <c r="F53" s="3">
        <f t="shared" si="10"/>
        <v>20.555826022241671</v>
      </c>
      <c r="G53" s="3">
        <f t="shared" si="10"/>
        <v>3.1980599396135831</v>
      </c>
      <c r="H53" s="3">
        <f>((H17-$B$42)/$B$41)*($B$44/$B$45)</f>
        <v>4.2694483518871156</v>
      </c>
      <c r="I53" s="3">
        <f t="shared" ref="I53:M53" si="11">((I17-$B$42)/$B$41)*($B$44/$B$45)</f>
        <v>7.1963442949344492</v>
      </c>
      <c r="J53" s="3">
        <f t="shared" si="11"/>
        <v>2.6354829355316259E-2</v>
      </c>
      <c r="K53" s="3">
        <f t="shared" si="11"/>
        <v>9.3564368898452148</v>
      </c>
      <c r="L53" s="3">
        <f t="shared" si="11"/>
        <v>7.7282900680231341</v>
      </c>
      <c r="M53" s="3">
        <f t="shared" si="11"/>
        <v>4.6668485989314172</v>
      </c>
    </row>
    <row r="54" spans="1:16" x14ac:dyDescent="0.2">
      <c r="A54" s="4" t="s">
        <v>3</v>
      </c>
      <c r="B54" s="3">
        <f>((B18-$B$42)/$B$41)*($B$44/$B$46)</f>
        <v>1.8716174694980989</v>
      </c>
      <c r="C54" s="3">
        <f>((C18-$B$42)/$B$41)*($B$44/$B$46)</f>
        <v>2.0708218070231785</v>
      </c>
      <c r="D54" s="3">
        <f t="shared" ref="D54:G54" si="12">((D18-$B$42)/$B$41)*($B$44/$B$45)</f>
        <v>4.9589610008906959</v>
      </c>
      <c r="E54" s="3">
        <f t="shared" si="12"/>
        <v>46.076286060686613</v>
      </c>
      <c r="F54" s="3">
        <f t="shared" si="12"/>
        <v>20.005171255886459</v>
      </c>
      <c r="G54" s="3">
        <f t="shared" si="12"/>
        <v>0.22790774263087432</v>
      </c>
      <c r="H54" s="3">
        <f t="shared" ref="H54:M54" si="13">((H18-$B$42)/$B$41)*($B$44/$B$45)</f>
        <v>3.9579635171837739</v>
      </c>
      <c r="I54" s="3">
        <f t="shared" si="13"/>
        <v>0.12248720965034046</v>
      </c>
      <c r="J54" s="3">
        <f t="shared" si="13"/>
        <v>2.2420436524836314</v>
      </c>
      <c r="K54" s="3">
        <f t="shared" si="13"/>
        <v>7.3640617948556502</v>
      </c>
      <c r="L54" s="3">
        <f t="shared" si="13"/>
        <v>25.954697458589632</v>
      </c>
      <c r="M54" s="3">
        <f t="shared" si="13"/>
        <v>16.732092593460631</v>
      </c>
    </row>
    <row r="55" spans="1:16" x14ac:dyDescent="0.2">
      <c r="A55" s="4" t="s">
        <v>4</v>
      </c>
      <c r="B55" s="3">
        <f>((B19-$B$42)/$B$41)*($B$44/$B$46)</f>
        <v>4.0073419323989512</v>
      </c>
      <c r="C55" s="3">
        <f>((C19-$B$42)/$B$41)*($B$44/$B$46)</f>
        <v>4.0585992664334132</v>
      </c>
      <c r="D55" s="3">
        <f t="shared" ref="D55:G55" si="14">((D19-$B$42)/$B$41)*($B$44/$B$45)</f>
        <v>8.4492497482619395</v>
      </c>
      <c r="E55" s="3">
        <f t="shared" si="14"/>
        <v>10.528535414808774</v>
      </c>
      <c r="F55" s="3">
        <f t="shared" si="14"/>
        <v>-0.66382125912580092</v>
      </c>
      <c r="G55" s="3">
        <f t="shared" si="14"/>
        <v>38.777854712256435</v>
      </c>
      <c r="H55" s="3">
        <f t="shared" ref="H55:M55" si="15">((H19-$B$42)/$B$41)*($B$44/$B$45)</f>
        <v>0.95968148635352335</v>
      </c>
      <c r="I55" s="3">
        <f t="shared" si="15"/>
        <v>1.0353135867926722</v>
      </c>
      <c r="J55" s="3">
        <f t="shared" si="15"/>
        <v>2.9274429767264851</v>
      </c>
      <c r="K55" s="3">
        <f t="shared" si="15"/>
        <v>4.9843043889325847</v>
      </c>
      <c r="L55" s="3">
        <f t="shared" si="15"/>
        <v>12.766847524121077</v>
      </c>
      <c r="M55" s="3">
        <f t="shared" si="15"/>
        <v>11.568344107951569</v>
      </c>
    </row>
    <row r="56" spans="1:16" x14ac:dyDescent="0.2">
      <c r="A56" s="4" t="s">
        <v>5</v>
      </c>
      <c r="B56" s="3">
        <f>((B20-$B$42)/$B$41)*($B$44/$B$46)</f>
        <v>5.9142792914713755</v>
      </c>
      <c r="C56" s="3">
        <f>((C20-$B$42)/$B$41)*($B$44/$B$46)</f>
        <v>6.603486758315289</v>
      </c>
      <c r="D56" s="3">
        <f>((D20-$B$42)/$B$41)*($B$44/$B$45)</f>
        <v>25.028867667687589</v>
      </c>
      <c r="E56" s="3">
        <f t="shared" ref="E56:G56" si="16">((E20-$B$42)/$B$41)*($B$44/$B$45)</f>
        <v>18.761952018930998</v>
      </c>
      <c r="F56" s="3">
        <f t="shared" si="16"/>
        <v>32.8265372229639</v>
      </c>
      <c r="G56" s="3">
        <f t="shared" si="16"/>
        <v>0.87602176823618361</v>
      </c>
      <c r="H56" s="3">
        <f>((H20-$B$42)/$B$41)*($B$44/$B$45)</f>
        <v>8.3340103110138681</v>
      </c>
      <c r="I56" s="3">
        <f t="shared" ref="I56:K56" si="17">((I20-$B$42)/$B$41)*($B$44/$B$45)</f>
        <v>4.2277180087500739</v>
      </c>
      <c r="J56" s="3">
        <f t="shared" si="17"/>
        <v>6.6612803563013427</v>
      </c>
      <c r="K56" s="3">
        <f t="shared" si="17"/>
        <v>0.8196294126455882</v>
      </c>
      <c r="L56" s="3">
        <f t="shared" ref="L56:M56" si="18">((L20-$B$42)/$B$41)*($B$44/$B$45)</f>
        <v>18.344980307299373</v>
      </c>
      <c r="M56" s="3">
        <f t="shared" si="18"/>
        <v>2.993388860793603</v>
      </c>
    </row>
    <row r="57" spans="1:16" x14ac:dyDescent="0.2">
      <c r="A57" s="4" t="s">
        <v>6</v>
      </c>
      <c r="B57" s="3">
        <f>((B21-$B$42)/$B$41)*($B$44/$B$46)</f>
        <v>7.4925221957931667</v>
      </c>
      <c r="C57" s="3">
        <f>((C21-$B$42)/$B$41)*($B$44/$B$46)</f>
        <v>8.3435359168134333</v>
      </c>
      <c r="D57" s="3">
        <f t="shared" ref="D57:G57" si="19">((D21-$B$42)/$B$41)*($B$44/$B$45)</f>
        <v>8.7560241626747715</v>
      </c>
      <c r="E57" s="3">
        <f t="shared" si="19"/>
        <v>23.117763908696233</v>
      </c>
      <c r="F57" s="3">
        <f t="shared" si="19"/>
        <v>72.989305562480453</v>
      </c>
      <c r="G57" s="3">
        <f t="shared" si="19"/>
        <v>5.9066842945514422</v>
      </c>
      <c r="H57" s="3">
        <f t="shared" ref="H57:K57" si="20">((H21-$B$42)/$B$41)*($B$44/$B$45)</f>
        <v>13.071299900362533</v>
      </c>
      <c r="I57" s="3">
        <f t="shared" si="20"/>
        <v>12.690021232622362</v>
      </c>
      <c r="J57" s="3">
        <f t="shared" si="20"/>
        <v>17.818474737926486</v>
      </c>
      <c r="K57" s="3">
        <f t="shared" si="20"/>
        <v>28.109681569523364</v>
      </c>
      <c r="L57" s="3">
        <f t="shared" ref="L57:M57" si="21">((L21-$B$42)/$B$41)*($B$44/$B$45)</f>
        <v>15.566893839063454</v>
      </c>
      <c r="M57" s="3">
        <f t="shared" si="21"/>
        <v>9.4658380596909666</v>
      </c>
    </row>
    <row r="58" spans="1:16" x14ac:dyDescent="0.2">
      <c r="A58" s="4" t="s">
        <v>7</v>
      </c>
      <c r="B58" s="3">
        <f>((B22-$B$42)/$B$41)*($B$44/$B$46)</f>
        <v>9.3893155652540621</v>
      </c>
      <c r="C58" s="3">
        <f>((C22-$B$42)/$B$41)*($B$44/$B$46)</f>
        <v>10.406155983684549</v>
      </c>
      <c r="D58" s="3">
        <f t="shared" ref="D58:G58" si="22">((D22-$B$42)/$B$41)*($B$44/$B$45)</f>
        <v>42.519653365561723</v>
      </c>
      <c r="E58" s="3">
        <f t="shared" si="22"/>
        <v>25.291191637105481</v>
      </c>
      <c r="F58" s="3">
        <f t="shared" si="22"/>
        <v>2.1776236792148467</v>
      </c>
      <c r="G58" s="3">
        <f t="shared" si="22"/>
        <v>10.992412297502222</v>
      </c>
      <c r="H58" s="3">
        <f t="shared" ref="H58:K58" si="23">((H22-$B$42)/$B$41)*($B$44/$B$45)</f>
        <v>3.0521032545555737</v>
      </c>
      <c r="I58" s="3">
        <f t="shared" si="23"/>
        <v>-0.33176980061883304</v>
      </c>
      <c r="J58" s="3">
        <f t="shared" si="23"/>
        <v>0.86447792132704981</v>
      </c>
      <c r="K58" s="3">
        <f t="shared" si="23"/>
        <v>-1.7395883719510734</v>
      </c>
      <c r="L58" s="3">
        <f t="shared" ref="L58:M58" si="24">((L22-$B$42)/$B$41)*($B$44/$B$45)</f>
        <v>1.3635834402776832</v>
      </c>
      <c r="M58" s="3">
        <f t="shared" si="24"/>
        <v>4.984967828410122</v>
      </c>
    </row>
    <row r="59" spans="1:16" ht="14" customHeight="1" x14ac:dyDescent="0.2"/>
    <row r="60" spans="1:16" x14ac:dyDescent="0.2">
      <c r="A60" s="4" t="s">
        <v>0</v>
      </c>
      <c r="B60" s="5" t="s">
        <v>24</v>
      </c>
      <c r="C60" s="5" t="s">
        <v>24</v>
      </c>
      <c r="D60" s="8" t="s">
        <v>26</v>
      </c>
      <c r="E60" s="8" t="s">
        <v>35</v>
      </c>
      <c r="F60" s="9" t="s">
        <v>36</v>
      </c>
      <c r="G60" s="9" t="s">
        <v>37</v>
      </c>
      <c r="H60" s="8" t="s">
        <v>38</v>
      </c>
      <c r="I60" s="8" t="s">
        <v>39</v>
      </c>
      <c r="J60" s="9"/>
      <c r="K60" s="6"/>
      <c r="L60" s="6"/>
      <c r="M60" s="6"/>
      <c r="O60" t="s">
        <v>108</v>
      </c>
      <c r="P60">
        <f>COUNTA(B60:M67)</f>
        <v>58</v>
      </c>
    </row>
    <row r="61" spans="1:16" x14ac:dyDescent="0.2">
      <c r="A61" s="4" t="s">
        <v>1</v>
      </c>
      <c r="B61" s="5" t="s">
        <v>24</v>
      </c>
      <c r="C61" s="5" t="s">
        <v>24</v>
      </c>
      <c r="D61" s="8" t="s">
        <v>27</v>
      </c>
      <c r="E61" s="9" t="s">
        <v>40</v>
      </c>
      <c r="F61" s="9" t="s">
        <v>46</v>
      </c>
      <c r="G61" s="9" t="s">
        <v>47</v>
      </c>
      <c r="H61" s="6" t="s">
        <v>48</v>
      </c>
      <c r="I61" s="6" t="s">
        <v>49</v>
      </c>
      <c r="J61" s="6"/>
      <c r="K61" s="6"/>
      <c r="L61" s="6"/>
      <c r="M61" s="6"/>
    </row>
    <row r="62" spans="1:16" x14ac:dyDescent="0.2">
      <c r="A62" s="4" t="s">
        <v>2</v>
      </c>
      <c r="B62" s="5" t="s">
        <v>24</v>
      </c>
      <c r="C62" s="5" t="s">
        <v>24</v>
      </c>
      <c r="D62" s="8" t="s">
        <v>28</v>
      </c>
      <c r="E62" s="8" t="s">
        <v>41</v>
      </c>
      <c r="F62" s="9" t="s">
        <v>50</v>
      </c>
      <c r="G62" s="9" t="s">
        <v>56</v>
      </c>
      <c r="H62" s="8" t="s">
        <v>62</v>
      </c>
      <c r="I62" s="8" t="s">
        <v>68</v>
      </c>
      <c r="J62" s="6"/>
      <c r="K62" s="6"/>
      <c r="L62" s="6"/>
      <c r="M62" s="6"/>
    </row>
    <row r="63" spans="1:16" x14ac:dyDescent="0.2">
      <c r="A63" s="4" t="s">
        <v>3</v>
      </c>
      <c r="B63" s="5" t="s">
        <v>24</v>
      </c>
      <c r="C63" s="5" t="s">
        <v>24</v>
      </c>
      <c r="D63" s="8" t="s">
        <v>29</v>
      </c>
      <c r="E63" s="9" t="s">
        <v>42</v>
      </c>
      <c r="F63" s="9" t="s">
        <v>51</v>
      </c>
      <c r="G63" s="9" t="s">
        <v>57</v>
      </c>
      <c r="H63" s="6" t="s">
        <v>63</v>
      </c>
      <c r="I63" s="6" t="s">
        <v>69</v>
      </c>
      <c r="J63" s="6"/>
      <c r="K63" s="6"/>
      <c r="L63" s="6"/>
      <c r="M63" s="6"/>
    </row>
    <row r="64" spans="1:16" x14ac:dyDescent="0.2">
      <c r="A64" s="4" t="s">
        <v>4</v>
      </c>
      <c r="B64" s="5" t="s">
        <v>25</v>
      </c>
      <c r="C64" s="5" t="s">
        <v>25</v>
      </c>
      <c r="D64" s="8" t="s">
        <v>30</v>
      </c>
      <c r="E64" s="8" t="s">
        <v>43</v>
      </c>
      <c r="F64" s="9" t="s">
        <v>52</v>
      </c>
      <c r="G64" s="9" t="s">
        <v>58</v>
      </c>
      <c r="H64" s="8" t="s">
        <v>64</v>
      </c>
      <c r="I64" s="8" t="s">
        <v>70</v>
      </c>
      <c r="J64" s="6"/>
      <c r="K64" s="6"/>
      <c r="L64" s="6"/>
      <c r="M64" s="6"/>
    </row>
    <row r="65" spans="1:13" x14ac:dyDescent="0.2">
      <c r="A65" s="4" t="s">
        <v>5</v>
      </c>
      <c r="B65" s="5"/>
      <c r="C65" s="5"/>
      <c r="D65" s="8" t="s">
        <v>31</v>
      </c>
      <c r="E65" s="9" t="s">
        <v>44</v>
      </c>
      <c r="F65" s="9" t="s">
        <v>53</v>
      </c>
      <c r="G65" s="9" t="s">
        <v>59</v>
      </c>
      <c r="H65" s="6" t="s">
        <v>65</v>
      </c>
      <c r="I65" s="6" t="s">
        <v>71</v>
      </c>
      <c r="J65" s="10"/>
      <c r="K65" s="7"/>
      <c r="L65" s="6"/>
      <c r="M65" s="6"/>
    </row>
    <row r="66" spans="1:13" x14ac:dyDescent="0.2">
      <c r="A66" s="4" t="s">
        <v>6</v>
      </c>
      <c r="B66" s="5"/>
      <c r="C66" s="5"/>
      <c r="D66" s="8" t="s">
        <v>32</v>
      </c>
      <c r="E66" s="8" t="s">
        <v>45</v>
      </c>
      <c r="F66" s="9" t="s">
        <v>54</v>
      </c>
      <c r="G66" s="9" t="s">
        <v>60</v>
      </c>
      <c r="H66" s="8" t="s">
        <v>66</v>
      </c>
      <c r="I66" s="8" t="s">
        <v>72</v>
      </c>
      <c r="J66" s="10"/>
      <c r="K66" s="7"/>
      <c r="L66" s="6"/>
      <c r="M66" s="6"/>
    </row>
    <row r="67" spans="1:13" x14ac:dyDescent="0.2">
      <c r="A67" s="4" t="s">
        <v>7</v>
      </c>
      <c r="B67" s="5"/>
      <c r="C67" s="5"/>
      <c r="D67" s="8" t="s">
        <v>33</v>
      </c>
      <c r="E67" s="9" t="s">
        <v>34</v>
      </c>
      <c r="F67" s="9" t="s">
        <v>55</v>
      </c>
      <c r="G67" s="9" t="s">
        <v>61</v>
      </c>
      <c r="H67" s="6" t="s">
        <v>67</v>
      </c>
      <c r="I67" s="6" t="s">
        <v>73</v>
      </c>
      <c r="J67" s="10"/>
      <c r="K67" s="7"/>
      <c r="L67" s="6"/>
      <c r="M67" s="6"/>
    </row>
    <row r="68" spans="1:13" x14ac:dyDescent="0.2">
      <c r="H68" s="3"/>
      <c r="I68" s="3"/>
      <c r="J68" s="3"/>
      <c r="K68" s="3"/>
      <c r="L68" s="3"/>
      <c r="M68" s="3"/>
    </row>
    <row r="69" spans="1:13" x14ac:dyDescent="0.2">
      <c r="F69" s="16"/>
    </row>
    <row r="71" spans="1:13" x14ac:dyDescent="0.2">
      <c r="A71" s="8" t="s">
        <v>26</v>
      </c>
      <c r="B71">
        <f>AVERAGEIF(D$60:M$67,A71,D$51:M$58)</f>
        <v>-2.4421044347143672</v>
      </c>
    </row>
    <row r="72" spans="1:13" x14ac:dyDescent="0.2">
      <c r="A72" s="8" t="s">
        <v>27</v>
      </c>
      <c r="B72">
        <f t="shared" ref="B72:B118" si="25">AVERAGEIF(D$60:M$67,A72,D$51:M$58)</f>
        <v>6.5967276951370497</v>
      </c>
    </row>
    <row r="73" spans="1:13" x14ac:dyDescent="0.2">
      <c r="A73" s="8" t="s">
        <v>28</v>
      </c>
      <c r="B73">
        <f t="shared" si="25"/>
        <v>1.8187029218676543</v>
      </c>
    </row>
    <row r="74" spans="1:13" x14ac:dyDescent="0.2">
      <c r="A74" s="8" t="s">
        <v>29</v>
      </c>
      <c r="B74">
        <f t="shared" si="25"/>
        <v>4.9589610008906959</v>
      </c>
    </row>
    <row r="75" spans="1:13" x14ac:dyDescent="0.2">
      <c r="A75" s="8" t="s">
        <v>30</v>
      </c>
      <c r="B75">
        <f t="shared" si="25"/>
        <v>8.4492497482619395</v>
      </c>
    </row>
    <row r="76" spans="1:13" x14ac:dyDescent="0.2">
      <c r="A76" s="8" t="s">
        <v>31</v>
      </c>
      <c r="B76">
        <f t="shared" si="25"/>
        <v>25.028867667687589</v>
      </c>
    </row>
    <row r="77" spans="1:13" x14ac:dyDescent="0.2">
      <c r="A77" s="8" t="s">
        <v>32</v>
      </c>
      <c r="B77">
        <f t="shared" si="25"/>
        <v>8.7560241626747715</v>
      </c>
    </row>
    <row r="78" spans="1:13" x14ac:dyDescent="0.2">
      <c r="A78" s="8" t="s">
        <v>33</v>
      </c>
      <c r="B78">
        <f t="shared" si="25"/>
        <v>42.519653365561723</v>
      </c>
    </row>
    <row r="79" spans="1:13" x14ac:dyDescent="0.2">
      <c r="A79" s="8" t="s">
        <v>35</v>
      </c>
      <c r="B79">
        <f t="shared" si="25"/>
        <v>7.7706175066899572</v>
      </c>
    </row>
    <row r="80" spans="1:13" x14ac:dyDescent="0.2">
      <c r="A80" s="8" t="s">
        <v>40</v>
      </c>
      <c r="B80">
        <f t="shared" si="25"/>
        <v>21.038345554253894</v>
      </c>
    </row>
    <row r="81" spans="1:2" x14ac:dyDescent="0.2">
      <c r="A81" s="8" t="s">
        <v>41</v>
      </c>
      <c r="B81">
        <f t="shared" si="25"/>
        <v>3.3929784581137765</v>
      </c>
    </row>
    <row r="82" spans="1:2" x14ac:dyDescent="0.2">
      <c r="A82" s="8" t="s">
        <v>42</v>
      </c>
      <c r="B82">
        <f t="shared" si="25"/>
        <v>46.076286060686613</v>
      </c>
    </row>
    <row r="83" spans="1:2" x14ac:dyDescent="0.2">
      <c r="A83" s="8" t="s">
        <v>43</v>
      </c>
      <c r="B83">
        <f t="shared" si="25"/>
        <v>10.528535414808774</v>
      </c>
    </row>
    <row r="84" spans="1:2" x14ac:dyDescent="0.2">
      <c r="A84" s="8" t="s">
        <v>44</v>
      </c>
      <c r="B84">
        <f t="shared" si="25"/>
        <v>18.761952018930998</v>
      </c>
    </row>
    <row r="85" spans="1:2" x14ac:dyDescent="0.2">
      <c r="A85" s="8" t="s">
        <v>45</v>
      </c>
      <c r="B85">
        <f t="shared" si="25"/>
        <v>23.117763908696233</v>
      </c>
    </row>
    <row r="86" spans="1:2" x14ac:dyDescent="0.2">
      <c r="A86" s="8" t="s">
        <v>34</v>
      </c>
      <c r="B86">
        <f t="shared" si="25"/>
        <v>25.291191637105481</v>
      </c>
    </row>
    <row r="87" spans="1:2" x14ac:dyDescent="0.2">
      <c r="A87" s="8" t="s">
        <v>36</v>
      </c>
      <c r="B87">
        <f t="shared" si="25"/>
        <v>14.107592364274385</v>
      </c>
    </row>
    <row r="88" spans="1:2" x14ac:dyDescent="0.2">
      <c r="A88" s="8" t="s">
        <v>46</v>
      </c>
      <c r="B88">
        <f t="shared" si="25"/>
        <v>3.5712446457278078</v>
      </c>
    </row>
    <row r="89" spans="1:2" x14ac:dyDescent="0.2">
      <c r="A89" s="8" t="s">
        <v>50</v>
      </c>
      <c r="B89">
        <f t="shared" si="25"/>
        <v>20.555826022241671</v>
      </c>
    </row>
    <row r="90" spans="1:2" x14ac:dyDescent="0.2">
      <c r="A90" s="8" t="s">
        <v>51</v>
      </c>
      <c r="B90">
        <f t="shared" si="25"/>
        <v>20.005171255886459</v>
      </c>
    </row>
    <row r="91" spans="1:2" x14ac:dyDescent="0.2">
      <c r="A91" s="8" t="s">
        <v>52</v>
      </c>
      <c r="B91">
        <f t="shared" si="25"/>
        <v>-0.66382125912580092</v>
      </c>
    </row>
    <row r="92" spans="1:2" x14ac:dyDescent="0.2">
      <c r="A92" s="8" t="s">
        <v>53</v>
      </c>
      <c r="B92">
        <f t="shared" si="25"/>
        <v>32.8265372229639</v>
      </c>
    </row>
    <row r="93" spans="1:2" x14ac:dyDescent="0.2">
      <c r="A93" s="8" t="s">
        <v>54</v>
      </c>
      <c r="B93">
        <f t="shared" si="25"/>
        <v>72.989305562480453</v>
      </c>
    </row>
    <row r="94" spans="1:2" x14ac:dyDescent="0.2">
      <c r="A94" s="11" t="s">
        <v>55</v>
      </c>
      <c r="B94">
        <f t="shared" si="25"/>
        <v>2.1776236792148467</v>
      </c>
    </row>
    <row r="95" spans="1:2" x14ac:dyDescent="0.2">
      <c r="A95" s="8" t="s">
        <v>37</v>
      </c>
      <c r="B95">
        <f t="shared" si="25"/>
        <v>0.95344515526468165</v>
      </c>
    </row>
    <row r="96" spans="1:2" x14ac:dyDescent="0.2">
      <c r="A96" s="8" t="s">
        <v>47</v>
      </c>
      <c r="B96">
        <f t="shared" si="25"/>
        <v>2.4069747065991796</v>
      </c>
    </row>
    <row r="97" spans="1:2" x14ac:dyDescent="0.2">
      <c r="A97" s="8" t="s">
        <v>56</v>
      </c>
      <c r="B97">
        <f t="shared" si="25"/>
        <v>3.1980599396135831</v>
      </c>
    </row>
    <row r="98" spans="1:2" x14ac:dyDescent="0.2">
      <c r="A98" s="8" t="s">
        <v>57</v>
      </c>
      <c r="B98">
        <f t="shared" si="25"/>
        <v>0.22790774263087432</v>
      </c>
    </row>
    <row r="99" spans="1:2" x14ac:dyDescent="0.2">
      <c r="A99" s="8" t="s">
        <v>58</v>
      </c>
      <c r="B99">
        <f t="shared" si="25"/>
        <v>38.777854712256435</v>
      </c>
    </row>
    <row r="100" spans="1:2" x14ac:dyDescent="0.2">
      <c r="A100" s="8" t="s">
        <v>59</v>
      </c>
      <c r="B100">
        <f t="shared" si="25"/>
        <v>0.87602176823618361</v>
      </c>
    </row>
    <row r="101" spans="1:2" x14ac:dyDescent="0.2">
      <c r="A101" s="8" t="s">
        <v>60</v>
      </c>
      <c r="B101">
        <f t="shared" si="25"/>
        <v>5.9066842945514422</v>
      </c>
    </row>
    <row r="102" spans="1:2" x14ac:dyDescent="0.2">
      <c r="A102" s="8" t="s">
        <v>61</v>
      </c>
      <c r="B102">
        <f t="shared" si="25"/>
        <v>10.992412297502222</v>
      </c>
    </row>
    <row r="103" spans="1:2" x14ac:dyDescent="0.2">
      <c r="A103" s="8" t="s">
        <v>38</v>
      </c>
      <c r="B103">
        <f t="shared" si="25"/>
        <v>36.260300926849055</v>
      </c>
    </row>
    <row r="104" spans="1:2" x14ac:dyDescent="0.2">
      <c r="A104" s="11" t="s">
        <v>48</v>
      </c>
      <c r="B104">
        <f t="shared" si="25"/>
        <v>5.2094757476084386</v>
      </c>
    </row>
    <row r="105" spans="1:2" x14ac:dyDescent="0.2">
      <c r="A105" s="8" t="s">
        <v>62</v>
      </c>
      <c r="B105">
        <f t="shared" si="25"/>
        <v>4.2694483518871156</v>
      </c>
    </row>
    <row r="106" spans="1:2" x14ac:dyDescent="0.2">
      <c r="A106" s="11" t="s">
        <v>63</v>
      </c>
      <c r="B106">
        <f t="shared" si="25"/>
        <v>3.9579635171837739</v>
      </c>
    </row>
    <row r="107" spans="1:2" x14ac:dyDescent="0.2">
      <c r="A107" s="8" t="s">
        <v>64</v>
      </c>
      <c r="B107">
        <f t="shared" si="25"/>
        <v>0.95968148635352335</v>
      </c>
    </row>
    <row r="108" spans="1:2" x14ac:dyDescent="0.2">
      <c r="A108" s="11" t="s">
        <v>65</v>
      </c>
      <c r="B108">
        <f t="shared" si="25"/>
        <v>8.3340103110138681</v>
      </c>
    </row>
    <row r="109" spans="1:2" x14ac:dyDescent="0.2">
      <c r="A109" s="8" t="s">
        <v>66</v>
      </c>
      <c r="B109">
        <f t="shared" si="25"/>
        <v>13.071299900362533</v>
      </c>
    </row>
    <row r="110" spans="1:2" x14ac:dyDescent="0.2">
      <c r="A110" s="11" t="s">
        <v>67</v>
      </c>
      <c r="B110">
        <f t="shared" si="25"/>
        <v>3.0521032545555737</v>
      </c>
    </row>
    <row r="111" spans="1:2" x14ac:dyDescent="0.2">
      <c r="A111" s="11" t="s">
        <v>39</v>
      </c>
      <c r="B111">
        <f t="shared" si="25"/>
        <v>15.588322934187879</v>
      </c>
    </row>
    <row r="112" spans="1:2" x14ac:dyDescent="0.2">
      <c r="A112" s="11" t="s">
        <v>49</v>
      </c>
      <c r="B112">
        <f t="shared" si="25"/>
        <v>0.8906837806897383</v>
      </c>
    </row>
    <row r="113" spans="1:2" x14ac:dyDescent="0.2">
      <c r="A113" s="11" t="s">
        <v>68</v>
      </c>
      <c r="B113">
        <f t="shared" si="25"/>
        <v>7.1963442949344492</v>
      </c>
    </row>
    <row r="114" spans="1:2" x14ac:dyDescent="0.2">
      <c r="A114" s="11" t="s">
        <v>69</v>
      </c>
      <c r="B114">
        <f t="shared" si="25"/>
        <v>0.12248720965034046</v>
      </c>
    </row>
    <row r="115" spans="1:2" x14ac:dyDescent="0.2">
      <c r="A115" s="11" t="s">
        <v>70</v>
      </c>
      <c r="B115">
        <f t="shared" si="25"/>
        <v>1.0353135867926722</v>
      </c>
    </row>
    <row r="116" spans="1:2" x14ac:dyDescent="0.2">
      <c r="A116" s="11" t="s">
        <v>71</v>
      </c>
      <c r="B116">
        <f t="shared" si="25"/>
        <v>4.2277180087500739</v>
      </c>
    </row>
    <row r="117" spans="1:2" x14ac:dyDescent="0.2">
      <c r="A117" s="11" t="s">
        <v>72</v>
      </c>
      <c r="B117">
        <f t="shared" si="25"/>
        <v>12.690021232622362</v>
      </c>
    </row>
    <row r="118" spans="1:2" x14ac:dyDescent="0.2">
      <c r="A118" s="11" t="s">
        <v>73</v>
      </c>
      <c r="B118">
        <f t="shared" si="25"/>
        <v>-0.33176980061883304</v>
      </c>
    </row>
  </sheetData>
  <conditionalFormatting sqref="H51:M58 B51:C58">
    <cfRule type="cellIs" dxfId="3" priority="2" operator="lessThan">
      <formula>0</formula>
    </cfRule>
  </conditionalFormatting>
  <conditionalFormatting sqref="D51:G58">
    <cfRule type="cellIs" dxfId="2" priority="1" operator="lessThan">
      <formula>0</formula>
    </cfRule>
  </conditionalFormatting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8FAF-65A3-EA41-AB81-F4127C9B5E1D}">
  <dimension ref="A1:P118"/>
  <sheetViews>
    <sheetView zoomScaleNormal="100" workbookViewId="0">
      <selection activeCell="N46" sqref="N46"/>
    </sheetView>
  </sheetViews>
  <sheetFormatPr baseColWidth="10" defaultRowHeight="16" x14ac:dyDescent="0.2"/>
  <cols>
    <col min="1" max="1" width="19" customWidth="1"/>
    <col min="2" max="2" width="14.83203125" bestFit="1" customWidth="1"/>
    <col min="3" max="4" width="10.1640625" bestFit="1" customWidth="1"/>
    <col min="5" max="12" width="9.1640625" bestFit="1" customWidth="1"/>
    <col min="13" max="14" width="9.83203125" bestFit="1" customWidth="1"/>
    <col min="15" max="15" width="13.6640625" customWidth="1"/>
  </cols>
  <sheetData>
    <row r="1" spans="1:13" x14ac:dyDescent="0.2">
      <c r="A1" t="s">
        <v>14</v>
      </c>
    </row>
    <row r="3" spans="1:13" x14ac:dyDescent="0.2">
      <c r="A3" t="s">
        <v>18</v>
      </c>
      <c r="C3" t="s">
        <v>121</v>
      </c>
      <c r="D3" t="s">
        <v>118</v>
      </c>
      <c r="E3" t="s">
        <v>119</v>
      </c>
      <c r="F3" t="s">
        <v>120</v>
      </c>
    </row>
    <row r="4" spans="1:13" x14ac:dyDescent="0.2">
      <c r="A4" s="5">
        <f>F4</f>
        <v>0</v>
      </c>
      <c r="C4" s="5">
        <v>0</v>
      </c>
      <c r="D4">
        <v>10</v>
      </c>
      <c r="E4">
        <v>200</v>
      </c>
      <c r="F4">
        <f>C4*D4/E4</f>
        <v>0</v>
      </c>
    </row>
    <row r="5" spans="1:13" x14ac:dyDescent="0.2">
      <c r="A5" s="5">
        <f t="shared" ref="A5:A10" si="0">F5</f>
        <v>2.5000000000000001E-2</v>
      </c>
      <c r="C5" s="5">
        <v>0.5</v>
      </c>
      <c r="D5">
        <v>10</v>
      </c>
      <c r="E5">
        <v>200</v>
      </c>
      <c r="F5">
        <f t="shared" ref="F5:F11" si="1">C5*D5/E5</f>
        <v>2.5000000000000001E-2</v>
      </c>
    </row>
    <row r="6" spans="1:13" x14ac:dyDescent="0.2">
      <c r="A6" s="5">
        <f t="shared" si="0"/>
        <v>0.05</v>
      </c>
      <c r="C6" s="5">
        <v>1</v>
      </c>
      <c r="D6">
        <v>10</v>
      </c>
      <c r="E6">
        <v>200</v>
      </c>
      <c r="F6">
        <f t="shared" si="1"/>
        <v>0.05</v>
      </c>
    </row>
    <row r="7" spans="1:13" x14ac:dyDescent="0.2">
      <c r="A7" s="5">
        <f t="shared" si="0"/>
        <v>0.1</v>
      </c>
      <c r="C7" s="5">
        <v>2</v>
      </c>
      <c r="D7">
        <v>10</v>
      </c>
      <c r="E7">
        <v>200</v>
      </c>
      <c r="F7">
        <f t="shared" si="1"/>
        <v>0.1</v>
      </c>
    </row>
    <row r="8" spans="1:13" x14ac:dyDescent="0.2">
      <c r="A8" s="5">
        <f t="shared" si="0"/>
        <v>0.2</v>
      </c>
      <c r="C8" s="5">
        <v>4</v>
      </c>
      <c r="D8">
        <v>10</v>
      </c>
      <c r="E8">
        <v>200</v>
      </c>
      <c r="F8">
        <f t="shared" si="1"/>
        <v>0.2</v>
      </c>
    </row>
    <row r="9" spans="1:13" x14ac:dyDescent="0.2">
      <c r="A9" s="5">
        <f t="shared" si="0"/>
        <v>0.3</v>
      </c>
      <c r="C9" s="5">
        <v>6</v>
      </c>
      <c r="D9">
        <v>10</v>
      </c>
      <c r="E9">
        <v>200</v>
      </c>
      <c r="F9">
        <f t="shared" si="1"/>
        <v>0.3</v>
      </c>
    </row>
    <row r="10" spans="1:13" x14ac:dyDescent="0.2">
      <c r="A10" s="5">
        <f t="shared" si="0"/>
        <v>0.4</v>
      </c>
      <c r="C10" s="5">
        <v>8</v>
      </c>
      <c r="D10">
        <v>10</v>
      </c>
      <c r="E10">
        <v>200</v>
      </c>
      <c r="F10">
        <f t="shared" si="1"/>
        <v>0.4</v>
      </c>
    </row>
    <row r="11" spans="1:13" x14ac:dyDescent="0.2">
      <c r="A11" s="5">
        <f>F11</f>
        <v>0.5</v>
      </c>
      <c r="C11" s="5">
        <v>10</v>
      </c>
      <c r="D11">
        <v>10</v>
      </c>
      <c r="E11">
        <v>200</v>
      </c>
      <c r="F11">
        <f t="shared" si="1"/>
        <v>0.5</v>
      </c>
    </row>
    <row r="13" spans="1:13" x14ac:dyDescent="0.2">
      <c r="A13" t="s">
        <v>19</v>
      </c>
    </row>
    <row r="14" spans="1:13" x14ac:dyDescent="0.2">
      <c r="B14" s="1">
        <v>1</v>
      </c>
      <c r="C14" s="1">
        <v>2</v>
      </c>
      <c r="D14" s="2">
        <v>3</v>
      </c>
      <c r="E14" s="2">
        <v>4</v>
      </c>
      <c r="F14" s="2">
        <v>5</v>
      </c>
      <c r="G14" s="2">
        <v>6</v>
      </c>
      <c r="H14" s="2">
        <v>7</v>
      </c>
      <c r="I14" s="2">
        <v>8</v>
      </c>
      <c r="J14" s="2">
        <v>9</v>
      </c>
      <c r="K14" s="2">
        <v>10</v>
      </c>
      <c r="L14" s="2">
        <v>11</v>
      </c>
      <c r="M14" s="2">
        <v>12</v>
      </c>
    </row>
    <row r="15" spans="1:13" x14ac:dyDescent="0.2">
      <c r="A15" s="4" t="s">
        <v>0</v>
      </c>
    </row>
    <row r="16" spans="1:13" x14ac:dyDescent="0.2">
      <c r="A16" s="4" t="s">
        <v>1</v>
      </c>
    </row>
    <row r="17" spans="1:4" x14ac:dyDescent="0.2">
      <c r="A17" s="4" t="s">
        <v>2</v>
      </c>
    </row>
    <row r="18" spans="1:4" x14ac:dyDescent="0.2">
      <c r="A18" s="4" t="s">
        <v>3</v>
      </c>
    </row>
    <row r="19" spans="1:4" x14ac:dyDescent="0.2">
      <c r="A19" s="4" t="s">
        <v>4</v>
      </c>
    </row>
    <row r="20" spans="1:4" x14ac:dyDescent="0.2">
      <c r="A20" s="4" t="s">
        <v>5</v>
      </c>
    </row>
    <row r="21" spans="1:4" x14ac:dyDescent="0.2">
      <c r="A21" s="4" t="s">
        <v>6</v>
      </c>
    </row>
    <row r="22" spans="1:4" x14ac:dyDescent="0.2">
      <c r="A22" s="4" t="s">
        <v>7</v>
      </c>
    </row>
    <row r="25" spans="1:4" x14ac:dyDescent="0.2">
      <c r="A25" t="s">
        <v>20</v>
      </c>
    </row>
    <row r="27" spans="1:4" x14ac:dyDescent="0.2">
      <c r="A27" t="s">
        <v>8</v>
      </c>
      <c r="B27" t="s">
        <v>9</v>
      </c>
      <c r="C27" t="s">
        <v>23</v>
      </c>
      <c r="D27" t="s">
        <v>10</v>
      </c>
    </row>
    <row r="28" spans="1:4" x14ac:dyDescent="0.2">
      <c r="A28">
        <f>A4</f>
        <v>0</v>
      </c>
      <c r="B28">
        <f t="shared" ref="B28:C35" si="2">B15</f>
        <v>0</v>
      </c>
      <c r="C28">
        <f t="shared" si="2"/>
        <v>0</v>
      </c>
      <c r="D28">
        <f>AVERAGE(B28:C28)</f>
        <v>0</v>
      </c>
    </row>
    <row r="29" spans="1:4" x14ac:dyDescent="0.2">
      <c r="A29">
        <f t="shared" ref="A29:A35" si="3">A5</f>
        <v>2.5000000000000001E-2</v>
      </c>
      <c r="B29">
        <f t="shared" si="2"/>
        <v>0</v>
      </c>
      <c r="C29">
        <f t="shared" si="2"/>
        <v>0</v>
      </c>
      <c r="D29">
        <f t="shared" ref="D29:D35" si="4">AVERAGE(B29:C29)</f>
        <v>0</v>
      </c>
    </row>
    <row r="30" spans="1:4" x14ac:dyDescent="0.2">
      <c r="A30">
        <f t="shared" si="3"/>
        <v>0.05</v>
      </c>
      <c r="B30">
        <f t="shared" si="2"/>
        <v>0</v>
      </c>
      <c r="C30">
        <f t="shared" si="2"/>
        <v>0</v>
      </c>
      <c r="D30">
        <f t="shared" si="4"/>
        <v>0</v>
      </c>
    </row>
    <row r="31" spans="1:4" x14ac:dyDescent="0.2">
      <c r="A31">
        <f t="shared" si="3"/>
        <v>0.1</v>
      </c>
      <c r="B31">
        <f t="shared" si="2"/>
        <v>0</v>
      </c>
      <c r="C31">
        <f t="shared" si="2"/>
        <v>0</v>
      </c>
      <c r="D31">
        <f t="shared" si="4"/>
        <v>0</v>
      </c>
    </row>
    <row r="32" spans="1:4" x14ac:dyDescent="0.2">
      <c r="A32">
        <f t="shared" si="3"/>
        <v>0.2</v>
      </c>
      <c r="B32">
        <f t="shared" si="2"/>
        <v>0</v>
      </c>
      <c r="C32">
        <f t="shared" si="2"/>
        <v>0</v>
      </c>
      <c r="D32">
        <f t="shared" si="4"/>
        <v>0</v>
      </c>
    </row>
    <row r="33" spans="1:4" x14ac:dyDescent="0.2">
      <c r="A33">
        <f t="shared" si="3"/>
        <v>0.3</v>
      </c>
      <c r="B33">
        <f t="shared" si="2"/>
        <v>0</v>
      </c>
      <c r="C33">
        <f t="shared" si="2"/>
        <v>0</v>
      </c>
      <c r="D33">
        <f t="shared" si="4"/>
        <v>0</v>
      </c>
    </row>
    <row r="34" spans="1:4" x14ac:dyDescent="0.2">
      <c r="A34">
        <f t="shared" si="3"/>
        <v>0.4</v>
      </c>
      <c r="B34">
        <f t="shared" si="2"/>
        <v>0</v>
      </c>
      <c r="C34">
        <f t="shared" si="2"/>
        <v>0</v>
      </c>
      <c r="D34">
        <f t="shared" si="4"/>
        <v>0</v>
      </c>
    </row>
    <row r="35" spans="1:4" x14ac:dyDescent="0.2">
      <c r="A35">
        <f t="shared" si="3"/>
        <v>0.5</v>
      </c>
      <c r="B35">
        <f t="shared" si="2"/>
        <v>0</v>
      </c>
      <c r="C35">
        <f t="shared" si="2"/>
        <v>0</v>
      </c>
      <c r="D35">
        <f t="shared" si="4"/>
        <v>0</v>
      </c>
    </row>
    <row r="41" spans="1:4" x14ac:dyDescent="0.2">
      <c r="A41" t="s">
        <v>11</v>
      </c>
      <c r="B41">
        <f>SLOPE(D28:D35,A28:A35)</f>
        <v>0</v>
      </c>
    </row>
    <row r="42" spans="1:4" x14ac:dyDescent="0.2">
      <c r="A42" t="s">
        <v>12</v>
      </c>
      <c r="B42">
        <f>INTERCEPT(D28:D35,A28:A35)</f>
        <v>0</v>
      </c>
    </row>
    <row r="43" spans="1:4" x14ac:dyDescent="0.2">
      <c r="A43" t="s">
        <v>13</v>
      </c>
      <c r="B43" t="e">
        <f>RSQ(D28:D35,A28:A35)</f>
        <v>#DIV/0!</v>
      </c>
    </row>
    <row r="44" spans="1:4" x14ac:dyDescent="0.2">
      <c r="A44" t="s">
        <v>15</v>
      </c>
      <c r="B44">
        <v>200</v>
      </c>
      <c r="C44" t="s">
        <v>17</v>
      </c>
    </row>
    <row r="45" spans="1:4" x14ac:dyDescent="0.2">
      <c r="A45" t="s">
        <v>16</v>
      </c>
      <c r="B45">
        <v>2</v>
      </c>
      <c r="C45" t="s">
        <v>17</v>
      </c>
    </row>
    <row r="48" spans="1:4" x14ac:dyDescent="0.2">
      <c r="A48" t="s">
        <v>22</v>
      </c>
    </row>
    <row r="49" spans="1:16" x14ac:dyDescent="0.2">
      <c r="A49" t="s">
        <v>21</v>
      </c>
    </row>
    <row r="50" spans="1:16" x14ac:dyDescent="0.2">
      <c r="B50">
        <v>1</v>
      </c>
      <c r="C50">
        <v>2</v>
      </c>
      <c r="D50">
        <v>3</v>
      </c>
      <c r="E50">
        <v>4</v>
      </c>
      <c r="F50">
        <v>5</v>
      </c>
      <c r="G50">
        <v>6</v>
      </c>
      <c r="H50">
        <v>7</v>
      </c>
      <c r="I50">
        <v>8</v>
      </c>
      <c r="J50">
        <v>9</v>
      </c>
      <c r="K50">
        <v>10</v>
      </c>
      <c r="L50">
        <v>11</v>
      </c>
      <c r="M50">
        <v>12</v>
      </c>
    </row>
    <row r="51" spans="1:16" x14ac:dyDescent="0.2">
      <c r="A51" s="4" t="s">
        <v>0</v>
      </c>
      <c r="B51" t="e">
        <f>((B15-$B$42)/$B$41)*(200/10)</f>
        <v>#DIV/0!</v>
      </c>
      <c r="C51" t="e">
        <f>((C15-$B$42)/$B$41)*(200/10)</f>
        <v>#DIV/0!</v>
      </c>
      <c r="D51" t="e">
        <f t="shared" ref="D51:M51" si="5">((D15-$B$42)/$B$41)*($B$44/$B$45)</f>
        <v>#DIV/0!</v>
      </c>
      <c r="E51" t="e">
        <f t="shared" si="5"/>
        <v>#DIV/0!</v>
      </c>
      <c r="F51" t="e">
        <f t="shared" si="5"/>
        <v>#DIV/0!</v>
      </c>
      <c r="G51" t="e">
        <f t="shared" si="5"/>
        <v>#DIV/0!</v>
      </c>
      <c r="H51" t="e">
        <f t="shared" si="5"/>
        <v>#DIV/0!</v>
      </c>
      <c r="I51" t="e">
        <f t="shared" si="5"/>
        <v>#DIV/0!</v>
      </c>
      <c r="J51" t="e">
        <f t="shared" si="5"/>
        <v>#DIV/0!</v>
      </c>
      <c r="K51" t="e">
        <f t="shared" si="5"/>
        <v>#DIV/0!</v>
      </c>
      <c r="L51" t="e">
        <f t="shared" si="5"/>
        <v>#DIV/0!</v>
      </c>
      <c r="M51" t="e">
        <f t="shared" si="5"/>
        <v>#DIV/0!</v>
      </c>
    </row>
    <row r="52" spans="1:16" x14ac:dyDescent="0.2">
      <c r="A52" s="4" t="s">
        <v>1</v>
      </c>
      <c r="B52" t="e">
        <f t="shared" ref="B52:C58" si="6">((B16-$B$42)/$B$41)*(200/10)</f>
        <v>#DIV/0!</v>
      </c>
      <c r="C52" t="e">
        <f t="shared" si="6"/>
        <v>#DIV/0!</v>
      </c>
      <c r="D52" t="e">
        <f t="shared" ref="D52:M52" si="7">((D16-$B$42)/$B$41)*($B$44/$B$45)</f>
        <v>#DIV/0!</v>
      </c>
      <c r="E52" t="e">
        <f t="shared" si="7"/>
        <v>#DIV/0!</v>
      </c>
      <c r="F52" t="e">
        <f t="shared" si="7"/>
        <v>#DIV/0!</v>
      </c>
      <c r="G52" t="e">
        <f t="shared" si="7"/>
        <v>#DIV/0!</v>
      </c>
      <c r="H52" t="e">
        <f t="shared" si="7"/>
        <v>#DIV/0!</v>
      </c>
      <c r="I52" t="e">
        <f t="shared" si="7"/>
        <v>#DIV/0!</v>
      </c>
      <c r="J52" t="e">
        <f t="shared" si="7"/>
        <v>#DIV/0!</v>
      </c>
      <c r="K52" t="e">
        <f t="shared" si="7"/>
        <v>#DIV/0!</v>
      </c>
      <c r="L52" t="e">
        <f t="shared" si="7"/>
        <v>#DIV/0!</v>
      </c>
      <c r="M52" t="e">
        <f t="shared" si="7"/>
        <v>#DIV/0!</v>
      </c>
    </row>
    <row r="53" spans="1:16" x14ac:dyDescent="0.2">
      <c r="A53" s="4" t="s">
        <v>2</v>
      </c>
      <c r="B53" t="e">
        <f t="shared" si="6"/>
        <v>#DIV/0!</v>
      </c>
      <c r="C53" t="e">
        <f t="shared" si="6"/>
        <v>#DIV/0!</v>
      </c>
      <c r="D53" t="e">
        <f t="shared" ref="D53:M53" si="8">((D17-$B$42)/$B$41)*($B$44/$B$45)</f>
        <v>#DIV/0!</v>
      </c>
      <c r="E53" t="e">
        <f t="shared" si="8"/>
        <v>#DIV/0!</v>
      </c>
      <c r="F53" t="e">
        <f t="shared" si="8"/>
        <v>#DIV/0!</v>
      </c>
      <c r="G53" t="e">
        <f t="shared" si="8"/>
        <v>#DIV/0!</v>
      </c>
      <c r="H53" t="e">
        <f t="shared" si="8"/>
        <v>#DIV/0!</v>
      </c>
      <c r="I53" t="e">
        <f t="shared" si="8"/>
        <v>#DIV/0!</v>
      </c>
      <c r="J53" t="e">
        <f t="shared" si="8"/>
        <v>#DIV/0!</v>
      </c>
      <c r="K53" t="e">
        <f t="shared" si="8"/>
        <v>#DIV/0!</v>
      </c>
      <c r="L53" t="e">
        <f t="shared" si="8"/>
        <v>#DIV/0!</v>
      </c>
      <c r="M53" t="e">
        <f t="shared" si="8"/>
        <v>#DIV/0!</v>
      </c>
    </row>
    <row r="54" spans="1:16" x14ac:dyDescent="0.2">
      <c r="A54" s="4" t="s">
        <v>3</v>
      </c>
      <c r="B54" t="e">
        <f t="shared" si="6"/>
        <v>#DIV/0!</v>
      </c>
      <c r="C54" t="e">
        <f t="shared" si="6"/>
        <v>#DIV/0!</v>
      </c>
      <c r="D54" t="e">
        <f t="shared" ref="D54:M54" si="9">((D18-$B$42)/$B$41)*($B$44/$B$45)</f>
        <v>#DIV/0!</v>
      </c>
      <c r="E54" t="e">
        <f t="shared" si="9"/>
        <v>#DIV/0!</v>
      </c>
      <c r="F54" t="e">
        <f t="shared" si="9"/>
        <v>#DIV/0!</v>
      </c>
      <c r="G54" t="e">
        <f t="shared" si="9"/>
        <v>#DIV/0!</v>
      </c>
      <c r="H54" t="e">
        <f t="shared" si="9"/>
        <v>#DIV/0!</v>
      </c>
      <c r="I54" t="e">
        <f t="shared" si="9"/>
        <v>#DIV/0!</v>
      </c>
      <c r="J54" t="e">
        <f t="shared" si="9"/>
        <v>#DIV/0!</v>
      </c>
      <c r="K54" t="e">
        <f t="shared" si="9"/>
        <v>#DIV/0!</v>
      </c>
      <c r="L54" t="e">
        <f t="shared" si="9"/>
        <v>#DIV/0!</v>
      </c>
      <c r="M54" t="e">
        <f t="shared" si="9"/>
        <v>#DIV/0!</v>
      </c>
    </row>
    <row r="55" spans="1:16" x14ac:dyDescent="0.2">
      <c r="A55" s="4" t="s">
        <v>4</v>
      </c>
      <c r="B55" t="e">
        <f t="shared" si="6"/>
        <v>#DIV/0!</v>
      </c>
      <c r="C55" t="e">
        <f t="shared" si="6"/>
        <v>#DIV/0!</v>
      </c>
      <c r="D55" t="e">
        <f t="shared" ref="D55:M55" si="10">((D19-$B$42)/$B$41)*($B$44/$B$45)</f>
        <v>#DIV/0!</v>
      </c>
      <c r="E55" t="e">
        <f t="shared" si="10"/>
        <v>#DIV/0!</v>
      </c>
      <c r="F55" t="e">
        <f t="shared" si="10"/>
        <v>#DIV/0!</v>
      </c>
      <c r="G55" t="e">
        <f t="shared" si="10"/>
        <v>#DIV/0!</v>
      </c>
      <c r="H55" t="e">
        <f t="shared" si="10"/>
        <v>#DIV/0!</v>
      </c>
      <c r="I55" t="e">
        <f t="shared" si="10"/>
        <v>#DIV/0!</v>
      </c>
      <c r="J55" t="e">
        <f t="shared" si="10"/>
        <v>#DIV/0!</v>
      </c>
      <c r="K55" t="e">
        <f t="shared" si="10"/>
        <v>#DIV/0!</v>
      </c>
      <c r="L55" t="e">
        <f t="shared" si="10"/>
        <v>#DIV/0!</v>
      </c>
      <c r="M55" t="e">
        <f t="shared" si="10"/>
        <v>#DIV/0!</v>
      </c>
    </row>
    <row r="56" spans="1:16" x14ac:dyDescent="0.2">
      <c r="A56" s="4" t="s">
        <v>5</v>
      </c>
      <c r="B56" t="e">
        <f t="shared" si="6"/>
        <v>#DIV/0!</v>
      </c>
      <c r="C56" t="e">
        <f t="shared" si="6"/>
        <v>#DIV/0!</v>
      </c>
      <c r="D56" t="e">
        <f t="shared" ref="D56:M56" si="11">((D20-$B$42)/$B$41)*($B$44/$B$45)</f>
        <v>#DIV/0!</v>
      </c>
      <c r="E56" t="e">
        <f t="shared" si="11"/>
        <v>#DIV/0!</v>
      </c>
      <c r="F56" t="e">
        <f t="shared" si="11"/>
        <v>#DIV/0!</v>
      </c>
      <c r="G56" t="e">
        <f t="shared" si="11"/>
        <v>#DIV/0!</v>
      </c>
      <c r="H56" t="e">
        <f t="shared" si="11"/>
        <v>#DIV/0!</v>
      </c>
      <c r="I56" t="e">
        <f t="shared" si="11"/>
        <v>#DIV/0!</v>
      </c>
      <c r="J56" t="e">
        <f t="shared" si="11"/>
        <v>#DIV/0!</v>
      </c>
      <c r="K56" t="e">
        <f t="shared" si="11"/>
        <v>#DIV/0!</v>
      </c>
      <c r="L56" t="e">
        <f t="shared" si="11"/>
        <v>#DIV/0!</v>
      </c>
      <c r="M56" t="e">
        <f t="shared" si="11"/>
        <v>#DIV/0!</v>
      </c>
    </row>
    <row r="57" spans="1:16" x14ac:dyDescent="0.2">
      <c r="A57" s="4" t="s">
        <v>6</v>
      </c>
      <c r="B57" t="e">
        <f t="shared" si="6"/>
        <v>#DIV/0!</v>
      </c>
      <c r="C57" t="e">
        <f t="shared" si="6"/>
        <v>#DIV/0!</v>
      </c>
      <c r="D57" t="e">
        <f t="shared" ref="D57:M57" si="12">((D21-$B$42)/$B$41)*($B$44/$B$45)</f>
        <v>#DIV/0!</v>
      </c>
      <c r="E57" t="e">
        <f t="shared" si="12"/>
        <v>#DIV/0!</v>
      </c>
      <c r="F57" t="e">
        <f t="shared" si="12"/>
        <v>#DIV/0!</v>
      </c>
      <c r="G57" t="e">
        <f t="shared" si="12"/>
        <v>#DIV/0!</v>
      </c>
      <c r="H57" t="e">
        <f t="shared" si="12"/>
        <v>#DIV/0!</v>
      </c>
      <c r="I57" t="e">
        <f t="shared" si="12"/>
        <v>#DIV/0!</v>
      </c>
      <c r="J57" t="e">
        <f t="shared" si="12"/>
        <v>#DIV/0!</v>
      </c>
      <c r="K57" t="e">
        <f t="shared" si="12"/>
        <v>#DIV/0!</v>
      </c>
      <c r="L57" t="e">
        <f t="shared" si="12"/>
        <v>#DIV/0!</v>
      </c>
      <c r="M57" t="e">
        <f t="shared" si="12"/>
        <v>#DIV/0!</v>
      </c>
    </row>
    <row r="58" spans="1:16" x14ac:dyDescent="0.2">
      <c r="A58" s="4" t="s">
        <v>7</v>
      </c>
      <c r="B58" t="e">
        <f t="shared" si="6"/>
        <v>#DIV/0!</v>
      </c>
      <c r="C58" t="e">
        <f t="shared" si="6"/>
        <v>#DIV/0!</v>
      </c>
      <c r="D58" t="e">
        <f t="shared" ref="D58:M58" si="13">((D22-$B$42)/$B$41)*($B$44/$B$45)</f>
        <v>#DIV/0!</v>
      </c>
      <c r="E58" t="e">
        <f t="shared" si="13"/>
        <v>#DIV/0!</v>
      </c>
      <c r="F58" t="e">
        <f t="shared" si="13"/>
        <v>#DIV/0!</v>
      </c>
      <c r="G58" t="e">
        <f t="shared" si="13"/>
        <v>#DIV/0!</v>
      </c>
      <c r="H58" t="e">
        <f t="shared" si="13"/>
        <v>#DIV/0!</v>
      </c>
      <c r="I58" t="e">
        <f t="shared" si="13"/>
        <v>#DIV/0!</v>
      </c>
      <c r="J58" t="e">
        <f t="shared" si="13"/>
        <v>#DIV/0!</v>
      </c>
      <c r="K58" t="e">
        <f t="shared" si="13"/>
        <v>#DIV/0!</v>
      </c>
      <c r="L58" t="e">
        <f t="shared" si="13"/>
        <v>#DIV/0!</v>
      </c>
      <c r="M58" t="e">
        <f t="shared" si="13"/>
        <v>#DIV/0!</v>
      </c>
    </row>
    <row r="59" spans="1:16" ht="14" customHeight="1" x14ac:dyDescent="0.2"/>
    <row r="60" spans="1:16" x14ac:dyDescent="0.2">
      <c r="B60" s="5" t="s">
        <v>24</v>
      </c>
      <c r="C60" s="5" t="s">
        <v>24</v>
      </c>
      <c r="D60" s="8"/>
      <c r="E60" s="8"/>
      <c r="F60" s="9"/>
      <c r="G60" s="9"/>
      <c r="H60" s="8" t="s">
        <v>122</v>
      </c>
      <c r="I60" s="8" t="s">
        <v>123</v>
      </c>
      <c r="J60" s="9" t="s">
        <v>124</v>
      </c>
      <c r="K60" s="9" t="s">
        <v>125</v>
      </c>
      <c r="L60" s="8" t="s">
        <v>126</v>
      </c>
      <c r="M60" s="8" t="s">
        <v>127</v>
      </c>
      <c r="O60" t="s">
        <v>108</v>
      </c>
      <c r="P60">
        <f>COUNTA(B60:M67)</f>
        <v>58</v>
      </c>
    </row>
    <row r="61" spans="1:16" x14ac:dyDescent="0.2">
      <c r="B61" s="5" t="s">
        <v>24</v>
      </c>
      <c r="C61" s="5" t="s">
        <v>24</v>
      </c>
      <c r="D61" s="8"/>
      <c r="E61" s="9"/>
      <c r="F61" s="9"/>
      <c r="G61" s="9"/>
      <c r="H61" s="8" t="s">
        <v>128</v>
      </c>
      <c r="I61" s="9" t="s">
        <v>129</v>
      </c>
      <c r="J61" s="9" t="s">
        <v>130</v>
      </c>
      <c r="K61" s="9" t="s">
        <v>131</v>
      </c>
      <c r="L61" s="17" t="s">
        <v>132</v>
      </c>
      <c r="M61" s="17" t="s">
        <v>133</v>
      </c>
    </row>
    <row r="62" spans="1:16" x14ac:dyDescent="0.2">
      <c r="B62" s="5" t="s">
        <v>24</v>
      </c>
      <c r="C62" s="5" t="s">
        <v>24</v>
      </c>
      <c r="D62" s="8"/>
      <c r="E62" s="8"/>
      <c r="F62" s="9"/>
      <c r="G62" s="9"/>
      <c r="H62" s="8" t="s">
        <v>134</v>
      </c>
      <c r="I62" s="8" t="s">
        <v>135</v>
      </c>
      <c r="J62" s="9" t="s">
        <v>136</v>
      </c>
      <c r="K62" s="9" t="s">
        <v>137</v>
      </c>
      <c r="L62" s="8" t="s">
        <v>138</v>
      </c>
      <c r="M62" s="8" t="s">
        <v>139</v>
      </c>
    </row>
    <row r="63" spans="1:16" x14ac:dyDescent="0.2">
      <c r="B63" s="5" t="s">
        <v>24</v>
      </c>
      <c r="C63" s="5" t="s">
        <v>24</v>
      </c>
      <c r="D63" s="8"/>
      <c r="E63" s="9"/>
      <c r="F63" s="9"/>
      <c r="G63" s="9"/>
      <c r="H63" s="8" t="s">
        <v>140</v>
      </c>
      <c r="I63" s="9" t="s">
        <v>141</v>
      </c>
      <c r="J63" s="9" t="s">
        <v>142</v>
      </c>
      <c r="K63" s="9" t="s">
        <v>143</v>
      </c>
      <c r="L63" s="17" t="s">
        <v>144</v>
      </c>
      <c r="M63" s="17" t="s">
        <v>145</v>
      </c>
    </row>
    <row r="64" spans="1:16" x14ac:dyDescent="0.2">
      <c r="B64" s="5" t="s">
        <v>25</v>
      </c>
      <c r="C64" s="5" t="s">
        <v>25</v>
      </c>
      <c r="D64" s="8"/>
      <c r="E64" s="8"/>
      <c r="F64" s="9"/>
      <c r="G64" s="9"/>
      <c r="H64" s="8" t="s">
        <v>146</v>
      </c>
      <c r="I64" s="8" t="s">
        <v>147</v>
      </c>
      <c r="J64" s="9" t="s">
        <v>148</v>
      </c>
      <c r="K64" s="9" t="s">
        <v>149</v>
      </c>
      <c r="L64" s="8" t="s">
        <v>150</v>
      </c>
      <c r="M64" s="8" t="s">
        <v>151</v>
      </c>
    </row>
    <row r="65" spans="1:13" x14ac:dyDescent="0.2">
      <c r="B65" s="5"/>
      <c r="C65" s="5"/>
      <c r="D65" s="8"/>
      <c r="E65" s="9"/>
      <c r="F65" s="9"/>
      <c r="G65" s="9"/>
      <c r="H65" s="8" t="s">
        <v>152</v>
      </c>
      <c r="I65" s="9" t="s">
        <v>153</v>
      </c>
      <c r="J65" s="9" t="s">
        <v>154</v>
      </c>
      <c r="K65" s="9" t="s">
        <v>155</v>
      </c>
      <c r="L65" s="17" t="s">
        <v>156</v>
      </c>
      <c r="M65" s="17" t="s">
        <v>157</v>
      </c>
    </row>
    <row r="66" spans="1:13" x14ac:dyDescent="0.2">
      <c r="B66" s="5"/>
      <c r="C66" s="5"/>
      <c r="D66" s="8"/>
      <c r="E66" s="8"/>
      <c r="F66" s="9"/>
      <c r="G66" s="9"/>
      <c r="H66" s="8" t="s">
        <v>158</v>
      </c>
      <c r="I66" s="8" t="s">
        <v>159</v>
      </c>
      <c r="J66" s="9" t="s">
        <v>160</v>
      </c>
      <c r="K66" s="9" t="s">
        <v>161</v>
      </c>
      <c r="L66" s="8" t="s">
        <v>162</v>
      </c>
      <c r="M66" s="8" t="s">
        <v>163</v>
      </c>
    </row>
    <row r="67" spans="1:13" x14ac:dyDescent="0.2">
      <c r="B67" s="5"/>
      <c r="C67" s="5"/>
      <c r="D67" s="8"/>
      <c r="E67" s="9"/>
      <c r="F67" s="9"/>
      <c r="G67" s="9"/>
      <c r="H67" s="8" t="s">
        <v>164</v>
      </c>
      <c r="I67" s="9" t="s">
        <v>165</v>
      </c>
      <c r="J67" s="9" t="s">
        <v>166</v>
      </c>
      <c r="K67" s="9" t="s">
        <v>167</v>
      </c>
      <c r="L67" s="17" t="s">
        <v>168</v>
      </c>
      <c r="M67" s="17" t="s">
        <v>169</v>
      </c>
    </row>
    <row r="70" spans="1:13" x14ac:dyDescent="0.2">
      <c r="A70" s="8" t="s">
        <v>122</v>
      </c>
      <c r="B70" t="e">
        <f t="shared" ref="B70:B112" si="14">AVERAGEIF(D$60:M$67,A70,D$51:M$58)</f>
        <v>#DIV/0!</v>
      </c>
    </row>
    <row r="71" spans="1:13" x14ac:dyDescent="0.2">
      <c r="A71" s="8" t="s">
        <v>128</v>
      </c>
      <c r="B71" t="e">
        <f t="shared" si="14"/>
        <v>#DIV/0!</v>
      </c>
    </row>
    <row r="72" spans="1:13" x14ac:dyDescent="0.2">
      <c r="A72" s="8" t="s">
        <v>134</v>
      </c>
      <c r="B72" t="e">
        <f t="shared" si="14"/>
        <v>#DIV/0!</v>
      </c>
    </row>
    <row r="73" spans="1:13" x14ac:dyDescent="0.2">
      <c r="A73" s="8" t="s">
        <v>140</v>
      </c>
      <c r="B73" t="e">
        <f t="shared" si="14"/>
        <v>#DIV/0!</v>
      </c>
    </row>
    <row r="74" spans="1:13" x14ac:dyDescent="0.2">
      <c r="A74" s="8" t="s">
        <v>146</v>
      </c>
      <c r="B74" t="e">
        <f t="shared" si="14"/>
        <v>#DIV/0!</v>
      </c>
    </row>
    <row r="75" spans="1:13" x14ac:dyDescent="0.2">
      <c r="A75" s="8" t="s">
        <v>152</v>
      </c>
      <c r="B75" t="e">
        <f t="shared" si="14"/>
        <v>#DIV/0!</v>
      </c>
    </row>
    <row r="76" spans="1:13" x14ac:dyDescent="0.2">
      <c r="A76" s="8" t="s">
        <v>158</v>
      </c>
      <c r="B76" t="e">
        <f t="shared" si="14"/>
        <v>#DIV/0!</v>
      </c>
    </row>
    <row r="77" spans="1:13" x14ac:dyDescent="0.2">
      <c r="A77" s="8" t="s">
        <v>164</v>
      </c>
      <c r="B77" t="e">
        <f t="shared" si="14"/>
        <v>#DIV/0!</v>
      </c>
    </row>
    <row r="78" spans="1:13" x14ac:dyDescent="0.2">
      <c r="A78" s="8" t="s">
        <v>123</v>
      </c>
      <c r="B78" t="e">
        <f t="shared" si="14"/>
        <v>#DIV/0!</v>
      </c>
    </row>
    <row r="79" spans="1:13" x14ac:dyDescent="0.2">
      <c r="A79" s="8" t="s">
        <v>129</v>
      </c>
      <c r="B79" t="e">
        <f t="shared" si="14"/>
        <v>#DIV/0!</v>
      </c>
    </row>
    <row r="80" spans="1:13" x14ac:dyDescent="0.2">
      <c r="A80" s="8" t="s">
        <v>135</v>
      </c>
      <c r="B80" t="e">
        <f t="shared" si="14"/>
        <v>#DIV/0!</v>
      </c>
    </row>
    <row r="81" spans="1:2" x14ac:dyDescent="0.2">
      <c r="A81" s="8" t="s">
        <v>141</v>
      </c>
      <c r="B81" t="e">
        <f t="shared" si="14"/>
        <v>#DIV/0!</v>
      </c>
    </row>
    <row r="82" spans="1:2" x14ac:dyDescent="0.2">
      <c r="A82" s="8" t="s">
        <v>147</v>
      </c>
      <c r="B82" t="e">
        <f t="shared" si="14"/>
        <v>#DIV/0!</v>
      </c>
    </row>
    <row r="83" spans="1:2" x14ac:dyDescent="0.2">
      <c r="A83" s="8" t="s">
        <v>153</v>
      </c>
      <c r="B83" t="e">
        <f t="shared" si="14"/>
        <v>#DIV/0!</v>
      </c>
    </row>
    <row r="84" spans="1:2" x14ac:dyDescent="0.2">
      <c r="A84" s="8" t="s">
        <v>159</v>
      </c>
      <c r="B84" t="e">
        <f t="shared" si="14"/>
        <v>#DIV/0!</v>
      </c>
    </row>
    <row r="85" spans="1:2" x14ac:dyDescent="0.2">
      <c r="A85" s="8" t="s">
        <v>165</v>
      </c>
      <c r="B85" t="e">
        <f t="shared" si="14"/>
        <v>#DIV/0!</v>
      </c>
    </row>
    <row r="86" spans="1:2" x14ac:dyDescent="0.2">
      <c r="A86" s="8" t="s">
        <v>124</v>
      </c>
      <c r="B86" t="e">
        <f t="shared" si="14"/>
        <v>#DIV/0!</v>
      </c>
    </row>
    <row r="87" spans="1:2" x14ac:dyDescent="0.2">
      <c r="A87" s="8" t="s">
        <v>130</v>
      </c>
      <c r="B87" t="e">
        <f t="shared" si="14"/>
        <v>#DIV/0!</v>
      </c>
    </row>
    <row r="88" spans="1:2" x14ac:dyDescent="0.2">
      <c r="A88" s="8" t="s">
        <v>136</v>
      </c>
      <c r="B88" t="e">
        <f t="shared" si="14"/>
        <v>#DIV/0!</v>
      </c>
    </row>
    <row r="89" spans="1:2" x14ac:dyDescent="0.2">
      <c r="A89" s="8" t="s">
        <v>142</v>
      </c>
      <c r="B89" t="e">
        <f t="shared" si="14"/>
        <v>#DIV/0!</v>
      </c>
    </row>
    <row r="90" spans="1:2" x14ac:dyDescent="0.2">
      <c r="A90" s="8" t="s">
        <v>148</v>
      </c>
      <c r="B90" t="e">
        <f t="shared" si="14"/>
        <v>#DIV/0!</v>
      </c>
    </row>
    <row r="91" spans="1:2" x14ac:dyDescent="0.2">
      <c r="A91" s="8" t="s">
        <v>154</v>
      </c>
      <c r="B91" t="e">
        <f t="shared" si="14"/>
        <v>#DIV/0!</v>
      </c>
    </row>
    <row r="92" spans="1:2" x14ac:dyDescent="0.2">
      <c r="A92" s="8" t="s">
        <v>160</v>
      </c>
      <c r="B92" t="e">
        <f t="shared" si="14"/>
        <v>#DIV/0!</v>
      </c>
    </row>
    <row r="93" spans="1:2" x14ac:dyDescent="0.2">
      <c r="A93" s="8" t="s">
        <v>166</v>
      </c>
      <c r="B93" t="e">
        <f t="shared" si="14"/>
        <v>#DIV/0!</v>
      </c>
    </row>
    <row r="94" spans="1:2" x14ac:dyDescent="0.2">
      <c r="A94" s="8" t="s">
        <v>125</v>
      </c>
      <c r="B94" t="e">
        <f t="shared" si="14"/>
        <v>#DIV/0!</v>
      </c>
    </row>
    <row r="95" spans="1:2" x14ac:dyDescent="0.2">
      <c r="A95" s="8" t="s">
        <v>131</v>
      </c>
      <c r="B95" t="e">
        <f t="shared" si="14"/>
        <v>#DIV/0!</v>
      </c>
    </row>
    <row r="96" spans="1:2" x14ac:dyDescent="0.2">
      <c r="A96" s="8" t="s">
        <v>137</v>
      </c>
      <c r="B96" t="e">
        <f t="shared" si="14"/>
        <v>#DIV/0!</v>
      </c>
    </row>
    <row r="97" spans="1:2" x14ac:dyDescent="0.2">
      <c r="A97" s="8" t="s">
        <v>143</v>
      </c>
      <c r="B97" t="e">
        <f t="shared" si="14"/>
        <v>#DIV/0!</v>
      </c>
    </row>
    <row r="98" spans="1:2" x14ac:dyDescent="0.2">
      <c r="A98" s="8" t="s">
        <v>149</v>
      </c>
      <c r="B98" t="e">
        <f t="shared" si="14"/>
        <v>#DIV/0!</v>
      </c>
    </row>
    <row r="99" spans="1:2" x14ac:dyDescent="0.2">
      <c r="A99" s="8" t="s">
        <v>155</v>
      </c>
      <c r="B99" t="e">
        <f t="shared" si="14"/>
        <v>#DIV/0!</v>
      </c>
    </row>
    <row r="100" spans="1:2" x14ac:dyDescent="0.2">
      <c r="A100" s="8" t="s">
        <v>161</v>
      </c>
      <c r="B100" t="e">
        <f t="shared" si="14"/>
        <v>#DIV/0!</v>
      </c>
    </row>
    <row r="101" spans="1:2" x14ac:dyDescent="0.2">
      <c r="A101" s="8" t="s">
        <v>167</v>
      </c>
      <c r="B101" t="e">
        <f t="shared" si="14"/>
        <v>#DIV/0!</v>
      </c>
    </row>
    <row r="102" spans="1:2" x14ac:dyDescent="0.2">
      <c r="A102" s="8" t="s">
        <v>126</v>
      </c>
      <c r="B102" t="e">
        <f t="shared" si="14"/>
        <v>#DIV/0!</v>
      </c>
    </row>
    <row r="103" spans="1:2" x14ac:dyDescent="0.2">
      <c r="A103" s="8" t="s">
        <v>132</v>
      </c>
      <c r="B103" t="e">
        <f t="shared" si="14"/>
        <v>#DIV/0!</v>
      </c>
    </row>
    <row r="104" spans="1:2" x14ac:dyDescent="0.2">
      <c r="A104" s="8" t="s">
        <v>138</v>
      </c>
      <c r="B104" t="e">
        <f t="shared" si="14"/>
        <v>#DIV/0!</v>
      </c>
    </row>
    <row r="105" spans="1:2" x14ac:dyDescent="0.2">
      <c r="A105" s="8" t="s">
        <v>144</v>
      </c>
      <c r="B105" t="e">
        <f t="shared" si="14"/>
        <v>#DIV/0!</v>
      </c>
    </row>
    <row r="106" spans="1:2" x14ac:dyDescent="0.2">
      <c r="A106" s="8" t="s">
        <v>150</v>
      </c>
      <c r="B106" t="e">
        <f t="shared" si="14"/>
        <v>#DIV/0!</v>
      </c>
    </row>
    <row r="107" spans="1:2" x14ac:dyDescent="0.2">
      <c r="A107" s="8" t="s">
        <v>156</v>
      </c>
      <c r="B107" t="e">
        <f t="shared" si="14"/>
        <v>#DIV/0!</v>
      </c>
    </row>
    <row r="108" spans="1:2" x14ac:dyDescent="0.2">
      <c r="A108" s="8" t="s">
        <v>162</v>
      </c>
      <c r="B108" t="e">
        <f t="shared" si="14"/>
        <v>#DIV/0!</v>
      </c>
    </row>
    <row r="109" spans="1:2" x14ac:dyDescent="0.2">
      <c r="A109" s="8" t="s">
        <v>168</v>
      </c>
      <c r="B109" t="e">
        <f t="shared" si="14"/>
        <v>#DIV/0!</v>
      </c>
    </row>
    <row r="110" spans="1:2" x14ac:dyDescent="0.2">
      <c r="A110" s="8" t="s">
        <v>127</v>
      </c>
      <c r="B110" t="e">
        <f t="shared" si="14"/>
        <v>#DIV/0!</v>
      </c>
    </row>
    <row r="111" spans="1:2" x14ac:dyDescent="0.2">
      <c r="A111" s="8" t="s">
        <v>133</v>
      </c>
      <c r="B111" t="e">
        <f t="shared" si="14"/>
        <v>#DIV/0!</v>
      </c>
    </row>
    <row r="112" spans="1:2" x14ac:dyDescent="0.2">
      <c r="A112" s="18" t="s">
        <v>139</v>
      </c>
      <c r="B112" t="e">
        <f t="shared" si="14"/>
        <v>#DIV/0!</v>
      </c>
    </row>
    <row r="113" spans="1:2" x14ac:dyDescent="0.2">
      <c r="A113" s="17" t="s">
        <v>145</v>
      </c>
      <c r="B113" t="e">
        <f t="shared" ref="B113:B117" si="15">AVERAGEIF(D$60:M$67,A113,D$51:M$58)</f>
        <v>#DIV/0!</v>
      </c>
    </row>
    <row r="114" spans="1:2" x14ac:dyDescent="0.2">
      <c r="A114" s="8" t="s">
        <v>151</v>
      </c>
      <c r="B114" t="e">
        <f t="shared" si="15"/>
        <v>#DIV/0!</v>
      </c>
    </row>
    <row r="115" spans="1:2" x14ac:dyDescent="0.2">
      <c r="A115" s="17" t="s">
        <v>157</v>
      </c>
      <c r="B115" t="e">
        <f t="shared" si="15"/>
        <v>#DIV/0!</v>
      </c>
    </row>
    <row r="116" spans="1:2" x14ac:dyDescent="0.2">
      <c r="A116" s="8" t="s">
        <v>163</v>
      </c>
      <c r="B116" t="e">
        <f t="shared" si="15"/>
        <v>#DIV/0!</v>
      </c>
    </row>
    <row r="117" spans="1:2" x14ac:dyDescent="0.2">
      <c r="A117" s="17" t="s">
        <v>169</v>
      </c>
      <c r="B117" t="e">
        <f t="shared" si="15"/>
        <v>#DIV/0!</v>
      </c>
    </row>
    <row r="118" spans="1:2" x14ac:dyDescent="0.2">
      <c r="A118" s="11" t="s">
        <v>73</v>
      </c>
      <c r="B118" t="e">
        <f t="shared" ref="B118" si="16">AVERAGEIF(D$60:M$67,A118,D$51:M$58)</f>
        <v>#DIV/0!</v>
      </c>
    </row>
  </sheetData>
  <conditionalFormatting sqref="H51:M58 B51:C58">
    <cfRule type="cellIs" dxfId="1" priority="2" operator="lessThan">
      <formula>0</formula>
    </cfRule>
  </conditionalFormatting>
  <conditionalFormatting sqref="D51:G58">
    <cfRule type="cellIs" dxfId="0" priority="1" operator="lessThan">
      <formula>0</formula>
    </cfRule>
  </conditionalFormatting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2plates</vt:lpstr>
      <vt:lpstr>1-6</vt:lpstr>
      <vt:lpstr>7-12</vt:lpstr>
      <vt:lpstr>'1-6'!KRIS3_18s</vt:lpstr>
      <vt:lpstr>'7-12'!KRIS3_18s</vt:lpstr>
    </vt:vector>
  </TitlesOfParts>
  <Company>Monterey Bay Aquarium Research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Kevan  Yamahara</dc:creator>
  <cp:lastModifiedBy>Microsoft Office User</cp:lastModifiedBy>
  <cp:lastPrinted>2017-11-02T23:53:24Z</cp:lastPrinted>
  <dcterms:created xsi:type="dcterms:W3CDTF">2015-06-01T23:25:27Z</dcterms:created>
  <dcterms:modified xsi:type="dcterms:W3CDTF">2022-05-12T23:59:39Z</dcterms:modified>
</cp:coreProperties>
</file>