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Z:\902311-WireWalkerPower\PistonDesign\"/>
    </mc:Choice>
  </mc:AlternateContent>
  <xr:revisionPtr revIDLastSave="0" documentId="13_ncr:1_{B0F532F6-9CFD-4CDD-BA39-C433170C306C}" xr6:coauthVersionLast="36" xr6:coauthVersionMax="36" xr10:uidLastSave="{00000000-0000-0000-0000-000000000000}"/>
  <bookViews>
    <workbookView xWindow="0" yWindow="0" windowWidth="9600" windowHeight="10725" activeTab="1" xr2:uid="{00000000-000D-0000-FFFF-FFFF00000000}"/>
  </bookViews>
  <sheets>
    <sheet name="Sheet1" sheetId="1" r:id="rId1"/>
    <sheet name="Sheet2" sheetId="2" r:id="rId2"/>
  </sheets>
  <calcPr calcId="191029" concurrentCalc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2" l="1"/>
  <c r="B34" i="2"/>
  <c r="G3" i="1"/>
  <c r="I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A3" i="1"/>
  <c r="C12" i="1"/>
  <c r="K2" i="1"/>
  <c r="A6" i="1"/>
  <c r="I12" i="1"/>
  <c r="A13" i="1"/>
  <c r="C13" i="1"/>
  <c r="I13" i="1"/>
  <c r="A14" i="1"/>
  <c r="C14" i="1"/>
  <c r="I14" i="1"/>
  <c r="A15" i="1"/>
  <c r="C15" i="1"/>
  <c r="I15" i="1"/>
  <c r="A16" i="1"/>
  <c r="C16" i="1"/>
  <c r="I16" i="1"/>
  <c r="A17" i="1"/>
  <c r="C17" i="1"/>
  <c r="I17" i="1"/>
  <c r="A18" i="1"/>
  <c r="C18" i="1"/>
  <c r="I18" i="1"/>
  <c r="B15" i="1"/>
  <c r="D15" i="1"/>
  <c r="E15" i="1"/>
  <c r="F15" i="1"/>
  <c r="C6" i="1"/>
  <c r="G15" i="1"/>
  <c r="J15" i="1"/>
  <c r="B16" i="1"/>
  <c r="D16" i="1"/>
  <c r="E16" i="1"/>
  <c r="F16" i="1"/>
  <c r="G16" i="1"/>
  <c r="J16" i="1"/>
  <c r="B17" i="1"/>
  <c r="D17" i="1"/>
  <c r="E17" i="1"/>
  <c r="F17" i="1"/>
  <c r="G17" i="1"/>
  <c r="J17" i="1"/>
  <c r="B18" i="1"/>
  <c r="D18" i="1"/>
  <c r="E18" i="1"/>
  <c r="F18" i="1"/>
  <c r="G18" i="1"/>
  <c r="J18" i="1"/>
  <c r="A19" i="1"/>
  <c r="A20" i="1"/>
  <c r="C20" i="1"/>
  <c r="I20" i="1"/>
  <c r="A21" i="1"/>
  <c r="C21" i="1"/>
  <c r="I21" i="1"/>
  <c r="A22" i="1"/>
  <c r="C22" i="1"/>
  <c r="I22" i="1"/>
  <c r="A23" i="1"/>
  <c r="C23" i="1"/>
  <c r="I23" i="1"/>
  <c r="A24" i="1"/>
  <c r="C24" i="1"/>
  <c r="I24" i="1"/>
  <c r="A25" i="1"/>
  <c r="C25" i="1"/>
  <c r="I25" i="1"/>
  <c r="C19" i="1"/>
  <c r="I19" i="1"/>
  <c r="H12" i="1"/>
  <c r="F13" i="1"/>
  <c r="G13" i="1"/>
  <c r="F14" i="1"/>
  <c r="G14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12" i="1"/>
  <c r="G12" i="1"/>
  <c r="D13" i="1"/>
  <c r="J13" i="1"/>
  <c r="D14" i="1"/>
  <c r="J14" i="1"/>
  <c r="D19" i="1"/>
  <c r="J19" i="1"/>
  <c r="D20" i="1"/>
  <c r="J20" i="1"/>
  <c r="D21" i="1"/>
  <c r="J21" i="1"/>
  <c r="D22" i="1"/>
  <c r="J22" i="1"/>
  <c r="D23" i="1"/>
  <c r="J23" i="1"/>
  <c r="D24" i="1"/>
  <c r="J24" i="1"/>
  <c r="D25" i="1"/>
  <c r="J25" i="1"/>
  <c r="D12" i="1"/>
  <c r="J12" i="1"/>
  <c r="B1" i="2"/>
  <c r="B13" i="2"/>
  <c r="B14" i="2"/>
  <c r="B16" i="2"/>
  <c r="B23" i="2"/>
  <c r="B26" i="2"/>
  <c r="B24" i="2"/>
  <c r="B21" i="2"/>
  <c r="B17" i="2"/>
  <c r="B7" i="2"/>
  <c r="B5" i="2"/>
  <c r="B6" i="2"/>
  <c r="B13" i="1"/>
  <c r="B14" i="1"/>
  <c r="B19" i="1"/>
  <c r="B20" i="1"/>
  <c r="B21" i="1"/>
  <c r="B22" i="1"/>
  <c r="B23" i="1"/>
  <c r="B24" i="1"/>
  <c r="B25" i="1"/>
  <c r="B12" i="1"/>
  <c r="E13" i="1"/>
  <c r="E14" i="1"/>
  <c r="E19" i="1"/>
  <c r="E20" i="1"/>
  <c r="E21" i="1"/>
  <c r="E22" i="1"/>
  <c r="E23" i="1"/>
  <c r="E24" i="1"/>
  <c r="E25" i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Brent Jones</author>
  </authors>
  <commentList>
    <comment ref="I1" authorId="0" shapeId="0" xr:uid="{4209B1C0-DC1D-40D2-BA0A-B23F700F182D}">
      <text>
        <r>
          <rPr>
            <b/>
            <sz val="9"/>
            <color indexed="81"/>
            <rFont val="Tahoma"/>
            <charset val="1"/>
          </rPr>
          <t>Brent Jones:</t>
        </r>
        <r>
          <rPr>
            <sz val="9"/>
            <color indexed="81"/>
            <rFont val="Tahoma"/>
            <charset val="1"/>
          </rPr>
          <t xml:space="preserve">
2nd moment of area for a cylinder is:
I = PI*r^4 / 4 = PI * D^4 / 64</t>
        </r>
      </text>
    </comment>
    <comment ref="A5" authorId="0" shapeId="0" xr:uid="{A9BE7712-8B2C-47A1-99B7-25203B4DA068}">
      <text>
        <r>
          <rPr>
            <b/>
            <sz val="9"/>
            <color indexed="81"/>
            <rFont val="Tahoma"/>
            <charset val="1"/>
          </rPr>
          <t>Brent Jones:</t>
        </r>
        <r>
          <rPr>
            <sz val="9"/>
            <color indexed="81"/>
            <rFont val="Tahoma"/>
            <charset val="1"/>
          </rPr>
          <t xml:space="preserve">
Radius of gyration
R = (I/A)^0.5 in</t>
        </r>
      </text>
    </comment>
    <comment ref="C5" authorId="0" shapeId="0" xr:uid="{FF0DCD51-6178-4DDC-94AC-5AB03FA8D5CA}">
      <text>
        <r>
          <rPr>
            <b/>
            <sz val="9"/>
            <color indexed="81"/>
            <rFont val="Tahoma"/>
            <charset val="1"/>
          </rPr>
          <t>Brent Jones:</t>
        </r>
        <r>
          <rPr>
            <sz val="9"/>
            <color indexed="81"/>
            <rFont val="Tahoma"/>
            <charset val="1"/>
          </rPr>
          <t xml:space="preserve">
critical slenderness ration
Scrit = (2*PI^2 * E/Yield)^0.5</t>
        </r>
      </text>
    </comment>
    <comment ref="E5" authorId="0" shapeId="0" xr:uid="{BFCAEE17-F574-49F5-B42C-139D97120BA3}">
      <text>
        <r>
          <rPr>
            <b/>
            <sz val="9"/>
            <color indexed="81"/>
            <rFont val="Tahoma"/>
            <charset val="1"/>
          </rPr>
          <t>Brent Jones:</t>
        </r>
        <r>
          <rPr>
            <sz val="9"/>
            <color indexed="81"/>
            <rFont val="Tahoma"/>
            <charset val="1"/>
          </rPr>
          <t xml:space="preserve">
Effective length factor:
for Rotation free and translation fixed on both ends K = 1</t>
        </r>
      </text>
    </comment>
    <comment ref="F11" authorId="0" shapeId="0" xr:uid="{604EB7A1-54C3-4F1B-B4A0-34A7DCCFC4C2}">
      <text>
        <r>
          <rPr>
            <b/>
            <sz val="9"/>
            <color indexed="81"/>
            <rFont val="Tahoma"/>
            <charset val="1"/>
          </rPr>
          <t>Brent Jones:</t>
        </r>
        <r>
          <rPr>
            <sz val="9"/>
            <color indexed="81"/>
            <rFont val="Tahoma"/>
            <charset val="1"/>
          </rPr>
          <t xml:space="preserve">
Slenderness ratio
S = K*L/R</t>
        </r>
      </text>
    </comment>
    <comment ref="G11" authorId="0" shapeId="0" xr:uid="{3C9BDE83-CB29-4B0E-A57E-525E36814EE0}">
      <text>
        <r>
          <rPr>
            <b/>
            <sz val="9"/>
            <color indexed="81"/>
            <rFont val="Tahoma"/>
            <charset val="1"/>
          </rPr>
          <t>Brent Jones:</t>
        </r>
        <r>
          <rPr>
            <sz val="9"/>
            <color indexed="81"/>
            <rFont val="Tahoma"/>
            <charset val="1"/>
          </rPr>
          <t xml:space="preserve">
If S &gt; Scr then use 
Eulers long column buckling equation</t>
        </r>
      </text>
    </comment>
    <comment ref="H11" authorId="0" shapeId="0" xr:uid="{F7C10CD7-C03A-476F-A719-CD245EC83E95}">
      <text>
        <r>
          <rPr>
            <b/>
            <sz val="9"/>
            <color indexed="81"/>
            <rFont val="Tahoma"/>
            <charset val="1"/>
          </rPr>
          <t>Brent Jones:</t>
        </r>
        <r>
          <rPr>
            <sz val="9"/>
            <color indexed="81"/>
            <rFont val="Tahoma"/>
            <charset val="1"/>
          </rPr>
          <t xml:space="preserve">
Critical buckling load (lbs) id Eulers formula
Euler long column formula:
P(lbs) = [ pi^2 * E * I ] / [K * L]^2
where:
E = Youngs modulus
I = 2nd moment of area
L = unsupported length of column
K = effective length
</t>
        </r>
      </text>
    </comment>
    <comment ref="I11" authorId="0" shapeId="0" xr:uid="{F245FAD6-277B-4E46-9B8A-FF3970CB6EFB}">
      <text>
        <r>
          <rPr>
            <b/>
            <sz val="9"/>
            <color indexed="81"/>
            <rFont val="Tahoma"/>
            <charset val="1"/>
          </rPr>
          <t>Brent Jones:</t>
        </r>
        <r>
          <rPr>
            <sz val="9"/>
            <color indexed="81"/>
            <rFont val="Tahoma"/>
            <charset val="1"/>
          </rPr>
          <t xml:space="preserve">
Johnsons formula for short column
F = Yield*A*[1 - (Yield/(4*PI*E))(L*E/R)^2]</t>
        </r>
      </text>
    </comment>
  </commentList>
</comments>
</file>

<file path=xl/sharedStrings.xml><?xml version="1.0" encoding="utf-8"?>
<sst xmlns="http://schemas.openxmlformats.org/spreadsheetml/2006/main" count="54" uniqueCount="51">
  <si>
    <t>L</t>
  </si>
  <si>
    <t>cu-in</t>
  </si>
  <si>
    <t>psi</t>
  </si>
  <si>
    <t>D (in)</t>
  </si>
  <si>
    <t>L(in)</t>
  </si>
  <si>
    <t>F(lbs)</t>
  </si>
  <si>
    <t>F(N)</t>
  </si>
  <si>
    <t>Volume</t>
  </si>
  <si>
    <t>Pressure</t>
  </si>
  <si>
    <t>L(mm)</t>
  </si>
  <si>
    <t>mm</t>
  </si>
  <si>
    <t>in</t>
  </si>
  <si>
    <t>Material</t>
  </si>
  <si>
    <t>steel</t>
  </si>
  <si>
    <t>Tensile psi</t>
  </si>
  <si>
    <t>Modulus psi</t>
  </si>
  <si>
    <t>Yield psi</t>
  </si>
  <si>
    <t>P</t>
  </si>
  <si>
    <t>Force (lbs)</t>
  </si>
  <si>
    <t>Stroke Length(inches)</t>
  </si>
  <si>
    <t>Lead(in)</t>
  </si>
  <si>
    <t>ID(in)</t>
  </si>
  <si>
    <t>Volume(in^3)</t>
  </si>
  <si>
    <t>Volume(L)</t>
  </si>
  <si>
    <t># revolutions</t>
  </si>
  <si>
    <t>torque to raise 1kN(N-m)</t>
  </si>
  <si>
    <t>calculate</t>
  </si>
  <si>
    <t>max torque produced(N-m)</t>
  </si>
  <si>
    <t>gearbox reduction</t>
  </si>
  <si>
    <t>Gearbox output force (N)</t>
  </si>
  <si>
    <t>Motor toque input(mNm)</t>
  </si>
  <si>
    <t>Motor rotations/stroke</t>
  </si>
  <si>
    <t>torque constant(mNm/A)</t>
  </si>
  <si>
    <t>Current(A)</t>
  </si>
  <si>
    <t>speed/torque grad (rpm/mNm)</t>
  </si>
  <si>
    <t>rpm</t>
  </si>
  <si>
    <t>stroke time (s)</t>
  </si>
  <si>
    <t>448595 RE30</t>
  </si>
  <si>
    <t>Voltage (V)</t>
  </si>
  <si>
    <t>speed constant (rpm/v)</t>
  </si>
  <si>
    <t>SF</t>
  </si>
  <si>
    <t>I</t>
  </si>
  <si>
    <t>in^4</t>
  </si>
  <si>
    <t>R(in)</t>
  </si>
  <si>
    <t>A</t>
  </si>
  <si>
    <t>in^2</t>
  </si>
  <si>
    <t>Scr</t>
  </si>
  <si>
    <t>S</t>
  </si>
  <si>
    <t>K</t>
  </si>
  <si>
    <t>S&gt;Scr ?</t>
  </si>
  <si>
    <t>Screw root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</si>
</sst>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workbookViewId="0">
      <selection activeCell="G27" sqref="G27"/>
    </sheetView>
  </sheetViews>
  <sheetFormatPr defaultRowHeight="15" x14ac:dyDescent="0.25"/>
  <cols>
    <col min="5" max="5" width="9.5703125" customWidth="1"/>
    <col min="6" max="7" width="12" bestFit="1" customWidth="1"/>
    <col min="9" max="9" width="12.7109375" bestFit="1" customWidth="1"/>
  </cols>
  <sheetData>
    <row r="1" spans="1:15" x14ac:dyDescent="0.25">
      <c r="A1" t="s">
        <v>7</v>
      </c>
      <c r="D1" t="s">
        <v>8</v>
      </c>
      <c r="G1" t="s">
        <v>50</v>
      </c>
      <c r="I1" t="s">
        <v>41</v>
      </c>
      <c r="K1" t="s">
        <v>44</v>
      </c>
      <c r="N1" t="s">
        <v>12</v>
      </c>
    </row>
    <row r="2" spans="1:15" x14ac:dyDescent="0.25">
      <c r="A2">
        <v>1</v>
      </c>
      <c r="B2" t="s">
        <v>0</v>
      </c>
      <c r="D2">
        <v>150</v>
      </c>
      <c r="E2" t="s">
        <v>2</v>
      </c>
      <c r="G2">
        <v>12.38</v>
      </c>
      <c r="H2" t="s">
        <v>10</v>
      </c>
      <c r="I2">
        <f>(PI()*G3^4)/64</f>
        <v>2.7702413722509971E-3</v>
      </c>
      <c r="J2" t="s">
        <v>42</v>
      </c>
      <c r="K2">
        <f>PI()*(G3/2)^2</f>
        <v>0.18657941948386741</v>
      </c>
      <c r="L2" t="s">
        <v>45</v>
      </c>
      <c r="N2">
        <v>4150</v>
      </c>
      <c r="O2" t="s">
        <v>13</v>
      </c>
    </row>
    <row r="3" spans="1:15" x14ac:dyDescent="0.25">
      <c r="A3">
        <f>A2*61.0237</f>
        <v>61.023699999999998</v>
      </c>
      <c r="B3" t="s">
        <v>1</v>
      </c>
      <c r="G3">
        <f>G2/25.4</f>
        <v>0.48740157480314966</v>
      </c>
      <c r="H3" t="s">
        <v>11</v>
      </c>
      <c r="N3">
        <v>81221</v>
      </c>
      <c r="O3" t="s">
        <v>14</v>
      </c>
    </row>
    <row r="4" spans="1:15" x14ac:dyDescent="0.25">
      <c r="N4">
        <v>29732736</v>
      </c>
      <c r="O4" t="s">
        <v>15</v>
      </c>
    </row>
    <row r="5" spans="1:15" x14ac:dyDescent="0.25">
      <c r="A5" t="s">
        <v>43</v>
      </c>
      <c r="C5" t="s">
        <v>46</v>
      </c>
      <c r="E5" t="s">
        <v>48</v>
      </c>
      <c r="N5">
        <v>67000</v>
      </c>
      <c r="O5" t="s">
        <v>16</v>
      </c>
    </row>
    <row r="6" spans="1:15" x14ac:dyDescent="0.25">
      <c r="A6">
        <f>(I2/K2)^0.5</f>
        <v>0.1218503937007874</v>
      </c>
      <c r="B6" t="s">
        <v>11</v>
      </c>
      <c r="C6">
        <f>( 2*PI()^2*N4/N5)^0.5</f>
        <v>93.593331514275803</v>
      </c>
      <c r="E6">
        <v>1</v>
      </c>
    </row>
    <row r="11" spans="1:15" x14ac:dyDescent="0.25">
      <c r="A11" t="s">
        <v>3</v>
      </c>
      <c r="B11" t="s">
        <v>9</v>
      </c>
      <c r="C11" t="s">
        <v>4</v>
      </c>
      <c r="D11" t="s">
        <v>5</v>
      </c>
      <c r="E11" t="s">
        <v>6</v>
      </c>
      <c r="F11" t="s">
        <v>47</v>
      </c>
      <c r="G11" t="s">
        <v>49</v>
      </c>
      <c r="H11" t="s">
        <v>17</v>
      </c>
      <c r="I11" t="s">
        <v>17</v>
      </c>
      <c r="J11" t="s">
        <v>40</v>
      </c>
    </row>
    <row r="12" spans="1:15" x14ac:dyDescent="0.25">
      <c r="A12">
        <v>1</v>
      </c>
      <c r="B12">
        <f t="shared" ref="B12:B25" si="0">C12*25.4</f>
        <v>1973.5238153538007</v>
      </c>
      <c r="C12">
        <f t="shared" ref="C12:C25" si="1">$A$3/( PI() *(A12/2)^2)</f>
        <v>77.697788006055148</v>
      </c>
      <c r="D12">
        <f t="shared" ref="D12:D25" si="2">$D$2 * PI() * (A12/2)^2</f>
        <v>117.80972450961724</v>
      </c>
      <c r="E12">
        <f t="shared" ref="E12:E25" si="3">D12*4.44</f>
        <v>523.07517682270054</v>
      </c>
      <c r="F12">
        <f t="shared" ref="F12:F25" si="4">$E$6*C12/$A$6</f>
        <v>637.64905181059794</v>
      </c>
      <c r="G12" t="b">
        <f>F12&gt;$C$6</f>
        <v>1</v>
      </c>
      <c r="H12">
        <f>(PI()^2* $N$4 * $I$2 ) / ( ($E$6*C12)^2)</f>
        <v>134.65885618097579</v>
      </c>
      <c r="I12">
        <f t="shared" ref="I12:I18" si="5">$N$5 - ( $N$5 * $E$6 * C12/ ( 2 * $A$6 * PI() ) )^2 * 1/$N$4</f>
        <v>-1487957.1669787592</v>
      </c>
      <c r="J12">
        <f t="shared" ref="J12:J25" si="6">H12/D12</f>
        <v>1.143019871589489</v>
      </c>
    </row>
    <row r="13" spans="1:15" x14ac:dyDescent="0.25">
      <c r="A13">
        <f>A12+0.5</f>
        <v>1.5</v>
      </c>
      <c r="B13">
        <f t="shared" si="0"/>
        <v>877.12169571280037</v>
      </c>
      <c r="C13">
        <f t="shared" si="1"/>
        <v>34.532350224913401</v>
      </c>
      <c r="D13">
        <f t="shared" si="2"/>
        <v>265.07188014663882</v>
      </c>
      <c r="E13">
        <f t="shared" si="3"/>
        <v>1176.9191478510766</v>
      </c>
      <c r="F13">
        <f t="shared" si="4"/>
        <v>283.399578582488</v>
      </c>
      <c r="G13" t="b">
        <f t="shared" ref="G13:G18" si="7">F13&gt;$C$6</f>
        <v>1</v>
      </c>
      <c r="H13">
        <f t="shared" ref="H13:H25" si="8">(PI()^2* $N$4 * $I$2 ) / ( ($E$6*C13)^2)</f>
        <v>681.71045941618991</v>
      </c>
      <c r="I13">
        <f t="shared" si="5"/>
        <v>-240152.0329834586</v>
      </c>
      <c r="J13">
        <f t="shared" si="6"/>
        <v>2.5717947110763504</v>
      </c>
    </row>
    <row r="14" spans="1:15" x14ac:dyDescent="0.25">
      <c r="A14">
        <f>A13+0.5</f>
        <v>2</v>
      </c>
      <c r="B14">
        <f t="shared" si="0"/>
        <v>493.38095383845018</v>
      </c>
      <c r="C14">
        <f t="shared" si="1"/>
        <v>19.424447001513787</v>
      </c>
      <c r="D14">
        <f t="shared" si="2"/>
        <v>471.23889803846896</v>
      </c>
      <c r="E14">
        <f t="shared" si="3"/>
        <v>2092.3007072908022</v>
      </c>
      <c r="F14">
        <f t="shared" si="4"/>
        <v>159.41226295264948</v>
      </c>
      <c r="G14" t="b">
        <f t="shared" si="7"/>
        <v>1</v>
      </c>
      <c r="H14">
        <f t="shared" si="8"/>
        <v>2154.5416988956126</v>
      </c>
      <c r="I14">
        <f t="shared" si="5"/>
        <v>-30184.822936172452</v>
      </c>
      <c r="J14">
        <f t="shared" si="6"/>
        <v>4.5720794863579561</v>
      </c>
    </row>
    <row r="15" spans="1:15" x14ac:dyDescent="0.25">
      <c r="A15">
        <f>A14+0.1</f>
        <v>2.1</v>
      </c>
      <c r="B15">
        <f t="shared" si="0"/>
        <v>447.51106924122462</v>
      </c>
      <c r="C15">
        <f t="shared" si="1"/>
        <v>17.618546033119081</v>
      </c>
      <c r="D15">
        <f t="shared" si="2"/>
        <v>519.54088508741199</v>
      </c>
      <c r="E15">
        <f t="shared" si="3"/>
        <v>2306.7615297881093</v>
      </c>
      <c r="F15">
        <f t="shared" si="4"/>
        <v>144.59162172575918</v>
      </c>
      <c r="G15" t="b">
        <f t="shared" si="7"/>
        <v>1</v>
      </c>
      <c r="H15">
        <f t="shared" si="8"/>
        <v>2618.8589008932354</v>
      </c>
      <c r="I15">
        <f t="shared" si="5"/>
        <v>-12954.194341799914</v>
      </c>
      <c r="J15">
        <f t="shared" si="6"/>
        <v>5.0407176337096473</v>
      </c>
    </row>
    <row r="16" spans="1:15" x14ac:dyDescent="0.25">
      <c r="A16">
        <f>A15+0.1</f>
        <v>2.2000000000000002</v>
      </c>
      <c r="B16">
        <f t="shared" si="0"/>
        <v>407.75285441194217</v>
      </c>
      <c r="C16">
        <f t="shared" si="1"/>
        <v>16.053261984722134</v>
      </c>
      <c r="D16">
        <f t="shared" si="2"/>
        <v>570.19906662654751</v>
      </c>
      <c r="E16">
        <f t="shared" si="3"/>
        <v>2531.683855821871</v>
      </c>
      <c r="F16">
        <f t="shared" si="4"/>
        <v>131.74567186169378</v>
      </c>
      <c r="G16" t="b">
        <f t="shared" si="7"/>
        <v>1</v>
      </c>
      <c r="H16">
        <f t="shared" si="8"/>
        <v>3154.464501353068</v>
      </c>
      <c r="I16">
        <f t="shared" si="5"/>
        <v>621.45827732235193</v>
      </c>
      <c r="J16">
        <f t="shared" si="6"/>
        <v>5.5322161784931296</v>
      </c>
    </row>
    <row r="17" spans="1:10" x14ac:dyDescent="0.25">
      <c r="A17">
        <f>A16+0.1</f>
        <v>2.3000000000000003</v>
      </c>
      <c r="B17">
        <f t="shared" si="0"/>
        <v>373.0668838097921</v>
      </c>
      <c r="C17">
        <f t="shared" si="1"/>
        <v>14.687672590936698</v>
      </c>
      <c r="D17">
        <f t="shared" si="2"/>
        <v>623.21344265587527</v>
      </c>
      <c r="E17">
        <f t="shared" si="3"/>
        <v>2767.0676853920863</v>
      </c>
      <c r="F17">
        <f t="shared" si="4"/>
        <v>120.53857312109601</v>
      </c>
      <c r="G17" t="b">
        <f t="shared" si="7"/>
        <v>1</v>
      </c>
      <c r="H17">
        <f t="shared" si="8"/>
        <v>3768.3068972540464</v>
      </c>
      <c r="I17">
        <f t="shared" si="5"/>
        <v>11434.262063859191</v>
      </c>
      <c r="J17">
        <f t="shared" si="6"/>
        <v>6.0465751207083995</v>
      </c>
    </row>
    <row r="18" spans="1:10" x14ac:dyDescent="0.25">
      <c r="A18">
        <f>A17+0.1</f>
        <v>2.4000000000000004</v>
      </c>
      <c r="B18">
        <f t="shared" si="0"/>
        <v>342.6256623878125</v>
      </c>
      <c r="C18">
        <f t="shared" si="1"/>
        <v>13.489199306606793</v>
      </c>
      <c r="D18">
        <f t="shared" si="2"/>
        <v>678.58401317539551</v>
      </c>
      <c r="E18">
        <f t="shared" si="3"/>
        <v>3012.9130184987562</v>
      </c>
      <c r="F18">
        <f t="shared" si="4"/>
        <v>110.70296038378434</v>
      </c>
      <c r="G18" t="b">
        <f t="shared" si="7"/>
        <v>1</v>
      </c>
      <c r="H18">
        <f t="shared" si="8"/>
        <v>4467.6576668299449</v>
      </c>
      <c r="I18">
        <f t="shared" si="5"/>
        <v>20132.319185873661</v>
      </c>
      <c r="J18">
        <f t="shared" si="6"/>
        <v>6.5837944603554588</v>
      </c>
    </row>
    <row r="19" spans="1:10" x14ac:dyDescent="0.25">
      <c r="A19" s="2">
        <f>A14+0.5</f>
        <v>2.5</v>
      </c>
      <c r="B19" s="2">
        <f t="shared" si="0"/>
        <v>315.7638104566081</v>
      </c>
      <c r="C19" s="2">
        <f t="shared" si="1"/>
        <v>12.431646080968823</v>
      </c>
      <c r="D19" s="2">
        <f t="shared" si="2"/>
        <v>736.31077818510778</v>
      </c>
      <c r="E19" s="2">
        <f t="shared" si="3"/>
        <v>3269.2198551418787</v>
      </c>
      <c r="F19" s="2">
        <f t="shared" si="4"/>
        <v>102.02384828969568</v>
      </c>
      <c r="G19" s="2" t="b">
        <f t="shared" ref="G19:G25" si="9">F19&gt;$C$6</f>
        <v>1</v>
      </c>
      <c r="H19" s="2">
        <f t="shared" si="8"/>
        <v>5260.111569569367</v>
      </c>
      <c r="I19" s="2">
        <f>$N$5 - ( $N$5 * $E$6 * C19/ ( 2 * $A$6 * PI() ) )^2 * 1/$N$4</f>
        <v>27193.096525343775</v>
      </c>
      <c r="J19" s="2">
        <f t="shared" si="6"/>
        <v>7.1438741974343074</v>
      </c>
    </row>
    <row r="20" spans="1:10" x14ac:dyDescent="0.25">
      <c r="A20">
        <f t="shared" ref="A20:A25" si="10">A19+0.5</f>
        <v>3</v>
      </c>
      <c r="B20">
        <f t="shared" si="0"/>
        <v>219.28042392820009</v>
      </c>
      <c r="C20">
        <f t="shared" si="1"/>
        <v>8.6330875562283502</v>
      </c>
      <c r="D20">
        <f t="shared" si="2"/>
        <v>1060.2875205865553</v>
      </c>
      <c r="E20">
        <f t="shared" si="3"/>
        <v>4707.6765914043062</v>
      </c>
      <c r="F20">
        <f t="shared" si="4"/>
        <v>70.849894645622001</v>
      </c>
      <c r="G20" t="b">
        <f t="shared" si="9"/>
        <v>0</v>
      </c>
      <c r="H20">
        <f t="shared" si="8"/>
        <v>10907.367350659038</v>
      </c>
      <c r="I20">
        <f t="shared" ref="I20:I25" si="11">$N$5 - ( $N$5 * $E$6 * C20/ ( 2 * $A$6 * PI() ) )^2 * 1/$N$4</f>
        <v>47802.997938533837</v>
      </c>
      <c r="J20">
        <f t="shared" si="6"/>
        <v>10.287178844305402</v>
      </c>
    </row>
    <row r="21" spans="1:10" x14ac:dyDescent="0.25">
      <c r="A21">
        <f t="shared" si="10"/>
        <v>3.5</v>
      </c>
      <c r="B21">
        <f t="shared" si="0"/>
        <v>161.10398492684089</v>
      </c>
      <c r="C21">
        <f t="shared" si="1"/>
        <v>6.3426765719228699</v>
      </c>
      <c r="D21">
        <f t="shared" si="2"/>
        <v>1443.1691252428111</v>
      </c>
      <c r="E21">
        <f t="shared" si="3"/>
        <v>6407.670916078082</v>
      </c>
      <c r="F21">
        <f t="shared" si="4"/>
        <v>52.052983821273308</v>
      </c>
      <c r="G21" t="b">
        <f t="shared" si="9"/>
        <v>0</v>
      </c>
      <c r="H21">
        <f t="shared" si="8"/>
        <v>20207.244605657674</v>
      </c>
      <c r="I21">
        <f t="shared" si="11"/>
        <v>56637.936413302727</v>
      </c>
      <c r="J21">
        <f t="shared" si="6"/>
        <v>14.001993426971239</v>
      </c>
    </row>
    <row r="22" spans="1:10" x14ac:dyDescent="0.25">
      <c r="A22">
        <f t="shared" si="10"/>
        <v>4</v>
      </c>
      <c r="B22">
        <f t="shared" si="0"/>
        <v>123.34523845961255</v>
      </c>
      <c r="C22">
        <f t="shared" si="1"/>
        <v>4.8561117503784468</v>
      </c>
      <c r="D22">
        <f t="shared" si="2"/>
        <v>1884.9555921538758</v>
      </c>
      <c r="E22">
        <f t="shared" si="3"/>
        <v>8369.2028291632087</v>
      </c>
      <c r="F22">
        <f t="shared" si="4"/>
        <v>39.853065738162371</v>
      </c>
      <c r="G22" t="b">
        <f t="shared" si="9"/>
        <v>0</v>
      </c>
      <c r="H22">
        <f t="shared" si="8"/>
        <v>34472.667182329802</v>
      </c>
      <c r="I22">
        <f t="shared" si="11"/>
        <v>60925.94856648922</v>
      </c>
      <c r="J22">
        <f t="shared" si="6"/>
        <v>18.288317945431825</v>
      </c>
    </row>
    <row r="23" spans="1:10" x14ac:dyDescent="0.25">
      <c r="A23">
        <f t="shared" si="10"/>
        <v>4.5</v>
      </c>
      <c r="B23">
        <f t="shared" si="0"/>
        <v>97.457966190311154</v>
      </c>
      <c r="C23">
        <f t="shared" si="1"/>
        <v>3.8369278027681557</v>
      </c>
      <c r="D23">
        <f t="shared" si="2"/>
        <v>2385.6469213197493</v>
      </c>
      <c r="E23">
        <f t="shared" si="3"/>
        <v>10592.272330659687</v>
      </c>
      <c r="F23">
        <f t="shared" si="4"/>
        <v>31.488842064720892</v>
      </c>
      <c r="G23" t="b">
        <f t="shared" si="9"/>
        <v>0</v>
      </c>
      <c r="H23">
        <f t="shared" si="8"/>
        <v>55218.547212711375</v>
      </c>
      <c r="I23">
        <f t="shared" si="11"/>
        <v>63207.999592796805</v>
      </c>
      <c r="J23">
        <f t="shared" si="6"/>
        <v>23.14615239968715</v>
      </c>
    </row>
    <row r="24" spans="1:10" x14ac:dyDescent="0.25">
      <c r="A24">
        <f t="shared" si="10"/>
        <v>5</v>
      </c>
      <c r="B24">
        <f t="shared" si="0"/>
        <v>78.940952614152025</v>
      </c>
      <c r="C24">
        <f t="shared" si="1"/>
        <v>3.1079115202422058</v>
      </c>
      <c r="D24">
        <f t="shared" si="2"/>
        <v>2945.2431127404311</v>
      </c>
      <c r="E24">
        <f t="shared" si="3"/>
        <v>13076.879420567515</v>
      </c>
      <c r="F24">
        <f t="shared" si="4"/>
        <v>25.50596207242392</v>
      </c>
      <c r="G24" t="b">
        <f t="shared" si="9"/>
        <v>0</v>
      </c>
      <c r="H24">
        <f t="shared" si="8"/>
        <v>84161.785113109872</v>
      </c>
      <c r="I24">
        <f t="shared" si="11"/>
        <v>64512.06853283399</v>
      </c>
      <c r="J24">
        <f t="shared" si="6"/>
        <v>28.57549678973723</v>
      </c>
    </row>
    <row r="25" spans="1:10" x14ac:dyDescent="0.25">
      <c r="A25">
        <f t="shared" si="10"/>
        <v>5.5</v>
      </c>
      <c r="B25">
        <f t="shared" si="0"/>
        <v>65.240456705910759</v>
      </c>
      <c r="C25">
        <f t="shared" si="1"/>
        <v>2.5685219175555418</v>
      </c>
      <c r="D25">
        <f t="shared" si="2"/>
        <v>3563.7441664159214</v>
      </c>
      <c r="E25">
        <f t="shared" si="3"/>
        <v>15823.024098886692</v>
      </c>
      <c r="F25">
        <f t="shared" si="4"/>
        <v>21.079307497871007</v>
      </c>
      <c r="G25" t="b">
        <f t="shared" si="9"/>
        <v>0</v>
      </c>
      <c r="H25">
        <f t="shared" si="8"/>
        <v>123221.26958410417</v>
      </c>
      <c r="I25">
        <f t="shared" si="11"/>
        <v>65300.709331899452</v>
      </c>
      <c r="J25">
        <f t="shared" si="6"/>
        <v>34.57635111558205</v>
      </c>
    </row>
    <row r="27" spans="1:10" x14ac:dyDescent="0.25">
      <c r="G27" t="s">
        <v>17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51CCF-ABEE-4641-A06E-F8365891421C}">
  <dimension ref="A1:B35"/>
  <sheetViews>
    <sheetView tabSelected="1" workbookViewId="0">
      <selection activeCell="B36" sqref="B36"/>
    </sheetView>
  </sheetViews>
  <sheetFormatPr defaultRowHeight="15" x14ac:dyDescent="0.25"/>
  <cols>
    <col min="1" max="1" width="25" customWidth="1"/>
    <col min="2" max="2" width="12" style="1" bestFit="1" customWidth="1"/>
  </cols>
  <sheetData>
    <row r="1" spans="1:2" x14ac:dyDescent="0.25">
      <c r="A1" t="s">
        <v>18</v>
      </c>
      <c r="B1" s="1">
        <f>Sheet1!D19</f>
        <v>736.31077818510778</v>
      </c>
    </row>
    <row r="2" spans="1:2" x14ac:dyDescent="0.25">
      <c r="A2" t="s">
        <v>19</v>
      </c>
      <c r="B2" s="1">
        <v>11.16</v>
      </c>
    </row>
    <row r="3" spans="1:2" x14ac:dyDescent="0.25">
      <c r="A3" t="s">
        <v>20</v>
      </c>
      <c r="B3" s="1">
        <v>0.19700000000000001</v>
      </c>
    </row>
    <row r="4" spans="1:2" x14ac:dyDescent="0.25">
      <c r="A4" t="s">
        <v>21</v>
      </c>
      <c r="B4" s="1">
        <v>2.56</v>
      </c>
    </row>
    <row r="5" spans="1:2" x14ac:dyDescent="0.25">
      <c r="A5" t="s">
        <v>22</v>
      </c>
      <c r="B5" s="1">
        <f>B2*PI()*(B4/2)^2</f>
        <v>57.442589104639332</v>
      </c>
    </row>
    <row r="6" spans="1:2" x14ac:dyDescent="0.25">
      <c r="A6" t="s">
        <v>23</v>
      </c>
      <c r="B6" s="1">
        <f>B5/61.02</f>
        <v>0.94137314166895003</v>
      </c>
    </row>
    <row r="7" spans="1:2" x14ac:dyDescent="0.25">
      <c r="A7" t="s">
        <v>24</v>
      </c>
      <c r="B7" s="1">
        <f>B2/B3</f>
        <v>56.649746192893396</v>
      </c>
    </row>
    <row r="8" spans="1:2" x14ac:dyDescent="0.25">
      <c r="A8" t="s">
        <v>25</v>
      </c>
      <c r="B8" s="1">
        <v>0.443</v>
      </c>
    </row>
    <row r="12" spans="1:2" x14ac:dyDescent="0.25">
      <c r="A12" t="s">
        <v>26</v>
      </c>
    </row>
    <row r="13" spans="1:2" x14ac:dyDescent="0.25">
      <c r="A13" t="s">
        <v>29</v>
      </c>
      <c r="B13" s="1">
        <f>B1*4.44822</f>
        <v>3275.2723297385601</v>
      </c>
    </row>
    <row r="14" spans="1:2" x14ac:dyDescent="0.25">
      <c r="A14" t="s">
        <v>27</v>
      </c>
      <c r="B14" s="1">
        <f>(B13/1000)*0.443</f>
        <v>1.4509456420741822</v>
      </c>
    </row>
    <row r="15" spans="1:2" x14ac:dyDescent="0.25">
      <c r="A15" t="s">
        <v>28</v>
      </c>
      <c r="B15" s="1">
        <v>15</v>
      </c>
    </row>
    <row r="16" spans="1:2" x14ac:dyDescent="0.25">
      <c r="A16" t="s">
        <v>30</v>
      </c>
      <c r="B16" s="1">
        <f>B14/B15*1000</f>
        <v>96.729709471612153</v>
      </c>
    </row>
    <row r="17" spans="1:2" x14ac:dyDescent="0.25">
      <c r="A17" t="s">
        <v>31</v>
      </c>
      <c r="B17" s="1">
        <f>B7*B15</f>
        <v>849.74619289340092</v>
      </c>
    </row>
    <row r="19" spans="1:2" x14ac:dyDescent="0.25">
      <c r="A19" t="s">
        <v>37</v>
      </c>
    </row>
    <row r="20" spans="1:2" x14ac:dyDescent="0.25">
      <c r="A20" t="s">
        <v>32</v>
      </c>
      <c r="B20" s="1">
        <v>39.799999999999997</v>
      </c>
    </row>
    <row r="21" spans="1:2" x14ac:dyDescent="0.25">
      <c r="A21" t="s">
        <v>33</v>
      </c>
      <c r="B21" s="1">
        <f>B16/B20</f>
        <v>2.4303947103420143</v>
      </c>
    </row>
    <row r="22" spans="1:2" x14ac:dyDescent="0.25">
      <c r="A22" t="s">
        <v>34</v>
      </c>
      <c r="B22" s="1">
        <v>8.7100000000000009</v>
      </c>
    </row>
    <row r="23" spans="1:2" x14ac:dyDescent="0.25">
      <c r="A23" t="s">
        <v>35</v>
      </c>
      <c r="B23" s="1">
        <f>B22*B16</f>
        <v>842.51576949774199</v>
      </c>
    </row>
    <row r="24" spans="1:2" x14ac:dyDescent="0.25">
      <c r="A24" t="s">
        <v>36</v>
      </c>
      <c r="B24" s="1">
        <f>B17/B23*60</f>
        <v>60.514916657284836</v>
      </c>
    </row>
    <row r="25" spans="1:2" x14ac:dyDescent="0.25">
      <c r="A25" t="s">
        <v>39</v>
      </c>
      <c r="B25" s="1">
        <v>240</v>
      </c>
    </row>
    <row r="26" spans="1:2" x14ac:dyDescent="0.25">
      <c r="A26" t="s">
        <v>38</v>
      </c>
      <c r="B26" s="1">
        <f>B23/B25</f>
        <v>3.5104823729072581</v>
      </c>
    </row>
    <row r="34" spans="2:2" x14ac:dyDescent="0.25">
      <c r="B34" s="1">
        <f>PI()*1.261*0.15</f>
        <v>0.59423225042650929</v>
      </c>
    </row>
    <row r="35" spans="2:2" x14ac:dyDescent="0.25">
      <c r="B35" s="1">
        <f>750/0.59</f>
        <v>1271.1864406779662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Jones</dc:creator>
  <cp:lastModifiedBy>Brent Jones</cp:lastModifiedBy>
  <dcterms:created xsi:type="dcterms:W3CDTF">2015-06-05T18:17:20Z</dcterms:created>
  <dcterms:modified xsi:type="dcterms:W3CDTF">2024-03-27T20:50:35Z</dcterms:modified>
</cp:coreProperties>
</file>