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filterPrivacy="1"/>
  <xr:revisionPtr revIDLastSave="0" documentId="13_ncr:1_{271BA5C1-D59D-49C9-9798-429ED6C7E216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3" i="1" l="1"/>
  <c r="U14" i="1"/>
  <c r="U15" i="1"/>
  <c r="U16" i="1"/>
  <c r="U12" i="1"/>
  <c r="T13" i="1"/>
  <c r="T14" i="1"/>
  <c r="T15" i="1"/>
  <c r="T16" i="1"/>
  <c r="T12" i="1"/>
  <c r="R13" i="1"/>
  <c r="R14" i="1"/>
  <c r="R15" i="1"/>
  <c r="R16" i="1"/>
  <c r="R12" i="1"/>
  <c r="Q13" i="1"/>
  <c r="Q14" i="1"/>
  <c r="Q15" i="1"/>
  <c r="Q16" i="1"/>
  <c r="Q12" i="1"/>
  <c r="M13" i="1"/>
  <c r="M14" i="1"/>
  <c r="M15" i="1"/>
  <c r="M16" i="1"/>
  <c r="M12" i="1"/>
  <c r="O13" i="1"/>
  <c r="O14" i="1"/>
  <c r="O15" i="1"/>
  <c r="O16" i="1"/>
  <c r="O12" i="1"/>
  <c r="N13" i="1"/>
  <c r="N14" i="1"/>
  <c r="N15" i="1"/>
  <c r="N16" i="1"/>
  <c r="N12" i="1"/>
  <c r="J13" i="1"/>
  <c r="J14" i="1"/>
  <c r="J15" i="1"/>
  <c r="J16" i="1"/>
  <c r="J12" i="1"/>
  <c r="F13" i="1"/>
  <c r="H13" i="1" s="1"/>
  <c r="K13" i="1" s="1"/>
  <c r="L13" i="1" s="1"/>
  <c r="G13" i="1"/>
  <c r="F14" i="1"/>
  <c r="G14" i="1"/>
  <c r="H14" i="1" s="1"/>
  <c r="K14" i="1" s="1"/>
  <c r="L14" i="1" s="1"/>
  <c r="F15" i="1"/>
  <c r="G15" i="1"/>
  <c r="F16" i="1"/>
  <c r="G16" i="1"/>
  <c r="G12" i="1"/>
  <c r="F12" i="1"/>
  <c r="H12" i="1" s="1"/>
  <c r="K12" i="1" s="1"/>
  <c r="L12" i="1" s="1"/>
  <c r="B6" i="1"/>
  <c r="C12" i="1" s="1"/>
  <c r="H15" i="1" l="1"/>
  <c r="K15" i="1" s="1"/>
  <c r="L15" i="1" s="1"/>
  <c r="C16" i="1"/>
  <c r="C15" i="1"/>
  <c r="C14" i="1"/>
  <c r="C13" i="1"/>
  <c r="I12" i="1"/>
  <c r="H16" i="1"/>
  <c r="I16" i="1" l="1"/>
  <c r="K16" i="1"/>
  <c r="L16" i="1" s="1"/>
  <c r="I14" i="1"/>
  <c r="I13" i="1"/>
  <c r="I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H6" authorId="0" shapeId="0" xr:uid="{4444B034-E128-40F5-B3B2-5B6A123159A7}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Fig 5-9.  fc is linear with squeeze.  I just picked a reasonable number at 70d (7.5%)</t>
        </r>
      </text>
    </comment>
    <comment ref="I6" authorId="0" shapeId="0" xr:uid="{AB2E9A63-FE0B-40B7-AA0A-D54A7353C702}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fig 5-10 ~100psi</t>
        </r>
      </text>
    </comment>
    <comment ref="F11" authorId="0" shapeId="0" xr:uid="{068B48B6-3427-499A-A326-B0BF604D0E1C}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Total fric due to seal compression</t>
        </r>
      </text>
    </comment>
    <comment ref="G11" authorId="0" shapeId="0" xr:uid="{AE4E6C69-FC83-4218-B353-C2E9979EDF64}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Total fric due to fluid pressure</t>
        </r>
      </text>
    </comment>
    <comment ref="H11" authorId="0" shapeId="0" xr:uid="{56D5C556-840A-474D-B4F4-665AC3F4B828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Total friction</t>
        </r>
      </text>
    </comment>
    <comment ref="J11" authorId="0" shapeId="0" xr:uid="{0927E94A-DD90-41FD-98D9-F9FA9A692BFE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force provided by sea pressure</t>
        </r>
      </text>
    </comment>
    <comment ref="K11" authorId="0" shapeId="0" xr:uid="{DBFCC323-BB99-4C6C-AFF9-5175A49CDA6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Gross force minus Friction force</t>
        </r>
      </text>
    </comment>
  </commentList>
</comments>
</file>

<file path=xl/sharedStrings.xml><?xml version="1.0" encoding="utf-8"?>
<sst xmlns="http://schemas.openxmlformats.org/spreadsheetml/2006/main" count="47" uniqueCount="42">
  <si>
    <t>Volume (l)</t>
  </si>
  <si>
    <t>Vol (in^3)</t>
  </si>
  <si>
    <t>oring #</t>
  </si>
  <si>
    <t>Bore dia(in)</t>
  </si>
  <si>
    <t>Throw(in)</t>
  </si>
  <si>
    <t>2-133</t>
  </si>
  <si>
    <t>2-141</t>
  </si>
  <si>
    <t>2-149</t>
  </si>
  <si>
    <t>Ap(in^2)</t>
  </si>
  <si>
    <t>Lp(Iin)</t>
  </si>
  <si>
    <t>Fc</t>
  </si>
  <si>
    <t>fh(lb/in^2)</t>
  </si>
  <si>
    <t>Running friction (sec 5.11.2)</t>
  </si>
  <si>
    <t>fc(lb/in)</t>
  </si>
  <si>
    <t>Fh</t>
  </si>
  <si>
    <t>F</t>
  </si>
  <si>
    <t>2-137</t>
  </si>
  <si>
    <t>2-145</t>
  </si>
  <si>
    <t>F x Throw</t>
  </si>
  <si>
    <t>P(psig)</t>
  </si>
  <si>
    <t>Running friction</t>
  </si>
  <si>
    <t>Work</t>
  </si>
  <si>
    <t>Work (in-lb)</t>
  </si>
  <si>
    <t>Sizing</t>
  </si>
  <si>
    <t>Piston efficiency using Parker oring seals and handbook</t>
  </si>
  <si>
    <t>= user input</t>
  </si>
  <si>
    <t>F(lbs) Gross</t>
  </si>
  <si>
    <t>F(lbs) net</t>
  </si>
  <si>
    <t>Lead screw</t>
  </si>
  <si>
    <t>Rotations</t>
  </si>
  <si>
    <t>RPM</t>
  </si>
  <si>
    <t>Travel time(min)</t>
  </si>
  <si>
    <t>dist/rot</t>
  </si>
  <si>
    <t>LS</t>
  </si>
  <si>
    <t>Lead screw (LS)</t>
  </si>
  <si>
    <t>Effiency</t>
  </si>
  <si>
    <t>Elec</t>
  </si>
  <si>
    <t>Loss</t>
  </si>
  <si>
    <t>E</t>
  </si>
  <si>
    <t>E(J)</t>
  </si>
  <si>
    <t>E (J)</t>
  </si>
  <si>
    <t>Efficiency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</si>
</sst>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1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2" fontId="0" fillId="0" borderId="5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1" fillId="0" borderId="0" xfId="0" applyFont="1"/>
    <xf numFmtId="0" fontId="0" fillId="2" borderId="0" xfId="0" applyFill="1" applyAlignment="1">
      <alignment horizontal="center"/>
    </xf>
    <xf numFmtId="0" fontId="0" fillId="2" borderId="0" xfId="0" applyFill="1"/>
    <xf numFmtId="0" fontId="0" fillId="2" borderId="4" xfId="0" applyFill="1" applyBorder="1" applyAlignment="1"/>
    <xf numFmtId="0" fontId="0" fillId="2" borderId="0" xfId="0" applyFill="1" applyBorder="1" applyAlignment="1">
      <alignment horizontal="center"/>
    </xf>
    <xf numFmtId="0" fontId="0" fillId="2" borderId="6" xfId="0" applyFill="1" applyBorder="1" applyAlignment="1"/>
    <xf numFmtId="0" fontId="0" fillId="2" borderId="7" xfId="0" applyFill="1" applyBorder="1" applyAlignment="1">
      <alignment horizontal="center"/>
    </xf>
    <xf numFmtId="0" fontId="0" fillId="0" borderId="0" xfId="0" quotePrefix="1"/>
    <xf numFmtId="164" fontId="0" fillId="0" borderId="0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0" xfId="0" applyFill="1" applyAlignment="1">
      <alignment horizontal="center"/>
    </xf>
    <xf numFmtId="1" fontId="0" fillId="0" borderId="0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0" fontId="0" fillId="0" borderId="8" xfId="0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" fontId="0" fillId="0" borderId="7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(F x Throw) vs Bore Dia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1791286915907165"/>
                  <c:y val="1.161235053951589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Sheet1!$B$12:$B$16</c:f>
              <c:numCache>
                <c:formatCode>General</c:formatCode>
                <c:ptCount val="5"/>
                <c:pt idx="0">
                  <c:v>2.0049999999999999</c:v>
                </c:pt>
                <c:pt idx="1">
                  <c:v>2.2559999999999998</c:v>
                </c:pt>
                <c:pt idx="2">
                  <c:v>2.5059999999999998</c:v>
                </c:pt>
                <c:pt idx="3">
                  <c:v>2.7559999999999998</c:v>
                </c:pt>
                <c:pt idx="4">
                  <c:v>3.0059999999999998</c:v>
                </c:pt>
              </c:numCache>
            </c:numRef>
          </c:xVal>
          <c:yVal>
            <c:numRef>
              <c:f>Sheet1!$I$12:$I$16</c:f>
              <c:numCache>
                <c:formatCode>0.00</c:formatCode>
                <c:ptCount val="5"/>
                <c:pt idx="0">
                  <c:v>217.33984891339986</c:v>
                </c:pt>
                <c:pt idx="1">
                  <c:v>193.65153146707476</c:v>
                </c:pt>
                <c:pt idx="2">
                  <c:v>174.81902086637075</c:v>
                </c:pt>
                <c:pt idx="3">
                  <c:v>159.27178269634675</c:v>
                </c:pt>
                <c:pt idx="4">
                  <c:v>146.30617484514542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A6D-4DF4-A795-71EF7E019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8700896"/>
        <c:axId val="943663984"/>
      </c:scatterChart>
      <c:valAx>
        <c:axId val="958700896"/>
        <c:scaling>
          <c:orientation val="minMax"/>
          <c:min val="1.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3663984"/>
        <c:crosses val="autoZero"/>
        <c:crossBetween val="midCat"/>
      </c:valAx>
      <c:valAx>
        <c:axId val="943663984"/>
        <c:scaling>
          <c:orientation val="minMax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87008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Work</a:t>
            </a:r>
            <a:r>
              <a:rPr lang="en-US" baseline="0"/>
              <a:t> vs Bore Dia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Sheet1!$B$12:$B$16</c:f>
              <c:numCache>
                <c:formatCode>General</c:formatCode>
                <c:ptCount val="5"/>
                <c:pt idx="0">
                  <c:v>2.0049999999999999</c:v>
                </c:pt>
                <c:pt idx="1">
                  <c:v>2.2559999999999998</c:v>
                </c:pt>
                <c:pt idx="2">
                  <c:v>2.5059999999999998</c:v>
                </c:pt>
                <c:pt idx="3">
                  <c:v>2.7559999999999998</c:v>
                </c:pt>
                <c:pt idx="4">
                  <c:v>3.0059999999999998</c:v>
                </c:pt>
              </c:numCache>
            </c:numRef>
          </c:xVal>
          <c:yVal>
            <c:numRef>
              <c:f>Sheet1!$L$12:$L$16</c:f>
              <c:numCache>
                <c:formatCode>0.0</c:formatCode>
                <c:ptCount val="5"/>
                <c:pt idx="0">
                  <c:v>5885.0301510866002</c:v>
                </c:pt>
                <c:pt idx="1">
                  <c:v>5908.7184685329257</c:v>
                </c:pt>
                <c:pt idx="2">
                  <c:v>5927.550979133629</c:v>
                </c:pt>
                <c:pt idx="3">
                  <c:v>5943.0982173036537</c:v>
                </c:pt>
                <c:pt idx="4">
                  <c:v>5956.0638251548553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177-4927-927E-5FA1BF97A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2286208"/>
        <c:axId val="1078278848"/>
      </c:scatterChart>
      <c:valAx>
        <c:axId val="1112286208"/>
        <c:scaling>
          <c:orientation val="minMax"/>
          <c:min val="1.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8278848"/>
        <c:crosses val="autoZero"/>
        <c:crossBetween val="midCat"/>
      </c:valAx>
      <c:valAx>
        <c:axId val="1078278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22862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E(J) vs Bore Dia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4.2868110236220475E-2"/>
                  <c:y val="0.1977168999708369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Sheet1!$B$12:$B$16</c:f>
              <c:numCache>
                <c:formatCode>General</c:formatCode>
                <c:ptCount val="5"/>
                <c:pt idx="0">
                  <c:v>2.0049999999999999</c:v>
                </c:pt>
                <c:pt idx="1">
                  <c:v>2.2559999999999998</c:v>
                </c:pt>
                <c:pt idx="2">
                  <c:v>2.5059999999999998</c:v>
                </c:pt>
                <c:pt idx="3">
                  <c:v>2.7559999999999998</c:v>
                </c:pt>
                <c:pt idx="4">
                  <c:v>3.0059999999999998</c:v>
                </c:pt>
              </c:numCache>
            </c:numRef>
          </c:xVal>
          <c:yVal>
            <c:numRef>
              <c:f>Sheet1!$U$12:$U$16</c:f>
              <c:numCache>
                <c:formatCode>0</c:formatCode>
                <c:ptCount val="5"/>
                <c:pt idx="0">
                  <c:v>179.55226990965221</c:v>
                </c:pt>
                <c:pt idx="1">
                  <c:v>198.63634311590562</c:v>
                </c:pt>
                <c:pt idx="2">
                  <c:v>214.34024340547205</c:v>
                </c:pt>
                <c:pt idx="3">
                  <c:v>226.6549082624181</c:v>
                </c:pt>
                <c:pt idx="4">
                  <c:v>235.56232428487453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F6E-4B15-B3F4-4E953163E3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5257888"/>
        <c:axId val="1077981424"/>
      </c:scatterChart>
      <c:valAx>
        <c:axId val="1115257888"/>
        <c:scaling>
          <c:orientation val="minMax"/>
          <c:min val="1.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7981424"/>
        <c:crosses val="autoZero"/>
        <c:crossBetween val="midCat"/>
      </c:valAx>
      <c:valAx>
        <c:axId val="1077981424"/>
        <c:scaling>
          <c:orientation val="minMax"/>
          <c:min val="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52578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423862</xdr:colOff>
      <xdr:row>18</xdr:row>
      <xdr:rowOff>4762</xdr:rowOff>
    </xdr:from>
    <xdr:to>
      <xdr:col>14</xdr:col>
      <xdr:colOff>347662</xdr:colOff>
      <xdr:row>32</xdr:row>
      <xdr:rowOff>80962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4CA4DB1-F4CD-4768-80B4-E1E515565A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171450</xdr:colOff>
      <xdr:row>17</xdr:row>
      <xdr:rowOff>109537</xdr:rowOff>
    </xdr:from>
    <xdr:to>
      <xdr:col>7</xdr:col>
      <xdr:colOff>180975</xdr:colOff>
      <xdr:row>31</xdr:row>
      <xdr:rowOff>185737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C0D1DAB-3353-439B-9E17-110FB8E359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561975</xdr:colOff>
      <xdr:row>18</xdr:row>
      <xdr:rowOff>33337</xdr:rowOff>
    </xdr:from>
    <xdr:to>
      <xdr:col>22</xdr:col>
      <xdr:colOff>257175</xdr:colOff>
      <xdr:row>32</xdr:row>
      <xdr:rowOff>109537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6C6B5EB-8AFA-4587-8C05-90E10C4FB2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"/>
  <sheetViews>
    <sheetView tabSelected="1" workbookViewId="0">
      <selection activeCell="R38" sqref="R38"/>
    </sheetView>
  </sheetViews>
  <sheetFormatPr defaultRowHeight="15" x14ac:dyDescent="0.25"/>
  <cols>
    <col min="1" max="1" width="10.42578125" bestFit="1" customWidth="1"/>
    <col min="2" max="2" width="11.42578125" bestFit="1" customWidth="1"/>
    <col min="4" max="4" width="8.5703125" bestFit="1" customWidth="1"/>
    <col min="5" max="5" width="10.5703125" bestFit="1" customWidth="1"/>
    <col min="9" max="9" width="10.5703125" bestFit="1" customWidth="1"/>
    <col min="10" max="10" width="14.5703125" bestFit="1" customWidth="1"/>
    <col min="11" max="11" width="9.42578125" bestFit="1" customWidth="1"/>
    <col min="12" max="12" width="11.7109375" bestFit="1" customWidth="1"/>
  </cols>
  <sheetData>
    <row r="1" spans="1:21" x14ac:dyDescent="0.25">
      <c r="A1" s="18" t="s">
        <v>24</v>
      </c>
    </row>
    <row r="3" spans="1:21" x14ac:dyDescent="0.25">
      <c r="A3" s="20"/>
      <c r="B3" s="25" t="s">
        <v>25</v>
      </c>
    </row>
    <row r="4" spans="1:21" x14ac:dyDescent="0.25">
      <c r="D4" t="s">
        <v>28</v>
      </c>
      <c r="F4" t="s">
        <v>31</v>
      </c>
      <c r="H4" t="s">
        <v>12</v>
      </c>
    </row>
    <row r="5" spans="1:21" x14ac:dyDescent="0.25">
      <c r="A5" s="1" t="s">
        <v>0</v>
      </c>
      <c r="B5" s="1" t="s">
        <v>1</v>
      </c>
      <c r="C5" s="1" t="s">
        <v>19</v>
      </c>
      <c r="D5" s="1" t="s">
        <v>32</v>
      </c>
      <c r="E5" s="1"/>
      <c r="F5" s="1"/>
      <c r="G5" s="1"/>
      <c r="H5" s="1" t="s">
        <v>13</v>
      </c>
      <c r="I5" s="1" t="s">
        <v>11</v>
      </c>
    </row>
    <row r="6" spans="1:21" x14ac:dyDescent="0.25">
      <c r="A6" s="19">
        <v>1</v>
      </c>
      <c r="B6" s="1">
        <f xml:space="preserve"> A6*61.0237</f>
        <v>61.023699999999998</v>
      </c>
      <c r="C6" s="19">
        <v>100</v>
      </c>
      <c r="D6" s="19">
        <v>6.3E-2</v>
      </c>
      <c r="E6" s="29"/>
      <c r="F6" s="19">
        <v>0.5</v>
      </c>
      <c r="G6" s="1"/>
      <c r="H6" s="19">
        <v>0.5</v>
      </c>
      <c r="I6" s="19">
        <v>15</v>
      </c>
    </row>
    <row r="10" spans="1:21" x14ac:dyDescent="0.25">
      <c r="A10" s="6" t="s">
        <v>23</v>
      </c>
      <c r="B10" s="2"/>
      <c r="C10" s="3"/>
      <c r="D10" s="6" t="s">
        <v>20</v>
      </c>
      <c r="E10" s="2"/>
      <c r="F10" s="2"/>
      <c r="G10" s="2"/>
      <c r="H10" s="2"/>
      <c r="I10" s="2"/>
      <c r="J10" s="6" t="s">
        <v>21</v>
      </c>
      <c r="K10" s="2"/>
      <c r="L10" s="2"/>
      <c r="M10" s="3"/>
      <c r="N10" s="2" t="s">
        <v>34</v>
      </c>
      <c r="O10" s="3"/>
      <c r="P10" s="38" t="s">
        <v>35</v>
      </c>
      <c r="Q10" s="39" t="s">
        <v>37</v>
      </c>
      <c r="R10" s="39" t="s">
        <v>39</v>
      </c>
      <c r="S10" s="39" t="s">
        <v>41</v>
      </c>
      <c r="T10" s="39" t="s">
        <v>37</v>
      </c>
      <c r="U10" s="40" t="s">
        <v>38</v>
      </c>
    </row>
    <row r="11" spans="1:21" x14ac:dyDescent="0.25">
      <c r="A11" s="7" t="s">
        <v>2</v>
      </c>
      <c r="B11" s="8" t="s">
        <v>3</v>
      </c>
      <c r="C11" s="9" t="s">
        <v>4</v>
      </c>
      <c r="D11" s="4" t="s">
        <v>8</v>
      </c>
      <c r="E11" s="5" t="s">
        <v>9</v>
      </c>
      <c r="F11" s="5" t="s">
        <v>10</v>
      </c>
      <c r="G11" s="5" t="s">
        <v>14</v>
      </c>
      <c r="H11" s="5" t="s">
        <v>15</v>
      </c>
      <c r="I11" s="5" t="s">
        <v>18</v>
      </c>
      <c r="J11" s="4" t="s">
        <v>26</v>
      </c>
      <c r="K11" s="28" t="s">
        <v>27</v>
      </c>
      <c r="L11" s="5" t="s">
        <v>22</v>
      </c>
      <c r="M11" s="33" t="s">
        <v>40</v>
      </c>
      <c r="N11" s="28" t="s">
        <v>29</v>
      </c>
      <c r="O11" s="33" t="s">
        <v>30</v>
      </c>
      <c r="P11" s="41" t="s">
        <v>33</v>
      </c>
      <c r="Q11" s="28" t="s">
        <v>33</v>
      </c>
      <c r="R11" s="28" t="s">
        <v>33</v>
      </c>
      <c r="S11" s="28" t="s">
        <v>36</v>
      </c>
      <c r="T11" s="28" t="s">
        <v>36</v>
      </c>
      <c r="U11" s="33" t="s">
        <v>36</v>
      </c>
    </row>
    <row r="12" spans="1:21" x14ac:dyDescent="0.25">
      <c r="A12" s="21" t="s">
        <v>5</v>
      </c>
      <c r="B12" s="22">
        <v>2.0049999999999999</v>
      </c>
      <c r="C12" s="10">
        <f xml:space="preserve"> $B$6/(PI()*(B12/2)^2)</f>
        <v>19.32768776464205</v>
      </c>
      <c r="D12" s="11">
        <v>0.54</v>
      </c>
      <c r="E12" s="12">
        <v>6.29</v>
      </c>
      <c r="F12" s="12">
        <f>$H$6*E12</f>
        <v>3.145</v>
      </c>
      <c r="G12" s="12">
        <f>$I$6*D12</f>
        <v>8.1000000000000014</v>
      </c>
      <c r="H12" s="12">
        <f>F12+G12</f>
        <v>11.245000000000001</v>
      </c>
      <c r="I12" s="12">
        <f>H12*C12</f>
        <v>217.33984891339986</v>
      </c>
      <c r="J12" s="16">
        <f>$C$6 * PI() * (B12/2)^2</f>
        <v>315.73202518118268</v>
      </c>
      <c r="K12" s="26">
        <f>J12-H12</f>
        <v>304.48702518118267</v>
      </c>
      <c r="L12" s="26">
        <f>K12*C12</f>
        <v>5885.0301510866002</v>
      </c>
      <c r="M12" s="31">
        <f>L12*0.113</f>
        <v>665.00840707278587</v>
      </c>
      <c r="N12" s="34">
        <f>C12/$D$6</f>
        <v>306.78869467685792</v>
      </c>
      <c r="O12" s="35">
        <f>N12/$F$6</f>
        <v>613.57738935371583</v>
      </c>
      <c r="P12" s="42">
        <v>0.3</v>
      </c>
      <c r="Q12" s="30">
        <f>(1-P12)*M12</f>
        <v>465.50588495095008</v>
      </c>
      <c r="R12" s="30">
        <f>M12-Q12</f>
        <v>199.5025221218358</v>
      </c>
      <c r="S12" s="22">
        <v>0.9</v>
      </c>
      <c r="T12" s="30">
        <f>(1-S12)*R12</f>
        <v>19.950252212183575</v>
      </c>
      <c r="U12" s="31">
        <f>R12-T12</f>
        <v>179.55226990965221</v>
      </c>
    </row>
    <row r="13" spans="1:21" x14ac:dyDescent="0.25">
      <c r="A13" s="21" t="s">
        <v>16</v>
      </c>
      <c r="B13" s="22">
        <v>2.2559999999999998</v>
      </c>
      <c r="C13" s="10">
        <f xml:space="preserve"> $B$6/(PI()*(B13/2)^2)</f>
        <v>15.266183008835219</v>
      </c>
      <c r="D13" s="11">
        <v>0.61</v>
      </c>
      <c r="E13" s="12">
        <v>7.07</v>
      </c>
      <c r="F13" s="12">
        <f>$H$6*E13</f>
        <v>3.5350000000000001</v>
      </c>
      <c r="G13" s="12">
        <f>$I$6*D13</f>
        <v>9.15</v>
      </c>
      <c r="H13" s="12">
        <f t="shared" ref="H13:H16" si="0">F13+G13</f>
        <v>12.685</v>
      </c>
      <c r="I13" s="12">
        <f t="shared" ref="I13:I16" si="1">H13*C13</f>
        <v>193.65153146707476</v>
      </c>
      <c r="J13" s="16">
        <f>$C$6 * PI() * (B13/2)^2</f>
        <v>399.73122269451949</v>
      </c>
      <c r="K13" s="26">
        <f t="shared" ref="K13:K16" si="2">J13-H13</f>
        <v>387.04622269451949</v>
      </c>
      <c r="L13" s="26">
        <f t="shared" ref="L13:L16" si="3">K13*C13</f>
        <v>5908.7184685329257</v>
      </c>
      <c r="M13" s="31">
        <f t="shared" ref="M13:M16" si="4">L13*0.113</f>
        <v>667.68518694422062</v>
      </c>
      <c r="N13" s="36">
        <f>C13/$D$6</f>
        <v>242.32036521960666</v>
      </c>
      <c r="O13" s="31">
        <f t="shared" ref="O13:O16" si="5">N13/$F$6</f>
        <v>484.64073043921331</v>
      </c>
      <c r="P13" s="42">
        <v>0.35</v>
      </c>
      <c r="Q13" s="30">
        <f t="shared" ref="Q13:Q16" si="6">(1-P13)*M13</f>
        <v>433.99537151374341</v>
      </c>
      <c r="R13" s="30">
        <f t="shared" ref="R13:R16" si="7">M13-Q13</f>
        <v>233.68981543047721</v>
      </c>
      <c r="S13" s="22">
        <v>0.85</v>
      </c>
      <c r="T13" s="30">
        <f t="shared" ref="T13:T16" si="8">(1-S13)*R13</f>
        <v>35.053472314571586</v>
      </c>
      <c r="U13" s="31">
        <f t="shared" ref="U13:U16" si="9">R13-T13</f>
        <v>198.63634311590562</v>
      </c>
    </row>
    <row r="14" spans="1:21" x14ac:dyDescent="0.25">
      <c r="A14" s="21" t="s">
        <v>6</v>
      </c>
      <c r="B14" s="22">
        <v>2.5059999999999998</v>
      </c>
      <c r="C14" s="10">
        <f xml:space="preserve"> $B$6/(PI()*(B14/2)^2)</f>
        <v>12.372188313260491</v>
      </c>
      <c r="D14" s="11">
        <v>0.68</v>
      </c>
      <c r="E14" s="12">
        <v>7.86</v>
      </c>
      <c r="F14" s="12">
        <f>$H$6*E14</f>
        <v>3.93</v>
      </c>
      <c r="G14" s="12">
        <f>$I$6*D14</f>
        <v>10.200000000000001</v>
      </c>
      <c r="H14" s="12">
        <f t="shared" si="0"/>
        <v>14.13</v>
      </c>
      <c r="I14" s="12">
        <f t="shared" si="1"/>
        <v>174.81902086637075</v>
      </c>
      <c r="J14" s="16">
        <f>$C$6 * PI() * (B14/2)^2</f>
        <v>493.23287404698567</v>
      </c>
      <c r="K14" s="26">
        <f t="shared" si="2"/>
        <v>479.10287404698568</v>
      </c>
      <c r="L14" s="26">
        <f t="shared" si="3"/>
        <v>5927.550979133629</v>
      </c>
      <c r="M14" s="31">
        <f t="shared" si="4"/>
        <v>669.81326064210009</v>
      </c>
      <c r="N14" s="36">
        <f>C14/$D$6</f>
        <v>196.38394148032526</v>
      </c>
      <c r="O14" s="31">
        <f t="shared" si="5"/>
        <v>392.76788296065052</v>
      </c>
      <c r="P14" s="42">
        <v>0.4</v>
      </c>
      <c r="Q14" s="30">
        <f t="shared" si="6"/>
        <v>401.88795638526005</v>
      </c>
      <c r="R14" s="30">
        <f t="shared" si="7"/>
        <v>267.92530425684004</v>
      </c>
      <c r="S14" s="22">
        <v>0.8</v>
      </c>
      <c r="T14" s="30">
        <f t="shared" si="8"/>
        <v>53.585060851367999</v>
      </c>
      <c r="U14" s="31">
        <f t="shared" si="9"/>
        <v>214.34024340547205</v>
      </c>
    </row>
    <row r="15" spans="1:21" x14ac:dyDescent="0.25">
      <c r="A15" s="21" t="s">
        <v>17</v>
      </c>
      <c r="B15" s="22">
        <v>2.7559999999999998</v>
      </c>
      <c r="C15" s="10">
        <f xml:space="preserve"> $B$6/(PI()*(B15/2)^2)</f>
        <v>10.229401586149438</v>
      </c>
      <c r="D15" s="11">
        <v>0.75</v>
      </c>
      <c r="E15" s="12">
        <v>8.64</v>
      </c>
      <c r="F15" s="12">
        <f>$H$6*E15</f>
        <v>4.32</v>
      </c>
      <c r="G15" s="12">
        <f>$I$6*D15</f>
        <v>11.25</v>
      </c>
      <c r="H15" s="12">
        <f t="shared" si="0"/>
        <v>15.57</v>
      </c>
      <c r="I15" s="12">
        <f t="shared" si="1"/>
        <v>159.27178269634675</v>
      </c>
      <c r="J15" s="16">
        <f>$C$6 * PI() * (B15/2)^2</f>
        <v>596.55200244192008</v>
      </c>
      <c r="K15" s="26">
        <f t="shared" si="2"/>
        <v>580.98200244192003</v>
      </c>
      <c r="L15" s="26">
        <f t="shared" si="3"/>
        <v>5943.0982173036537</v>
      </c>
      <c r="M15" s="31">
        <f t="shared" si="4"/>
        <v>671.57009855531294</v>
      </c>
      <c r="N15" s="36">
        <f>C15/$D$6</f>
        <v>162.37145374840378</v>
      </c>
      <c r="O15" s="31">
        <f t="shared" si="5"/>
        <v>324.74290749680756</v>
      </c>
      <c r="P15" s="42">
        <v>0.45</v>
      </c>
      <c r="Q15" s="30">
        <f t="shared" si="6"/>
        <v>369.36355420542213</v>
      </c>
      <c r="R15" s="30">
        <f t="shared" si="7"/>
        <v>302.20654434989081</v>
      </c>
      <c r="S15" s="22">
        <v>0.75</v>
      </c>
      <c r="T15" s="30">
        <f t="shared" si="8"/>
        <v>75.551636087472701</v>
      </c>
      <c r="U15" s="31">
        <f t="shared" si="9"/>
        <v>226.6549082624181</v>
      </c>
    </row>
    <row r="16" spans="1:21" x14ac:dyDescent="0.25">
      <c r="A16" s="23" t="s">
        <v>7</v>
      </c>
      <c r="B16" s="24">
        <v>3.0059999999999998</v>
      </c>
      <c r="C16" s="13">
        <f xml:space="preserve"> $B$6/(PI()*(B16/2)^2)</f>
        <v>8.5986585274843037</v>
      </c>
      <c r="D16" s="14">
        <v>0.82</v>
      </c>
      <c r="E16" s="15">
        <v>9.43</v>
      </c>
      <c r="F16" s="15">
        <f>$H$6*E16</f>
        <v>4.7149999999999999</v>
      </c>
      <c r="G16" s="15">
        <f>$I$6*D16</f>
        <v>12.299999999999999</v>
      </c>
      <c r="H16" s="15">
        <f t="shared" si="0"/>
        <v>17.015000000000001</v>
      </c>
      <c r="I16" s="15">
        <f t="shared" si="1"/>
        <v>146.30617484514542</v>
      </c>
      <c r="J16" s="17">
        <f>$C$6 * PI() * (B16/2)^2</f>
        <v>709.68860787932249</v>
      </c>
      <c r="K16" s="27">
        <f t="shared" si="2"/>
        <v>692.6736078793225</v>
      </c>
      <c r="L16" s="27">
        <f t="shared" si="3"/>
        <v>5956.0638251548553</v>
      </c>
      <c r="M16" s="32">
        <f t="shared" si="4"/>
        <v>673.03521224249869</v>
      </c>
      <c r="N16" s="37">
        <f>C16/$D$6</f>
        <v>136.48664329340164</v>
      </c>
      <c r="O16" s="32">
        <f t="shared" si="5"/>
        <v>272.97328658680328</v>
      </c>
      <c r="P16" s="43">
        <v>0.5</v>
      </c>
      <c r="Q16" s="44">
        <f t="shared" si="6"/>
        <v>336.51760612124934</v>
      </c>
      <c r="R16" s="44">
        <f t="shared" si="7"/>
        <v>336.51760612124934</v>
      </c>
      <c r="S16" s="24">
        <v>0.7</v>
      </c>
      <c r="T16" s="44">
        <f t="shared" si="8"/>
        <v>100.95528183637482</v>
      </c>
      <c r="U16" s="32">
        <f t="shared" si="9"/>
        <v>235.56232428487453</v>
      </c>
    </row>
  </sheetData>
  <pageMargins left="0.7" right="0.7" top="0.75" bottom="0.75" header="0.3" footer="0.3"/>
  <pageSetup orientation="portrait" horizontalDpi="4294967295" verticalDpi="4294967295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2023-02-17T18:42:10Z</dcterms:modified>
</cp:coreProperties>
</file>