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U8" i="1"/>
  <c r="O7" i="1"/>
  <c r="U7" i="1"/>
  <c r="O6" i="1"/>
  <c r="U6" i="1"/>
  <c r="O5" i="1"/>
  <c r="O3" i="1"/>
  <c r="U3" i="1"/>
  <c r="L5" i="1"/>
  <c r="M3" i="1"/>
  <c r="J3" i="1"/>
  <c r="W8" i="1"/>
  <c r="X8" i="1"/>
  <c r="W4" i="1"/>
  <c r="X4" i="1"/>
  <c r="N4" i="1"/>
  <c r="K4" i="1"/>
  <c r="O4" i="1"/>
  <c r="N5" i="1"/>
  <c r="U5" i="1"/>
  <c r="J6" i="1"/>
  <c r="U4" i="1"/>
  <c r="M8" i="1"/>
  <c r="J8" i="1"/>
  <c r="R8" i="1"/>
  <c r="T8" i="1"/>
  <c r="R7" i="1"/>
  <c r="T7" i="1"/>
  <c r="R6" i="1"/>
  <c r="T6" i="1"/>
  <c r="R3" i="1"/>
  <c r="T3" i="1"/>
  <c r="R5" i="1"/>
  <c r="T5" i="1"/>
  <c r="R4" i="1"/>
  <c r="T4" i="1"/>
</calcChain>
</file>

<file path=xl/sharedStrings.xml><?xml version="1.0" encoding="utf-8"?>
<sst xmlns="http://schemas.openxmlformats.org/spreadsheetml/2006/main" count="88" uniqueCount="82">
  <si>
    <t>Company Name</t>
  </si>
  <si>
    <t>Quote Received</t>
  </si>
  <si>
    <t>Birns</t>
  </si>
  <si>
    <t>Hydrogroup</t>
  </si>
  <si>
    <t>No- too expensive</t>
  </si>
  <si>
    <t>yes</t>
  </si>
  <si>
    <t>Cable Under consideration</t>
  </si>
  <si>
    <t>Contact</t>
  </si>
  <si>
    <t>Brock @ Ocean Innovations</t>
  </si>
  <si>
    <t>Aidan Kidd/Paul Weston</t>
  </si>
  <si>
    <t>Price per 1 km</t>
  </si>
  <si>
    <t>Lead time</t>
  </si>
  <si>
    <t>$100k</t>
  </si>
  <si>
    <t>14-15 weeks</t>
  </si>
  <si>
    <t>South Bay</t>
  </si>
  <si>
    <t>Hailey Wilson</t>
  </si>
  <si>
    <t>$30k</t>
  </si>
  <si>
    <t>30-34 weeks</t>
  </si>
  <si>
    <t>Winchester (formerly Falmat)</t>
  </si>
  <si>
    <t>Shawn Amirehsani</t>
  </si>
  <si>
    <t>Sherwin Nepomucena</t>
  </si>
  <si>
    <t>Seven Valleys</t>
  </si>
  <si>
    <t>Rochester</t>
  </si>
  <si>
    <t>Casey Kitt</t>
  </si>
  <si>
    <t>Yes</t>
  </si>
  <si>
    <t>Cable Characteristics</t>
  </si>
  <si>
    <t>Weight/meter sea H2O</t>
  </si>
  <si>
    <t>Working Load (kN)</t>
  </si>
  <si>
    <t>Ultimate Breaking Strength (kN)</t>
  </si>
  <si>
    <t>Concept Cables</t>
  </si>
  <si>
    <t>0.377 kg/m</t>
  </si>
  <si>
    <t>0.370 kg/m</t>
  </si>
  <si>
    <t>0.270 kg/m</t>
  </si>
  <si>
    <t>ya</t>
  </si>
  <si>
    <t>0.254 kg/m</t>
  </si>
  <si>
    <t>16-18</t>
  </si>
  <si>
    <t>$55k (2000m)</t>
  </si>
  <si>
    <t>Simon</t>
  </si>
  <si>
    <t>$44k</t>
  </si>
  <si>
    <t>5 weeks ARO plus Material procure…</t>
  </si>
  <si>
    <t>10 weeks…?</t>
  </si>
  <si>
    <t>$49K (2000m)</t>
  </si>
  <si>
    <t>Specific Gravity (Sea Water), calculated</t>
  </si>
  <si>
    <t xml:space="preserve">Legend: </t>
  </si>
  <si>
    <t>Values, entered, confirmed by DK</t>
  </si>
  <si>
    <t>Values, automatically calculated</t>
  </si>
  <si>
    <t>0.247 kg/m</t>
  </si>
  <si>
    <t>Specific gravity, datasheet</t>
  </si>
  <si>
    <t>stranded strength member</t>
  </si>
  <si>
    <t>$26.55k</t>
  </si>
  <si>
    <t>OF Cable Options\Hydrogroup\CLS8009-Model.pdf</t>
  </si>
  <si>
    <t>OF Cable Options\Hydrogroup\Q0052580 Rev 01.pdf</t>
  </si>
  <si>
    <t>OF Cable Options\South-Bay\South-Bay - SB-51786 Rev A.pdf</t>
  </si>
  <si>
    <t>OF Cable Options\Winchester-Falmat\Quote 26315 - MBARI.pdf</t>
  </si>
  <si>
    <t>OF Cable Options\Winchester-Falmat\FM110619CP-3 SS tube with Jacket_Winchester.pdf</t>
  </si>
  <si>
    <t>OF Cable Options\Seven Valleys Quote\006SC014 - Rev 00.pdf</t>
  </si>
  <si>
    <t>OF Cable Options\Seven Valleys Quote\7VQ-2024-03-0019 - Quote - MBARI - Rev 00.pdf</t>
  </si>
  <si>
    <t>NA</t>
  </si>
  <si>
    <t>OF Cable Options\Rochester-Cable\A711567-RochesterCable.pdf</t>
  </si>
  <si>
    <t>OF Cable Options\Concept Cables\CC Quote Letter - price break metres - 2024-04-10-10-51 - 17719.pdf</t>
  </si>
  <si>
    <t>OF Cable Options\Concept Cables\MBA002071.1.pdf</t>
  </si>
  <si>
    <t xml:space="preserve">Drawing </t>
  </si>
  <si>
    <t>Quote</t>
  </si>
  <si>
    <t>Cross-section area, [m2]</t>
  </si>
  <si>
    <t>Cable Density, calculated, [g/cc]</t>
  </si>
  <si>
    <t>Density, datasheet [g/cc]</t>
  </si>
  <si>
    <t>Seawater Density [g/cc]</t>
  </si>
  <si>
    <t>Weigh/Meter in Seawater, calculated [kg/m]</t>
  </si>
  <si>
    <t>Weight/Meter in Air, datasheet [kg/m]</t>
  </si>
  <si>
    <t>OD, [mm]</t>
  </si>
  <si>
    <t>OD, [in]</t>
  </si>
  <si>
    <t>Outer jacket thickness [mm]</t>
  </si>
  <si>
    <t>Bend Radius, Dynamic, [in]</t>
  </si>
  <si>
    <r>
      <rPr>
        <b/>
        <sz val="11"/>
        <color theme="1"/>
        <rFont val="Calibri"/>
        <family val="2"/>
        <scheme val="minor"/>
      </rPr>
      <t>Specific Gravity (Sea Water)</t>
    </r>
    <r>
      <rPr>
        <sz val="11"/>
        <color theme="1"/>
        <rFont val="Calibri"/>
        <family val="2"/>
        <scheme val="minor"/>
      </rPr>
      <t xml:space="preserve"> = Cable Density [g/cc] / Seawater Density [g/cc] </t>
    </r>
  </si>
  <si>
    <r>
      <rPr>
        <b/>
        <sz val="11"/>
        <color theme="1"/>
        <rFont val="Calibri"/>
        <family val="2"/>
        <scheme val="minor"/>
      </rPr>
      <t xml:space="preserve">Cable Density [g/cc] </t>
    </r>
    <r>
      <rPr>
        <sz val="11"/>
        <color theme="1"/>
        <rFont val="Calibri"/>
        <family val="2"/>
        <scheme val="minor"/>
      </rPr>
      <t xml:space="preserve">= Weight/Meter [kg/m] / Cross-Section [m2] / 1000 </t>
    </r>
  </si>
  <si>
    <r>
      <rPr>
        <b/>
        <sz val="11"/>
        <color theme="1"/>
        <rFont val="Calibri"/>
        <family val="2"/>
        <scheme val="minor"/>
      </rPr>
      <t>Cross-section area [m2]</t>
    </r>
    <r>
      <rPr>
        <sz val="11"/>
        <color theme="1"/>
        <rFont val="Calibri"/>
        <family val="2"/>
        <scheme val="minor"/>
      </rPr>
      <t xml:space="preserve"> = (OD [mm] /1000/2)^2 * PI</t>
    </r>
  </si>
  <si>
    <r>
      <rPr>
        <b/>
        <sz val="11"/>
        <color theme="1"/>
        <rFont val="Calibri"/>
        <family val="2"/>
        <scheme val="minor"/>
      </rPr>
      <t>Weight/Meter [kg/m]</t>
    </r>
    <r>
      <rPr>
        <sz val="11"/>
        <color theme="1"/>
        <rFont val="Calibri"/>
        <family val="2"/>
        <scheme val="minor"/>
      </rPr>
      <t>= Weight/1000ft [lbs/1000ft] * 0.453592 [kg/lb] / 304.8 [m/1000ft]</t>
    </r>
  </si>
  <si>
    <r>
      <rPr>
        <b/>
        <sz val="11"/>
        <color theme="1"/>
        <rFont val="Calibri"/>
        <family val="2"/>
        <scheme val="minor"/>
      </rPr>
      <t>Weigh/Meter in Seawater [kg/m]</t>
    </r>
    <r>
      <rPr>
        <sz val="11"/>
        <color theme="1"/>
        <rFont val="Calibri"/>
        <family val="2"/>
        <scheme val="minor"/>
      </rPr>
      <t xml:space="preserve"> = Weight/Meter in Air [kg/m] - Seawater Density [g/cc] * 1000 * Cross-section area [m2]</t>
    </r>
  </si>
  <si>
    <r>
      <rPr>
        <b/>
        <sz val="11"/>
        <color theme="1"/>
        <rFont val="Calibri"/>
        <family val="2"/>
        <scheme val="minor"/>
      </rPr>
      <t>Load [kN]</t>
    </r>
    <r>
      <rPr>
        <sz val="11"/>
        <color theme="1"/>
        <rFont val="Calibri"/>
        <family val="2"/>
        <scheme val="minor"/>
      </rPr>
      <t xml:space="preserve"> = Load [lbf] * 4.44822 [N/lbf] / 1000 </t>
    </r>
  </si>
  <si>
    <r>
      <rPr>
        <b/>
        <sz val="11"/>
        <color theme="1"/>
        <rFont val="Calibri"/>
        <family val="2"/>
        <scheme val="minor"/>
      </rPr>
      <t>Load [kN]</t>
    </r>
    <r>
      <rPr>
        <sz val="11"/>
        <color theme="1"/>
        <rFont val="Calibri"/>
        <family val="2"/>
        <scheme val="minor"/>
      </rPr>
      <t xml:space="preserve"> = Load [KGF] *9.80665 [N/KGF] / 1000 </t>
    </r>
  </si>
  <si>
    <r>
      <rPr>
        <b/>
        <sz val="11"/>
        <color theme="1"/>
        <rFont val="Calibri"/>
        <family val="2"/>
        <scheme val="minor"/>
      </rPr>
      <t>Inches</t>
    </r>
    <r>
      <rPr>
        <sz val="11"/>
        <color theme="1"/>
        <rFont val="Calibri"/>
        <family val="2"/>
        <scheme val="minor"/>
      </rPr>
      <t xml:space="preserve"> = mm / 25.4 </t>
    </r>
  </si>
  <si>
    <r>
      <rPr>
        <b/>
        <sz val="11"/>
        <color theme="1"/>
        <rFont val="Calibri"/>
        <family val="2"/>
        <scheme val="minor"/>
      </rPr>
      <t>mm</t>
    </r>
    <r>
      <rPr>
        <sz val="11"/>
        <color theme="1"/>
        <rFont val="Calibri"/>
        <family val="2"/>
        <scheme val="minor"/>
      </rPr>
      <t xml:space="preserve"> = inches * 25.4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</si>
</sst>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164" formatCode="0.000"/>
    <numFmt numFmtId="165" formatCode="0.00000"/>
    <numFmt numFmtId="166" formatCode="0.00000000"/>
    <numFmt numFmtId="167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1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" fontId="0" fillId="0" borderId="1" xfId="0" applyNumberFormat="1" applyBorder="1" applyAlignment="1">
      <alignment horizontal="left"/>
    </xf>
    <xf numFmtId="166" fontId="0" fillId="2" borderId="1" xfId="0" applyNumberFormat="1" applyFill="1" applyBorder="1"/>
    <xf numFmtId="166" fontId="0" fillId="0" borderId="1" xfId="0" applyNumberFormat="1" applyFill="1" applyBorder="1"/>
    <xf numFmtId="2" fontId="0" fillId="0" borderId="1" xfId="0" applyNumberFormat="1" applyFill="1" applyBorder="1"/>
    <xf numFmtId="164" fontId="0" fillId="2" borderId="1" xfId="0" applyNumberFormat="1" applyFill="1" applyBorder="1"/>
    <xf numFmtId="14" fontId="0" fillId="0" borderId="1" xfId="0" applyNumberFormat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2" borderId="1" xfId="0" applyNumberFormat="1" applyFill="1" applyBorder="1"/>
    <xf numFmtId="164" fontId="0" fillId="3" borderId="1" xfId="0" applyNumberFormat="1" applyFill="1" applyBorder="1"/>
    <xf numFmtId="2" fontId="0" fillId="4" borderId="1" xfId="0" applyNumberFormat="1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2" fontId="2" fillId="3" borderId="1" xfId="0" applyNumberFormat="1" applyFont="1" applyFill="1" applyBorder="1"/>
    <xf numFmtId="2" fontId="0" fillId="2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0" fillId="0" borderId="1" xfId="0" applyNumberFormat="1" applyBorder="1"/>
    <xf numFmtId="167" fontId="0" fillId="3" borderId="1" xfId="0" applyNumberFormat="1" applyFill="1" applyBorder="1"/>
    <xf numFmtId="167" fontId="0" fillId="0" borderId="0" xfId="0" applyNumberFormat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3" fillId="0" borderId="0" xfId="1" applyAlignment="1">
      <alignment horizontal="left"/>
    </xf>
    <xf numFmtId="2" fontId="0" fillId="3" borderId="1" xfId="0" applyNumberFormat="1" applyFill="1" applyBorder="1" applyAlignment="1">
      <alignment horizontal="right"/>
    </xf>
    <xf numFmtId="0" fontId="3" fillId="0" borderId="0" xfId="1"/>
    <xf numFmtId="164" fontId="3" fillId="0" borderId="0" xfId="1" applyNumberFormat="1"/>
    <xf numFmtId="167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0" fillId="2" borderId="0" xfId="0" applyFill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97520</xdr:colOff>
      <xdr:row>10</xdr:row>
      <xdr:rowOff>24764</xdr:rowOff>
    </xdr:from>
    <xdr:to>
      <xdr:col>2</xdr:col>
      <xdr:colOff>367393</xdr:colOff>
      <xdr:row>17</xdr:row>
      <xdr:rowOff>23058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520" y="2442300"/>
          <a:ext cx="2129516" cy="2030294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435430</xdr:colOff>
      <xdr:row>10</xdr:row>
      <xdr:rowOff>16825</xdr:rowOff>
    </xdr:from>
    <xdr:to>
      <xdr:col>3</xdr:col>
      <xdr:colOff>1369786</xdr:colOff>
      <xdr:row>17</xdr:row>
      <xdr:rowOff>11118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3430" y="2434361"/>
          <a:ext cx="2050142" cy="2026293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1501322</xdr:colOff>
      <xdr:row>10</xdr:row>
      <xdr:rowOff>23086</xdr:rowOff>
    </xdr:from>
    <xdr:to>
      <xdr:col>5</xdr:col>
      <xdr:colOff>581735</xdr:colOff>
      <xdr:row>17</xdr:row>
      <xdr:rowOff>18143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4FFDF24-5307-4A8E-87D1-31F48D8F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5108" y="2440622"/>
          <a:ext cx="1983270" cy="2027057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734784</xdr:colOff>
      <xdr:row>10</xdr:row>
      <xdr:rowOff>13604</xdr:rowOff>
    </xdr:from>
    <xdr:to>
      <xdr:col>6</xdr:col>
      <xdr:colOff>362857</xdr:colOff>
      <xdr:row>17</xdr:row>
      <xdr:rowOff>26343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38FCB16E-6198-4B2D-AC86-10601760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427" y="2431140"/>
          <a:ext cx="1950358" cy="2044739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498929</xdr:colOff>
      <xdr:row>10</xdr:row>
      <xdr:rowOff>8616</xdr:rowOff>
    </xdr:from>
    <xdr:to>
      <xdr:col>8</xdr:col>
      <xdr:colOff>63499</xdr:colOff>
      <xdr:row>17</xdr:row>
      <xdr:rowOff>30313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6D34069F-F355-4697-84D0-BB11259B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7858" y="2426152"/>
          <a:ext cx="2004785" cy="2053697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163286</xdr:colOff>
      <xdr:row>10</xdr:row>
      <xdr:rowOff>3846</xdr:rowOff>
    </xdr:from>
    <xdr:to>
      <xdr:col>11</xdr:col>
      <xdr:colOff>486241</xdr:colOff>
      <xdr:row>17</xdr:row>
      <xdr:rowOff>22677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FB51495E-80D6-4685-A384-DF882580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2429" y="2421382"/>
          <a:ext cx="2187133" cy="2050831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Project.Instrument/FO%20Cable/OF%20Cable%20Options/South-Bay/South-Bay%20-%20SB-51786%20Rev%20A.pdf" TargetMode="External"/><Relationship Id="rId4" Type="http://schemas.openxmlformats.org/officeDocument/2006/relationships/hyperlink" Target="../../../../Project.Instrument/FO%20Cable/OF%20Cable%20Options/Winchester-Falmat/Quote%2026315%20-%20MBARI.pdf" TargetMode="External"/><Relationship Id="rId5" Type="http://schemas.openxmlformats.org/officeDocument/2006/relationships/hyperlink" Target="../../../../Project.Instrument/FO%20Cable/OF%20Cable%20Options/Winchester-Falmat/FM110619CP-3%20SS%20tube%20with%20Jacket_Winchester.pdf" TargetMode="External"/><Relationship Id="rId6" Type="http://schemas.openxmlformats.org/officeDocument/2006/relationships/hyperlink" Target="../../../../Project.Instrument/FO%20Cable/OF%20Cable%20Options/Seven%20Valleys%20Quote/006SC014%20-%20Rev%2000.pdf" TargetMode="External"/><Relationship Id="rId7" Type="http://schemas.openxmlformats.org/officeDocument/2006/relationships/hyperlink" Target="../../../../Project.Instrument/FO%20Cable/OF%20Cable%20Options/Seven%20Valleys%20Quote/7VQ-2024-03-0019%20-%20Quote%20-%20MBARI%20-%20Rev%2000.pdf" TargetMode="External"/><Relationship Id="rId8" Type="http://schemas.openxmlformats.org/officeDocument/2006/relationships/hyperlink" Target="../../../../Project.Instrument/FO%20Cable/OF%20Cable%20Options/Rochester-Cable/A711567-RochesterCable.pdf" TargetMode="External"/><Relationship Id="rId9" Type="http://schemas.openxmlformats.org/officeDocument/2006/relationships/hyperlink" Target="../../../../Project.Instrument/FO%20Cable/OF%20Cable%20Options/Concept%20Cables/CC%20Quote%20Letter%20-%20price%20break%20metres%20-%202024-04-10-10-51%20-%2017719.pdf" TargetMode="External"/><Relationship Id="rId10" Type="http://schemas.openxmlformats.org/officeDocument/2006/relationships/hyperlink" Target="../../../../Project.Instrument/FO%20Cable/OF%20Cable%20Options/Concept%20Cables/MBA002071.1.pdf" TargetMode="External"/><Relationship Id="rId11" Type="http://schemas.openxmlformats.org/officeDocument/2006/relationships/drawing" Target="../drawings/drawing1.xml"/><Relationship Id="rId1" Type="http://schemas.openxmlformats.org/officeDocument/2006/relationships/hyperlink" Target="../../../../Project.Instrument/FO%20Cable/OF%20Cable%20Options/Hydrogroup/CLS8009-Model.pdf" TargetMode="External"/><Relationship Id="rId2" Type="http://schemas.openxmlformats.org/officeDocument/2006/relationships/hyperlink" Target="../../../../Project.Instrument/FO%20Cable/OF%20Cable%20Options/Hydrogroup/Q0052580%20Rev%2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topLeftCell="A2" zoomScale="140" zoomScaleNormal="140" zoomScalePageLayoutView="140" workbookViewId="0">
      <pane xSplit="1" topLeftCell="B1" activePane="topRight" state="frozen"/>
      <selection pane="topRight" activeCell="E19" sqref="E19"/>
    </sheetView>
  </sheetViews>
  <sheetFormatPr baseColWidth="10" defaultColWidth="8.83203125" defaultRowHeight="14" x14ac:dyDescent="0"/>
  <cols>
    <col min="1" max="1" width="34.5" style="45" customWidth="1"/>
    <col min="2" max="2" width="26.6640625" style="1" customWidth="1"/>
    <col min="3" max="3" width="16" style="1" customWidth="1"/>
    <col min="4" max="4" width="22.6640625" style="1" customWidth="1"/>
    <col min="5" max="5" width="18.83203125" customWidth="1"/>
    <col min="6" max="6" width="33.33203125" customWidth="1"/>
    <col min="7" max="7" width="24.5" customWidth="1"/>
    <col min="8" max="8" width="10.5" customWidth="1"/>
    <col min="9" max="9" width="11.1640625" customWidth="1"/>
    <col min="10" max="10" width="7.33203125" style="2" customWidth="1"/>
    <col min="11" max="11" width="8.33203125" style="4" customWidth="1"/>
    <col min="12" max="12" width="9.1640625" style="36" customWidth="1"/>
    <col min="13" max="13" width="12.1640625" style="2" customWidth="1"/>
    <col min="14" max="14" width="14.33203125" style="3" customWidth="1"/>
    <col min="15" max="15" width="13.5" style="5" customWidth="1"/>
    <col min="16" max="16" width="9.83203125" style="5" customWidth="1"/>
    <col min="17" max="17" width="9.33203125" style="4" customWidth="1"/>
    <col min="18" max="18" width="12.83203125" style="2" customWidth="1"/>
    <col min="19" max="19" width="10.6640625" style="2" customWidth="1"/>
    <col min="20" max="20" width="13.83203125" style="2" customWidth="1"/>
    <col min="21" max="21" width="15.33203125" style="2" customWidth="1"/>
    <col min="22" max="22" width="14" customWidth="1"/>
    <col min="23" max="23" width="11.33203125" style="4" customWidth="1"/>
    <col min="24" max="24" width="16.6640625" style="4" customWidth="1"/>
    <col min="25" max="25" width="19" customWidth="1"/>
  </cols>
  <sheetData>
    <row r="1" spans="1:24" s="32" customFormat="1" ht="58.5" customHeight="1">
      <c r="A1" s="27" t="s">
        <v>0</v>
      </c>
      <c r="B1" s="27" t="s">
        <v>7</v>
      </c>
      <c r="C1" s="27" t="s">
        <v>1</v>
      </c>
      <c r="D1" s="27" t="s">
        <v>6</v>
      </c>
      <c r="E1" s="27" t="s">
        <v>10</v>
      </c>
      <c r="F1" s="27" t="s">
        <v>11</v>
      </c>
      <c r="G1" s="27" t="s">
        <v>25</v>
      </c>
      <c r="H1" s="27" t="s">
        <v>61</v>
      </c>
      <c r="I1" s="27" t="s">
        <v>62</v>
      </c>
      <c r="J1" s="28" t="s">
        <v>70</v>
      </c>
      <c r="K1" s="29" t="s">
        <v>69</v>
      </c>
      <c r="L1" s="33" t="s">
        <v>71</v>
      </c>
      <c r="M1" s="28" t="s">
        <v>72</v>
      </c>
      <c r="N1" s="30" t="s">
        <v>68</v>
      </c>
      <c r="O1" s="31" t="s">
        <v>63</v>
      </c>
      <c r="P1" s="31" t="s">
        <v>47</v>
      </c>
      <c r="Q1" s="29" t="s">
        <v>65</v>
      </c>
      <c r="R1" s="28" t="s">
        <v>64</v>
      </c>
      <c r="S1" s="28" t="s">
        <v>66</v>
      </c>
      <c r="T1" s="28" t="s">
        <v>42</v>
      </c>
      <c r="U1" s="28" t="s">
        <v>67</v>
      </c>
      <c r="V1" s="27" t="s">
        <v>26</v>
      </c>
      <c r="W1" s="29" t="s">
        <v>27</v>
      </c>
      <c r="X1" s="29" t="s">
        <v>28</v>
      </c>
    </row>
    <row r="2" spans="1:24">
      <c r="A2" s="53" t="s">
        <v>2</v>
      </c>
      <c r="B2" s="6" t="s">
        <v>8</v>
      </c>
      <c r="C2" s="7">
        <v>45352</v>
      </c>
      <c r="D2" s="6" t="s">
        <v>4</v>
      </c>
      <c r="E2" s="37" t="s">
        <v>12</v>
      </c>
      <c r="F2" s="8"/>
      <c r="G2" s="8"/>
      <c r="H2" s="8"/>
      <c r="I2" s="8"/>
      <c r="J2" s="9"/>
      <c r="K2" s="10"/>
      <c r="L2" s="34"/>
      <c r="M2" s="9"/>
      <c r="N2" s="11"/>
      <c r="O2" s="12"/>
      <c r="P2" s="12"/>
      <c r="Q2" s="10"/>
      <c r="R2" s="9"/>
      <c r="S2" s="9"/>
      <c r="T2" s="9"/>
      <c r="U2" s="9"/>
      <c r="V2" s="8"/>
      <c r="W2" s="10"/>
      <c r="X2" s="10"/>
    </row>
    <row r="3" spans="1:24">
      <c r="A3" s="53" t="s">
        <v>3</v>
      </c>
      <c r="B3" s="6" t="s">
        <v>9</v>
      </c>
      <c r="C3" s="13">
        <v>45386</v>
      </c>
      <c r="D3" s="6" t="s">
        <v>5</v>
      </c>
      <c r="E3" s="38" t="s">
        <v>49</v>
      </c>
      <c r="F3" s="6" t="s">
        <v>13</v>
      </c>
      <c r="G3" s="8"/>
      <c r="H3" s="39" t="s">
        <v>50</v>
      </c>
      <c r="I3" s="39" t="s">
        <v>51</v>
      </c>
      <c r="J3" s="17">
        <f>K3/25.4</f>
        <v>0.59055118110236227</v>
      </c>
      <c r="K3" s="23">
        <v>15</v>
      </c>
      <c r="L3" s="35">
        <v>2</v>
      </c>
      <c r="M3" s="17">
        <f>300/25.4</f>
        <v>11.811023622047244</v>
      </c>
      <c r="N3" s="24">
        <v>0.43</v>
      </c>
      <c r="O3" s="14">
        <f t="shared" ref="O3:O8" si="0">(K3/1000/2)^2*PI()</f>
        <v>1.7671458676442585E-4</v>
      </c>
      <c r="P3" s="15"/>
      <c r="Q3" s="16"/>
      <c r="R3" s="17">
        <f t="shared" ref="R3:R8" si="1">N3/O3/1000</f>
        <v>2.4333022410494221</v>
      </c>
      <c r="S3" s="17">
        <v>1.028</v>
      </c>
      <c r="T3" s="17">
        <f>R3/S3</f>
        <v>2.3670255263126672</v>
      </c>
      <c r="U3" s="17">
        <f>N3-S3*1000*O3</f>
        <v>0.24833740480617023</v>
      </c>
      <c r="V3" s="8" t="s">
        <v>34</v>
      </c>
      <c r="W3" s="40">
        <v>10</v>
      </c>
      <c r="X3" s="23">
        <v>50</v>
      </c>
    </row>
    <row r="4" spans="1:24">
      <c r="A4" s="53" t="s">
        <v>14</v>
      </c>
      <c r="B4" s="6" t="s">
        <v>15</v>
      </c>
      <c r="C4" s="18">
        <v>45380</v>
      </c>
      <c r="D4" s="6" t="s">
        <v>5</v>
      </c>
      <c r="E4" s="37" t="s">
        <v>16</v>
      </c>
      <c r="F4" s="6" t="s">
        <v>17</v>
      </c>
      <c r="G4" s="8"/>
      <c r="H4" s="41" t="s">
        <v>52</v>
      </c>
      <c r="I4" s="37" t="s">
        <v>57</v>
      </c>
      <c r="J4" s="19">
        <v>0.67</v>
      </c>
      <c r="K4" s="26">
        <f>J4*25.4</f>
        <v>17.018000000000001</v>
      </c>
      <c r="L4" s="43" t="s">
        <v>57</v>
      </c>
      <c r="M4" s="21">
        <v>10</v>
      </c>
      <c r="N4" s="20">
        <f>324*0.453/304.8</f>
        <v>0.4815354330708661</v>
      </c>
      <c r="O4" s="14">
        <f t="shared" si="0"/>
        <v>2.2746098736686678E-4</v>
      </c>
      <c r="P4" s="15"/>
      <c r="Q4" s="16"/>
      <c r="R4" s="17">
        <f t="shared" si="1"/>
        <v>2.1170022984829848</v>
      </c>
      <c r="S4" s="17">
        <v>1.028</v>
      </c>
      <c r="T4" s="17">
        <f t="shared" ref="T4:T8" si="2">R4/S4</f>
        <v>2.059340757279168</v>
      </c>
      <c r="U4" s="17">
        <f t="shared" ref="U4:U8" si="3">N4-S4*1000*O4</f>
        <v>0.24770553805772705</v>
      </c>
      <c r="V4" s="8"/>
      <c r="W4" s="22">
        <f>2800*4.44822/1000</f>
        <v>12.455015999999999</v>
      </c>
      <c r="X4" s="22">
        <f>11250*4.44822/1000</f>
        <v>50.042474999999996</v>
      </c>
    </row>
    <row r="5" spans="1:24">
      <c r="A5" s="53" t="s">
        <v>18</v>
      </c>
      <c r="B5" s="8" t="s">
        <v>19</v>
      </c>
      <c r="C5" s="18">
        <v>45394</v>
      </c>
      <c r="D5" s="6" t="s">
        <v>5</v>
      </c>
      <c r="E5" s="37" t="s">
        <v>36</v>
      </c>
      <c r="F5" s="6" t="s">
        <v>35</v>
      </c>
      <c r="G5" s="8"/>
      <c r="H5" s="42" t="s">
        <v>54</v>
      </c>
      <c r="I5" s="42" t="s">
        <v>53</v>
      </c>
      <c r="J5" s="21">
        <v>0.5</v>
      </c>
      <c r="K5" s="23">
        <v>12.7</v>
      </c>
      <c r="L5" s="35">
        <f>0.063*25.4</f>
        <v>1.6001999999999998</v>
      </c>
      <c r="M5" s="21">
        <v>8</v>
      </c>
      <c r="N5" s="20">
        <f>253*0.453/304.8</f>
        <v>0.37601377952755904</v>
      </c>
      <c r="O5" s="14">
        <f t="shared" si="0"/>
        <v>1.2667686977437442E-4</v>
      </c>
      <c r="P5" s="23">
        <v>3</v>
      </c>
      <c r="Q5" s="23">
        <v>3</v>
      </c>
      <c r="R5" s="17">
        <f t="shared" si="1"/>
        <v>2.9682907400323466</v>
      </c>
      <c r="S5" s="17">
        <v>1.028</v>
      </c>
      <c r="T5" s="17">
        <f t="shared" si="2"/>
        <v>2.8874423541170686</v>
      </c>
      <c r="U5" s="17">
        <f t="shared" si="3"/>
        <v>0.24578995739950213</v>
      </c>
      <c r="V5" s="8" t="s">
        <v>46</v>
      </c>
      <c r="W5" s="23">
        <v>12.5</v>
      </c>
      <c r="X5" s="23">
        <v>50</v>
      </c>
    </row>
    <row r="6" spans="1:24">
      <c r="A6" s="53" t="s">
        <v>21</v>
      </c>
      <c r="B6" s="6" t="s">
        <v>20</v>
      </c>
      <c r="C6" s="18">
        <v>45396</v>
      </c>
      <c r="D6" s="6" t="s">
        <v>24</v>
      </c>
      <c r="E6" s="37" t="s">
        <v>38</v>
      </c>
      <c r="F6" s="6" t="s">
        <v>39</v>
      </c>
      <c r="G6" s="8"/>
      <c r="H6" s="39" t="s">
        <v>55</v>
      </c>
      <c r="I6" s="39" t="s">
        <v>56</v>
      </c>
      <c r="J6" s="17">
        <f>K6/25.4</f>
        <v>0.53149606299212604</v>
      </c>
      <c r="K6" s="23">
        <v>13.5</v>
      </c>
      <c r="L6" s="35">
        <v>1.3</v>
      </c>
      <c r="M6" s="17">
        <v>12</v>
      </c>
      <c r="N6" s="24">
        <v>0.41499999999999998</v>
      </c>
      <c r="O6" s="14">
        <f t="shared" si="0"/>
        <v>1.4313881527918494E-4</v>
      </c>
      <c r="P6" s="15"/>
      <c r="Q6" s="16"/>
      <c r="R6" s="17">
        <f t="shared" si="1"/>
        <v>2.8992834626342527</v>
      </c>
      <c r="S6" s="17">
        <v>1.028</v>
      </c>
      <c r="T6" s="17">
        <f t="shared" si="2"/>
        <v>2.8203146523679501</v>
      </c>
      <c r="U6" s="17">
        <f t="shared" si="3"/>
        <v>0.26785329789299783</v>
      </c>
      <c r="V6" s="8" t="s">
        <v>32</v>
      </c>
      <c r="W6" s="23">
        <v>20</v>
      </c>
      <c r="X6" s="23">
        <v>60</v>
      </c>
    </row>
    <row r="7" spans="1:24">
      <c r="A7" s="53" t="s">
        <v>22</v>
      </c>
      <c r="B7" s="6" t="s">
        <v>23</v>
      </c>
      <c r="C7" s="6"/>
      <c r="D7" s="6" t="s">
        <v>24</v>
      </c>
      <c r="E7" s="37"/>
      <c r="F7" s="8"/>
      <c r="G7" s="8"/>
      <c r="H7" s="41" t="s">
        <v>58</v>
      </c>
      <c r="I7" s="37" t="s">
        <v>57</v>
      </c>
      <c r="J7" s="21">
        <v>0.59</v>
      </c>
      <c r="K7" s="23">
        <v>14.99</v>
      </c>
      <c r="L7" s="43" t="s">
        <v>57</v>
      </c>
      <c r="M7" s="21">
        <v>12</v>
      </c>
      <c r="N7" s="24">
        <v>0.55100000000000005</v>
      </c>
      <c r="O7" s="14">
        <f t="shared" si="0"/>
        <v>1.7647904585522297E-4</v>
      </c>
      <c r="P7" s="23">
        <v>3</v>
      </c>
      <c r="Q7" s="10"/>
      <c r="R7" s="17">
        <f t="shared" si="1"/>
        <v>3.122183697955963</v>
      </c>
      <c r="S7" s="17">
        <v>1.028</v>
      </c>
      <c r="T7" s="17">
        <f t="shared" si="2"/>
        <v>3.0371436750544385</v>
      </c>
      <c r="U7" s="17">
        <f t="shared" si="3"/>
        <v>0.36957954086083084</v>
      </c>
      <c r="V7" s="8" t="s">
        <v>31</v>
      </c>
      <c r="W7" s="23">
        <v>21.1</v>
      </c>
      <c r="X7" s="25">
        <v>67</v>
      </c>
    </row>
    <row r="8" spans="1:24">
      <c r="A8" s="53" t="s">
        <v>29</v>
      </c>
      <c r="B8" s="6" t="s">
        <v>37</v>
      </c>
      <c r="C8" s="18">
        <v>45392</v>
      </c>
      <c r="D8" s="6" t="s">
        <v>33</v>
      </c>
      <c r="E8" s="37" t="s">
        <v>41</v>
      </c>
      <c r="F8" s="6" t="s">
        <v>40</v>
      </c>
      <c r="G8" s="8" t="s">
        <v>48</v>
      </c>
      <c r="H8" s="42" t="s">
        <v>60</v>
      </c>
      <c r="I8" s="42" t="s">
        <v>59</v>
      </c>
      <c r="J8" s="17">
        <f>K8/25.4</f>
        <v>0.57086614173228345</v>
      </c>
      <c r="K8" s="23">
        <v>14.5</v>
      </c>
      <c r="L8" s="35">
        <v>1.5</v>
      </c>
      <c r="M8" s="17">
        <f>260/25.4</f>
        <v>10.236220472440946</v>
      </c>
      <c r="N8" s="24">
        <v>0.5</v>
      </c>
      <c r="O8" s="14">
        <f t="shared" si="0"/>
        <v>1.6512996385431353E-4</v>
      </c>
      <c r="P8" s="15"/>
      <c r="Q8" s="16"/>
      <c r="R8" s="17">
        <f t="shared" si="1"/>
        <v>3.0279180612013379</v>
      </c>
      <c r="S8" s="17">
        <v>1.028</v>
      </c>
      <c r="T8" s="17">
        <f t="shared" si="2"/>
        <v>2.9454455848262042</v>
      </c>
      <c r="U8" s="17">
        <f t="shared" si="3"/>
        <v>0.33024639715776571</v>
      </c>
      <c r="V8" s="8" t="s">
        <v>30</v>
      </c>
      <c r="W8" s="22">
        <f>2700*9.80665/1000</f>
        <v>26.477954999999998</v>
      </c>
      <c r="X8" s="22">
        <f>8200*9.80665/1000</f>
        <v>80.414529999999999</v>
      </c>
    </row>
    <row r="10" spans="1:24">
      <c r="A10" s="54" t="s">
        <v>43</v>
      </c>
    </row>
    <row r="11" spans="1:24" s="46" customFormat="1">
      <c r="A11" s="44" t="s">
        <v>44</v>
      </c>
      <c r="B11" s="45"/>
      <c r="C11" s="45"/>
      <c r="D11" s="45"/>
      <c r="J11" s="47"/>
      <c r="K11" s="48"/>
      <c r="L11" s="49"/>
      <c r="M11" s="47"/>
      <c r="N11" s="50"/>
      <c r="O11" s="51"/>
      <c r="P11" s="51"/>
      <c r="Q11" s="48"/>
      <c r="R11" s="47"/>
      <c r="S11" s="47"/>
      <c r="T11" s="47"/>
      <c r="U11" s="47"/>
      <c r="W11" s="48"/>
      <c r="X11" s="48"/>
    </row>
    <row r="12" spans="1:24" s="46" customFormat="1">
      <c r="A12" s="52" t="s">
        <v>45</v>
      </c>
      <c r="B12" s="45"/>
      <c r="C12" s="45"/>
      <c r="D12" s="45"/>
      <c r="J12" s="47"/>
      <c r="K12" s="48"/>
      <c r="L12" s="49"/>
      <c r="M12" s="47"/>
      <c r="N12" s="50"/>
      <c r="O12" s="51"/>
      <c r="P12" s="51"/>
      <c r="Q12" s="48"/>
      <c r="R12" s="47"/>
      <c r="S12" s="47"/>
      <c r="T12" s="47"/>
      <c r="U12" s="47"/>
      <c r="W12" s="48"/>
      <c r="X12" s="48"/>
    </row>
    <row r="13" spans="1:24" s="46" customFormat="1">
      <c r="A13" s="45" t="s">
        <v>80</v>
      </c>
      <c r="B13" s="45"/>
      <c r="C13" s="45"/>
      <c r="D13" s="45"/>
      <c r="J13" s="47"/>
      <c r="K13" s="48"/>
      <c r="L13" s="49"/>
      <c r="M13" s="47"/>
      <c r="N13" s="50"/>
      <c r="O13" s="51"/>
      <c r="P13" s="51"/>
      <c r="Q13" s="48"/>
      <c r="R13" s="47"/>
      <c r="S13" s="47"/>
      <c r="T13" s="47"/>
      <c r="U13" s="47"/>
      <c r="W13" s="48"/>
      <c r="X13" s="48"/>
    </row>
    <row r="14" spans="1:24" s="46" customFormat="1">
      <c r="A14" s="45" t="s">
        <v>81</v>
      </c>
      <c r="B14" s="45"/>
      <c r="C14" s="45"/>
      <c r="D14" s="45"/>
      <c r="J14" s="47"/>
      <c r="K14" s="48"/>
      <c r="L14" s="49"/>
      <c r="M14" s="47"/>
      <c r="N14" s="50"/>
      <c r="O14" s="51"/>
      <c r="P14" s="51"/>
      <c r="Q14" s="48"/>
      <c r="R14" s="47"/>
      <c r="S14" s="47"/>
      <c r="T14" s="47"/>
      <c r="U14" s="47"/>
      <c r="W14" s="48"/>
      <c r="X14" s="48"/>
    </row>
    <row r="15" spans="1:24" s="46" customFormat="1" ht="42">
      <c r="A15" s="45" t="s">
        <v>76</v>
      </c>
      <c r="B15" s="45"/>
      <c r="C15" s="45"/>
      <c r="D15" s="45"/>
      <c r="J15" s="47"/>
      <c r="K15" s="48"/>
      <c r="L15" s="49"/>
      <c r="M15" s="47"/>
      <c r="N15" s="50"/>
      <c r="O15" s="51"/>
      <c r="P15" s="51"/>
      <c r="Q15" s="48"/>
      <c r="R15" s="47"/>
      <c r="S15" s="47"/>
      <c r="T15" s="47"/>
      <c r="U15" s="47"/>
      <c r="W15" s="48"/>
      <c r="X15" s="48"/>
    </row>
    <row r="16" spans="1:24" ht="28">
      <c r="A16" s="45" t="s">
        <v>75</v>
      </c>
    </row>
    <row r="17" spans="1:24" s="46" customFormat="1" ht="28">
      <c r="A17" s="45" t="s">
        <v>74</v>
      </c>
      <c r="B17" s="45"/>
      <c r="C17" s="45"/>
      <c r="D17" s="45"/>
      <c r="J17" s="47"/>
      <c r="K17" s="48"/>
      <c r="L17" s="49"/>
      <c r="M17" s="47"/>
      <c r="N17" s="50"/>
      <c r="O17" s="51"/>
      <c r="P17" s="51"/>
      <c r="Q17" s="48"/>
      <c r="R17" s="47"/>
      <c r="S17" s="47"/>
      <c r="T17" s="47"/>
      <c r="U17" s="47"/>
      <c r="W17" s="48"/>
      <c r="X17" s="48"/>
    </row>
    <row r="18" spans="1:24" ht="28">
      <c r="A18" s="45" t="s">
        <v>73</v>
      </c>
    </row>
    <row r="19" spans="1:24" ht="56">
      <c r="A19" s="45" t="s">
        <v>77</v>
      </c>
    </row>
    <row r="20" spans="1:24" s="46" customFormat="1" ht="28">
      <c r="A20" s="45" t="s">
        <v>78</v>
      </c>
      <c r="B20" s="45"/>
      <c r="C20" s="45"/>
      <c r="D20" s="45"/>
      <c r="J20" s="47"/>
      <c r="K20" s="48"/>
      <c r="L20" s="49"/>
      <c r="M20" s="47"/>
      <c r="N20" s="50"/>
      <c r="O20" s="51"/>
      <c r="P20" s="51"/>
      <c r="Q20" s="48"/>
      <c r="R20" s="47"/>
      <c r="S20" s="47"/>
      <c r="T20" s="47"/>
      <c r="U20" s="47"/>
      <c r="W20" s="48"/>
      <c r="X20" s="48"/>
    </row>
    <row r="21" spans="1:24" ht="28">
      <c r="A21" s="45" t="s">
        <v>79</v>
      </c>
    </row>
  </sheetData>
  <hyperlinks>
    <hyperlink ref="H3" r:id="rId1"/>
    <hyperlink ref="I3" r:id="rId2"/>
    <hyperlink ref="H4" r:id="rId3"/>
    <hyperlink ref="I5" r:id="rId4"/>
    <hyperlink ref="H5" r:id="rId5"/>
    <hyperlink ref="H6" r:id="rId6"/>
    <hyperlink ref="I6" r:id="rId7"/>
    <hyperlink ref="H7" r:id="rId8"/>
    <hyperlink ref="I8" r:id="rId9"/>
    <hyperlink ref="H8" r:id="rId10"/>
  </hyperlinks>
  <pageMargins left="0.7" right="0.7" top="0.75" bottom="0.75" header="0.3" footer="0.3"/>
  <pageSetup orientation="portrait"/>
  <drawing r:id="rId1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2024-04-29T22:57:32Z</dcterms:modified>
</cp:coreProperties>
</file>