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ate1904="1" showInkAnnotation="0" autoCompressPictures="0"/>
  <bookViews>
    <workbookView xWindow="1824" yWindow="780" windowWidth="28704" windowHeight="17316"/>
  </bookViews>
  <sheets>
    <sheet name="System" sheetId="2" r:id="rId1"/>
  </sheets>
  <definedNames>
    <definedName name="BattEnergy">#REF!</definedName>
    <definedName name="BattVolts">#REF!</definedName>
    <definedName name="BECurrent">#REF!</definedName>
    <definedName name="BEPowerOn">#REF!</definedName>
    <definedName name="BETime">#REF!</definedName>
    <definedName name="BETimeOn">#REF!</definedName>
    <definedName name="DCDCurrent">#REF!</definedName>
    <definedName name="DCDPowerOn">#REF!</definedName>
    <definedName name="DCDTimeOn">#REF!</definedName>
    <definedName name="Depth">#REF!</definedName>
    <definedName name="DISTANCE">System!#REF!</definedName>
    <definedName name="DMCurrent">#REF!</definedName>
    <definedName name="ProfPerDay">#REF!</definedName>
    <definedName name="SleepTime">#REF!</definedName>
    <definedName name="SPEED">System!#REF!</definedName>
    <definedName name="TimePerMove">System!#REF!</definedName>
    <definedName name="TimePerProf">#REF!</definedName>
    <definedName name="TIMEWAITING">System!#REF!</definedName>
    <definedName name="TT8Current">#REF!</definedName>
    <definedName name="TT8PowerOn">#REF!</definedName>
    <definedName name="TT8TimeOn">#REF!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71" i="2" l="1"/>
  <c r="H62" i="2"/>
  <c r="H67" i="2"/>
  <c r="H69" i="2"/>
  <c r="J63" i="2"/>
  <c r="J64" i="2"/>
  <c r="J65" i="2"/>
  <c r="J66" i="2"/>
  <c r="J67" i="2"/>
  <c r="J62" i="2"/>
  <c r="H64" i="2"/>
  <c r="H63" i="2"/>
  <c r="J69" i="2" l="1"/>
  <c r="B9" i="2"/>
  <c r="D9" i="2"/>
  <c r="E53" i="2"/>
  <c r="G53" i="2"/>
  <c r="G58" i="2"/>
  <c r="N26" i="2"/>
  <c r="O26" i="2"/>
  <c r="O44" i="2"/>
  <c r="O45" i="2"/>
  <c r="E54" i="2"/>
  <c r="G54" i="2"/>
  <c r="J40" i="2"/>
  <c r="L40" i="2"/>
  <c r="K40" i="2"/>
  <c r="M40" i="2"/>
  <c r="N40" i="2"/>
  <c r="O40" i="2"/>
  <c r="J34" i="2"/>
  <c r="L34" i="2"/>
  <c r="K34" i="2"/>
  <c r="B15" i="2"/>
  <c r="B17" i="2"/>
  <c r="B18" i="2"/>
  <c r="B16" i="2"/>
  <c r="F34" i="2"/>
  <c r="M34" i="2"/>
  <c r="N34" i="2"/>
  <c r="O34" i="2"/>
  <c r="K28" i="2"/>
  <c r="B19" i="2"/>
  <c r="E28" i="2"/>
  <c r="F28" i="2"/>
  <c r="M28" i="2"/>
  <c r="J28" i="2"/>
  <c r="L28" i="2"/>
  <c r="N28" i="2"/>
  <c r="O28" i="2"/>
  <c r="K29" i="2"/>
  <c r="E29" i="2"/>
  <c r="F29" i="2"/>
  <c r="M29" i="2"/>
  <c r="J29" i="2"/>
  <c r="L29" i="2"/>
  <c r="N29" i="2"/>
  <c r="O29" i="2"/>
  <c r="K30" i="2"/>
  <c r="E30" i="2"/>
  <c r="F30" i="2"/>
  <c r="M30" i="2"/>
  <c r="J30" i="2"/>
  <c r="L30" i="2"/>
  <c r="N30" i="2"/>
  <c r="O30" i="2"/>
  <c r="K31" i="2"/>
  <c r="E31" i="2"/>
  <c r="F31" i="2"/>
  <c r="M31" i="2"/>
  <c r="J31" i="2"/>
  <c r="L31" i="2"/>
  <c r="N31" i="2"/>
  <c r="O31" i="2"/>
  <c r="K32" i="2"/>
  <c r="F32" i="2"/>
  <c r="M32" i="2"/>
  <c r="J32" i="2"/>
  <c r="L32" i="2"/>
  <c r="N32" i="2"/>
  <c r="O32" i="2"/>
  <c r="K33" i="2"/>
  <c r="M33" i="2"/>
  <c r="C33" i="2"/>
  <c r="J33" i="2"/>
  <c r="L33" i="2"/>
  <c r="N33" i="2"/>
  <c r="O33" i="2"/>
  <c r="C35" i="2"/>
  <c r="J35" i="2"/>
  <c r="L35" i="2"/>
  <c r="K35" i="2"/>
  <c r="M35" i="2"/>
  <c r="N35" i="2"/>
  <c r="O35" i="2"/>
  <c r="C36" i="2"/>
  <c r="J36" i="2"/>
  <c r="L36" i="2"/>
  <c r="K36" i="2"/>
  <c r="M36" i="2"/>
  <c r="N36" i="2"/>
  <c r="O36" i="2"/>
  <c r="C37" i="2"/>
  <c r="J37" i="2"/>
  <c r="L37" i="2"/>
  <c r="K37" i="2"/>
  <c r="M37" i="2"/>
  <c r="N37" i="2"/>
  <c r="O37" i="2"/>
  <c r="E50" i="2"/>
  <c r="G50" i="2"/>
  <c r="E51" i="2"/>
  <c r="G51" i="2"/>
  <c r="C52" i="2"/>
  <c r="E52" i="2"/>
  <c r="G52" i="2"/>
  <c r="C53" i="2"/>
  <c r="E55" i="2"/>
  <c r="G55" i="2"/>
  <c r="C56" i="2"/>
  <c r="E56" i="2"/>
  <c r="G56" i="2"/>
  <c r="E57" i="2"/>
  <c r="G57" i="2"/>
  <c r="J25" i="2"/>
  <c r="E25" i="2"/>
  <c r="L25" i="2"/>
  <c r="K25" i="2"/>
  <c r="F25" i="2"/>
  <c r="M25" i="2"/>
  <c r="N25" i="2"/>
  <c r="O25" i="2"/>
  <c r="J42" i="2"/>
  <c r="J41" i="2"/>
  <c r="J39" i="2"/>
  <c r="C38" i="2"/>
  <c r="J38" i="2"/>
  <c r="L38" i="2"/>
  <c r="K38" i="2"/>
  <c r="M38" i="2" s="1"/>
  <c r="M26" i="2"/>
  <c r="D19" i="2"/>
  <c r="N38" i="2" l="1"/>
  <c r="N44" i="2" s="1"/>
</calcChain>
</file>

<file path=xl/sharedStrings.xml><?xml version="1.0" encoding="utf-8"?>
<sst xmlns="http://schemas.openxmlformats.org/spreadsheetml/2006/main" count="104" uniqueCount="92">
  <si>
    <t>Notes</t>
  </si>
  <si>
    <t>volts</t>
  </si>
  <si>
    <t>W-h</t>
  </si>
  <si>
    <t>Battery Voltage</t>
  </si>
  <si>
    <t>Battery Capacity</t>
  </si>
  <si>
    <t>Load</t>
  </si>
  <si>
    <t>Voltage (V)</t>
  </si>
  <si>
    <t>Gene Massion</t>
  </si>
  <si>
    <t>Number of
Batt</t>
  </si>
  <si>
    <t>Nom. Batt
Cap (A-Hr)</t>
  </si>
  <si>
    <t>Derate</t>
  </si>
  <si>
    <t>G400</t>
  </si>
  <si>
    <t>Buoyancy Engine</t>
  </si>
  <si>
    <t>FL/BB</t>
  </si>
  <si>
    <t>Motorized Valve</t>
  </si>
  <si>
    <t>ADC</t>
  </si>
  <si>
    <t>GPS</t>
  </si>
  <si>
    <t>Radiometer</t>
  </si>
  <si>
    <t>Pressure, temp, humidity</t>
  </si>
  <si>
    <t>Conv Loss</t>
  </si>
  <si>
    <t>CTD depth</t>
  </si>
  <si>
    <t>CTD pressure, temp, salinity</t>
  </si>
  <si>
    <t>Descend time</t>
  </si>
  <si>
    <t>Park Time</t>
  </si>
  <si>
    <t>Ascend time</t>
  </si>
  <si>
    <t>Surface time</t>
  </si>
  <si>
    <t>seconds</t>
  </si>
  <si>
    <t>Profile depth</t>
  </si>
  <si>
    <t>meters</t>
  </si>
  <si>
    <t>Descend velocity</t>
  </si>
  <si>
    <t>Ascend velocity</t>
  </si>
  <si>
    <t>meters/sec</t>
  </si>
  <si>
    <t>Pressure sample period</t>
  </si>
  <si>
    <t>On time (sec)</t>
  </si>
  <si>
    <t>Power on (W)</t>
  </si>
  <si>
    <t>Power Off (W)</t>
  </si>
  <si>
    <t>Cur On (A)</t>
  </si>
  <si>
    <t>Cur Off (A)</t>
  </si>
  <si>
    <t>Power (W)</t>
  </si>
  <si>
    <t>Time (sec)</t>
  </si>
  <si>
    <t>Energy (W-sec)</t>
  </si>
  <si>
    <t>W-hr</t>
  </si>
  <si>
    <t>Start Surface Ops</t>
  </si>
  <si>
    <t>Start Descend</t>
  </si>
  <si>
    <t>Maintain descend rate</t>
  </si>
  <si>
    <t>Maintain 0.0 platform velocity</t>
  </si>
  <si>
    <t>Start Ascend</t>
  </si>
  <si>
    <t>Maintain Ascend</t>
  </si>
  <si>
    <t>Duty cycle</t>
  </si>
  <si>
    <t>Total</t>
  </si>
  <si>
    <t>hours</t>
  </si>
  <si>
    <t>Off time (sec)</t>
  </si>
  <si>
    <t>Current ON is just a guess at this point</t>
  </si>
  <si>
    <t>DC/DC Converter Eff</t>
  </si>
  <si>
    <t>Theoretical without DC/DC Converter losses</t>
  </si>
  <si>
    <t>pH</t>
  </si>
  <si>
    <t>ISUS</t>
  </si>
  <si>
    <t>CTD waiting</t>
  </si>
  <si>
    <t>Total Energy with
Conv losses (W-hr)</t>
  </si>
  <si>
    <t>Need actual numbers from Ed
This has a confusing relationship beween duty cycle and number of operations</t>
  </si>
  <si>
    <t>Energy On (W-hr)</t>
  </si>
  <si>
    <t>Energy Off (W-hr)</t>
  </si>
  <si>
    <t>Buoyancy engine at 80 meters</t>
  </si>
  <si>
    <t>See buoyancy engine calc below *2 guess for deeper depth</t>
  </si>
  <si>
    <t>Enter values in blue, other values are calculated</t>
  </si>
  <si>
    <t>Coastal Profiling Float  Power Budget</t>
  </si>
  <si>
    <t>Total Energy with
Conv losses (kJoules)</t>
  </si>
  <si>
    <t>kJoules</t>
  </si>
  <si>
    <t>Buoyancy Engine idle</t>
  </si>
  <si>
    <t>Iridium standby</t>
  </si>
  <si>
    <t>Iridium SBD</t>
  </si>
  <si>
    <t>Iridium data call average</t>
  </si>
  <si>
    <t>Iridium data call peak</t>
  </si>
  <si>
    <t>Samples
per profile</t>
  </si>
  <si>
    <t>Total profile time</t>
  </si>
  <si>
    <t>Deanchor</t>
  </si>
  <si>
    <t>Total energy/profile</t>
  </si>
  <si>
    <t>Number profiles/mission</t>
  </si>
  <si>
    <t>3.3 VDC Total Load</t>
  </si>
  <si>
    <t>Total load at 3.3 VDC (amps)</t>
  </si>
  <si>
    <t>Corrected PTH sensor voltage from 5VDC to 3.3VDC</t>
  </si>
  <si>
    <t>Added 3.3 total current estimate</t>
  </si>
  <si>
    <t>Native UART load control board</t>
  </si>
  <si>
    <t>I2C UART load control board</t>
  </si>
  <si>
    <t>Correct for 5V
 to 3.3V</t>
  </si>
  <si>
    <t>Qty</t>
  </si>
  <si>
    <t>Digital board</t>
  </si>
  <si>
    <t>estimate</t>
  </si>
  <si>
    <t>Voltage</t>
  </si>
  <si>
    <t>Current
(amps)</t>
  </si>
  <si>
    <t>Factor of Safety</t>
  </si>
  <si>
    <t>Design load at 3.3 VDC (amps)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</si>
</sst>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>
    <font>
      <sz val="9"/>
      <name val="Geneva"/>
    </font>
    <font>
      <sz val="8"/>
      <name val="Verdana"/>
      <family val="2"/>
    </font>
    <font>
      <u/>
      <sz val="9"/>
      <color theme="10"/>
      <name val="Geneva"/>
      <family val="2"/>
    </font>
    <font>
      <u/>
      <sz val="9"/>
      <color theme="11"/>
      <name val="Geneva"/>
      <family val="2"/>
    </font>
    <font>
      <sz val="9"/>
      <name val="Geneva"/>
      <family val="2"/>
    </font>
    <font>
      <sz val="9"/>
      <color rgb="FF0070C0"/>
      <name val="Geneva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38">
    <xf numFmtId="0" fontId="0" fillId="0" borderId="0" xfId="0"/>
    <xf numFmtId="0" fontId="4" fillId="0" borderId="0" xfId="0" applyFont="1"/>
    <xf numFmtId="2" fontId="4" fillId="0" borderId="0" xfId="0" applyNumberFormat="1" applyFont="1"/>
    <xf numFmtId="0" fontId="5" fillId="0" borderId="0" xfId="0" applyFont="1"/>
    <xf numFmtId="0" fontId="4" fillId="0" borderId="2" xfId="0" applyFont="1" applyBorder="1"/>
    <xf numFmtId="1" fontId="4" fillId="0" borderId="0" xfId="0" applyNumberFormat="1" applyFont="1"/>
    <xf numFmtId="2" fontId="4" fillId="0" borderId="2" xfId="0" applyNumberFormat="1" applyFont="1" applyBorder="1"/>
    <xf numFmtId="0" fontId="4" fillId="0" borderId="0" xfId="0" applyFont="1" applyBorder="1"/>
    <xf numFmtId="0" fontId="4" fillId="0" borderId="1" xfId="0" applyFont="1" applyBorder="1"/>
    <xf numFmtId="0" fontId="4" fillId="0" borderId="0" xfId="0" applyFont="1" applyFill="1" applyBorder="1"/>
    <xf numFmtId="164" fontId="4" fillId="0" borderId="0" xfId="0" applyNumberFormat="1" applyFont="1"/>
    <xf numFmtId="1" fontId="4" fillId="0" borderId="0" xfId="0" applyNumberFormat="1" applyFont="1" applyBorder="1"/>
    <xf numFmtId="164" fontId="4" fillId="0" borderId="0" xfId="0" applyNumberFormat="1" applyFont="1" applyBorder="1"/>
    <xf numFmtId="2" fontId="4" fillId="0" borderId="0" xfId="0" applyNumberFormat="1" applyFont="1" applyBorder="1"/>
    <xf numFmtId="0" fontId="4" fillId="0" borderId="0" xfId="0" applyFont="1" applyBorder="1" applyAlignment="1">
      <alignment wrapText="1"/>
    </xf>
    <xf numFmtId="0" fontId="4" fillId="0" borderId="6" xfId="0" applyFont="1" applyBorder="1"/>
    <xf numFmtId="0" fontId="4" fillId="0" borderId="1" xfId="0" applyFont="1" applyBorder="1" applyAlignment="1">
      <alignment wrapText="1"/>
    </xf>
    <xf numFmtId="0" fontId="4" fillId="0" borderId="8" xfId="0" applyFont="1" applyBorder="1"/>
    <xf numFmtId="15" fontId="4" fillId="0" borderId="0" xfId="0" applyNumberFormat="1" applyFont="1" applyBorder="1"/>
    <xf numFmtId="2" fontId="4" fillId="0" borderId="0" xfId="0" applyNumberFormat="1" applyFont="1" applyBorder="1" applyAlignment="1">
      <alignment wrapText="1"/>
    </xf>
    <xf numFmtId="0" fontId="5" fillId="0" borderId="0" xfId="0" applyFont="1" applyBorder="1"/>
    <xf numFmtId="2" fontId="5" fillId="0" borderId="0" xfId="0" applyNumberFormat="1" applyFont="1" applyBorder="1"/>
    <xf numFmtId="0" fontId="5" fillId="0" borderId="0" xfId="0" applyFont="1" applyFill="1" applyBorder="1"/>
    <xf numFmtId="1" fontId="5" fillId="0" borderId="0" xfId="0" applyNumberFormat="1" applyFont="1" applyBorder="1"/>
    <xf numFmtId="1" fontId="5" fillId="0" borderId="0" xfId="0" applyNumberFormat="1" applyFont="1"/>
    <xf numFmtId="2" fontId="4" fillId="0" borderId="4" xfId="0" applyNumberFormat="1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4" fillId="0" borderId="5" xfId="0" applyFont="1" applyBorder="1" applyAlignment="1">
      <alignment horizontal="centerContinuous"/>
    </xf>
    <xf numFmtId="10" fontId="5" fillId="0" borderId="0" xfId="0" applyNumberFormat="1" applyFont="1"/>
    <xf numFmtId="0" fontId="4" fillId="0" borderId="7" xfId="0" applyFont="1" applyFill="1" applyBorder="1"/>
    <xf numFmtId="0" fontId="4" fillId="0" borderId="9" xfId="0" applyFont="1" applyBorder="1"/>
    <xf numFmtId="0" fontId="4" fillId="0" borderId="10" xfId="0" applyFont="1" applyBorder="1" applyAlignment="1">
      <alignment wrapText="1"/>
    </xf>
    <xf numFmtId="0" fontId="4" fillId="0" borderId="10" xfId="0" applyFont="1" applyBorder="1"/>
    <xf numFmtId="2" fontId="4" fillId="0" borderId="10" xfId="0" applyNumberFormat="1" applyFont="1" applyBorder="1"/>
    <xf numFmtId="0" fontId="4" fillId="0" borderId="11" xfId="0" applyFont="1" applyBorder="1"/>
    <xf numFmtId="164" fontId="4" fillId="0" borderId="2" xfId="0" applyNumberFormat="1" applyFont="1" applyBorder="1"/>
    <xf numFmtId="2" fontId="4" fillId="0" borderId="0" xfId="0" applyNumberFormat="1" applyFont="1" applyAlignment="1">
      <alignment wrapText="1"/>
    </xf>
    <xf numFmtId="0" fontId="4" fillId="0" borderId="0" xfId="0" applyFont="1" applyAlignment="1">
      <alignment wrapText="1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S71"/>
  <sheetViews>
    <sheetView tabSelected="1" topLeftCell="A25" workbookViewId="0">
      <selection activeCell="E75" sqref="E75"/>
    </sheetView>
  </sheetViews>
  <sheetFormatPr defaultColWidth="11" defaultRowHeight="11.4"/>
  <cols>
    <col min="1" max="1" width="40.375" style="1" bestFit="1" customWidth="1"/>
    <col min="2" max="2" width="9.75" style="1" bestFit="1" customWidth="1"/>
    <col min="3" max="3" width="10.375" style="1" bestFit="1" customWidth="1"/>
    <col min="4" max="4" width="9.75" style="1" bestFit="1" customWidth="1"/>
    <col min="5" max="5" width="14" style="1" bestFit="1" customWidth="1"/>
    <col min="6" max="6" width="12.125" style="1" bestFit="1" customWidth="1"/>
    <col min="7" max="7" width="9.75" style="1" bestFit="1" customWidth="1"/>
    <col min="8" max="8" width="14.375" style="2" customWidth="1"/>
    <col min="9" max="9" width="6.375" style="2" bestFit="1" customWidth="1"/>
    <col min="10" max="10" width="12.25" style="2" bestFit="1" customWidth="1"/>
    <col min="11" max="11" width="12.75" style="1" bestFit="1" customWidth="1"/>
    <col min="12" max="13" width="15.625" style="1" bestFit="1" customWidth="1"/>
    <col min="14" max="15" width="21.25" style="5" customWidth="1"/>
    <col min="16" max="16" width="50.125" style="1" bestFit="1" customWidth="1"/>
    <col min="17" max="16384" width="11" style="1"/>
  </cols>
  <sheetData>
    <row r="1" spans="1:11">
      <c r="A1" s="7" t="s">
        <v>65</v>
      </c>
      <c r="B1" s="7"/>
      <c r="C1" s="7"/>
      <c r="D1" s="7"/>
      <c r="E1" s="7"/>
      <c r="F1" s="7"/>
      <c r="G1" s="7"/>
      <c r="H1" s="13"/>
      <c r="I1" s="13"/>
      <c r="J1" s="13"/>
      <c r="K1" s="7"/>
    </row>
    <row r="2" spans="1:11">
      <c r="A2" s="7" t="s">
        <v>7</v>
      </c>
      <c r="B2" s="18">
        <v>40428</v>
      </c>
      <c r="C2" s="7"/>
      <c r="D2" s="7"/>
      <c r="E2" s="7"/>
      <c r="F2" s="7"/>
      <c r="G2" s="7"/>
      <c r="H2" s="13"/>
      <c r="I2" s="13"/>
      <c r="J2" s="13"/>
      <c r="K2" s="7"/>
    </row>
    <row r="3" spans="1:11">
      <c r="A3" s="7" t="s">
        <v>7</v>
      </c>
      <c r="B3" s="18">
        <v>40981</v>
      </c>
      <c r="C3" s="7" t="s">
        <v>80</v>
      </c>
      <c r="D3" s="7"/>
      <c r="E3" s="7"/>
      <c r="F3" s="7"/>
      <c r="G3" s="7"/>
      <c r="H3" s="13"/>
      <c r="I3" s="13"/>
      <c r="J3" s="13"/>
      <c r="K3" s="7"/>
    </row>
    <row r="4" spans="1:11">
      <c r="A4" s="7"/>
      <c r="B4" s="7"/>
      <c r="C4" s="7" t="s">
        <v>81</v>
      </c>
      <c r="D4" s="7"/>
      <c r="E4" s="7"/>
      <c r="F4" s="7"/>
      <c r="G4" s="7"/>
      <c r="H4" s="13"/>
      <c r="I4" s="13"/>
      <c r="J4" s="13"/>
      <c r="K4" s="7"/>
    </row>
    <row r="5" spans="1:11">
      <c r="A5" s="7"/>
      <c r="B5" s="7"/>
      <c r="C5" s="7"/>
      <c r="D5" s="7"/>
      <c r="E5" s="7"/>
      <c r="F5" s="7"/>
      <c r="G5" s="7"/>
      <c r="H5" s="13"/>
      <c r="I5" s="13"/>
      <c r="J5" s="13"/>
      <c r="K5" s="7"/>
    </row>
    <row r="6" spans="1:11">
      <c r="A6" s="20" t="s">
        <v>64</v>
      </c>
      <c r="B6" s="7"/>
      <c r="C6" s="7"/>
      <c r="D6" s="7"/>
      <c r="E6" s="7"/>
      <c r="F6" s="7"/>
      <c r="G6" s="7"/>
      <c r="H6" s="13"/>
      <c r="I6" s="13"/>
      <c r="J6" s="13"/>
      <c r="K6" s="7"/>
    </row>
    <row r="7" spans="1:11">
      <c r="A7" s="7"/>
      <c r="B7" s="7"/>
      <c r="C7" s="7"/>
      <c r="D7" s="7"/>
      <c r="E7" s="7"/>
      <c r="F7" s="7"/>
      <c r="G7" s="7"/>
      <c r="H7" s="13"/>
      <c r="I7" s="13"/>
      <c r="J7" s="13"/>
      <c r="K7" s="7"/>
    </row>
    <row r="8" spans="1:11" ht="22.8">
      <c r="A8" s="7" t="s">
        <v>3</v>
      </c>
      <c r="B8" s="20">
        <v>3.6</v>
      </c>
      <c r="C8" s="7" t="s">
        <v>1</v>
      </c>
      <c r="D8" s="7"/>
      <c r="E8" s="14"/>
      <c r="F8" s="14"/>
      <c r="G8" s="14" t="s">
        <v>9</v>
      </c>
      <c r="H8" s="19" t="s">
        <v>8</v>
      </c>
      <c r="I8" s="13" t="s">
        <v>10</v>
      </c>
      <c r="J8" s="13"/>
      <c r="K8" s="7"/>
    </row>
    <row r="9" spans="1:11">
      <c r="A9" s="7" t="s">
        <v>4</v>
      </c>
      <c r="B9" s="11">
        <f>+B8*G9*H9*I9</f>
        <v>2019.6</v>
      </c>
      <c r="C9" s="7" t="s">
        <v>2</v>
      </c>
      <c r="D9" s="11">
        <f>+B9*3600/1000</f>
        <v>7270.56</v>
      </c>
      <c r="E9" s="7" t="s">
        <v>67</v>
      </c>
      <c r="F9" s="7"/>
      <c r="G9" s="20">
        <v>30</v>
      </c>
      <c r="H9" s="20">
        <v>22</v>
      </c>
      <c r="I9" s="21">
        <v>0.85</v>
      </c>
      <c r="J9" s="13"/>
      <c r="K9" s="7"/>
    </row>
    <row r="10" spans="1:11">
      <c r="A10" s="7"/>
      <c r="B10" s="7"/>
      <c r="C10" s="7"/>
      <c r="D10" s="7"/>
      <c r="E10" s="7"/>
      <c r="F10" s="7"/>
      <c r="G10" s="7"/>
      <c r="H10" s="7"/>
      <c r="I10" s="13"/>
      <c r="J10" s="13"/>
      <c r="K10" s="7"/>
    </row>
    <row r="11" spans="1:11">
      <c r="A11" s="7" t="s">
        <v>27</v>
      </c>
      <c r="B11" s="22">
        <v>200</v>
      </c>
      <c r="C11" s="7" t="s">
        <v>28</v>
      </c>
      <c r="D11" s="7"/>
      <c r="E11" s="7"/>
      <c r="F11" s="7"/>
      <c r="G11" s="7"/>
      <c r="H11" s="7"/>
      <c r="I11" s="13"/>
      <c r="J11" s="13"/>
      <c r="K11" s="7"/>
    </row>
    <row r="12" spans="1:11">
      <c r="A12" s="7" t="s">
        <v>29</v>
      </c>
      <c r="B12" s="22">
        <v>0.3</v>
      </c>
      <c r="C12" s="7" t="s">
        <v>31</v>
      </c>
      <c r="D12" s="7"/>
      <c r="E12" s="7"/>
      <c r="F12" s="7"/>
      <c r="G12" s="7"/>
      <c r="H12" s="7"/>
      <c r="I12" s="13"/>
      <c r="J12" s="13"/>
      <c r="K12" s="7"/>
    </row>
    <row r="13" spans="1:11">
      <c r="A13" s="7" t="s">
        <v>30</v>
      </c>
      <c r="B13" s="22">
        <v>0.1</v>
      </c>
      <c r="C13" s="7" t="s">
        <v>31</v>
      </c>
      <c r="D13" s="7"/>
      <c r="E13" s="7"/>
      <c r="F13" s="7"/>
      <c r="G13" s="7"/>
      <c r="H13" s="7"/>
      <c r="I13" s="13"/>
      <c r="J13" s="13"/>
      <c r="K13" s="7"/>
    </row>
    <row r="14" spans="1:11">
      <c r="A14" s="9" t="s">
        <v>32</v>
      </c>
      <c r="B14" s="20">
        <v>3</v>
      </c>
      <c r="C14" s="7" t="s">
        <v>26</v>
      </c>
      <c r="D14" s="7"/>
      <c r="E14" s="7"/>
      <c r="F14" s="7"/>
      <c r="G14" s="7"/>
      <c r="H14" s="13"/>
      <c r="I14" s="13"/>
      <c r="J14" s="13"/>
      <c r="K14" s="7"/>
    </row>
    <row r="15" spans="1:11">
      <c r="A15" s="7" t="s">
        <v>22</v>
      </c>
      <c r="B15" s="11">
        <f>+B11/B12</f>
        <v>666.66666666666674</v>
      </c>
      <c r="C15" s="7" t="s">
        <v>26</v>
      </c>
      <c r="D15" s="7"/>
      <c r="E15" s="7"/>
      <c r="F15" s="7"/>
      <c r="G15" s="7"/>
      <c r="H15" s="7"/>
      <c r="I15" s="13"/>
      <c r="J15" s="13"/>
      <c r="K15" s="7"/>
    </row>
    <row r="16" spans="1:11">
      <c r="A16" s="7" t="s">
        <v>23</v>
      </c>
      <c r="B16" s="7">
        <f>8*3600</f>
        <v>28800</v>
      </c>
      <c r="C16" s="7" t="s">
        <v>26</v>
      </c>
      <c r="D16" s="7"/>
      <c r="E16" s="7"/>
      <c r="F16" s="7"/>
      <c r="G16" s="7"/>
      <c r="H16" s="13"/>
      <c r="I16" s="13"/>
      <c r="J16" s="13"/>
      <c r="K16" s="7"/>
    </row>
    <row r="17" spans="1:19">
      <c r="A17" s="7" t="s">
        <v>24</v>
      </c>
      <c r="B17" s="7">
        <f>+B11/B13</f>
        <v>2000</v>
      </c>
      <c r="C17" s="7" t="s">
        <v>26</v>
      </c>
      <c r="D17" s="7"/>
      <c r="E17" s="7"/>
      <c r="F17" s="7"/>
      <c r="G17" s="7"/>
      <c r="H17" s="13" t="s">
        <v>19</v>
      </c>
      <c r="I17" s="13">
        <v>0.2</v>
      </c>
      <c r="J17" s="13"/>
      <c r="K17" s="7"/>
    </row>
    <row r="18" spans="1:19">
      <c r="A18" s="9" t="s">
        <v>25</v>
      </c>
      <c r="B18" s="7">
        <f>20*60</f>
        <v>1200</v>
      </c>
      <c r="C18" s="7" t="s">
        <v>26</v>
      </c>
      <c r="D18" s="7"/>
      <c r="E18" s="7"/>
      <c r="F18" s="7"/>
      <c r="G18" s="7"/>
      <c r="H18" s="13"/>
      <c r="I18" s="13"/>
      <c r="J18" s="13"/>
      <c r="K18" s="7"/>
    </row>
    <row r="19" spans="1:19">
      <c r="A19" s="9" t="s">
        <v>74</v>
      </c>
      <c r="B19" s="7">
        <f>SUM(B16:B18)</f>
        <v>32000</v>
      </c>
      <c r="C19" s="7" t="s">
        <v>26</v>
      </c>
      <c r="D19" s="12">
        <f>+B19/3600</f>
        <v>8.8888888888888893</v>
      </c>
      <c r="E19" s="7" t="s">
        <v>50</v>
      </c>
      <c r="F19" s="7"/>
      <c r="G19" s="7"/>
      <c r="H19" s="13"/>
      <c r="I19" s="13"/>
      <c r="J19" s="13"/>
      <c r="K19" s="7"/>
    </row>
    <row r="20" spans="1:19">
      <c r="A20" s="9"/>
      <c r="D20" s="10"/>
    </row>
    <row r="21" spans="1:19">
      <c r="A21" s="9" t="s">
        <v>53</v>
      </c>
      <c r="B21" s="28">
        <v>0.8</v>
      </c>
      <c r="D21" s="10"/>
    </row>
    <row r="22" spans="1:19">
      <c r="A22" s="9"/>
    </row>
    <row r="23" spans="1:19">
      <c r="A23" s="7"/>
      <c r="B23" s="7"/>
      <c r="C23" s="7"/>
      <c r="D23" s="7"/>
      <c r="E23" s="7"/>
      <c r="F23" s="7"/>
      <c r="G23" s="7"/>
      <c r="H23" s="13"/>
      <c r="I23" s="13"/>
      <c r="J23" s="25" t="s">
        <v>54</v>
      </c>
      <c r="K23" s="26"/>
      <c r="L23" s="26"/>
      <c r="M23" s="27"/>
      <c r="N23" s="11"/>
      <c r="O23" s="11"/>
      <c r="P23" s="7"/>
      <c r="Q23" s="7"/>
      <c r="R23" s="7"/>
      <c r="S23" s="7"/>
    </row>
    <row r="24" spans="1:19" s="7" customFormat="1" ht="22.8">
      <c r="A24" s="30" t="s">
        <v>5</v>
      </c>
      <c r="B24" s="31"/>
      <c r="C24" s="31" t="s">
        <v>73</v>
      </c>
      <c r="D24" s="32" t="s">
        <v>6</v>
      </c>
      <c r="E24" s="32" t="s">
        <v>33</v>
      </c>
      <c r="F24" s="32" t="s">
        <v>51</v>
      </c>
      <c r="G24" s="32" t="s">
        <v>36</v>
      </c>
      <c r="H24" s="32" t="s">
        <v>37</v>
      </c>
      <c r="I24" s="33"/>
      <c r="J24" s="33" t="s">
        <v>34</v>
      </c>
      <c r="K24" s="33" t="s">
        <v>35</v>
      </c>
      <c r="L24" s="32" t="s">
        <v>60</v>
      </c>
      <c r="M24" s="31" t="s">
        <v>61</v>
      </c>
      <c r="N24" s="31" t="s">
        <v>58</v>
      </c>
      <c r="O24" s="31" t="s">
        <v>66</v>
      </c>
      <c r="P24" s="34" t="s">
        <v>0</v>
      </c>
    </row>
    <row r="25" spans="1:19" s="7" customFormat="1">
      <c r="A25" s="15" t="s">
        <v>11</v>
      </c>
      <c r="C25" s="20"/>
      <c r="D25" s="20">
        <v>3.3</v>
      </c>
      <c r="E25" s="23">
        <f>+B19</f>
        <v>32000</v>
      </c>
      <c r="F25" s="23">
        <f>$B$19-E25</f>
        <v>0</v>
      </c>
      <c r="G25" s="20">
        <v>0.2</v>
      </c>
      <c r="H25" s="22">
        <v>1.4999999999999999E-2</v>
      </c>
      <c r="I25" s="13"/>
      <c r="J25" s="12">
        <f>+D25*G25</f>
        <v>0.66</v>
      </c>
      <c r="K25" s="12">
        <f>+D25*H25</f>
        <v>4.9499999999999995E-2</v>
      </c>
      <c r="L25" s="12">
        <f>+(J25*E25)/3600</f>
        <v>5.8666666666666663</v>
      </c>
      <c r="M25" s="12">
        <f>+(K25*F25)/3600</f>
        <v>0</v>
      </c>
      <c r="N25" s="13">
        <f>+(L25+M25)/$B$21</f>
        <v>7.3333333333333321</v>
      </c>
      <c r="O25" s="13">
        <f t="shared" ref="O25:O37" si="0">+N25*3600/1000</f>
        <v>26.399999999999995</v>
      </c>
      <c r="P25" s="8"/>
    </row>
    <row r="26" spans="1:19" s="7" customFormat="1">
      <c r="A26" s="15" t="s">
        <v>12</v>
      </c>
      <c r="C26" s="20"/>
      <c r="D26" s="20"/>
      <c r="E26" s="20"/>
      <c r="F26" s="23"/>
      <c r="G26" s="20"/>
      <c r="H26" s="20"/>
      <c r="I26" s="13"/>
      <c r="J26" s="12"/>
      <c r="K26" s="12"/>
      <c r="L26" s="12"/>
      <c r="M26" s="12">
        <f t="shared" ref="M26:M32" si="1">+(K26*F26)/3600</f>
        <v>0</v>
      </c>
      <c r="N26" s="13">
        <f>+G58*2</f>
        <v>29.257407407407406</v>
      </c>
      <c r="O26" s="13">
        <f t="shared" si="0"/>
        <v>105.32666666666665</v>
      </c>
      <c r="P26" s="8" t="s">
        <v>63</v>
      </c>
    </row>
    <row r="27" spans="1:19" s="7" customFormat="1">
      <c r="A27" s="15" t="s">
        <v>68</v>
      </c>
      <c r="C27" s="20"/>
      <c r="D27" s="20"/>
      <c r="E27" s="20"/>
      <c r="F27" s="23"/>
      <c r="G27" s="20"/>
      <c r="H27" s="20"/>
      <c r="I27" s="13"/>
      <c r="J27" s="12"/>
      <c r="K27" s="12"/>
      <c r="L27" s="12"/>
      <c r="M27" s="12"/>
      <c r="N27" s="13"/>
      <c r="O27" s="13"/>
      <c r="P27" s="8"/>
    </row>
    <row r="28" spans="1:19" s="7" customFormat="1">
      <c r="A28" s="15" t="s">
        <v>20</v>
      </c>
      <c r="B28" s="11"/>
      <c r="C28" s="20"/>
      <c r="D28" s="20">
        <v>12</v>
      </c>
      <c r="E28" s="20">
        <f>+B19-B17</f>
        <v>30000</v>
      </c>
      <c r="F28" s="23">
        <f>$B$19-E28</f>
        <v>2000</v>
      </c>
      <c r="G28" s="20">
        <v>5.0000000000000001E-3</v>
      </c>
      <c r="H28" s="20">
        <v>0</v>
      </c>
      <c r="I28" s="13"/>
      <c r="J28" s="12">
        <f t="shared" ref="J28:J42" si="2">+D28*G28</f>
        <v>0.06</v>
      </c>
      <c r="K28" s="12">
        <f t="shared" ref="K28:K40" si="3">+D28*H28</f>
        <v>0</v>
      </c>
      <c r="L28" s="12">
        <f t="shared" ref="L28:L32" si="4">+(J28*E28)/3600</f>
        <v>0.5</v>
      </c>
      <c r="M28" s="12">
        <f t="shared" si="1"/>
        <v>0</v>
      </c>
      <c r="N28" s="13">
        <f>+(L28+M28)/$B$21</f>
        <v>0.625</v>
      </c>
      <c r="O28" s="13">
        <f t="shared" si="0"/>
        <v>2.25</v>
      </c>
      <c r="P28" s="8"/>
    </row>
    <row r="29" spans="1:19" s="7" customFormat="1">
      <c r="A29" s="15" t="s">
        <v>21</v>
      </c>
      <c r="C29" s="20"/>
      <c r="D29" s="20">
        <v>12</v>
      </c>
      <c r="E29" s="20">
        <f>+B17</f>
        <v>2000</v>
      </c>
      <c r="F29" s="23">
        <f>$B$19-E29</f>
        <v>30000</v>
      </c>
      <c r="G29" s="20">
        <v>2.1999999999999999E-2</v>
      </c>
      <c r="H29" s="20">
        <v>0</v>
      </c>
      <c r="I29" s="13"/>
      <c r="J29" s="12">
        <f t="shared" si="2"/>
        <v>0.26400000000000001</v>
      </c>
      <c r="K29" s="12">
        <f t="shared" si="3"/>
        <v>0</v>
      </c>
      <c r="L29" s="12">
        <f t="shared" si="4"/>
        <v>0.14666666666666667</v>
      </c>
      <c r="M29" s="12">
        <f t="shared" si="1"/>
        <v>0</v>
      </c>
      <c r="N29" s="13">
        <f t="shared" ref="N29:N40" si="5">+(L29+M29)/$B$21</f>
        <v>0.18333333333333332</v>
      </c>
      <c r="O29" s="13">
        <f t="shared" si="0"/>
        <v>0.66</v>
      </c>
      <c r="P29" s="8"/>
    </row>
    <row r="30" spans="1:19" s="7" customFormat="1">
      <c r="A30" s="15" t="s">
        <v>57</v>
      </c>
      <c r="C30" s="20"/>
      <c r="D30" s="20">
        <v>12</v>
      </c>
      <c r="E30" s="20">
        <f>+B19-E28-E29</f>
        <v>0</v>
      </c>
      <c r="F30" s="23">
        <f>$B$19-E30</f>
        <v>32000</v>
      </c>
      <c r="G30" s="20">
        <v>3.3999999999999998E-3</v>
      </c>
      <c r="H30" s="20">
        <v>0</v>
      </c>
      <c r="I30" s="13"/>
      <c r="J30" s="12">
        <f t="shared" si="2"/>
        <v>4.0799999999999996E-2</v>
      </c>
      <c r="K30" s="12">
        <f t="shared" si="3"/>
        <v>0</v>
      </c>
      <c r="L30" s="12">
        <f t="shared" si="4"/>
        <v>0</v>
      </c>
      <c r="M30" s="12">
        <f t="shared" si="1"/>
        <v>0</v>
      </c>
      <c r="N30" s="13">
        <f t="shared" si="5"/>
        <v>0</v>
      </c>
      <c r="O30" s="13">
        <f t="shared" si="0"/>
        <v>0</v>
      </c>
      <c r="P30" s="8"/>
    </row>
    <row r="31" spans="1:19" s="7" customFormat="1">
      <c r="A31" s="15" t="s">
        <v>15</v>
      </c>
      <c r="C31" s="20"/>
      <c r="D31" s="20">
        <v>12</v>
      </c>
      <c r="E31" s="20">
        <f>+B19</f>
        <v>32000</v>
      </c>
      <c r="F31" s="23">
        <f>$B$19-E31</f>
        <v>0</v>
      </c>
      <c r="G31" s="20">
        <v>0.04</v>
      </c>
      <c r="H31" s="20">
        <v>0</v>
      </c>
      <c r="I31" s="13"/>
      <c r="J31" s="12">
        <f t="shared" si="2"/>
        <v>0.48</v>
      </c>
      <c r="K31" s="12">
        <f t="shared" si="3"/>
        <v>0</v>
      </c>
      <c r="L31" s="12">
        <f t="shared" si="4"/>
        <v>4.2666666666666666</v>
      </c>
      <c r="M31" s="12">
        <f t="shared" si="1"/>
        <v>0</v>
      </c>
      <c r="N31" s="13">
        <f t="shared" si="5"/>
        <v>5.333333333333333</v>
      </c>
      <c r="O31" s="13">
        <f t="shared" si="0"/>
        <v>19.2</v>
      </c>
      <c r="P31" s="8" t="s">
        <v>52</v>
      </c>
    </row>
    <row r="32" spans="1:19" s="7" customFormat="1">
      <c r="A32" s="15" t="s">
        <v>16</v>
      </c>
      <c r="C32" s="20"/>
      <c r="D32" s="20">
        <v>5</v>
      </c>
      <c r="E32" s="20">
        <v>300</v>
      </c>
      <c r="F32" s="23">
        <f>$B$19-E32</f>
        <v>31700</v>
      </c>
      <c r="G32" s="20">
        <v>0.05</v>
      </c>
      <c r="H32" s="20">
        <v>0</v>
      </c>
      <c r="I32" s="13"/>
      <c r="J32" s="12">
        <f t="shared" si="2"/>
        <v>0.25</v>
      </c>
      <c r="K32" s="12">
        <f t="shared" si="3"/>
        <v>0</v>
      </c>
      <c r="L32" s="12">
        <f t="shared" si="4"/>
        <v>2.0833333333333332E-2</v>
      </c>
      <c r="M32" s="12">
        <f t="shared" si="1"/>
        <v>0</v>
      </c>
      <c r="N32" s="13">
        <f t="shared" si="5"/>
        <v>2.6041666666666664E-2</v>
      </c>
      <c r="O32" s="13">
        <f t="shared" si="0"/>
        <v>9.3749999999999986E-2</v>
      </c>
      <c r="P32" s="8"/>
    </row>
    <row r="33" spans="1:16" s="7" customFormat="1">
      <c r="A33" s="15" t="s">
        <v>13</v>
      </c>
      <c r="C33" s="20">
        <f>+B11/2</f>
        <v>100</v>
      </c>
      <c r="D33" s="20">
        <v>12</v>
      </c>
      <c r="E33" s="20">
        <v>5</v>
      </c>
      <c r="F33" s="20"/>
      <c r="G33" s="20">
        <v>0.08</v>
      </c>
      <c r="H33" s="20">
        <v>0</v>
      </c>
      <c r="I33" s="13"/>
      <c r="J33" s="12">
        <f t="shared" si="2"/>
        <v>0.96</v>
      </c>
      <c r="K33" s="12">
        <f t="shared" si="3"/>
        <v>0</v>
      </c>
      <c r="L33" s="12">
        <f>+(C33*E33*J33)/3600</f>
        <v>0.13333333333333333</v>
      </c>
      <c r="M33" s="12">
        <f>+(F33*K33)/3600</f>
        <v>0</v>
      </c>
      <c r="N33" s="13">
        <f t="shared" si="5"/>
        <v>0.16666666666666666</v>
      </c>
      <c r="O33" s="13">
        <f t="shared" si="0"/>
        <v>0.6</v>
      </c>
      <c r="P33" s="8"/>
    </row>
    <row r="34" spans="1:16" s="7" customFormat="1" ht="34.200000000000003">
      <c r="A34" s="15" t="s">
        <v>14</v>
      </c>
      <c r="C34" s="20">
        <v>10</v>
      </c>
      <c r="D34" s="20">
        <v>5</v>
      </c>
      <c r="E34" s="20">
        <v>2</v>
      </c>
      <c r="F34" s="23">
        <f>+(B15+B17)+(0.2*(B18+B16))</f>
        <v>8666.6666666666679</v>
      </c>
      <c r="G34" s="20">
        <v>0.8</v>
      </c>
      <c r="H34" s="20">
        <v>0.01</v>
      </c>
      <c r="I34" s="13"/>
      <c r="J34" s="12">
        <f t="shared" si="2"/>
        <v>4</v>
      </c>
      <c r="K34" s="12">
        <f t="shared" si="3"/>
        <v>0.05</v>
      </c>
      <c r="L34" s="12">
        <f t="shared" ref="L34:L40" si="6">+(C34*E34*J34)/3600</f>
        <v>2.2222222222222223E-2</v>
      </c>
      <c r="M34" s="12">
        <f t="shared" ref="M34:M40" si="7">+(F34*K34)/3600</f>
        <v>0.12037037037037039</v>
      </c>
      <c r="N34" s="13">
        <f t="shared" si="5"/>
        <v>0.17824074074074076</v>
      </c>
      <c r="O34" s="13">
        <f t="shared" si="0"/>
        <v>0.64166666666666672</v>
      </c>
      <c r="P34" s="16" t="s">
        <v>59</v>
      </c>
    </row>
    <row r="35" spans="1:16" s="7" customFormat="1">
      <c r="A35" s="15" t="s">
        <v>17</v>
      </c>
      <c r="C35" s="20">
        <f>+B11/2</f>
        <v>100</v>
      </c>
      <c r="D35" s="20">
        <v>12</v>
      </c>
      <c r="E35" s="20">
        <v>10</v>
      </c>
      <c r="F35" s="20"/>
      <c r="G35" s="20">
        <v>2.5000000000000001E-2</v>
      </c>
      <c r="H35" s="20">
        <v>0</v>
      </c>
      <c r="I35" s="13"/>
      <c r="J35" s="12">
        <f t="shared" si="2"/>
        <v>0.30000000000000004</v>
      </c>
      <c r="K35" s="12">
        <f t="shared" si="3"/>
        <v>0</v>
      </c>
      <c r="L35" s="12">
        <f t="shared" si="6"/>
        <v>8.3333333333333343E-2</v>
      </c>
      <c r="M35" s="12">
        <f t="shared" si="7"/>
        <v>0</v>
      </c>
      <c r="N35" s="13">
        <f t="shared" si="5"/>
        <v>0.10416666666666667</v>
      </c>
      <c r="O35" s="13">
        <f t="shared" si="0"/>
        <v>0.375</v>
      </c>
      <c r="P35" s="8"/>
    </row>
    <row r="36" spans="1:16" s="7" customFormat="1">
      <c r="A36" s="15" t="s">
        <v>55</v>
      </c>
      <c r="C36" s="20">
        <f>+B11/2</f>
        <v>100</v>
      </c>
      <c r="D36" s="20">
        <v>12</v>
      </c>
      <c r="E36" s="20">
        <v>10</v>
      </c>
      <c r="F36" s="20"/>
      <c r="G36" s="20">
        <v>0.1</v>
      </c>
      <c r="H36" s="20">
        <v>0</v>
      </c>
      <c r="I36" s="13"/>
      <c r="J36" s="12">
        <f t="shared" si="2"/>
        <v>1.2000000000000002</v>
      </c>
      <c r="K36" s="12">
        <f t="shared" si="3"/>
        <v>0</v>
      </c>
      <c r="L36" s="12">
        <f t="shared" si="6"/>
        <v>0.33333333333333337</v>
      </c>
      <c r="M36" s="12">
        <f t="shared" si="7"/>
        <v>0</v>
      </c>
      <c r="N36" s="13">
        <f t="shared" si="5"/>
        <v>0.41666666666666669</v>
      </c>
      <c r="O36" s="13">
        <f t="shared" si="0"/>
        <v>1.5</v>
      </c>
      <c r="P36" s="8"/>
    </row>
    <row r="37" spans="1:16" s="7" customFormat="1">
      <c r="A37" s="15" t="s">
        <v>56</v>
      </c>
      <c r="C37" s="20">
        <f>+B11/2</f>
        <v>100</v>
      </c>
      <c r="D37" s="20">
        <v>12</v>
      </c>
      <c r="E37" s="20">
        <v>10</v>
      </c>
      <c r="F37" s="20"/>
      <c r="G37" s="20">
        <v>0.35</v>
      </c>
      <c r="H37" s="20">
        <v>0</v>
      </c>
      <c r="I37" s="13"/>
      <c r="J37" s="12">
        <f t="shared" si="2"/>
        <v>4.1999999999999993</v>
      </c>
      <c r="K37" s="12">
        <f t="shared" si="3"/>
        <v>0</v>
      </c>
      <c r="L37" s="12">
        <f t="shared" si="6"/>
        <v>1.1666666666666665</v>
      </c>
      <c r="M37" s="12">
        <f t="shared" si="7"/>
        <v>0</v>
      </c>
      <c r="N37" s="13">
        <f t="shared" si="5"/>
        <v>1.458333333333333</v>
      </c>
      <c r="O37" s="13">
        <f t="shared" si="0"/>
        <v>5.2499999999999991</v>
      </c>
      <c r="P37" s="8"/>
    </row>
    <row r="38" spans="1:16" s="7" customFormat="1">
      <c r="A38" s="15" t="s">
        <v>18</v>
      </c>
      <c r="C38" s="23">
        <f>+B19/600</f>
        <v>53.333333333333336</v>
      </c>
      <c r="D38" s="20">
        <v>5</v>
      </c>
      <c r="E38" s="23">
        <v>2</v>
      </c>
      <c r="F38" s="20"/>
      <c r="G38" s="20">
        <v>0.05</v>
      </c>
      <c r="H38" s="20">
        <v>0</v>
      </c>
      <c r="I38" s="13"/>
      <c r="J38" s="12">
        <f t="shared" si="2"/>
        <v>0.25</v>
      </c>
      <c r="K38" s="12">
        <f t="shared" si="3"/>
        <v>0</v>
      </c>
      <c r="L38" s="12">
        <f t="shared" si="6"/>
        <v>7.4074074074074077E-3</v>
      </c>
      <c r="M38" s="12">
        <f t="shared" si="7"/>
        <v>0</v>
      </c>
      <c r="N38" s="13">
        <f t="shared" si="5"/>
        <v>9.2592592592592587E-3</v>
      </c>
      <c r="O38" s="13"/>
      <c r="P38" s="8"/>
    </row>
    <row r="39" spans="1:16" s="7" customFormat="1">
      <c r="A39" s="15" t="s">
        <v>69</v>
      </c>
      <c r="C39" s="23"/>
      <c r="D39" s="20">
        <v>12</v>
      </c>
      <c r="E39" s="23"/>
      <c r="F39" s="20"/>
      <c r="G39" s="20">
        <v>0.03</v>
      </c>
      <c r="H39" s="20">
        <v>0</v>
      </c>
      <c r="I39" s="13"/>
      <c r="J39" s="12">
        <f t="shared" si="2"/>
        <v>0.36</v>
      </c>
      <c r="K39" s="12"/>
      <c r="L39" s="12"/>
      <c r="M39" s="12"/>
      <c r="N39" s="13"/>
      <c r="O39" s="13"/>
      <c r="P39" s="8"/>
    </row>
    <row r="40" spans="1:16" s="7" customFormat="1">
      <c r="A40" s="15" t="s">
        <v>70</v>
      </c>
      <c r="C40" s="23">
        <v>1</v>
      </c>
      <c r="D40" s="20">
        <v>12</v>
      </c>
      <c r="E40" s="23">
        <v>60</v>
      </c>
      <c r="F40" s="20"/>
      <c r="G40" s="20">
        <v>7.4999999999999997E-2</v>
      </c>
      <c r="H40" s="20">
        <v>0</v>
      </c>
      <c r="I40" s="13"/>
      <c r="J40" s="12">
        <f t="shared" si="2"/>
        <v>0.89999999999999991</v>
      </c>
      <c r="K40" s="12">
        <f t="shared" si="3"/>
        <v>0</v>
      </c>
      <c r="L40" s="12">
        <f t="shared" si="6"/>
        <v>1.4999999999999998E-2</v>
      </c>
      <c r="M40" s="12">
        <f t="shared" si="7"/>
        <v>0</v>
      </c>
      <c r="N40" s="13">
        <f t="shared" si="5"/>
        <v>1.8749999999999996E-2</v>
      </c>
      <c r="O40" s="13">
        <f t="shared" ref="O40" si="8">+N40*3600/1000</f>
        <v>6.7499999999999991E-2</v>
      </c>
      <c r="P40" s="8"/>
    </row>
    <row r="41" spans="1:16" s="7" customFormat="1">
      <c r="A41" s="15" t="s">
        <v>71</v>
      </c>
      <c r="C41" s="23"/>
      <c r="D41" s="20">
        <v>12</v>
      </c>
      <c r="E41" s="23"/>
      <c r="F41" s="20"/>
      <c r="G41" s="20">
        <v>8.5000000000000006E-2</v>
      </c>
      <c r="H41" s="20">
        <v>0</v>
      </c>
      <c r="I41" s="13"/>
      <c r="J41" s="12">
        <f t="shared" si="2"/>
        <v>1.02</v>
      </c>
      <c r="K41" s="12"/>
      <c r="L41" s="12"/>
      <c r="M41" s="12"/>
      <c r="N41" s="13"/>
      <c r="O41" s="13"/>
      <c r="P41" s="8"/>
    </row>
    <row r="42" spans="1:16" s="7" customFormat="1">
      <c r="A42" s="15" t="s">
        <v>72</v>
      </c>
      <c r="C42" s="23"/>
      <c r="D42" s="20">
        <v>12</v>
      </c>
      <c r="E42" s="23"/>
      <c r="F42" s="20"/>
      <c r="G42" s="20">
        <v>0.5</v>
      </c>
      <c r="H42" s="20">
        <v>0</v>
      </c>
      <c r="I42" s="13"/>
      <c r="J42" s="12">
        <f t="shared" si="2"/>
        <v>6</v>
      </c>
      <c r="K42" s="12"/>
      <c r="L42" s="12"/>
      <c r="M42" s="12"/>
      <c r="N42" s="13"/>
      <c r="O42" s="13"/>
      <c r="P42" s="8"/>
    </row>
    <row r="43" spans="1:16" s="7" customFormat="1">
      <c r="A43" s="15"/>
      <c r="C43" s="23"/>
      <c r="D43" s="20"/>
      <c r="E43" s="23"/>
      <c r="F43" s="20"/>
      <c r="G43" s="20"/>
      <c r="H43" s="20"/>
      <c r="I43" s="13"/>
      <c r="J43" s="12"/>
      <c r="K43" s="12"/>
      <c r="L43" s="12"/>
      <c r="M43" s="12"/>
      <c r="N43" s="13"/>
      <c r="O43" s="13"/>
      <c r="P43" s="8"/>
    </row>
    <row r="44" spans="1:16" s="7" customFormat="1">
      <c r="A44" s="15" t="s">
        <v>76</v>
      </c>
      <c r="I44" s="13"/>
      <c r="J44" s="13"/>
      <c r="K44" s="13"/>
      <c r="N44" s="13">
        <f>SUM(N25:N38)</f>
        <v>45.091782407407401</v>
      </c>
      <c r="O44" s="13">
        <f>SUM(O25:O38)</f>
        <v>162.29708333333332</v>
      </c>
      <c r="P44" s="8"/>
    </row>
    <row r="45" spans="1:16" s="7" customFormat="1">
      <c r="A45" s="29" t="s">
        <v>77</v>
      </c>
      <c r="B45" s="4"/>
      <c r="C45" s="4"/>
      <c r="D45" s="4"/>
      <c r="E45" s="4"/>
      <c r="F45" s="4"/>
      <c r="G45" s="4"/>
      <c r="H45" s="4"/>
      <c r="I45" s="6"/>
      <c r="J45" s="6"/>
      <c r="K45" s="6"/>
      <c r="L45" s="4"/>
      <c r="M45" s="4"/>
      <c r="N45" s="4"/>
      <c r="O45" s="35">
        <f>+D9/O44</f>
        <v>44.79784756863058</v>
      </c>
      <c r="P45" s="17"/>
    </row>
    <row r="48" spans="1:16">
      <c r="A48" s="1" t="s">
        <v>62</v>
      </c>
    </row>
    <row r="49" spans="1:16">
      <c r="B49" s="1" t="s">
        <v>38</v>
      </c>
      <c r="C49" s="1" t="s">
        <v>39</v>
      </c>
      <c r="D49" s="1" t="s">
        <v>48</v>
      </c>
      <c r="E49" s="1" t="s">
        <v>40</v>
      </c>
      <c r="G49" s="1" t="s">
        <v>41</v>
      </c>
    </row>
    <row r="50" spans="1:16">
      <c r="A50" s="1" t="s">
        <v>42</v>
      </c>
      <c r="B50" s="3">
        <v>25</v>
      </c>
      <c r="C50" s="3">
        <v>150</v>
      </c>
      <c r="D50" s="3">
        <v>1</v>
      </c>
      <c r="E50" s="5">
        <f>+B50*C50*D50</f>
        <v>3750</v>
      </c>
      <c r="F50" s="5"/>
      <c r="G50" s="10">
        <f>+E50/3600</f>
        <v>1.0416666666666667</v>
      </c>
    </row>
    <row r="51" spans="1:16">
      <c r="A51" s="1" t="s">
        <v>43</v>
      </c>
      <c r="B51" s="3">
        <v>35</v>
      </c>
      <c r="C51" s="3">
        <v>30</v>
      </c>
      <c r="D51" s="3">
        <v>1</v>
      </c>
      <c r="E51" s="5">
        <f t="shared" ref="E51:E57" si="9">+B51*C51*D51</f>
        <v>1050</v>
      </c>
      <c r="F51" s="5"/>
      <c r="G51" s="10">
        <f t="shared" ref="G51:G57" si="10">+E51/3600</f>
        <v>0.29166666666666669</v>
      </c>
    </row>
    <row r="52" spans="1:16">
      <c r="A52" s="1" t="s">
        <v>44</v>
      </c>
      <c r="B52" s="3">
        <v>8</v>
      </c>
      <c r="C52" s="24">
        <f>+B11/B12</f>
        <v>666.66666666666674</v>
      </c>
      <c r="D52" s="3">
        <v>1</v>
      </c>
      <c r="E52" s="5">
        <f t="shared" si="9"/>
        <v>5333.3333333333339</v>
      </c>
      <c r="F52" s="5"/>
      <c r="G52" s="10">
        <f t="shared" si="10"/>
        <v>1.4814814814814816</v>
      </c>
    </row>
    <row r="53" spans="1:16">
      <c r="A53" s="1" t="s">
        <v>45</v>
      </c>
      <c r="B53" s="3">
        <v>6</v>
      </c>
      <c r="C53" s="3">
        <f>+B16</f>
        <v>28800</v>
      </c>
      <c r="D53" s="3">
        <v>0.1</v>
      </c>
      <c r="E53" s="5">
        <f t="shared" si="9"/>
        <v>17280</v>
      </c>
      <c r="F53" s="5"/>
      <c r="G53" s="10">
        <f t="shared" si="10"/>
        <v>4.8</v>
      </c>
    </row>
    <row r="54" spans="1:16">
      <c r="A54" s="1" t="s">
        <v>75</v>
      </c>
      <c r="B54" s="3">
        <v>100</v>
      </c>
      <c r="C54" s="3">
        <v>60</v>
      </c>
      <c r="D54" s="3">
        <v>1</v>
      </c>
      <c r="E54" s="5">
        <f t="shared" ref="E54" si="11">+B54*C54*D54</f>
        <v>6000</v>
      </c>
      <c r="F54" s="5"/>
      <c r="G54" s="10">
        <f t="shared" ref="G54" si="12">+E54/3600</f>
        <v>1.6666666666666667</v>
      </c>
    </row>
    <row r="55" spans="1:16">
      <c r="A55" s="1" t="s">
        <v>46</v>
      </c>
      <c r="B55" s="3">
        <v>35</v>
      </c>
      <c r="C55" s="3">
        <v>50</v>
      </c>
      <c r="D55" s="3">
        <v>1</v>
      </c>
      <c r="E55" s="5">
        <f t="shared" si="9"/>
        <v>1750</v>
      </c>
      <c r="F55" s="5"/>
      <c r="G55" s="10">
        <f t="shared" si="10"/>
        <v>0.4861111111111111</v>
      </c>
    </row>
    <row r="56" spans="1:16">
      <c r="A56" s="1" t="s">
        <v>47</v>
      </c>
      <c r="B56" s="3">
        <v>6</v>
      </c>
      <c r="C56" s="24">
        <f>+B11/B13</f>
        <v>2000</v>
      </c>
      <c r="D56" s="3">
        <v>1</v>
      </c>
      <c r="E56" s="5">
        <f t="shared" si="9"/>
        <v>12000</v>
      </c>
      <c r="F56" s="5"/>
      <c r="G56" s="10">
        <f t="shared" si="10"/>
        <v>3.3333333333333335</v>
      </c>
    </row>
    <row r="57" spans="1:16">
      <c r="A57" s="1" t="s">
        <v>42</v>
      </c>
      <c r="B57" s="3">
        <v>55</v>
      </c>
      <c r="C57" s="3">
        <v>100</v>
      </c>
      <c r="D57" s="3">
        <v>1</v>
      </c>
      <c r="E57" s="5">
        <f t="shared" si="9"/>
        <v>5500</v>
      </c>
      <c r="F57" s="5"/>
      <c r="G57" s="10">
        <f t="shared" si="10"/>
        <v>1.5277777777777777</v>
      </c>
    </row>
    <row r="58" spans="1:16">
      <c r="A58" s="1" t="s">
        <v>49</v>
      </c>
      <c r="G58" s="10">
        <f>SUM(G50:G57)</f>
        <v>14.628703703703703</v>
      </c>
    </row>
    <row r="61" spans="1:16" ht="34.200000000000003">
      <c r="A61" s="1" t="s">
        <v>78</v>
      </c>
      <c r="D61" s="1" t="s">
        <v>88</v>
      </c>
      <c r="G61" s="37" t="s">
        <v>89</v>
      </c>
      <c r="H61" s="36" t="s">
        <v>84</v>
      </c>
      <c r="I61" s="2" t="s">
        <v>85</v>
      </c>
      <c r="J61" s="2" t="s">
        <v>49</v>
      </c>
    </row>
    <row r="62" spans="1:16" s="7" customFormat="1">
      <c r="A62" s="15" t="s">
        <v>11</v>
      </c>
      <c r="C62" s="20"/>
      <c r="D62" s="20">
        <v>3.3</v>
      </c>
      <c r="E62" s="23"/>
      <c r="F62" s="23"/>
      <c r="G62" s="20">
        <v>0.2</v>
      </c>
      <c r="H62" s="22">
        <f>+G62</f>
        <v>0.2</v>
      </c>
      <c r="I62" s="11">
        <v>1</v>
      </c>
      <c r="J62" s="12">
        <f>+I62*H62</f>
        <v>0.2</v>
      </c>
      <c r="K62" s="12"/>
      <c r="L62" s="12"/>
      <c r="M62" s="12"/>
      <c r="N62" s="13"/>
      <c r="O62" s="13"/>
      <c r="P62" s="8"/>
    </row>
    <row r="63" spans="1:16" s="7" customFormat="1">
      <c r="A63" s="15" t="s">
        <v>16</v>
      </c>
      <c r="C63" s="20"/>
      <c r="D63" s="20">
        <v>5</v>
      </c>
      <c r="E63" s="20"/>
      <c r="F63" s="23"/>
      <c r="G63" s="20">
        <v>0.05</v>
      </c>
      <c r="H63" s="21">
        <f>+G63*5/3.3</f>
        <v>7.575757575757576E-2</v>
      </c>
      <c r="I63" s="11">
        <v>1</v>
      </c>
      <c r="J63" s="12">
        <f t="shared" ref="J63:J67" si="13">+I63*H63</f>
        <v>7.575757575757576E-2</v>
      </c>
      <c r="K63" s="12"/>
      <c r="L63" s="12"/>
      <c r="M63" s="12"/>
      <c r="N63" s="13"/>
      <c r="O63" s="13"/>
      <c r="P63" s="8"/>
    </row>
    <row r="64" spans="1:16" s="7" customFormat="1">
      <c r="A64" s="15" t="s">
        <v>18</v>
      </c>
      <c r="C64" s="23"/>
      <c r="D64" s="20">
        <v>5</v>
      </c>
      <c r="E64" s="23"/>
      <c r="F64" s="20"/>
      <c r="G64" s="20">
        <v>0.05</v>
      </c>
      <c r="H64" s="21">
        <f>+G64*5/3.3</f>
        <v>7.575757575757576E-2</v>
      </c>
      <c r="I64" s="11">
        <v>1</v>
      </c>
      <c r="J64" s="12">
        <f t="shared" si="13"/>
        <v>7.575757575757576E-2</v>
      </c>
      <c r="K64" s="12"/>
      <c r="L64" s="12"/>
      <c r="M64" s="12"/>
      <c r="N64" s="13"/>
      <c r="O64" s="13"/>
      <c r="P64" s="8"/>
    </row>
    <row r="65" spans="1:15" s="7" customFormat="1">
      <c r="A65" s="9" t="s">
        <v>82</v>
      </c>
      <c r="C65" s="23"/>
      <c r="D65" s="20"/>
      <c r="E65" s="23"/>
      <c r="F65" s="20"/>
      <c r="G65" s="20"/>
      <c r="H65" s="20"/>
      <c r="I65" s="11">
        <v>2</v>
      </c>
      <c r="J65" s="12">
        <f t="shared" si="13"/>
        <v>0</v>
      </c>
      <c r="K65" s="12"/>
      <c r="L65" s="12"/>
      <c r="M65" s="12"/>
      <c r="N65" s="13"/>
      <c r="O65" s="13"/>
    </row>
    <row r="66" spans="1:15" s="7" customFormat="1">
      <c r="A66" s="9" t="s">
        <v>83</v>
      </c>
      <c r="C66" s="23"/>
      <c r="D66" s="20"/>
      <c r="E66" s="23"/>
      <c r="F66" s="20"/>
      <c r="G66" s="20"/>
      <c r="H66" s="20"/>
      <c r="I66" s="11">
        <v>2</v>
      </c>
      <c r="J66" s="12">
        <f t="shared" si="13"/>
        <v>0</v>
      </c>
      <c r="K66" s="12"/>
      <c r="L66" s="12"/>
      <c r="M66" s="12"/>
      <c r="N66" s="13"/>
      <c r="O66" s="13"/>
    </row>
    <row r="67" spans="1:15" s="7" customFormat="1">
      <c r="A67" s="9" t="s">
        <v>86</v>
      </c>
      <c r="B67" s="7" t="s">
        <v>87</v>
      </c>
      <c r="C67" s="23"/>
      <c r="D67" s="20">
        <v>3.3</v>
      </c>
      <c r="E67" s="23"/>
      <c r="F67" s="20"/>
      <c r="G67" s="20">
        <v>0.1</v>
      </c>
      <c r="H67" s="20">
        <f>+G67</f>
        <v>0.1</v>
      </c>
      <c r="I67" s="11">
        <v>2</v>
      </c>
      <c r="J67" s="12">
        <f t="shared" si="13"/>
        <v>0.2</v>
      </c>
      <c r="K67" s="12"/>
      <c r="L67" s="12"/>
      <c r="M67" s="12"/>
      <c r="N67" s="13"/>
      <c r="O67" s="13"/>
    </row>
    <row r="68" spans="1:15" s="7" customFormat="1">
      <c r="A68" s="9"/>
      <c r="C68" s="23"/>
      <c r="D68" s="20"/>
      <c r="E68" s="23"/>
      <c r="F68" s="20"/>
      <c r="G68" s="20"/>
      <c r="H68" s="20"/>
      <c r="I68" s="11"/>
      <c r="J68" s="12"/>
      <c r="K68" s="12"/>
      <c r="L68" s="12"/>
      <c r="M68" s="12"/>
      <c r="N68" s="13"/>
      <c r="O68" s="13"/>
    </row>
    <row r="69" spans="1:15">
      <c r="A69" s="9" t="s">
        <v>79</v>
      </c>
      <c r="H69" s="2">
        <f>SUM(H62:H67)</f>
        <v>0.45151515151515154</v>
      </c>
      <c r="J69" s="2">
        <f>SUM(J62:J67)</f>
        <v>0.55151515151515151</v>
      </c>
    </row>
    <row r="70" spans="1:15">
      <c r="A70" s="9" t="s">
        <v>90</v>
      </c>
      <c r="J70" s="2">
        <v>1.5</v>
      </c>
    </row>
    <row r="71" spans="1:15">
      <c r="A71" s="9" t="s">
        <v>91</v>
      </c>
      <c r="J71" s="2">
        <f>+J70*J69</f>
        <v>0.82727272727272727</v>
      </c>
    </row>
  </sheetData>
  <phoneticPr fontId="1" type="noConversion"/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System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McGill</dc:creator>
  <cp:lastModifiedBy>Gene M</cp:lastModifiedBy>
  <cp:lastPrinted>2010-04-08T17:38:25Z</cp:lastPrinted>
  <dcterms:created xsi:type="dcterms:W3CDTF">1999-11-12T00:25:30Z</dcterms:created>
  <dcterms:modified xsi:type="dcterms:W3CDTF">2016-03-15T00:48:30Z</dcterms:modified>
</cp:coreProperties>
</file>