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jects_New\CPF\Sing_Chan_Ckt_Breaker\"/>
    </mc:Choice>
  </mc:AlternateContent>
  <xr:revisionPtr revIDLastSave="0" documentId="13_ncr:1_{04A9E784-AC78-4351-BCB9-C0AC6D8FA919}" xr6:coauthVersionLast="36" xr6:coauthVersionMax="36" xr10:uidLastSave="{00000000-0000-0000-0000-000000000000}"/>
  <bookViews>
    <workbookView xWindow="0" yWindow="0" windowWidth="33870" windowHeight="17040" activeTab="3" xr2:uid="{636A10A9-CA0F-49DB-90C1-C7D0377960E4}"/>
  </bookViews>
  <sheets>
    <sheet name="UV Resistance Values" sheetId="1" r:id="rId1"/>
    <sheet name="Vsense Trip Timing" sheetId="3" r:id="rId2"/>
    <sheet name="Overcurrent Timing Cap" sheetId="2" r:id="rId3"/>
    <sheet name="Rsense Selection" sheetId="5" r:id="rId4"/>
    <sheet name="UV-OV Calcs" sheetId="4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0" i="5" l="1"/>
  <c r="L20" i="5"/>
  <c r="K20" i="5"/>
  <c r="J20" i="5"/>
  <c r="I20" i="5"/>
  <c r="H20" i="5"/>
  <c r="F20" i="5"/>
  <c r="M19" i="5"/>
  <c r="L19" i="5"/>
  <c r="K19" i="5"/>
  <c r="J19" i="5"/>
  <c r="I19" i="5"/>
  <c r="H19" i="5"/>
  <c r="F19" i="5"/>
  <c r="M18" i="5"/>
  <c r="L18" i="5"/>
  <c r="K18" i="5"/>
  <c r="J18" i="5"/>
  <c r="I18" i="5"/>
  <c r="H18" i="5"/>
  <c r="F18" i="5"/>
  <c r="M17" i="5"/>
  <c r="L17" i="5"/>
  <c r="K17" i="5"/>
  <c r="J17" i="5"/>
  <c r="I17" i="5"/>
  <c r="H17" i="5"/>
  <c r="F17" i="5"/>
  <c r="M16" i="5"/>
  <c r="L16" i="5"/>
  <c r="K16" i="5"/>
  <c r="J16" i="5"/>
  <c r="I16" i="5"/>
  <c r="H16" i="5"/>
  <c r="F16" i="5"/>
  <c r="M15" i="5"/>
  <c r="L15" i="5"/>
  <c r="K15" i="5"/>
  <c r="J15" i="5"/>
  <c r="I15" i="5"/>
  <c r="H15" i="5"/>
  <c r="F15" i="5"/>
  <c r="M9" i="5"/>
  <c r="M8" i="5"/>
  <c r="M7" i="5"/>
  <c r="M6" i="5"/>
  <c r="M5" i="5"/>
  <c r="M4" i="5"/>
  <c r="L9" i="5"/>
  <c r="L8" i="5"/>
  <c r="L7" i="5"/>
  <c r="L6" i="5"/>
  <c r="L5" i="5"/>
  <c r="L4" i="5"/>
  <c r="K9" i="5"/>
  <c r="K8" i="5"/>
  <c r="K7" i="5"/>
  <c r="K6" i="5"/>
  <c r="K5" i="5"/>
  <c r="K4" i="5"/>
  <c r="J9" i="5"/>
  <c r="J8" i="5"/>
  <c r="J7" i="5"/>
  <c r="J6" i="5"/>
  <c r="J5" i="5"/>
  <c r="J4" i="5"/>
  <c r="I9" i="5"/>
  <c r="I8" i="5"/>
  <c r="I7" i="5"/>
  <c r="I6" i="5"/>
  <c r="I5" i="5"/>
  <c r="I4" i="5"/>
  <c r="H9" i="5"/>
  <c r="H8" i="5"/>
  <c r="H7" i="5"/>
  <c r="H6" i="5"/>
  <c r="H5" i="5"/>
  <c r="H4" i="5"/>
  <c r="F9" i="5"/>
  <c r="F8" i="5"/>
  <c r="F7" i="5"/>
  <c r="F6" i="5"/>
  <c r="F5" i="5"/>
  <c r="F4" i="5"/>
  <c r="U16" i="4"/>
  <c r="I16" i="4"/>
  <c r="E16" i="4"/>
  <c r="U14" i="4"/>
  <c r="I14" i="4"/>
  <c r="E14" i="4"/>
  <c r="U12" i="4"/>
  <c r="I12" i="4"/>
  <c r="E12" i="4"/>
  <c r="U15" i="4"/>
  <c r="U13" i="4" s="1"/>
  <c r="S21" i="4"/>
  <c r="S22" i="4" s="1"/>
  <c r="O21" i="4"/>
  <c r="O22" i="4" s="1"/>
  <c r="K21" i="4"/>
  <c r="K22" i="4" s="1"/>
  <c r="M15" i="4" s="1"/>
  <c r="M13" i="4" s="1"/>
  <c r="M11" i="4" s="1"/>
  <c r="M12" i="4" s="1"/>
  <c r="G21" i="4"/>
  <c r="G22" i="4" s="1"/>
  <c r="I15" i="4" s="1"/>
  <c r="I13" i="4" s="1"/>
  <c r="I11" i="4" s="1"/>
  <c r="E11" i="4"/>
  <c r="E13" i="4"/>
  <c r="E15" i="4"/>
  <c r="C22" i="4"/>
  <c r="C21" i="4"/>
  <c r="M16" i="4" l="1"/>
  <c r="M14" i="4"/>
  <c r="U11" i="4"/>
  <c r="Q15" i="4"/>
  <c r="Q27" i="3"/>
  <c r="P27" i="3"/>
  <c r="O27" i="3"/>
  <c r="N27" i="3"/>
  <c r="M27" i="3"/>
  <c r="L27" i="3"/>
  <c r="Q23" i="3"/>
  <c r="P23" i="3"/>
  <c r="O23" i="3"/>
  <c r="N23" i="3"/>
  <c r="M23" i="3"/>
  <c r="L23" i="3"/>
  <c r="Q19" i="3"/>
  <c r="P19" i="3"/>
  <c r="O19" i="3"/>
  <c r="N19" i="3"/>
  <c r="M19" i="3"/>
  <c r="L19" i="3"/>
  <c r="Q25" i="3"/>
  <c r="P25" i="3"/>
  <c r="O25" i="3"/>
  <c r="N25" i="3"/>
  <c r="M25" i="3"/>
  <c r="L25" i="3"/>
  <c r="Q21" i="3"/>
  <c r="P21" i="3"/>
  <c r="O21" i="3"/>
  <c r="N21" i="3"/>
  <c r="M21" i="3"/>
  <c r="L21" i="3"/>
  <c r="Q17" i="3"/>
  <c r="P17" i="3"/>
  <c r="O17" i="3"/>
  <c r="N17" i="3"/>
  <c r="M17" i="3"/>
  <c r="L17" i="3"/>
  <c r="I28" i="3"/>
  <c r="H28" i="3"/>
  <c r="G28" i="3"/>
  <c r="F28" i="3"/>
  <c r="E28" i="3"/>
  <c r="D28" i="3"/>
  <c r="I27" i="3"/>
  <c r="H27" i="3"/>
  <c r="G27" i="3"/>
  <c r="F27" i="3"/>
  <c r="E27" i="3"/>
  <c r="D27" i="3"/>
  <c r="I26" i="3"/>
  <c r="H26" i="3"/>
  <c r="G26" i="3"/>
  <c r="F26" i="3"/>
  <c r="E26" i="3"/>
  <c r="D26" i="3"/>
  <c r="I24" i="3"/>
  <c r="H24" i="3"/>
  <c r="G24" i="3"/>
  <c r="F24" i="3"/>
  <c r="E24" i="3"/>
  <c r="D24" i="3"/>
  <c r="I23" i="3"/>
  <c r="H23" i="3"/>
  <c r="G23" i="3"/>
  <c r="F23" i="3"/>
  <c r="E23" i="3"/>
  <c r="D23" i="3"/>
  <c r="D22" i="3"/>
  <c r="I22" i="3"/>
  <c r="H22" i="3"/>
  <c r="G22" i="3"/>
  <c r="F22" i="3"/>
  <c r="E22" i="3"/>
  <c r="I20" i="3"/>
  <c r="H20" i="3"/>
  <c r="G20" i="3"/>
  <c r="F20" i="3"/>
  <c r="E20" i="3"/>
  <c r="D20" i="3"/>
  <c r="I16" i="3"/>
  <c r="H16" i="3"/>
  <c r="G16" i="3"/>
  <c r="F16" i="3"/>
  <c r="E16" i="3"/>
  <c r="D16" i="3"/>
  <c r="I19" i="3"/>
  <c r="H19" i="3"/>
  <c r="G19" i="3"/>
  <c r="F19" i="3"/>
  <c r="E19" i="3"/>
  <c r="D19" i="3"/>
  <c r="F9" i="1"/>
  <c r="E9" i="1"/>
  <c r="D9" i="1"/>
  <c r="B18" i="1"/>
  <c r="B17" i="1"/>
  <c r="B16" i="1"/>
  <c r="Q13" i="4" l="1"/>
  <c r="Q16" i="4"/>
  <c r="B5" i="1"/>
  <c r="Q11" i="4" l="1"/>
  <c r="Q12" i="4" s="1"/>
  <c r="Q14" i="4"/>
  <c r="B7" i="1"/>
  <c r="B6" i="1"/>
  <c r="B8" i="1" l="1"/>
  <c r="B9" i="1" s="1"/>
</calcChain>
</file>

<file path=xl/sharedStrings.xml><?xml version="1.0" encoding="utf-8"?>
<sst xmlns="http://schemas.openxmlformats.org/spreadsheetml/2006/main" count="223" uniqueCount="159">
  <si>
    <t>RM1</t>
  </si>
  <si>
    <t>RM4</t>
  </si>
  <si>
    <t>RM3</t>
  </si>
  <si>
    <t>RM2</t>
  </si>
  <si>
    <t>RTot</t>
  </si>
  <si>
    <t>Vin</t>
  </si>
  <si>
    <t>Vuvon</t>
  </si>
  <si>
    <t>Vuvoff</t>
  </si>
  <si>
    <t>Vovoff</t>
  </si>
  <si>
    <t>Comp Th</t>
  </si>
  <si>
    <t>RTotF</t>
  </si>
  <si>
    <t>Act Values</t>
  </si>
  <si>
    <t>12V</t>
  </si>
  <si>
    <t>5V</t>
  </si>
  <si>
    <t>3.3V</t>
  </si>
  <si>
    <t>0.011 µF</t>
  </si>
  <si>
    <t>0.012 µF</t>
  </si>
  <si>
    <t>0.013 µF</t>
  </si>
  <si>
    <t>0.015 µF</t>
  </si>
  <si>
    <t>0.016 µF</t>
  </si>
  <si>
    <t>0.018 µF</t>
  </si>
  <si>
    <t>0.02 µF</t>
  </si>
  <si>
    <t>0.022 µF</t>
  </si>
  <si>
    <t>0.027 µF</t>
  </si>
  <si>
    <t>0.033 µF</t>
  </si>
  <si>
    <t>0.039 µF</t>
  </si>
  <si>
    <t>0.047 µF</t>
  </si>
  <si>
    <t>0.051 µF</t>
  </si>
  <si>
    <t>0.056 µF</t>
  </si>
  <si>
    <t>0.062 µF</t>
  </si>
  <si>
    <t>0.068 µF</t>
  </si>
  <si>
    <t>0.075 µF</t>
  </si>
  <si>
    <t>0.082 µF</t>
  </si>
  <si>
    <t>0.091 µF</t>
  </si>
  <si>
    <t>0.1 µF</t>
  </si>
  <si>
    <t>0.15 µF</t>
  </si>
  <si>
    <t>0.22 µF</t>
  </si>
  <si>
    <t>Values</t>
  </si>
  <si>
    <t>VsenseCB-min</t>
  </si>
  <si>
    <t>VsenseCB-max</t>
  </si>
  <si>
    <t>VsenseACL-min</t>
  </si>
  <si>
    <t>VsenseACL-max</t>
  </si>
  <si>
    <t>CLoad (uF)</t>
  </si>
  <si>
    <t>CLoad max charging time - 12V (msec)</t>
  </si>
  <si>
    <t>CLoad max charging time - 5V (msec)</t>
  </si>
  <si>
    <t>CLoad max charging time - 3.3V (msec)</t>
  </si>
  <si>
    <t>Current limits per Gene (amps)</t>
  </si>
  <si>
    <t>Curr Limit using ACL-min (amps)</t>
  </si>
  <si>
    <t>Curr Limit using ACL-max (amps)</t>
  </si>
  <si>
    <t>Rsense using CB-min (ohms)</t>
  </si>
  <si>
    <t>Worst case Power Dissip in M1 - 12V (watts)</t>
  </si>
  <si>
    <t>Worst case Power Dissip in M1 - 5V (watts)</t>
  </si>
  <si>
    <t>Worst case Power Dissip in M1 - 3.3V (watts)</t>
  </si>
  <si>
    <t>SOA (Si7120) at ACL-max time - 12V (msec)</t>
  </si>
  <si>
    <t>SOA (Si7120) at ACL-max time - 5V (msec)</t>
  </si>
  <si>
    <t>SOA (Si7120) at ACL-max time - 3.3V (msec)</t>
  </si>
  <si>
    <t>Tcb (less than SOA, more that CLoad charging)</t>
  </si>
  <si>
    <t>msec</t>
  </si>
  <si>
    <t>Si7120</t>
  </si>
  <si>
    <t>Timing Capacitor based on Tcb above (uF)</t>
  </si>
  <si>
    <t>L4CL Series Closest Real Value (mohms)</t>
  </si>
  <si>
    <t>Volts</t>
  </si>
  <si>
    <t>Rm1</t>
  </si>
  <si>
    <t>787k</t>
  </si>
  <si>
    <t>866k</t>
  </si>
  <si>
    <t>976k</t>
  </si>
  <si>
    <t>Rm2</t>
  </si>
  <si>
    <t>12.1k</t>
  </si>
  <si>
    <t>8.06k</t>
  </si>
  <si>
    <t>3.32k</t>
  </si>
  <si>
    <t>Rm3</t>
  </si>
  <si>
    <t>30.9k</t>
  </si>
  <si>
    <t>20.5k</t>
  </si>
  <si>
    <t>Rm4</t>
  </si>
  <si>
    <t>237k</t>
  </si>
  <si>
    <t>154k</t>
  </si>
  <si>
    <t>64.9k</t>
  </si>
  <si>
    <t>UVL</t>
  </si>
  <si>
    <t>UVH</t>
  </si>
  <si>
    <t>OV</t>
  </si>
  <si>
    <t>GndSW</t>
  </si>
  <si>
    <t>Rtot</t>
  </si>
  <si>
    <t>Curr</t>
  </si>
  <si>
    <t>1.02M</t>
  </si>
  <si>
    <t>1.65k</t>
  </si>
  <si>
    <t>4.22k</t>
  </si>
  <si>
    <t>32.4k</t>
  </si>
  <si>
    <t>7.87k</t>
  </si>
  <si>
    <t>Curr Limit</t>
  </si>
  <si>
    <t>Rsense</t>
  </si>
  <si>
    <t>CB-min</t>
  </si>
  <si>
    <t>CB-nom</t>
  </si>
  <si>
    <t>CB-max</t>
  </si>
  <si>
    <t>ACL-min</t>
  </si>
  <si>
    <t>ACL-max</t>
  </si>
  <si>
    <t>VsenseCB-nom</t>
  </si>
  <si>
    <t>VsenseACL-nom</t>
  </si>
  <si>
    <t>ACL-nom</t>
  </si>
  <si>
    <t>Vsense</t>
  </si>
  <si>
    <t>Current to reach the Vsense levels (amps)</t>
  </si>
  <si>
    <t>Secondary Rsense Selections</t>
  </si>
  <si>
    <t>Initial Rsense Selections</t>
  </si>
  <si>
    <t>L4CL 1% 1206</t>
  </si>
  <si>
    <t>L4CL 0.5% 1206</t>
  </si>
  <si>
    <t>10mΩ</t>
  </si>
  <si>
    <t>11mΩ</t>
  </si>
  <si>
    <t>12mΩ</t>
  </si>
  <si>
    <t>13mΩ</t>
  </si>
  <si>
    <t>14mΩ</t>
  </si>
  <si>
    <t>15mΩ</t>
  </si>
  <si>
    <t>16mΩ</t>
  </si>
  <si>
    <t>18mΩ</t>
  </si>
  <si>
    <t>20mΩ</t>
  </si>
  <si>
    <t>21mΩ</t>
  </si>
  <si>
    <t>22mΩ</t>
  </si>
  <si>
    <t>24mΩ</t>
  </si>
  <si>
    <t>27mΩ</t>
  </si>
  <si>
    <t>28mΩ</t>
  </si>
  <si>
    <t>30mΩ</t>
  </si>
  <si>
    <t>33mΩ</t>
  </si>
  <si>
    <t>34mΩ</t>
  </si>
  <si>
    <t>36mΩ</t>
  </si>
  <si>
    <t>39mΩ</t>
  </si>
  <si>
    <t>43mΩ</t>
  </si>
  <si>
    <t>47mΩ</t>
  </si>
  <si>
    <t>50mΩ</t>
  </si>
  <si>
    <t>51mΩ</t>
  </si>
  <si>
    <t>55mΩ</t>
  </si>
  <si>
    <t>56mΩ</t>
  </si>
  <si>
    <t>59mΩ</t>
  </si>
  <si>
    <t>62mΩ</t>
  </si>
  <si>
    <t>68mΩ</t>
  </si>
  <si>
    <t>75mΩ</t>
  </si>
  <si>
    <t>82mΩ</t>
  </si>
  <si>
    <t>91mΩ</t>
  </si>
  <si>
    <t>100mΩ</t>
  </si>
  <si>
    <t>1mΩ</t>
  </si>
  <si>
    <t>2mΩ</t>
  </si>
  <si>
    <t>3mΩ</t>
  </si>
  <si>
    <t>4mΩ</t>
  </si>
  <si>
    <t>5mΩ</t>
  </si>
  <si>
    <t>6mΩ</t>
  </si>
  <si>
    <t>7mΩ</t>
  </si>
  <si>
    <t>8mΩ</t>
  </si>
  <si>
    <t>9mΩ</t>
  </si>
  <si>
    <t>Req'd Capacitance</t>
  </si>
  <si>
    <t>Ct1</t>
  </si>
  <si>
    <t>Ct2</t>
  </si>
  <si>
    <t>0.22uF</t>
  </si>
  <si>
    <t>0.091uF</t>
  </si>
  <si>
    <t>0.15uF</t>
  </si>
  <si>
    <t>0.011uF</t>
  </si>
  <si>
    <t>0.075uF</t>
  </si>
  <si>
    <t>0.051uF</t>
  </si>
  <si>
    <t>NS</t>
  </si>
  <si>
    <t>0.016uF</t>
  </si>
  <si>
    <t>0.012uF</t>
  </si>
  <si>
    <t>0.015uF</t>
  </si>
  <si>
    <t>Tcb Times per Source Voltage (msec)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</si>
</sst>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E+00"/>
    <numFmt numFmtId="165" formatCode="0.0"/>
    <numFmt numFmtId="166" formatCode="0.000"/>
    <numFmt numFmtId="167" formatCode="0.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99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2" fontId="0" fillId="0" borderId="0" xfId="0" applyNumberFormat="1"/>
    <xf numFmtId="165" fontId="0" fillId="0" borderId="1" xfId="0" applyNumberFormat="1" applyBorder="1"/>
    <xf numFmtId="2" fontId="0" fillId="0" borderId="1" xfId="0" applyNumberFormat="1" applyBorder="1"/>
    <xf numFmtId="0" fontId="0" fillId="0" borderId="3" xfId="0" applyBorder="1"/>
    <xf numFmtId="164" fontId="0" fillId="0" borderId="4" xfId="0" applyNumberFormat="1" applyBorder="1"/>
    <xf numFmtId="2" fontId="0" fillId="0" borderId="5" xfId="0" applyNumberFormat="1" applyBorder="1"/>
    <xf numFmtId="0" fontId="1" fillId="0" borderId="2" xfId="0" applyFont="1" applyBorder="1"/>
    <xf numFmtId="0" fontId="0" fillId="0" borderId="1" xfId="0" applyFill="1" applyBorder="1"/>
    <xf numFmtId="166" fontId="0" fillId="0" borderId="1" xfId="0" applyNumberFormat="1" applyBorder="1"/>
    <xf numFmtId="167" fontId="0" fillId="0" borderId="1" xfId="0" applyNumberFormat="1" applyBorder="1"/>
    <xf numFmtId="2" fontId="2" fillId="0" borderId="1" xfId="0" applyNumberFormat="1" applyFont="1" applyBorder="1"/>
    <xf numFmtId="2" fontId="2" fillId="0" borderId="1" xfId="0" applyNumberFormat="1" applyFont="1" applyFill="1" applyBorder="1"/>
    <xf numFmtId="0" fontId="0" fillId="0" borderId="4" xfId="0" applyBorder="1"/>
    <xf numFmtId="0" fontId="0" fillId="0" borderId="6" xfId="0" applyBorder="1"/>
    <xf numFmtId="166" fontId="0" fillId="0" borderId="7" xfId="0" applyNumberFormat="1" applyBorder="1"/>
    <xf numFmtId="166" fontId="0" fillId="0" borderId="7" xfId="0" applyNumberFormat="1" applyFill="1" applyBorder="1"/>
    <xf numFmtId="166" fontId="0" fillId="0" borderId="8" xfId="0" applyNumberFormat="1" applyFill="1" applyBorder="1"/>
    <xf numFmtId="0" fontId="0" fillId="0" borderId="9" xfId="0" applyBorder="1"/>
    <xf numFmtId="2" fontId="2" fillId="0" borderId="10" xfId="0" applyNumberFormat="1" applyFont="1" applyFill="1" applyBorder="1"/>
    <xf numFmtId="0" fontId="0" fillId="0" borderId="10" xfId="0" applyBorder="1"/>
    <xf numFmtId="0" fontId="0" fillId="0" borderId="11" xfId="0" applyBorder="1"/>
    <xf numFmtId="166" fontId="3" fillId="0" borderId="12" xfId="0" applyNumberFormat="1" applyFont="1" applyBorder="1"/>
    <xf numFmtId="166" fontId="3" fillId="0" borderId="13" xfId="0" applyNumberFormat="1" applyFont="1" applyBorder="1"/>
    <xf numFmtId="166" fontId="0" fillId="0" borderId="8" xfId="0" applyNumberFormat="1" applyBorder="1"/>
    <xf numFmtId="2" fontId="2" fillId="0" borderId="10" xfId="0" applyNumberFormat="1" applyFont="1" applyBorder="1"/>
    <xf numFmtId="11" fontId="0" fillId="0" borderId="0" xfId="0" applyNumberFormat="1"/>
    <xf numFmtId="166" fontId="0" fillId="0" borderId="0" xfId="0" applyNumberFormat="1"/>
    <xf numFmtId="0" fontId="1" fillId="0" borderId="1" xfId="0" applyFont="1" applyBorder="1"/>
    <xf numFmtId="0" fontId="1" fillId="0" borderId="0" xfId="0" applyFont="1"/>
    <xf numFmtId="166" fontId="4" fillId="2" borderId="1" xfId="0" applyNumberFormat="1" applyFont="1" applyFill="1" applyBorder="1"/>
    <xf numFmtId="166" fontId="0" fillId="3" borderId="1" xfId="0" applyNumberFormat="1" applyFill="1" applyBorder="1"/>
    <xf numFmtId="0" fontId="0" fillId="0" borderId="0" xfId="0" applyBorder="1"/>
    <xf numFmtId="166" fontId="0" fillId="0" borderId="0" xfId="0" applyNumberFormat="1" applyBorder="1"/>
    <xf numFmtId="0" fontId="0" fillId="4" borderId="1" xfId="0" applyFill="1" applyBorder="1"/>
    <xf numFmtId="166" fontId="0" fillId="5" borderId="1" xfId="0" applyNumberFormat="1" applyFill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66" fontId="3" fillId="0" borderId="0" xfId="0" applyNumberFormat="1" applyFont="1" applyBorder="1"/>
    <xf numFmtId="165" fontId="0" fillId="0" borderId="0" xfId="0" applyNumberFormat="1" applyBorder="1"/>
    <xf numFmtId="0" fontId="0" fillId="0" borderId="0" xfId="0" applyFill="1" applyBorder="1"/>
    <xf numFmtId="0" fontId="1" fillId="0" borderId="1" xfId="0" applyFont="1" applyBorder="1" applyAlignment="1">
      <alignment horizontal="center"/>
    </xf>
    <xf numFmtId="166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/>
    <xf numFmtId="0" fontId="0" fillId="0" borderId="1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00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A44F1-FFC7-46E9-A794-FC0732998CA1}">
  <dimension ref="A3:F19"/>
  <sheetViews>
    <sheetView workbookViewId="0">
      <selection activeCell="B8" sqref="B8"/>
    </sheetView>
  </sheetViews>
  <sheetFormatPr defaultRowHeight="15" x14ac:dyDescent="0.25"/>
  <cols>
    <col min="1" max="1" width="11.85546875" customWidth="1"/>
    <col min="2" max="2" width="15.140625" customWidth="1"/>
    <col min="4" max="6" width="12.7109375" customWidth="1"/>
  </cols>
  <sheetData>
    <row r="3" spans="1:6" x14ac:dyDescent="0.25">
      <c r="D3" t="s">
        <v>12</v>
      </c>
      <c r="E3" t="s">
        <v>13</v>
      </c>
      <c r="F3" t="s">
        <v>14</v>
      </c>
    </row>
    <row r="4" spans="1:6" x14ac:dyDescent="0.25">
      <c r="D4" t="s">
        <v>11</v>
      </c>
      <c r="E4" t="s">
        <v>11</v>
      </c>
      <c r="F4" t="s">
        <v>11</v>
      </c>
    </row>
    <row r="5" spans="1:6" x14ac:dyDescent="0.25">
      <c r="A5" s="1" t="s">
        <v>1</v>
      </c>
      <c r="B5" s="3">
        <f>(B19/B18)*B14</f>
        <v>235792.83136069844</v>
      </c>
      <c r="D5" s="1">
        <v>64900</v>
      </c>
      <c r="E5" s="1">
        <v>154000</v>
      </c>
      <c r="F5" s="1">
        <v>237000</v>
      </c>
    </row>
    <row r="6" spans="1:6" x14ac:dyDescent="0.25">
      <c r="A6" s="1" t="s">
        <v>2</v>
      </c>
      <c r="B6" s="3">
        <f>((B18/B16)-1)*B5</f>
        <v>30682.84052037889</v>
      </c>
      <c r="D6" s="1">
        <v>8450</v>
      </c>
      <c r="E6" s="1">
        <v>20500</v>
      </c>
      <c r="F6" s="1">
        <v>30900</v>
      </c>
    </row>
    <row r="7" spans="1:6" x14ac:dyDescent="0.25">
      <c r="A7" s="1" t="s">
        <v>3</v>
      </c>
      <c r="B7" s="3">
        <f>((B16/B17)-1)*(B18/B16)*B5</f>
        <v>12123.102244644278</v>
      </c>
      <c r="D7" s="1">
        <v>3320</v>
      </c>
      <c r="E7" s="1">
        <v>8060</v>
      </c>
      <c r="F7" s="1">
        <v>12100</v>
      </c>
    </row>
    <row r="8" spans="1:6" x14ac:dyDescent="0.25">
      <c r="A8" s="1" t="s">
        <v>0</v>
      </c>
      <c r="B8" s="3">
        <f>((B18/B19)-1)*B5-B6-B7</f>
        <v>781401.22587427835</v>
      </c>
      <c r="D8" s="1">
        <v>976000</v>
      </c>
      <c r="E8" s="1">
        <v>866000</v>
      </c>
      <c r="F8" s="1">
        <v>787000</v>
      </c>
    </row>
    <row r="9" spans="1:6" x14ac:dyDescent="0.25">
      <c r="A9" s="1" t="s">
        <v>10</v>
      </c>
      <c r="B9" s="3">
        <f>SUM(B5:B8)</f>
        <v>1060000</v>
      </c>
      <c r="D9" s="1">
        <f>SUM(D5:D8)</f>
        <v>1052670</v>
      </c>
      <c r="E9" s="1">
        <f t="shared" ref="E9:F9" si="0">SUM(E5:E8)</f>
        <v>1048560</v>
      </c>
      <c r="F9" s="1">
        <f t="shared" si="0"/>
        <v>1067000</v>
      </c>
    </row>
    <row r="14" spans="1:6" ht="15.75" thickBot="1" x14ac:dyDescent="0.3">
      <c r="A14" s="1" t="s">
        <v>4</v>
      </c>
      <c r="B14" s="6">
        <v>1060000</v>
      </c>
    </row>
    <row r="15" spans="1:6" ht="15.75" thickBot="1" x14ac:dyDescent="0.3">
      <c r="A15" s="5" t="s">
        <v>5</v>
      </c>
      <c r="B15" s="8">
        <v>3.3</v>
      </c>
    </row>
    <row r="16" spans="1:6" x14ac:dyDescent="0.25">
      <c r="A16" s="1" t="s">
        <v>6</v>
      </c>
      <c r="B16" s="7">
        <f>B15*0.9583</f>
        <v>3.1623899999999998</v>
      </c>
    </row>
    <row r="17" spans="1:2" x14ac:dyDescent="0.25">
      <c r="A17" s="1" t="s">
        <v>7</v>
      </c>
      <c r="B17" s="4">
        <f>B15*0.9166</f>
        <v>3.0247799999999998</v>
      </c>
    </row>
    <row r="18" spans="1:2" x14ac:dyDescent="0.25">
      <c r="A18" s="1" t="s">
        <v>8</v>
      </c>
      <c r="B18" s="4">
        <f>B15*1.083</f>
        <v>3.5738999999999996</v>
      </c>
    </row>
    <row r="19" spans="1:2" x14ac:dyDescent="0.25">
      <c r="A19" s="1" t="s">
        <v>9</v>
      </c>
      <c r="B19" s="1">
        <v>0.79500000000000004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A3000-8D33-48E5-BEAA-CC2404E901D0}">
  <dimension ref="A4:R32"/>
  <sheetViews>
    <sheetView topLeftCell="B10" workbookViewId="0">
      <selection activeCell="D17" sqref="D17"/>
    </sheetView>
  </sheetViews>
  <sheetFormatPr defaultRowHeight="15" x14ac:dyDescent="0.25"/>
  <cols>
    <col min="1" max="1" width="14.7109375" customWidth="1"/>
    <col min="2" max="2" width="6.7109375" customWidth="1"/>
    <col min="3" max="3" width="38.7109375" customWidth="1"/>
    <col min="10" max="10" width="3.7109375" customWidth="1"/>
    <col min="11" max="11" width="41.28515625" customWidth="1"/>
  </cols>
  <sheetData>
    <row r="4" spans="1:17" x14ac:dyDescent="0.25">
      <c r="A4" s="1"/>
      <c r="B4" s="1" t="s">
        <v>61</v>
      </c>
    </row>
    <row r="5" spans="1:17" x14ac:dyDescent="0.25">
      <c r="A5" s="1" t="s">
        <v>38</v>
      </c>
      <c r="B5" s="10">
        <v>4.7E-2</v>
      </c>
    </row>
    <row r="6" spans="1:17" x14ac:dyDescent="0.25">
      <c r="A6" s="1" t="s">
        <v>39</v>
      </c>
      <c r="B6" s="10">
        <v>5.2999999999999999E-2</v>
      </c>
    </row>
    <row r="7" spans="1:17" x14ac:dyDescent="0.25">
      <c r="A7" s="1" t="s">
        <v>40</v>
      </c>
      <c r="B7" s="10">
        <v>6.5000000000000002E-2</v>
      </c>
    </row>
    <row r="8" spans="1:17" x14ac:dyDescent="0.25">
      <c r="A8" s="1" t="s">
        <v>41</v>
      </c>
      <c r="B8" s="10">
        <v>0.09</v>
      </c>
    </row>
    <row r="9" spans="1:17" x14ac:dyDescent="0.25">
      <c r="A9" s="1" t="s">
        <v>42</v>
      </c>
      <c r="B9" s="1">
        <v>100</v>
      </c>
    </row>
    <row r="10" spans="1:17" x14ac:dyDescent="0.25">
      <c r="A10" s="1" t="s">
        <v>5</v>
      </c>
      <c r="B10" s="1">
        <v>12</v>
      </c>
    </row>
    <row r="11" spans="1:17" x14ac:dyDescent="0.25">
      <c r="A11" s="1" t="s">
        <v>5</v>
      </c>
      <c r="B11" s="1">
        <v>5</v>
      </c>
    </row>
    <row r="12" spans="1:17" x14ac:dyDescent="0.25">
      <c r="A12" s="1" t="s">
        <v>5</v>
      </c>
      <c r="B12" s="1">
        <v>3.3</v>
      </c>
    </row>
    <row r="14" spans="1:17" x14ac:dyDescent="0.25">
      <c r="K14" s="1" t="s">
        <v>58</v>
      </c>
    </row>
    <row r="15" spans="1:17" ht="15.75" thickBot="1" x14ac:dyDescent="0.3">
      <c r="C15" s="1" t="s">
        <v>46</v>
      </c>
      <c r="D15" s="1">
        <v>0.5</v>
      </c>
      <c r="E15" s="1">
        <v>1</v>
      </c>
      <c r="F15" s="1">
        <v>2</v>
      </c>
      <c r="G15" s="1">
        <v>3</v>
      </c>
      <c r="H15" s="1">
        <v>4</v>
      </c>
      <c r="I15" s="1">
        <v>5</v>
      </c>
      <c r="K15" s="14" t="s">
        <v>46</v>
      </c>
      <c r="L15" s="14">
        <v>0.5</v>
      </c>
      <c r="M15" s="14">
        <v>1</v>
      </c>
      <c r="N15" s="14">
        <v>2</v>
      </c>
      <c r="O15" s="14">
        <v>3</v>
      </c>
      <c r="P15" s="14">
        <v>4</v>
      </c>
      <c r="Q15" s="14">
        <v>5</v>
      </c>
    </row>
    <row r="16" spans="1:17" x14ac:dyDescent="0.25">
      <c r="C16" s="1" t="s">
        <v>49</v>
      </c>
      <c r="D16" s="11">
        <f>$B$5/D15</f>
        <v>9.4E-2</v>
      </c>
      <c r="E16" s="11">
        <f t="shared" ref="E16:I16" si="0">$B$5/E15</f>
        <v>4.7E-2</v>
      </c>
      <c r="F16" s="11">
        <f t="shared" si="0"/>
        <v>2.35E-2</v>
      </c>
      <c r="G16" s="11">
        <f t="shared" si="0"/>
        <v>1.5666666666666666E-2</v>
      </c>
      <c r="H16" s="11">
        <f t="shared" si="0"/>
        <v>1.175E-2</v>
      </c>
      <c r="I16" s="11">
        <f t="shared" si="0"/>
        <v>9.4000000000000004E-3</v>
      </c>
      <c r="K16" s="15" t="s">
        <v>43</v>
      </c>
      <c r="L16" s="16">
        <v>1.68</v>
      </c>
      <c r="M16" s="16">
        <v>0.86799999999999999</v>
      </c>
      <c r="N16" s="16">
        <v>0.40600000000000003</v>
      </c>
      <c r="O16" s="17">
        <v>0.27700000000000002</v>
      </c>
      <c r="P16" s="17">
        <v>0.20300000000000001</v>
      </c>
      <c r="Q16" s="18">
        <v>0.16600000000000001</v>
      </c>
    </row>
    <row r="17" spans="3:18" x14ac:dyDescent="0.25">
      <c r="C17" s="1" t="s">
        <v>60</v>
      </c>
      <c r="D17" s="4">
        <v>91</v>
      </c>
      <c r="E17" s="4">
        <v>47</v>
      </c>
      <c r="F17" s="4">
        <v>22</v>
      </c>
      <c r="G17" s="4">
        <v>15</v>
      </c>
      <c r="H17" s="4">
        <v>11</v>
      </c>
      <c r="I17" s="4">
        <v>9</v>
      </c>
      <c r="K17" s="19" t="s">
        <v>56</v>
      </c>
      <c r="L17" s="12">
        <f>L16*2.22</f>
        <v>3.7296</v>
      </c>
      <c r="M17" s="12">
        <f t="shared" ref="M17:Q17" si="1">M16*2.22</f>
        <v>1.9269600000000002</v>
      </c>
      <c r="N17" s="12">
        <f t="shared" si="1"/>
        <v>0.90132000000000012</v>
      </c>
      <c r="O17" s="13">
        <f t="shared" si="1"/>
        <v>0.61494000000000015</v>
      </c>
      <c r="P17" s="13">
        <f t="shared" si="1"/>
        <v>0.45066000000000006</v>
      </c>
      <c r="Q17" s="20">
        <f t="shared" si="1"/>
        <v>0.36852000000000007</v>
      </c>
      <c r="R17" t="s">
        <v>57</v>
      </c>
    </row>
    <row r="18" spans="3:18" x14ac:dyDescent="0.25">
      <c r="D18" s="2"/>
      <c r="E18" s="2"/>
      <c r="F18" s="2"/>
      <c r="G18" s="2"/>
      <c r="H18" s="2"/>
      <c r="I18" s="2"/>
      <c r="K18" s="19" t="s">
        <v>53</v>
      </c>
      <c r="L18" s="1">
        <v>120</v>
      </c>
      <c r="M18" s="1">
        <v>80</v>
      </c>
      <c r="N18" s="1">
        <v>15</v>
      </c>
      <c r="O18" s="1">
        <v>8</v>
      </c>
      <c r="P18" s="1">
        <v>4</v>
      </c>
      <c r="Q18" s="21">
        <v>1.1000000000000001</v>
      </c>
    </row>
    <row r="19" spans="3:18" ht="15.75" thickBot="1" x14ac:dyDescent="0.3">
      <c r="C19" s="1" t="s">
        <v>47</v>
      </c>
      <c r="D19" s="10">
        <f>$B$7/(D17/1000)</f>
        <v>0.7142857142857143</v>
      </c>
      <c r="E19" s="10">
        <f t="shared" ref="E19:I19" si="2">$B$7/(E17/1000)</f>
        <v>1.3829787234042554</v>
      </c>
      <c r="F19" s="10">
        <f t="shared" si="2"/>
        <v>2.954545454545455</v>
      </c>
      <c r="G19" s="10">
        <f t="shared" si="2"/>
        <v>4.3333333333333339</v>
      </c>
      <c r="H19" s="10">
        <f t="shared" si="2"/>
        <v>5.9090909090909101</v>
      </c>
      <c r="I19" s="10">
        <f t="shared" si="2"/>
        <v>7.2222222222222232</v>
      </c>
      <c r="K19" s="22" t="s">
        <v>59</v>
      </c>
      <c r="L19" s="23">
        <f>L17/$B$10</f>
        <v>0.31080000000000002</v>
      </c>
      <c r="M19" s="23">
        <f t="shared" ref="M19:Q19" si="3">M17/$B$10</f>
        <v>0.16058000000000003</v>
      </c>
      <c r="N19" s="23">
        <f t="shared" si="3"/>
        <v>7.511000000000001E-2</v>
      </c>
      <c r="O19" s="23">
        <f t="shared" si="3"/>
        <v>5.1245000000000013E-2</v>
      </c>
      <c r="P19" s="23">
        <f t="shared" si="3"/>
        <v>3.7555000000000005E-2</v>
      </c>
      <c r="Q19" s="24">
        <f t="shared" si="3"/>
        <v>3.0710000000000005E-2</v>
      </c>
    </row>
    <row r="20" spans="3:18" x14ac:dyDescent="0.25">
      <c r="C20" s="1" t="s">
        <v>48</v>
      </c>
      <c r="D20" s="10">
        <f>$B$8/(D17/1000)</f>
        <v>0.98901098901098905</v>
      </c>
      <c r="E20" s="10">
        <f t="shared" ref="E20:I20" si="4">$B$8/(E17/1000)</f>
        <v>1.9148936170212765</v>
      </c>
      <c r="F20" s="10">
        <f t="shared" si="4"/>
        <v>4.0909090909090908</v>
      </c>
      <c r="G20" s="10">
        <f t="shared" si="4"/>
        <v>6</v>
      </c>
      <c r="H20" s="10">
        <f t="shared" si="4"/>
        <v>8.1818181818181817</v>
      </c>
      <c r="I20" s="10">
        <f t="shared" si="4"/>
        <v>10</v>
      </c>
      <c r="K20" s="15" t="s">
        <v>44</v>
      </c>
      <c r="L20" s="16">
        <v>0.7</v>
      </c>
      <c r="M20" s="16">
        <v>0.36199999999999999</v>
      </c>
      <c r="N20" s="16">
        <v>0.16900000000000001</v>
      </c>
      <c r="O20" s="16">
        <v>0.115</v>
      </c>
      <c r="P20" s="16">
        <v>8.5000000000000006E-2</v>
      </c>
      <c r="Q20" s="25">
        <v>6.9000000000000006E-2</v>
      </c>
    </row>
    <row r="21" spans="3:18" x14ac:dyDescent="0.25">
      <c r="D21" s="2"/>
      <c r="E21" s="2"/>
      <c r="F21" s="2"/>
      <c r="G21" s="2"/>
      <c r="H21" s="2"/>
      <c r="I21" s="2"/>
      <c r="K21" s="19" t="s">
        <v>56</v>
      </c>
      <c r="L21" s="12">
        <f>L20*2.22</f>
        <v>1.554</v>
      </c>
      <c r="M21" s="12">
        <f t="shared" ref="M21:Q21" si="5">M20*2.22</f>
        <v>0.80364000000000002</v>
      </c>
      <c r="N21" s="12">
        <f t="shared" si="5"/>
        <v>0.37518000000000007</v>
      </c>
      <c r="O21" s="12">
        <f t="shared" si="5"/>
        <v>0.25530000000000003</v>
      </c>
      <c r="P21" s="12">
        <f t="shared" si="5"/>
        <v>0.18870000000000003</v>
      </c>
      <c r="Q21" s="26">
        <f t="shared" si="5"/>
        <v>0.15318000000000004</v>
      </c>
      <c r="R21" t="s">
        <v>57</v>
      </c>
    </row>
    <row r="22" spans="3:18" x14ac:dyDescent="0.25">
      <c r="C22" s="1" t="s">
        <v>43</v>
      </c>
      <c r="D22" s="10">
        <f>((($B$9/1000000)*$B$10)/D19)*1000</f>
        <v>1.6800000000000002</v>
      </c>
      <c r="E22" s="10">
        <f>((($B$9/1000000)*$B$10)/E19)*1000</f>
        <v>0.86769230769230776</v>
      </c>
      <c r="F22" s="10">
        <f t="shared" ref="F22:I22" si="6">((($B$9/1000000)*$B$10)/F19)*1000</f>
        <v>0.40615384615384614</v>
      </c>
      <c r="G22" s="10">
        <f t="shared" si="6"/>
        <v>0.27692307692307688</v>
      </c>
      <c r="H22" s="10">
        <f t="shared" si="6"/>
        <v>0.20307692307692307</v>
      </c>
      <c r="I22" s="10">
        <f t="shared" si="6"/>
        <v>0.16615384615384615</v>
      </c>
      <c r="K22" s="19" t="s">
        <v>54</v>
      </c>
      <c r="L22" s="1">
        <v>250</v>
      </c>
      <c r="M22" s="1">
        <v>140</v>
      </c>
      <c r="N22" s="1">
        <v>90</v>
      </c>
      <c r="O22" s="1">
        <v>50</v>
      </c>
      <c r="P22" s="1">
        <v>30</v>
      </c>
      <c r="Q22" s="21">
        <v>10</v>
      </c>
    </row>
    <row r="23" spans="3:18" ht="15.75" thickBot="1" x14ac:dyDescent="0.3">
      <c r="C23" s="1" t="s">
        <v>44</v>
      </c>
      <c r="D23" s="10">
        <f t="shared" ref="D23:I23" si="7">((($B$9/1000000)*$B$11)/D19)*1000</f>
        <v>0.7</v>
      </c>
      <c r="E23" s="10">
        <f t="shared" si="7"/>
        <v>0.36153846153846153</v>
      </c>
      <c r="F23" s="10">
        <f t="shared" si="7"/>
        <v>0.16923076923076921</v>
      </c>
      <c r="G23" s="10">
        <f t="shared" si="7"/>
        <v>0.11538461538461536</v>
      </c>
      <c r="H23" s="10">
        <f t="shared" si="7"/>
        <v>8.4615384615384606E-2</v>
      </c>
      <c r="I23" s="10">
        <f t="shared" si="7"/>
        <v>6.9230769230769221E-2</v>
      </c>
      <c r="K23" s="22" t="s">
        <v>59</v>
      </c>
      <c r="L23" s="23">
        <f>L21/$B$11</f>
        <v>0.31080000000000002</v>
      </c>
      <c r="M23" s="23">
        <f t="shared" ref="M23:Q23" si="8">M21/$B$11</f>
        <v>0.16072800000000001</v>
      </c>
      <c r="N23" s="23">
        <f t="shared" si="8"/>
        <v>7.5036000000000019E-2</v>
      </c>
      <c r="O23" s="23">
        <f t="shared" si="8"/>
        <v>5.1060000000000008E-2</v>
      </c>
      <c r="P23" s="23">
        <f t="shared" si="8"/>
        <v>3.774000000000001E-2</v>
      </c>
      <c r="Q23" s="24">
        <f t="shared" si="8"/>
        <v>3.0636000000000007E-2</v>
      </c>
    </row>
    <row r="24" spans="3:18" x14ac:dyDescent="0.25">
      <c r="C24" s="1" t="s">
        <v>45</v>
      </c>
      <c r="D24" s="10">
        <f t="shared" ref="D24:I24" si="9">((($B$9/1000000)*$B$12)/D19)*1000</f>
        <v>0.46200000000000002</v>
      </c>
      <c r="E24" s="10">
        <f t="shared" si="9"/>
        <v>0.23861538461538459</v>
      </c>
      <c r="F24" s="10">
        <f t="shared" si="9"/>
        <v>0.11169230769230767</v>
      </c>
      <c r="G24" s="10">
        <f t="shared" si="9"/>
        <v>7.6153846153846141E-2</v>
      </c>
      <c r="H24" s="10">
        <f t="shared" si="9"/>
        <v>5.5846153846153837E-2</v>
      </c>
      <c r="I24" s="10">
        <f t="shared" si="9"/>
        <v>4.5692307692307685E-2</v>
      </c>
      <c r="K24" s="15" t="s">
        <v>45</v>
      </c>
      <c r="L24" s="16">
        <v>0.46200000000000002</v>
      </c>
      <c r="M24" s="16">
        <v>0.23899999999999999</v>
      </c>
      <c r="N24" s="16">
        <v>0.112</v>
      </c>
      <c r="O24" s="16">
        <v>7.5999999999999998E-2</v>
      </c>
      <c r="P24" s="16">
        <v>5.6000000000000001E-2</v>
      </c>
      <c r="Q24" s="25">
        <v>4.5999999999999999E-2</v>
      </c>
    </row>
    <row r="25" spans="3:18" x14ac:dyDescent="0.25">
      <c r="K25" s="19" t="s">
        <v>56</v>
      </c>
      <c r="L25" s="12">
        <f>L24*2.22</f>
        <v>1.0256400000000001</v>
      </c>
      <c r="M25" s="12">
        <f t="shared" ref="M25:Q25" si="10">M24*2.22</f>
        <v>0.53058000000000005</v>
      </c>
      <c r="N25" s="12">
        <f t="shared" si="10"/>
        <v>0.24864000000000003</v>
      </c>
      <c r="O25" s="12">
        <f t="shared" si="10"/>
        <v>0.16872000000000001</v>
      </c>
      <c r="P25" s="12">
        <f t="shared" si="10"/>
        <v>0.12432000000000001</v>
      </c>
      <c r="Q25" s="26">
        <f t="shared" si="10"/>
        <v>0.10212</v>
      </c>
      <c r="R25" t="s">
        <v>57</v>
      </c>
    </row>
    <row r="26" spans="3:18" x14ac:dyDescent="0.25">
      <c r="C26" s="1" t="s">
        <v>50</v>
      </c>
      <c r="D26" s="4">
        <f>$B$10*D20</f>
        <v>11.868131868131869</v>
      </c>
      <c r="E26" s="4">
        <f t="shared" ref="E26:I26" si="11">$B$10*E20</f>
        <v>22.978723404255319</v>
      </c>
      <c r="F26" s="4">
        <f t="shared" si="11"/>
        <v>49.090909090909093</v>
      </c>
      <c r="G26" s="4">
        <f t="shared" si="11"/>
        <v>72</v>
      </c>
      <c r="H26" s="4">
        <f t="shared" si="11"/>
        <v>98.181818181818187</v>
      </c>
      <c r="I26" s="4">
        <f t="shared" si="11"/>
        <v>120</v>
      </c>
      <c r="K26" s="19" t="s">
        <v>55</v>
      </c>
      <c r="L26" s="1">
        <v>11000</v>
      </c>
      <c r="M26" s="1">
        <v>1000</v>
      </c>
      <c r="N26" s="1">
        <v>130</v>
      </c>
      <c r="O26" s="1">
        <v>90</v>
      </c>
      <c r="P26" s="1">
        <v>70</v>
      </c>
      <c r="Q26" s="21">
        <v>50</v>
      </c>
    </row>
    <row r="27" spans="3:18" ht="15.75" thickBot="1" x14ac:dyDescent="0.3">
      <c r="C27" s="1" t="s">
        <v>51</v>
      </c>
      <c r="D27" s="4">
        <f>$B$11*D20</f>
        <v>4.9450549450549453</v>
      </c>
      <c r="E27" s="4">
        <f t="shared" ref="E27:I27" si="12">$B$11*E20</f>
        <v>9.5744680851063819</v>
      </c>
      <c r="F27" s="4">
        <f t="shared" si="12"/>
        <v>20.454545454545453</v>
      </c>
      <c r="G27" s="4">
        <f t="shared" si="12"/>
        <v>30</v>
      </c>
      <c r="H27" s="4">
        <f t="shared" si="12"/>
        <v>40.909090909090907</v>
      </c>
      <c r="I27" s="4">
        <f t="shared" si="12"/>
        <v>50</v>
      </c>
      <c r="K27" s="22" t="s">
        <v>59</v>
      </c>
      <c r="L27" s="23">
        <f>L25/$B$12</f>
        <v>0.31080000000000008</v>
      </c>
      <c r="M27" s="23">
        <f t="shared" ref="M27:Q27" si="13">M25/$B$12</f>
        <v>0.16078181818181819</v>
      </c>
      <c r="N27" s="23">
        <f t="shared" si="13"/>
        <v>7.5345454545454563E-2</v>
      </c>
      <c r="O27" s="23">
        <f t="shared" si="13"/>
        <v>5.112727272727273E-2</v>
      </c>
      <c r="P27" s="23">
        <f t="shared" si="13"/>
        <v>3.7672727272727281E-2</v>
      </c>
      <c r="Q27" s="24">
        <f t="shared" si="13"/>
        <v>3.0945454545454547E-2</v>
      </c>
    </row>
    <row r="28" spans="3:18" x14ac:dyDescent="0.25">
      <c r="C28" s="1" t="s">
        <v>52</v>
      </c>
      <c r="D28" s="4">
        <f>$B$12*D20</f>
        <v>3.2637362637362637</v>
      </c>
      <c r="E28" s="4">
        <f t="shared" ref="E28:I28" si="14">$B$12*E20</f>
        <v>6.3191489361702118</v>
      </c>
      <c r="F28" s="4">
        <f t="shared" si="14"/>
        <v>13.499999999999998</v>
      </c>
      <c r="G28" s="4">
        <f t="shared" si="14"/>
        <v>19.799999999999997</v>
      </c>
      <c r="H28" s="4">
        <f t="shared" si="14"/>
        <v>26.999999999999996</v>
      </c>
      <c r="I28" s="4">
        <f t="shared" si="14"/>
        <v>33</v>
      </c>
    </row>
    <row r="30" spans="3:18" x14ac:dyDescent="0.25">
      <c r="C30" s="1" t="s">
        <v>53</v>
      </c>
      <c r="D30" s="1">
        <v>120</v>
      </c>
      <c r="E30" s="1">
        <v>80</v>
      </c>
      <c r="F30" s="1">
        <v>15</v>
      </c>
      <c r="G30" s="1">
        <v>8</v>
      </c>
      <c r="H30" s="1">
        <v>4</v>
      </c>
      <c r="I30" s="1">
        <v>1.1000000000000001</v>
      </c>
    </row>
    <row r="31" spans="3:18" x14ac:dyDescent="0.25">
      <c r="C31" s="1" t="s">
        <v>54</v>
      </c>
      <c r="D31" s="1">
        <v>250</v>
      </c>
      <c r="E31" s="1">
        <v>140</v>
      </c>
      <c r="F31" s="1">
        <v>90</v>
      </c>
      <c r="G31" s="1">
        <v>50</v>
      </c>
      <c r="H31" s="1">
        <v>30</v>
      </c>
      <c r="I31" s="1">
        <v>10</v>
      </c>
    </row>
    <row r="32" spans="3:18" x14ac:dyDescent="0.25">
      <c r="C32" s="1" t="s">
        <v>55</v>
      </c>
      <c r="D32" s="1">
        <v>11000</v>
      </c>
      <c r="E32" s="1">
        <v>1000</v>
      </c>
      <c r="F32" s="1">
        <v>130</v>
      </c>
      <c r="G32" s="1">
        <v>90</v>
      </c>
      <c r="H32" s="1">
        <v>70</v>
      </c>
      <c r="I32" s="1">
        <v>50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CC941-F86D-4655-8579-3CBA5992E6D4}">
  <dimension ref="A2:K31"/>
  <sheetViews>
    <sheetView workbookViewId="0">
      <selection activeCell="B5" sqref="B5"/>
    </sheetView>
  </sheetViews>
  <sheetFormatPr defaultRowHeight="15" x14ac:dyDescent="0.25"/>
  <cols>
    <col min="1" max="1" width="12.5703125" customWidth="1"/>
    <col min="2" max="2" width="9.5703125" bestFit="1" customWidth="1"/>
    <col min="5" max="5" width="18.85546875" customWidth="1"/>
    <col min="8" max="8" width="2.85546875" customWidth="1"/>
    <col min="9" max="10" width="10.7109375" customWidth="1"/>
    <col min="11" max="11" width="13.28515625" customWidth="1"/>
  </cols>
  <sheetData>
    <row r="2" spans="1:11" x14ac:dyDescent="0.25">
      <c r="I2" s="46" t="s">
        <v>158</v>
      </c>
      <c r="J2" s="46"/>
      <c r="K2" s="46"/>
    </row>
    <row r="3" spans="1:11" x14ac:dyDescent="0.25">
      <c r="A3" s="30" t="s">
        <v>37</v>
      </c>
      <c r="B3" s="33"/>
      <c r="D3" s="29" t="s">
        <v>88</v>
      </c>
      <c r="E3" s="29" t="s">
        <v>145</v>
      </c>
      <c r="F3" s="42" t="s">
        <v>146</v>
      </c>
      <c r="G3" s="42" t="s">
        <v>147</v>
      </c>
      <c r="H3" s="33"/>
      <c r="I3" s="42" t="s">
        <v>14</v>
      </c>
      <c r="J3" s="42" t="s">
        <v>13</v>
      </c>
      <c r="K3" s="42" t="s">
        <v>12</v>
      </c>
    </row>
    <row r="4" spans="1:11" x14ac:dyDescent="0.25">
      <c r="A4" s="9" t="s">
        <v>15</v>
      </c>
      <c r="B4" s="33"/>
      <c r="D4" s="38">
        <v>0.5</v>
      </c>
      <c r="E4" s="38">
        <v>0.311</v>
      </c>
      <c r="F4" s="43" t="s">
        <v>148</v>
      </c>
      <c r="G4" s="43" t="s">
        <v>149</v>
      </c>
      <c r="H4" s="39"/>
      <c r="I4" s="10">
        <v>3.7296</v>
      </c>
      <c r="J4" s="10">
        <v>1.554</v>
      </c>
      <c r="K4" s="10">
        <v>1.0256400000000001</v>
      </c>
    </row>
    <row r="5" spans="1:11" x14ac:dyDescent="0.25">
      <c r="A5" s="9" t="s">
        <v>16</v>
      </c>
      <c r="B5" s="33"/>
      <c r="D5" s="38">
        <v>1</v>
      </c>
      <c r="E5" s="38">
        <v>0.161</v>
      </c>
      <c r="F5" s="44" t="s">
        <v>150</v>
      </c>
      <c r="G5" s="44" t="s">
        <v>151</v>
      </c>
      <c r="H5" s="33"/>
      <c r="I5" s="10">
        <v>1.9269600000000002</v>
      </c>
      <c r="J5" s="10">
        <v>0.80364000000000002</v>
      </c>
      <c r="K5" s="10">
        <v>0.53058000000000005</v>
      </c>
    </row>
    <row r="6" spans="1:11" x14ac:dyDescent="0.25">
      <c r="A6" s="9" t="s">
        <v>17</v>
      </c>
      <c r="B6" s="34"/>
      <c r="D6" s="38">
        <v>2</v>
      </c>
      <c r="E6" s="38">
        <v>7.4999999999999997E-2</v>
      </c>
      <c r="F6" s="44" t="s">
        <v>152</v>
      </c>
      <c r="G6" s="44" t="s">
        <v>154</v>
      </c>
      <c r="I6" s="10">
        <v>0.90132000000000012</v>
      </c>
      <c r="J6" s="10">
        <v>0.37518000000000007</v>
      </c>
      <c r="K6" s="10">
        <v>0.24864000000000003</v>
      </c>
    </row>
    <row r="7" spans="1:11" x14ac:dyDescent="0.25">
      <c r="A7" s="9" t="s">
        <v>18</v>
      </c>
      <c r="B7" s="40"/>
      <c r="D7" s="38">
        <v>3</v>
      </c>
      <c r="E7" s="38">
        <v>5.0999999999999997E-2</v>
      </c>
      <c r="F7" s="44" t="s">
        <v>153</v>
      </c>
      <c r="G7" s="44" t="s">
        <v>154</v>
      </c>
      <c r="I7" s="10">
        <v>0.61494000000000015</v>
      </c>
      <c r="J7" s="10">
        <v>0.25530000000000003</v>
      </c>
      <c r="K7" s="10">
        <v>0.16872000000000001</v>
      </c>
    </row>
    <row r="8" spans="1:11" x14ac:dyDescent="0.25">
      <c r="A8" s="9" t="s">
        <v>19</v>
      </c>
      <c r="D8" s="38">
        <v>4</v>
      </c>
      <c r="E8" s="38">
        <v>3.7999999999999999E-2</v>
      </c>
      <c r="F8" s="44" t="s">
        <v>155</v>
      </c>
      <c r="G8" s="44" t="s">
        <v>156</v>
      </c>
      <c r="I8" s="10">
        <v>0.45066000000000006</v>
      </c>
      <c r="J8" s="10">
        <v>0.18870000000000003</v>
      </c>
      <c r="K8" s="10">
        <v>0.12432000000000001</v>
      </c>
    </row>
    <row r="9" spans="1:11" x14ac:dyDescent="0.25">
      <c r="A9" s="9" t="s">
        <v>20</v>
      </c>
      <c r="D9" s="38">
        <v>5</v>
      </c>
      <c r="E9" s="38">
        <v>3.1E-2</v>
      </c>
      <c r="F9" s="44" t="s">
        <v>155</v>
      </c>
      <c r="G9" s="44" t="s">
        <v>157</v>
      </c>
      <c r="I9" s="10">
        <v>0.36852000000000007</v>
      </c>
      <c r="J9" s="10">
        <v>0.15318000000000004</v>
      </c>
      <c r="K9" s="10">
        <v>0.10212</v>
      </c>
    </row>
    <row r="10" spans="1:11" x14ac:dyDescent="0.25">
      <c r="A10" s="9" t="s">
        <v>21</v>
      </c>
    </row>
    <row r="11" spans="1:11" x14ac:dyDescent="0.25">
      <c r="A11" s="9" t="s">
        <v>22</v>
      </c>
    </row>
    <row r="12" spans="1:11" x14ac:dyDescent="0.25">
      <c r="A12" s="9" t="s">
        <v>23</v>
      </c>
    </row>
    <row r="13" spans="1:11" x14ac:dyDescent="0.25">
      <c r="A13" s="9" t="s">
        <v>24</v>
      </c>
    </row>
    <row r="14" spans="1:11" x14ac:dyDescent="0.25">
      <c r="A14" s="9" t="s">
        <v>25</v>
      </c>
    </row>
    <row r="15" spans="1:11" x14ac:dyDescent="0.25">
      <c r="A15" s="9" t="s">
        <v>26</v>
      </c>
    </row>
    <row r="16" spans="1:11" x14ac:dyDescent="0.25">
      <c r="A16" s="9" t="s">
        <v>27</v>
      </c>
    </row>
    <row r="17" spans="1:1" x14ac:dyDescent="0.25">
      <c r="A17" s="9" t="s">
        <v>28</v>
      </c>
    </row>
    <row r="18" spans="1:1" x14ac:dyDescent="0.25">
      <c r="A18" s="9" t="s">
        <v>29</v>
      </c>
    </row>
    <row r="19" spans="1:1" x14ac:dyDescent="0.25">
      <c r="A19" s="9" t="s">
        <v>30</v>
      </c>
    </row>
    <row r="20" spans="1:1" x14ac:dyDescent="0.25">
      <c r="A20" s="9" t="s">
        <v>31</v>
      </c>
    </row>
    <row r="21" spans="1:1" x14ac:dyDescent="0.25">
      <c r="A21" s="9" t="s">
        <v>32</v>
      </c>
    </row>
    <row r="22" spans="1:1" x14ac:dyDescent="0.25">
      <c r="A22" s="9" t="s">
        <v>33</v>
      </c>
    </row>
    <row r="23" spans="1:1" x14ac:dyDescent="0.25">
      <c r="A23" s="9" t="s">
        <v>34</v>
      </c>
    </row>
    <row r="24" spans="1:1" x14ac:dyDescent="0.25">
      <c r="A24" s="9" t="s">
        <v>35</v>
      </c>
    </row>
    <row r="25" spans="1:1" x14ac:dyDescent="0.25">
      <c r="A25" s="9" t="s">
        <v>36</v>
      </c>
    </row>
    <row r="26" spans="1:1" x14ac:dyDescent="0.25">
      <c r="A26" s="41"/>
    </row>
    <row r="27" spans="1:1" x14ac:dyDescent="0.25">
      <c r="A27" s="41"/>
    </row>
    <row r="28" spans="1:1" x14ac:dyDescent="0.25">
      <c r="A28" s="41"/>
    </row>
    <row r="29" spans="1:1" x14ac:dyDescent="0.25">
      <c r="A29" s="41"/>
    </row>
    <row r="30" spans="1:1" x14ac:dyDescent="0.25">
      <c r="A30" s="41"/>
    </row>
    <row r="31" spans="1:1" x14ac:dyDescent="0.25">
      <c r="A31" s="41"/>
    </row>
  </sheetData>
  <mergeCells count="1">
    <mergeCell ref="I2:K2"/>
  </mergeCell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68E1E-DF00-4E16-B4F0-08CDD781E438}">
  <dimension ref="A2:Q20"/>
  <sheetViews>
    <sheetView tabSelected="1" workbookViewId="0">
      <selection activeCell="R20" sqref="R19:R20"/>
    </sheetView>
  </sheetViews>
  <sheetFormatPr defaultRowHeight="15" x14ac:dyDescent="0.25"/>
  <cols>
    <col min="1" max="1" width="15.42578125" customWidth="1"/>
    <col min="2" max="2" width="10.7109375" customWidth="1"/>
    <col min="4" max="4" width="9.85546875" customWidth="1"/>
    <col min="5" max="6" width="9.7109375" customWidth="1"/>
    <col min="7" max="7" width="4.42578125" customWidth="1"/>
    <col min="8" max="13" width="9.7109375" customWidth="1"/>
    <col min="15" max="15" width="14.28515625" style="37" customWidth="1"/>
    <col min="16" max="16" width="7.28515625" customWidth="1"/>
  </cols>
  <sheetData>
    <row r="2" spans="1:17" x14ac:dyDescent="0.25">
      <c r="D2" s="47" t="s">
        <v>101</v>
      </c>
      <c r="E2" s="47"/>
      <c r="F2" s="47"/>
      <c r="H2" s="47" t="s">
        <v>99</v>
      </c>
      <c r="I2" s="47"/>
      <c r="J2" s="47"/>
      <c r="K2" s="47"/>
      <c r="L2" s="47"/>
      <c r="M2" s="47"/>
      <c r="O2" s="38" t="s">
        <v>102</v>
      </c>
      <c r="P2" s="47" t="s">
        <v>103</v>
      </c>
      <c r="Q2" s="47"/>
    </row>
    <row r="3" spans="1:17" x14ac:dyDescent="0.25">
      <c r="A3" s="1"/>
      <c r="B3" s="1" t="s">
        <v>61</v>
      </c>
      <c r="D3" s="29" t="s">
        <v>88</v>
      </c>
      <c r="E3" s="29" t="s">
        <v>89</v>
      </c>
      <c r="F3" s="29" t="s">
        <v>98</v>
      </c>
      <c r="G3" s="30"/>
      <c r="H3" s="29" t="s">
        <v>90</v>
      </c>
      <c r="I3" s="29" t="s">
        <v>91</v>
      </c>
      <c r="J3" s="29" t="s">
        <v>92</v>
      </c>
      <c r="K3" s="29" t="s">
        <v>93</v>
      </c>
      <c r="L3" s="29" t="s">
        <v>97</v>
      </c>
      <c r="M3" s="29" t="s">
        <v>94</v>
      </c>
      <c r="O3" s="38" t="s">
        <v>136</v>
      </c>
      <c r="P3" s="38" t="s">
        <v>104</v>
      </c>
      <c r="Q3" s="38" t="s">
        <v>120</v>
      </c>
    </row>
    <row r="4" spans="1:17" x14ac:dyDescent="0.25">
      <c r="A4" s="1" t="s">
        <v>38</v>
      </c>
      <c r="B4" s="10">
        <v>4.7E-2</v>
      </c>
      <c r="D4" s="1">
        <v>0.5</v>
      </c>
      <c r="E4" s="35">
        <v>9.0999999999999998E-2</v>
      </c>
      <c r="F4" s="10">
        <f>D4*E4</f>
        <v>4.5499999999999999E-2</v>
      </c>
      <c r="G4" s="28"/>
      <c r="H4" s="10">
        <f>$B$4/E4</f>
        <v>0.51648351648351654</v>
      </c>
      <c r="I4" s="31">
        <f>$B$5/E4</f>
        <v>0.5494505494505495</v>
      </c>
      <c r="J4" s="10">
        <f>$B$6/E4</f>
        <v>0.58241758241758246</v>
      </c>
      <c r="K4" s="10">
        <f>$B$7/E4</f>
        <v>0.7142857142857143</v>
      </c>
      <c r="L4" s="32">
        <f>$B$8/E4</f>
        <v>0.87912087912087922</v>
      </c>
      <c r="M4" s="10">
        <f>$B$9/E4</f>
        <v>0.98901098901098905</v>
      </c>
      <c r="O4" s="38" t="s">
        <v>137</v>
      </c>
      <c r="P4" s="38" t="s">
        <v>105</v>
      </c>
      <c r="Q4" s="38" t="s">
        <v>121</v>
      </c>
    </row>
    <row r="5" spans="1:17" x14ac:dyDescent="0.25">
      <c r="A5" s="1" t="s">
        <v>95</v>
      </c>
      <c r="B5" s="10">
        <v>0.05</v>
      </c>
      <c r="D5" s="1">
        <v>1</v>
      </c>
      <c r="E5" s="35">
        <v>4.7E-2</v>
      </c>
      <c r="F5" s="10">
        <f t="shared" ref="F5:F9" si="0">D5*E5</f>
        <v>4.7E-2</v>
      </c>
      <c r="G5" s="28"/>
      <c r="H5" s="10">
        <f t="shared" ref="H5:H9" si="1">$B$4/E5</f>
        <v>1</v>
      </c>
      <c r="I5" s="31">
        <f t="shared" ref="I5:I9" si="2">$B$5/E5</f>
        <v>1.0638297872340425</v>
      </c>
      <c r="J5" s="10">
        <f t="shared" ref="J5:J9" si="3">$B$6/E5</f>
        <v>1.1276595744680851</v>
      </c>
      <c r="K5" s="10">
        <f t="shared" ref="K5:K9" si="4">$B$7/E5</f>
        <v>1.3829787234042554</v>
      </c>
      <c r="L5" s="32">
        <f t="shared" ref="L5:L9" si="5">$B$8/E5</f>
        <v>1.7021276595744681</v>
      </c>
      <c r="M5" s="10">
        <f t="shared" ref="M5:M9" si="6">$B$9/E5</f>
        <v>1.9148936170212765</v>
      </c>
      <c r="O5" s="38" t="s">
        <v>138</v>
      </c>
      <c r="P5" s="38" t="s">
        <v>106</v>
      </c>
      <c r="Q5" s="38" t="s">
        <v>122</v>
      </c>
    </row>
    <row r="6" spans="1:17" x14ac:dyDescent="0.25">
      <c r="A6" s="1" t="s">
        <v>39</v>
      </c>
      <c r="B6" s="10">
        <v>5.2999999999999999E-2</v>
      </c>
      <c r="D6" s="1">
        <v>2</v>
      </c>
      <c r="E6" s="35">
        <v>2.1999999999999999E-2</v>
      </c>
      <c r="F6" s="10">
        <f t="shared" si="0"/>
        <v>4.3999999999999997E-2</v>
      </c>
      <c r="G6" s="28"/>
      <c r="H6" s="10">
        <f t="shared" si="1"/>
        <v>2.1363636363636367</v>
      </c>
      <c r="I6" s="31">
        <f t="shared" si="2"/>
        <v>2.2727272727272729</v>
      </c>
      <c r="J6" s="10">
        <f t="shared" si="3"/>
        <v>2.4090909090909092</v>
      </c>
      <c r="K6" s="10">
        <f t="shared" si="4"/>
        <v>2.954545454545455</v>
      </c>
      <c r="L6" s="32">
        <f t="shared" si="5"/>
        <v>3.6363636363636367</v>
      </c>
      <c r="M6" s="10">
        <f t="shared" si="6"/>
        <v>4.0909090909090908</v>
      </c>
      <c r="O6" s="38" t="s">
        <v>139</v>
      </c>
      <c r="P6" s="38" t="s">
        <v>107</v>
      </c>
      <c r="Q6" s="38" t="s">
        <v>123</v>
      </c>
    </row>
    <row r="7" spans="1:17" x14ac:dyDescent="0.25">
      <c r="A7" s="1" t="s">
        <v>40</v>
      </c>
      <c r="B7" s="10">
        <v>6.5000000000000002E-2</v>
      </c>
      <c r="D7" s="1">
        <v>3</v>
      </c>
      <c r="E7" s="35">
        <v>1.4999999999999999E-2</v>
      </c>
      <c r="F7" s="10">
        <f t="shared" si="0"/>
        <v>4.4999999999999998E-2</v>
      </c>
      <c r="G7" s="28"/>
      <c r="H7" s="10">
        <f t="shared" si="1"/>
        <v>3.1333333333333333</v>
      </c>
      <c r="I7" s="31">
        <f t="shared" si="2"/>
        <v>3.3333333333333335</v>
      </c>
      <c r="J7" s="10">
        <f t="shared" si="3"/>
        <v>3.5333333333333332</v>
      </c>
      <c r="K7" s="10">
        <f t="shared" si="4"/>
        <v>4.3333333333333339</v>
      </c>
      <c r="L7" s="32">
        <f t="shared" si="5"/>
        <v>5.3333333333333339</v>
      </c>
      <c r="M7" s="10">
        <f t="shared" si="6"/>
        <v>6</v>
      </c>
      <c r="O7" s="38" t="s">
        <v>140</v>
      </c>
      <c r="P7" s="38" t="s">
        <v>108</v>
      </c>
      <c r="Q7" s="38" t="s">
        <v>124</v>
      </c>
    </row>
    <row r="8" spans="1:17" x14ac:dyDescent="0.25">
      <c r="A8" s="1" t="s">
        <v>96</v>
      </c>
      <c r="B8" s="10">
        <v>0.08</v>
      </c>
      <c r="D8" s="1">
        <v>4</v>
      </c>
      <c r="E8" s="35">
        <v>1.0999999999999999E-2</v>
      </c>
      <c r="F8" s="10">
        <f t="shared" si="0"/>
        <v>4.3999999999999997E-2</v>
      </c>
      <c r="G8" s="28"/>
      <c r="H8" s="10">
        <f t="shared" si="1"/>
        <v>4.2727272727272734</v>
      </c>
      <c r="I8" s="31">
        <f t="shared" si="2"/>
        <v>4.5454545454545459</v>
      </c>
      <c r="J8" s="10">
        <f t="shared" si="3"/>
        <v>4.8181818181818183</v>
      </c>
      <c r="K8" s="10">
        <f t="shared" si="4"/>
        <v>5.9090909090909101</v>
      </c>
      <c r="L8" s="32">
        <f t="shared" si="5"/>
        <v>7.2727272727272734</v>
      </c>
      <c r="M8" s="10">
        <f t="shared" si="6"/>
        <v>8.1818181818181817</v>
      </c>
      <c r="O8" s="38" t="s">
        <v>141</v>
      </c>
      <c r="P8" s="38" t="s">
        <v>109</v>
      </c>
      <c r="Q8" s="38" t="s">
        <v>125</v>
      </c>
    </row>
    <row r="9" spans="1:17" x14ac:dyDescent="0.25">
      <c r="A9" s="1" t="s">
        <v>41</v>
      </c>
      <c r="B9" s="10">
        <v>0.09</v>
      </c>
      <c r="D9" s="1">
        <v>5</v>
      </c>
      <c r="E9" s="35">
        <v>8.9999999999999993E-3</v>
      </c>
      <c r="F9" s="10">
        <f t="shared" si="0"/>
        <v>4.4999999999999998E-2</v>
      </c>
      <c r="G9" s="28"/>
      <c r="H9" s="10">
        <f t="shared" si="1"/>
        <v>5.2222222222222223</v>
      </c>
      <c r="I9" s="31">
        <f t="shared" si="2"/>
        <v>5.5555555555555562</v>
      </c>
      <c r="J9" s="10">
        <f t="shared" si="3"/>
        <v>5.8888888888888893</v>
      </c>
      <c r="K9" s="10">
        <f t="shared" si="4"/>
        <v>7.2222222222222232</v>
      </c>
      <c r="L9" s="32">
        <f t="shared" si="5"/>
        <v>8.8888888888888893</v>
      </c>
      <c r="M9" s="10">
        <f t="shared" si="6"/>
        <v>10</v>
      </c>
      <c r="O9" s="38" t="s">
        <v>142</v>
      </c>
      <c r="P9" s="38" t="s">
        <v>110</v>
      </c>
      <c r="Q9" s="38" t="s">
        <v>126</v>
      </c>
    </row>
    <row r="10" spans="1:17" x14ac:dyDescent="0.25">
      <c r="O10" s="38" t="s">
        <v>143</v>
      </c>
      <c r="P10" s="38" t="s">
        <v>111</v>
      </c>
      <c r="Q10" s="38" t="s">
        <v>127</v>
      </c>
    </row>
    <row r="11" spans="1:17" x14ac:dyDescent="0.25">
      <c r="O11" s="38" t="s">
        <v>144</v>
      </c>
      <c r="P11" s="38" t="s">
        <v>112</v>
      </c>
      <c r="Q11" s="38" t="s">
        <v>128</v>
      </c>
    </row>
    <row r="12" spans="1:17" x14ac:dyDescent="0.25">
      <c r="P12" s="38" t="s">
        <v>113</v>
      </c>
      <c r="Q12" s="38" t="s">
        <v>129</v>
      </c>
    </row>
    <row r="13" spans="1:17" x14ac:dyDescent="0.25">
      <c r="D13" s="47" t="s">
        <v>100</v>
      </c>
      <c r="E13" s="47"/>
      <c r="F13" s="47"/>
      <c r="H13" s="47" t="s">
        <v>99</v>
      </c>
      <c r="I13" s="47"/>
      <c r="J13" s="47"/>
      <c r="K13" s="47"/>
      <c r="L13" s="47"/>
      <c r="M13" s="47"/>
      <c r="P13" s="38" t="s">
        <v>114</v>
      </c>
      <c r="Q13" s="38" t="s">
        <v>130</v>
      </c>
    </row>
    <row r="14" spans="1:17" x14ac:dyDescent="0.25">
      <c r="D14" s="29" t="s">
        <v>88</v>
      </c>
      <c r="E14" s="29" t="s">
        <v>89</v>
      </c>
      <c r="F14" s="29" t="s">
        <v>98</v>
      </c>
      <c r="G14" s="30"/>
      <c r="H14" s="29" t="s">
        <v>90</v>
      </c>
      <c r="I14" s="29" t="s">
        <v>91</v>
      </c>
      <c r="J14" s="29" t="s">
        <v>92</v>
      </c>
      <c r="K14" s="29" t="s">
        <v>93</v>
      </c>
      <c r="L14" s="29" t="s">
        <v>97</v>
      </c>
      <c r="M14" s="29" t="s">
        <v>94</v>
      </c>
      <c r="P14" s="38" t="s">
        <v>115</v>
      </c>
      <c r="Q14" s="38" t="s">
        <v>131</v>
      </c>
    </row>
    <row r="15" spans="1:17" x14ac:dyDescent="0.25">
      <c r="D15" s="1">
        <v>0.5</v>
      </c>
      <c r="E15" s="36">
        <v>0.1</v>
      </c>
      <c r="F15" s="10">
        <f>D15*E15</f>
        <v>0.05</v>
      </c>
      <c r="G15" s="28"/>
      <c r="H15" s="10">
        <f>$B$4/E15</f>
        <v>0.47</v>
      </c>
      <c r="I15" s="31">
        <f>$B$5/E15</f>
        <v>0.5</v>
      </c>
      <c r="J15" s="10">
        <f>$B$6/E15</f>
        <v>0.52999999999999992</v>
      </c>
      <c r="K15" s="10">
        <f>$B$7/E15</f>
        <v>0.65</v>
      </c>
      <c r="L15" s="32">
        <f>$B$8/E15</f>
        <v>0.79999999999999993</v>
      </c>
      <c r="M15" s="10">
        <f>$B$9/E15</f>
        <v>0.89999999999999991</v>
      </c>
      <c r="P15" s="38" t="s">
        <v>116</v>
      </c>
      <c r="Q15" s="38" t="s">
        <v>132</v>
      </c>
    </row>
    <row r="16" spans="1:17" x14ac:dyDescent="0.25">
      <c r="D16" s="1">
        <v>1</v>
      </c>
      <c r="E16" s="36">
        <v>0.05</v>
      </c>
      <c r="F16" s="10">
        <f t="shared" ref="F16:F20" si="7">D16*E16</f>
        <v>0.05</v>
      </c>
      <c r="G16" s="28"/>
      <c r="H16" s="10">
        <f t="shared" ref="H16:H20" si="8">$B$4/E16</f>
        <v>0.94</v>
      </c>
      <c r="I16" s="31">
        <f t="shared" ref="I16:I20" si="9">$B$5/E16</f>
        <v>1</v>
      </c>
      <c r="J16" s="10">
        <f t="shared" ref="J16:J20" si="10">$B$6/E16</f>
        <v>1.0599999999999998</v>
      </c>
      <c r="K16" s="10">
        <f t="shared" ref="K16:K20" si="11">$B$7/E16</f>
        <v>1.3</v>
      </c>
      <c r="L16" s="32">
        <f t="shared" ref="L16:L20" si="12">$B$8/E16</f>
        <v>1.5999999999999999</v>
      </c>
      <c r="M16" s="10">
        <f t="shared" ref="M16:M20" si="13">$B$9/E16</f>
        <v>1.7999999999999998</v>
      </c>
      <c r="P16" s="38" t="s">
        <v>117</v>
      </c>
      <c r="Q16" s="38" t="s">
        <v>133</v>
      </c>
    </row>
    <row r="17" spans="4:17" x14ac:dyDescent="0.25">
      <c r="D17" s="1">
        <v>2</v>
      </c>
      <c r="E17" s="36">
        <v>2.4E-2</v>
      </c>
      <c r="F17" s="10">
        <f t="shared" si="7"/>
        <v>4.8000000000000001E-2</v>
      </c>
      <c r="G17" s="28"/>
      <c r="H17" s="10">
        <f t="shared" si="8"/>
        <v>1.9583333333333333</v>
      </c>
      <c r="I17" s="31">
        <f t="shared" si="9"/>
        <v>2.0833333333333335</v>
      </c>
      <c r="J17" s="10">
        <f t="shared" si="10"/>
        <v>2.208333333333333</v>
      </c>
      <c r="K17" s="10">
        <f t="shared" si="11"/>
        <v>2.7083333333333335</v>
      </c>
      <c r="L17" s="32">
        <f t="shared" si="12"/>
        <v>3.3333333333333335</v>
      </c>
      <c r="M17" s="10">
        <f t="shared" si="13"/>
        <v>3.75</v>
      </c>
      <c r="P17" s="38" t="s">
        <v>118</v>
      </c>
      <c r="Q17" s="38" t="s">
        <v>134</v>
      </c>
    </row>
    <row r="18" spans="4:17" x14ac:dyDescent="0.25">
      <c r="D18" s="1">
        <v>3</v>
      </c>
      <c r="E18" s="36">
        <v>1.6E-2</v>
      </c>
      <c r="F18" s="10">
        <f t="shared" si="7"/>
        <v>4.8000000000000001E-2</v>
      </c>
      <c r="G18" s="28"/>
      <c r="H18" s="10">
        <f t="shared" si="8"/>
        <v>2.9375</v>
      </c>
      <c r="I18" s="31">
        <f t="shared" si="9"/>
        <v>3.125</v>
      </c>
      <c r="J18" s="10">
        <f t="shared" si="10"/>
        <v>3.3125</v>
      </c>
      <c r="K18" s="10">
        <f t="shared" si="11"/>
        <v>4.0625</v>
      </c>
      <c r="L18" s="32">
        <f t="shared" si="12"/>
        <v>5</v>
      </c>
      <c r="M18" s="10">
        <f t="shared" si="13"/>
        <v>5.625</v>
      </c>
      <c r="P18" s="38" t="s">
        <v>119</v>
      </c>
      <c r="Q18" s="38" t="s">
        <v>135</v>
      </c>
    </row>
    <row r="19" spans="4:17" x14ac:dyDescent="0.25">
      <c r="D19" s="1">
        <v>4</v>
      </c>
      <c r="E19" s="36">
        <v>1.2E-2</v>
      </c>
      <c r="F19" s="10">
        <f t="shared" si="7"/>
        <v>4.8000000000000001E-2</v>
      </c>
      <c r="G19" s="28"/>
      <c r="H19" s="10">
        <f t="shared" si="8"/>
        <v>3.9166666666666665</v>
      </c>
      <c r="I19" s="31">
        <f t="shared" si="9"/>
        <v>4.166666666666667</v>
      </c>
      <c r="J19" s="10">
        <f t="shared" si="10"/>
        <v>4.4166666666666661</v>
      </c>
      <c r="K19" s="10">
        <f t="shared" si="11"/>
        <v>5.416666666666667</v>
      </c>
      <c r="L19" s="32">
        <f t="shared" si="12"/>
        <v>6.666666666666667</v>
      </c>
      <c r="M19" s="10">
        <f t="shared" si="13"/>
        <v>7.5</v>
      </c>
    </row>
    <row r="20" spans="4:17" x14ac:dyDescent="0.25">
      <c r="D20" s="1">
        <v>5</v>
      </c>
      <c r="E20" s="36">
        <v>0.01</v>
      </c>
      <c r="F20" s="10">
        <f t="shared" si="7"/>
        <v>0.05</v>
      </c>
      <c r="G20" s="28"/>
      <c r="H20" s="10">
        <f t="shared" si="8"/>
        <v>4.7</v>
      </c>
      <c r="I20" s="31">
        <f t="shared" si="9"/>
        <v>5</v>
      </c>
      <c r="J20" s="10">
        <f t="shared" si="10"/>
        <v>5.3</v>
      </c>
      <c r="K20" s="10">
        <f t="shared" si="11"/>
        <v>6.5</v>
      </c>
      <c r="L20" s="32">
        <f t="shared" si="12"/>
        <v>8</v>
      </c>
      <c r="M20" s="10">
        <f t="shared" si="13"/>
        <v>9</v>
      </c>
    </row>
  </sheetData>
  <mergeCells count="5">
    <mergeCell ref="H2:M2"/>
    <mergeCell ref="H13:M13"/>
    <mergeCell ref="D2:F2"/>
    <mergeCell ref="D13:F13"/>
    <mergeCell ref="P2:Q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BF4D8-4E7D-4D9D-9CD7-DCBDB5FEAAEE}">
  <dimension ref="A2:U22"/>
  <sheetViews>
    <sheetView workbookViewId="0">
      <selection activeCell="D21" sqref="D21"/>
    </sheetView>
  </sheetViews>
  <sheetFormatPr defaultRowHeight="15" x14ac:dyDescent="0.25"/>
  <cols>
    <col min="3" max="3" width="12" bestFit="1" customWidth="1"/>
    <col min="6" max="6" width="2.28515625" customWidth="1"/>
    <col min="10" max="10" width="2.28515625" customWidth="1"/>
    <col min="14" max="14" width="2.7109375" customWidth="1"/>
    <col min="18" max="18" width="2.42578125" customWidth="1"/>
  </cols>
  <sheetData>
    <row r="2" spans="1:21" x14ac:dyDescent="0.25">
      <c r="C2" s="45">
        <v>3.3</v>
      </c>
      <c r="D2" s="45"/>
      <c r="E2" s="45"/>
      <c r="F2" s="45"/>
      <c r="G2" s="45">
        <v>5</v>
      </c>
      <c r="H2" s="45"/>
      <c r="I2" s="45"/>
      <c r="J2" s="45"/>
      <c r="K2" s="45">
        <v>12</v>
      </c>
      <c r="L2" s="45"/>
      <c r="M2" s="45"/>
      <c r="N2" s="45"/>
      <c r="O2" s="45">
        <v>12</v>
      </c>
      <c r="P2" s="45"/>
      <c r="Q2" s="45"/>
      <c r="R2" s="45"/>
      <c r="S2" s="45">
        <v>24</v>
      </c>
      <c r="T2" s="45"/>
      <c r="U2" s="30"/>
    </row>
    <row r="3" spans="1:21" x14ac:dyDescent="0.25">
      <c r="A3" s="30" t="s">
        <v>62</v>
      </c>
      <c r="B3" s="30"/>
      <c r="C3" s="37" t="s">
        <v>63</v>
      </c>
      <c r="D3" s="37"/>
      <c r="E3" s="37"/>
      <c r="F3" s="37"/>
      <c r="G3" s="37" t="s">
        <v>64</v>
      </c>
      <c r="H3" s="37"/>
      <c r="I3" s="37"/>
      <c r="J3" s="37"/>
      <c r="K3" s="37" t="s">
        <v>65</v>
      </c>
      <c r="L3" s="37"/>
      <c r="M3" s="37"/>
      <c r="N3" s="37"/>
      <c r="O3" s="37"/>
      <c r="P3" s="37"/>
      <c r="Q3" s="37"/>
      <c r="R3" s="37"/>
      <c r="S3" s="37" t="s">
        <v>83</v>
      </c>
      <c r="T3" s="37"/>
    </row>
    <row r="4" spans="1:21" x14ac:dyDescent="0.25">
      <c r="A4" s="30" t="s">
        <v>66</v>
      </c>
      <c r="B4" s="30"/>
      <c r="C4" s="37" t="s">
        <v>67</v>
      </c>
      <c r="D4" s="37"/>
      <c r="E4" s="37"/>
      <c r="F4" s="37"/>
      <c r="G4" s="37" t="s">
        <v>68</v>
      </c>
      <c r="H4" s="37"/>
      <c r="I4" s="37"/>
      <c r="J4" s="37"/>
      <c r="K4" s="37" t="s">
        <v>69</v>
      </c>
      <c r="L4" s="37"/>
      <c r="M4" s="37"/>
      <c r="N4" s="37"/>
      <c r="O4" s="37"/>
      <c r="P4" s="37"/>
      <c r="Q4" s="37"/>
      <c r="R4" s="37"/>
      <c r="S4" s="37" t="s">
        <v>84</v>
      </c>
      <c r="T4" s="37"/>
    </row>
    <row r="5" spans="1:21" x14ac:dyDescent="0.25">
      <c r="A5" s="30" t="s">
        <v>70</v>
      </c>
      <c r="B5" s="30"/>
      <c r="C5" s="37" t="s">
        <v>71</v>
      </c>
      <c r="D5" s="37"/>
      <c r="E5" s="37"/>
      <c r="F5" s="37"/>
      <c r="G5" s="37" t="s">
        <v>72</v>
      </c>
      <c r="H5" s="37"/>
      <c r="I5" s="37"/>
      <c r="J5" s="37"/>
      <c r="K5" s="37" t="s">
        <v>87</v>
      </c>
      <c r="L5" s="37"/>
      <c r="M5" s="37"/>
      <c r="N5" s="37"/>
      <c r="O5" s="37"/>
      <c r="P5" s="37"/>
      <c r="Q5" s="37"/>
      <c r="R5" s="37"/>
      <c r="S5" s="37" t="s">
        <v>85</v>
      </c>
      <c r="T5" s="37"/>
    </row>
    <row r="6" spans="1:21" x14ac:dyDescent="0.25">
      <c r="A6" s="30" t="s">
        <v>73</v>
      </c>
      <c r="B6" s="30"/>
      <c r="C6" s="37" t="s">
        <v>74</v>
      </c>
      <c r="D6" s="37"/>
      <c r="E6" s="37"/>
      <c r="F6" s="37"/>
      <c r="G6" s="37" t="s">
        <v>75</v>
      </c>
      <c r="H6" s="37"/>
      <c r="I6" s="37"/>
      <c r="J6" s="37"/>
      <c r="K6" s="37" t="s">
        <v>76</v>
      </c>
      <c r="L6" s="37"/>
      <c r="M6" s="37"/>
      <c r="N6" s="37"/>
      <c r="O6" s="37"/>
      <c r="P6" s="37"/>
      <c r="Q6" s="37"/>
      <c r="R6" s="37"/>
      <c r="S6" s="37" t="s">
        <v>86</v>
      </c>
      <c r="T6" s="37"/>
    </row>
    <row r="7" spans="1:21" x14ac:dyDescent="0.25">
      <c r="A7" s="30"/>
      <c r="B7" s="30"/>
    </row>
    <row r="8" spans="1:21" x14ac:dyDescent="0.25">
      <c r="A8" s="30"/>
      <c r="B8" s="30"/>
    </row>
    <row r="9" spans="1:21" x14ac:dyDescent="0.25">
      <c r="A9" s="30"/>
      <c r="B9" s="30"/>
      <c r="D9" s="1" t="s">
        <v>5</v>
      </c>
      <c r="E9" s="1">
        <v>3.3</v>
      </c>
      <c r="H9" s="1" t="s">
        <v>5</v>
      </c>
      <c r="I9" s="1">
        <v>5</v>
      </c>
      <c r="L9" s="1" t="s">
        <v>5</v>
      </c>
      <c r="M9" s="1">
        <v>12</v>
      </c>
      <c r="P9" s="1" t="s">
        <v>5</v>
      </c>
      <c r="Q9" s="1">
        <v>12</v>
      </c>
      <c r="T9" s="1" t="s">
        <v>5</v>
      </c>
      <c r="U9" s="1">
        <v>24</v>
      </c>
    </row>
    <row r="10" spans="1:21" x14ac:dyDescent="0.25">
      <c r="A10" s="30"/>
      <c r="B10" s="30" t="s">
        <v>62</v>
      </c>
      <c r="C10">
        <v>787000</v>
      </c>
      <c r="G10">
        <v>866000</v>
      </c>
      <c r="K10">
        <v>976000</v>
      </c>
      <c r="O10">
        <v>976000</v>
      </c>
      <c r="S10">
        <v>1020000</v>
      </c>
    </row>
    <row r="11" spans="1:21" x14ac:dyDescent="0.25">
      <c r="A11" s="30"/>
      <c r="B11" s="30"/>
      <c r="D11" s="1" t="s">
        <v>77</v>
      </c>
      <c r="E11" s="10">
        <f>($C$22*C12)+E13</f>
        <v>0.865979381443299</v>
      </c>
      <c r="H11" s="1" t="s">
        <v>77</v>
      </c>
      <c r="I11" s="10">
        <f>($G$22*G12)+I13</f>
        <v>0.87052719920653077</v>
      </c>
      <c r="L11" s="1" t="s">
        <v>77</v>
      </c>
      <c r="M11" s="10">
        <f>($K$22*K12)+M13</f>
        <v>0.86787252041175178</v>
      </c>
      <c r="P11" s="1" t="s">
        <v>77</v>
      </c>
      <c r="Q11" s="10">
        <f>($O$22*O12)+Q13</f>
        <v>0.86787252041175178</v>
      </c>
      <c r="T11" s="1" t="s">
        <v>77</v>
      </c>
      <c r="U11" s="10">
        <f>($S$22*S12)+U13</f>
        <v>0.86790705585531114</v>
      </c>
    </row>
    <row r="12" spans="1:21" x14ac:dyDescent="0.25">
      <c r="A12" s="30"/>
      <c r="B12" s="30" t="s">
        <v>66</v>
      </c>
      <c r="C12">
        <v>12100</v>
      </c>
      <c r="E12" s="28">
        <f>E11-0.795</f>
        <v>7.0979381443298961E-2</v>
      </c>
      <c r="G12">
        <v>8060</v>
      </c>
      <c r="I12" s="28">
        <f>I11-0.795</f>
        <v>7.5527199206530726E-2</v>
      </c>
      <c r="K12">
        <v>3320</v>
      </c>
      <c r="M12" s="28">
        <f>M11-0.795</f>
        <v>7.287252041175174E-2</v>
      </c>
      <c r="O12">
        <v>3320</v>
      </c>
      <c r="Q12" s="28">
        <f>Q11-0.795</f>
        <v>7.287252041175174E-2</v>
      </c>
      <c r="S12">
        <v>1650</v>
      </c>
      <c r="U12" s="28">
        <f>U11-0.795</f>
        <v>7.2907055855311098E-2</v>
      </c>
    </row>
    <row r="13" spans="1:21" x14ac:dyDescent="0.25">
      <c r="A13" s="30"/>
      <c r="B13" s="30"/>
      <c r="D13" s="1" t="s">
        <v>78</v>
      </c>
      <c r="E13" s="10">
        <f>($C$22*C14)+E15</f>
        <v>0.82855670103092782</v>
      </c>
      <c r="H13" s="1" t="s">
        <v>78</v>
      </c>
      <c r="I13" s="10">
        <f>($G$22*G14)+I15</f>
        <v>0.83209353780422668</v>
      </c>
      <c r="L13" s="1" t="s">
        <v>78</v>
      </c>
      <c r="M13" s="10">
        <f>($K$22*K14)+M15</f>
        <v>0.83000503759184097</v>
      </c>
      <c r="P13" s="1" t="s">
        <v>78</v>
      </c>
      <c r="Q13" s="10">
        <f>($O$22*O14)+Q15</f>
        <v>0.83000503759184097</v>
      </c>
      <c r="T13" s="1" t="s">
        <v>78</v>
      </c>
      <c r="U13" s="10">
        <f>($S$22*S14)+U15</f>
        <v>0.83048749373978292</v>
      </c>
    </row>
    <row r="14" spans="1:21" x14ac:dyDescent="0.25">
      <c r="A14" s="30"/>
      <c r="B14" s="30" t="s">
        <v>70</v>
      </c>
      <c r="C14">
        <v>30900</v>
      </c>
      <c r="E14" s="28">
        <f>E13-0.795</f>
        <v>3.3556701030927782E-2</v>
      </c>
      <c r="G14">
        <v>20500</v>
      </c>
      <c r="I14" s="28">
        <f>I13-0.795</f>
        <v>3.7093537804226639E-2</v>
      </c>
      <c r="K14">
        <v>7870</v>
      </c>
      <c r="M14" s="28">
        <f>M13-0.795</f>
        <v>3.5005037591840926E-2</v>
      </c>
      <c r="O14">
        <v>7870</v>
      </c>
      <c r="Q14" s="28">
        <f>Q13-0.795</f>
        <v>3.5005037591840926E-2</v>
      </c>
      <c r="S14">
        <v>4220</v>
      </c>
      <c r="U14" s="28">
        <f>U13-0.795</f>
        <v>3.5487493739782883E-2</v>
      </c>
    </row>
    <row r="15" spans="1:21" x14ac:dyDescent="0.25">
      <c r="A15" s="30"/>
      <c r="B15" s="30"/>
      <c r="D15" s="1" t="s">
        <v>79</v>
      </c>
      <c r="E15" s="10">
        <f>$C$22*C16</f>
        <v>0.73298969072164943</v>
      </c>
      <c r="H15" s="1" t="s">
        <v>79</v>
      </c>
      <c r="I15" s="10">
        <f>$G$22*G16</f>
        <v>0.73434042877851524</v>
      </c>
      <c r="L15" s="1" t="s">
        <v>79</v>
      </c>
      <c r="M15" s="10">
        <f>$K$22*K16</f>
        <v>0.74024085391934147</v>
      </c>
      <c r="P15" s="1" t="s">
        <v>79</v>
      </c>
      <c r="Q15" s="10">
        <f>$O$22*O16</f>
        <v>0.74024085391934147</v>
      </c>
      <c r="T15" s="1" t="s">
        <v>79</v>
      </c>
      <c r="U15" s="10">
        <f>$S$22*S16</f>
        <v>0.73478412881400779</v>
      </c>
    </row>
    <row r="16" spans="1:21" x14ac:dyDescent="0.25">
      <c r="A16" s="30"/>
      <c r="B16" s="30" t="s">
        <v>73</v>
      </c>
      <c r="C16">
        <v>237000</v>
      </c>
      <c r="E16" s="28">
        <f>E15-0.795</f>
        <v>-6.2010309278350606E-2</v>
      </c>
      <c r="G16">
        <v>154000</v>
      </c>
      <c r="I16" s="28">
        <f>I15-0.795</f>
        <v>-6.0659571221484798E-2</v>
      </c>
      <c r="K16">
        <v>64900</v>
      </c>
      <c r="M16" s="28">
        <f>M15-0.795</f>
        <v>-5.4759146080658572E-2</v>
      </c>
      <c r="O16">
        <v>64900</v>
      </c>
      <c r="Q16" s="28">
        <f>Q15-0.795</f>
        <v>-5.4759146080658572E-2</v>
      </c>
      <c r="S16">
        <v>32400</v>
      </c>
      <c r="U16" s="28">
        <f>U15-0.795</f>
        <v>-6.0215871185992254E-2</v>
      </c>
    </row>
    <row r="17" spans="1:21" x14ac:dyDescent="0.25">
      <c r="A17" s="30"/>
      <c r="B17" s="30"/>
      <c r="D17" s="1" t="s">
        <v>80</v>
      </c>
      <c r="E17" s="1">
        <v>0</v>
      </c>
      <c r="H17" s="1" t="s">
        <v>80</v>
      </c>
      <c r="I17" s="1">
        <v>0</v>
      </c>
      <c r="L17" s="1" t="s">
        <v>80</v>
      </c>
      <c r="M17" s="1">
        <v>0</v>
      </c>
      <c r="P17" s="1" t="s">
        <v>80</v>
      </c>
      <c r="Q17" s="1">
        <v>0</v>
      </c>
      <c r="T17" s="1" t="s">
        <v>80</v>
      </c>
      <c r="U17" s="1">
        <v>0</v>
      </c>
    </row>
    <row r="18" spans="1:21" x14ac:dyDescent="0.25">
      <c r="A18" s="30"/>
      <c r="B18" s="30"/>
    </row>
    <row r="19" spans="1:21" x14ac:dyDescent="0.25">
      <c r="A19" s="30"/>
      <c r="B19" s="30"/>
    </row>
    <row r="20" spans="1:21" x14ac:dyDescent="0.25">
      <c r="A20" s="30"/>
      <c r="B20" s="30"/>
    </row>
    <row r="21" spans="1:21" x14ac:dyDescent="0.25">
      <c r="A21" s="30"/>
      <c r="B21" s="30" t="s">
        <v>81</v>
      </c>
      <c r="C21">
        <f>SUM(C10:C16)</f>
        <v>1067000</v>
      </c>
      <c r="G21">
        <f>SUM(G10:G16)</f>
        <v>1048560</v>
      </c>
      <c r="K21">
        <f>SUM(K10:K16)</f>
        <v>1052090</v>
      </c>
      <c r="O21">
        <f>SUM(O10:O16)</f>
        <v>1052090</v>
      </c>
      <c r="S21">
        <f>SUM(S10:S16)</f>
        <v>1058270</v>
      </c>
    </row>
    <row r="22" spans="1:21" x14ac:dyDescent="0.25">
      <c r="A22" s="30"/>
      <c r="B22" s="30" t="s">
        <v>82</v>
      </c>
      <c r="C22" s="27">
        <f>E9/C21</f>
        <v>3.092783505154639E-6</v>
      </c>
      <c r="G22" s="27">
        <f>I9/G21</f>
        <v>4.7684443427176318E-6</v>
      </c>
      <c r="K22" s="27">
        <f>M9/K21</f>
        <v>1.1405868319250254E-5</v>
      </c>
      <c r="O22" s="27">
        <f>Q9/O21</f>
        <v>1.1405868319250254E-5</v>
      </c>
      <c r="S22" s="27">
        <f>U9/S21</f>
        <v>2.26785224942595E-5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UV Resistance Values</vt:lpstr>
      <vt:lpstr>Vsense Trip Timing</vt:lpstr>
      <vt:lpstr>Overcurrent Timing Cap</vt:lpstr>
      <vt:lpstr>Rsense Selection</vt:lpstr>
      <vt:lpstr>UV-OV Calcs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2023-10-24T17:14:06Z</dcterms:created>
  <dcterms:modified xsi:type="dcterms:W3CDTF">2023-10-30T21:17:46Z</dcterms:modified>
</cp:coreProperties>
</file>