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1824" yWindow="780" windowWidth="28704" windowHeight="17316"/>
  </bookViews>
  <sheets>
    <sheet name="System" sheetId="2" r:id="rId1"/>
  </sheets>
  <definedNames>
    <definedName name="BattEnergy">#REF!</definedName>
    <definedName name="BattVolts">#REF!</definedName>
    <definedName name="BECurrent">#REF!</definedName>
    <definedName name="BEPowerOn">#REF!</definedName>
    <definedName name="BETime">#REF!</definedName>
    <definedName name="BETimeOn">#REF!</definedName>
    <definedName name="DCDCurrent">#REF!</definedName>
    <definedName name="DCDPowerOn">#REF!</definedName>
    <definedName name="DCDTimeOn">#REF!</definedName>
    <definedName name="Depth">#REF!</definedName>
    <definedName name="DISTANCE">System!#REF!</definedName>
    <definedName name="DMCurrent">#REF!</definedName>
    <definedName name="ProfPerDay">#REF!</definedName>
    <definedName name="SleepTime">#REF!</definedName>
    <definedName name="SPEED">System!#REF!</definedName>
    <definedName name="TimePerMove">System!#REF!</definedName>
    <definedName name="TimePerProf">#REF!</definedName>
    <definedName name="TIMEWAITING">System!#REF!</definedName>
    <definedName name="TT8Current">#REF!</definedName>
    <definedName name="TT8PowerOn">#REF!</definedName>
    <definedName name="TT8TimeOn">#REF!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" i="2" l="1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E42" i="2"/>
  <c r="G42" i="2"/>
  <c r="E43" i="2"/>
  <c r="G43" i="2"/>
  <c r="C44" i="2"/>
  <c r="E44" i="2"/>
  <c r="G44" i="2"/>
  <c r="B14" i="2"/>
  <c r="C45" i="2"/>
  <c r="E45" i="2"/>
  <c r="G45" i="2"/>
  <c r="E46" i="2"/>
  <c r="G46" i="2"/>
  <c r="C47" i="2"/>
  <c r="E47" i="2"/>
  <c r="G47" i="2"/>
  <c r="E48" i="2"/>
  <c r="G48" i="2"/>
  <c r="G49" i="2"/>
  <c r="N24" i="2"/>
  <c r="J25" i="2"/>
  <c r="B15" i="2"/>
  <c r="B16" i="2"/>
  <c r="B17" i="2"/>
  <c r="E25" i="2"/>
  <c r="L25" i="2"/>
  <c r="K25" i="2"/>
  <c r="F25" i="2"/>
  <c r="M25" i="2"/>
  <c r="N25" i="2"/>
  <c r="J26" i="2"/>
  <c r="E26" i="2"/>
  <c r="L26" i="2"/>
  <c r="K26" i="2"/>
  <c r="F26" i="2"/>
  <c r="M26" i="2"/>
  <c r="N26" i="2"/>
  <c r="J27" i="2"/>
  <c r="E27" i="2"/>
  <c r="L27" i="2"/>
  <c r="K27" i="2"/>
  <c r="F27" i="2"/>
  <c r="M27" i="2"/>
  <c r="N27" i="2"/>
  <c r="J28" i="2"/>
  <c r="E28" i="2"/>
  <c r="L28" i="2"/>
  <c r="K28" i="2"/>
  <c r="F28" i="2"/>
  <c r="M28" i="2"/>
  <c r="N28" i="2"/>
  <c r="J29" i="2"/>
  <c r="L29" i="2"/>
  <c r="K29" i="2"/>
  <c r="F29" i="2"/>
  <c r="M29" i="2"/>
  <c r="N29" i="2"/>
  <c r="C30" i="2"/>
  <c r="J30" i="2"/>
  <c r="L30" i="2"/>
  <c r="K30" i="2"/>
  <c r="M30" i="2"/>
  <c r="N30" i="2"/>
  <c r="J31" i="2"/>
  <c r="L31" i="2"/>
  <c r="B13" i="2"/>
  <c r="F31" i="2"/>
  <c r="K31" i="2"/>
  <c r="M31" i="2"/>
  <c r="N31" i="2"/>
  <c r="C32" i="2"/>
  <c r="J32" i="2"/>
  <c r="L32" i="2"/>
  <c r="K32" i="2"/>
  <c r="M32" i="2"/>
  <c r="N32" i="2"/>
  <c r="C33" i="2"/>
  <c r="J33" i="2"/>
  <c r="L33" i="2"/>
  <c r="K33" i="2"/>
  <c r="M33" i="2"/>
  <c r="N33" i="2"/>
  <c r="C34" i="2"/>
  <c r="J34" i="2"/>
  <c r="L34" i="2"/>
  <c r="K34" i="2"/>
  <c r="M34" i="2"/>
  <c r="N34" i="2"/>
  <c r="C35" i="2"/>
  <c r="J35" i="2"/>
  <c r="L35" i="2"/>
  <c r="K35" i="2"/>
  <c r="M35" i="2"/>
  <c r="N35" i="2"/>
  <c r="J23" i="2"/>
  <c r="E23" i="2"/>
  <c r="L23" i="2"/>
  <c r="K23" i="2"/>
  <c r="F23" i="2"/>
  <c r="M23" i="2"/>
  <c r="N23" i="2"/>
  <c r="N36" i="2"/>
  <c r="M24" i="2"/>
  <c r="D17" i="2"/>
  <c r="B7" i="2"/>
</calcChain>
</file>

<file path=xl/sharedStrings.xml><?xml version="1.0" encoding="utf-8"?>
<sst xmlns="http://schemas.openxmlformats.org/spreadsheetml/2006/main" count="77" uniqueCount="69">
  <si>
    <t>Notes</t>
  </si>
  <si>
    <t>volts</t>
  </si>
  <si>
    <t>W-h</t>
  </si>
  <si>
    <t>Battery Voltage</t>
  </si>
  <si>
    <t>Battery Capacity</t>
  </si>
  <si>
    <t>Load</t>
  </si>
  <si>
    <t>Voltage (V)</t>
  </si>
  <si>
    <t>Gene Massion</t>
  </si>
  <si>
    <t>Number of
Batt</t>
  </si>
  <si>
    <t>Nom. Batt
Cap (A-Hr)</t>
  </si>
  <si>
    <t>Derate</t>
  </si>
  <si>
    <t>G400</t>
  </si>
  <si>
    <t>Buoyancy Engine</t>
  </si>
  <si>
    <t>FL/BB</t>
  </si>
  <si>
    <t>Motorized Valve</t>
  </si>
  <si>
    <t>ADC</t>
  </si>
  <si>
    <t>GPS</t>
  </si>
  <si>
    <t>Radiometer</t>
  </si>
  <si>
    <t>Pressure, temp, humidity</t>
  </si>
  <si>
    <t>CTD depth</t>
  </si>
  <si>
    <t>CTD pressure, temp, salinity</t>
  </si>
  <si>
    <t>Descend time</t>
  </si>
  <si>
    <t>Park Time</t>
  </si>
  <si>
    <t>Ascend time</t>
  </si>
  <si>
    <t>Surface time</t>
  </si>
  <si>
    <t>seconds</t>
  </si>
  <si>
    <t>Profile depth</t>
  </si>
  <si>
    <t>meters</t>
  </si>
  <si>
    <t>Descend velocity</t>
  </si>
  <si>
    <t>Ascend velocity</t>
  </si>
  <si>
    <t>meters/sec</t>
  </si>
  <si>
    <t>Pressure sample period</t>
  </si>
  <si>
    <t>On time (sec)</t>
  </si>
  <si>
    <t>Power on (W)</t>
  </si>
  <si>
    <t>Power Off (W)</t>
  </si>
  <si>
    <t>Cur On (A)</t>
  </si>
  <si>
    <t>Cur Off (A)</t>
  </si>
  <si>
    <t>Power (W)</t>
  </si>
  <si>
    <t>Time (sec)</t>
  </si>
  <si>
    <t>Energy (W-sec)</t>
  </si>
  <si>
    <t>W-hr</t>
  </si>
  <si>
    <t>Start Surface Ops</t>
  </si>
  <si>
    <t>Start Descend</t>
  </si>
  <si>
    <t>Maintain descend rate</t>
  </si>
  <si>
    <t>Maintain 0.0 platform velocity</t>
  </si>
  <si>
    <t>Start Ascend</t>
  </si>
  <si>
    <t>Maintain Ascend</t>
  </si>
  <si>
    <t>Duty cycle</t>
  </si>
  <si>
    <t>Total</t>
  </si>
  <si>
    <t>Total mission time</t>
  </si>
  <si>
    <t>hours</t>
  </si>
  <si>
    <t>Off time (sec)</t>
  </si>
  <si>
    <t>Current ON is just a guess at this point</t>
  </si>
  <si>
    <t>DC/DC Converter Eff</t>
  </si>
  <si>
    <t>Theoretical without DC/DC Converter losses</t>
  </si>
  <si>
    <t>Samples
per mission</t>
  </si>
  <si>
    <t>pH</t>
  </si>
  <si>
    <t>ISUS</t>
  </si>
  <si>
    <t>CTD waiting</t>
  </si>
  <si>
    <t>Total Energy with
Conv losses (W-hr)</t>
  </si>
  <si>
    <t>Need actual numbers from Ed
This has a confusing relationship beween duty cycle and number of operations</t>
  </si>
  <si>
    <t>Energy On (W-hr)</t>
  </si>
  <si>
    <t>Energy Off (W-hr)</t>
  </si>
  <si>
    <t>Buoyancy engine at 80 meters</t>
  </si>
  <si>
    <t>See buoyancy engine calc below *2 guess for deeper depth</t>
  </si>
  <si>
    <t>Enter values in blue, other values are calculated</t>
  </si>
  <si>
    <t>Coastal Profiling Float  Power Budget</t>
  </si>
  <si>
    <t>Total Energy with
Conv losses (kJoules)</t>
  </si>
  <si>
    <t>kJoules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</si>
</sst>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>
    <font>
      <sz val="9"/>
      <name val="Geneva"/>
    </font>
    <font>
      <sz val="8"/>
      <name val="Verdana"/>
      <family val="2"/>
    </font>
    <font>
      <u/>
      <sz val="9"/>
      <color theme="10"/>
      <name val="Geneva"/>
    </font>
    <font>
      <u/>
      <sz val="9"/>
      <color theme="11"/>
      <name val="Geneva"/>
    </font>
    <font>
      <sz val="9"/>
      <name val="Geneva"/>
      <family val="2"/>
    </font>
    <font>
      <sz val="9"/>
      <color rgb="FF0070C0"/>
      <name val="Genev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4" fillId="0" borderId="0" xfId="0" applyFont="1"/>
    <xf numFmtId="2" fontId="4" fillId="0" borderId="0" xfId="0" applyNumberFormat="1" applyFont="1"/>
    <xf numFmtId="0" fontId="5" fillId="0" borderId="0" xfId="0" applyFont="1"/>
    <xf numFmtId="0" fontId="4" fillId="0" borderId="2" xfId="0" applyFont="1" applyBorder="1"/>
    <xf numFmtId="1" fontId="4" fillId="0" borderId="0" xfId="0" applyNumberFormat="1" applyFont="1"/>
    <xf numFmtId="2" fontId="4" fillId="0" borderId="2" xfId="0" applyNumberFormat="1" applyFont="1" applyBorder="1"/>
    <xf numFmtId="0" fontId="4" fillId="0" borderId="0" xfId="0" applyFont="1" applyBorder="1"/>
    <xf numFmtId="0" fontId="4" fillId="0" borderId="3" xfId="0" applyFont="1" applyBorder="1"/>
    <xf numFmtId="0" fontId="4" fillId="0" borderId="1" xfId="0" applyFont="1" applyBorder="1"/>
    <xf numFmtId="0" fontId="4" fillId="0" borderId="0" xfId="0" applyFont="1" applyFill="1" applyBorder="1"/>
    <xf numFmtId="164" fontId="4" fillId="0" borderId="0" xfId="0" applyNumberFormat="1" applyFont="1"/>
    <xf numFmtId="1" fontId="4" fillId="0" borderId="0" xfId="0" applyNumberFormat="1" applyFont="1" applyBorder="1"/>
    <xf numFmtId="164" fontId="4" fillId="0" borderId="0" xfId="0" applyNumberFormat="1" applyFont="1" applyBorder="1"/>
    <xf numFmtId="2" fontId="4" fillId="0" borderId="3" xfId="0" applyNumberFormat="1" applyFont="1" applyBorder="1"/>
    <xf numFmtId="2" fontId="4" fillId="0" borderId="0" xfId="0" applyNumberFormat="1" applyFont="1" applyBorder="1"/>
    <xf numFmtId="0" fontId="4" fillId="0" borderId="0" xfId="0" applyFont="1" applyBorder="1" applyAlignment="1">
      <alignment wrapText="1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1" xfId="0" applyFont="1" applyBorder="1" applyAlignment="1">
      <alignment wrapText="1"/>
    </xf>
    <xf numFmtId="0" fontId="4" fillId="0" borderId="7" xfId="0" applyFont="1" applyBorder="1"/>
    <xf numFmtId="0" fontId="4" fillId="0" borderId="8" xfId="0" applyFont="1" applyBorder="1"/>
    <xf numFmtId="15" fontId="4" fillId="0" borderId="0" xfId="0" applyNumberFormat="1" applyFont="1" applyBorder="1"/>
    <xf numFmtId="2" fontId="4" fillId="0" borderId="0" xfId="0" applyNumberFormat="1" applyFont="1" applyBorder="1" applyAlignment="1">
      <alignment wrapText="1"/>
    </xf>
    <xf numFmtId="0" fontId="5" fillId="0" borderId="0" xfId="0" applyFont="1" applyBorder="1"/>
    <xf numFmtId="0" fontId="5" fillId="0" borderId="0" xfId="0" applyFont="1" applyFill="1" applyBorder="1"/>
    <xf numFmtId="0" fontId="5" fillId="0" borderId="3" xfId="0" applyFont="1" applyBorder="1"/>
    <xf numFmtId="1" fontId="5" fillId="0" borderId="3" xfId="0" applyNumberFormat="1" applyFont="1" applyBorder="1"/>
    <xf numFmtId="0" fontId="5" fillId="0" borderId="3" xfId="0" applyFont="1" applyFill="1" applyBorder="1"/>
    <xf numFmtId="1" fontId="5" fillId="0" borderId="0" xfId="0" applyNumberFormat="1" applyFont="1" applyBorder="1"/>
    <xf numFmtId="1" fontId="5" fillId="0" borderId="0" xfId="0" applyNumberFormat="1" applyFont="1"/>
    <xf numFmtId="2" fontId="4" fillId="0" borderId="4" xfId="0" applyNumberFormat="1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4" fillId="0" borderId="5" xfId="0" applyFont="1" applyBorder="1" applyAlignment="1">
      <alignment horizontal="centerContinuous"/>
    </xf>
    <xf numFmtId="2" fontId="4" fillId="0" borderId="7" xfId="0" applyNumberFormat="1" applyFont="1" applyBorder="1"/>
    <xf numFmtId="0" fontId="4" fillId="0" borderId="8" xfId="0" applyFont="1" applyBorder="1" applyAlignment="1">
      <alignment wrapText="1"/>
    </xf>
    <xf numFmtId="9" fontId="5" fillId="0" borderId="0" xfId="0" applyNumberFormat="1" applyFont="1"/>
    <xf numFmtId="9" fontId="5" fillId="0" borderId="0" xfId="0" applyNumberFormat="1" applyFont="1" applyBorder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S49"/>
  <sheetViews>
    <sheetView tabSelected="1" workbookViewId="0">
      <selection activeCell="F13" sqref="F13"/>
    </sheetView>
  </sheetViews>
  <sheetFormatPr defaultColWidth="11" defaultRowHeight="11.4"/>
  <cols>
    <col min="1" max="1" width="40.375" style="1" bestFit="1" customWidth="1"/>
    <col min="2" max="2" width="9.75" style="1" bestFit="1" customWidth="1"/>
    <col min="3" max="3" width="10.375" style="1" bestFit="1" customWidth="1"/>
    <col min="4" max="4" width="9.75" style="1" bestFit="1" customWidth="1"/>
    <col min="5" max="5" width="14" style="1" bestFit="1" customWidth="1"/>
    <col min="6" max="6" width="12.125" style="1" bestFit="1" customWidth="1"/>
    <col min="7" max="7" width="9.75" style="1" bestFit="1" customWidth="1"/>
    <col min="8" max="8" width="9.75" style="2" bestFit="1" customWidth="1"/>
    <col min="9" max="9" width="6.375" style="2" bestFit="1" customWidth="1"/>
    <col min="10" max="10" width="12.25" style="2" bestFit="1" customWidth="1"/>
    <col min="11" max="11" width="12.75" style="1" bestFit="1" customWidth="1"/>
    <col min="12" max="13" width="15.625" style="1" bestFit="1" customWidth="1"/>
    <col min="14" max="15" width="21.25" style="5" customWidth="1"/>
    <col min="16" max="16" width="50.125" style="1" bestFit="1" customWidth="1"/>
    <col min="17" max="16384" width="11" style="1"/>
  </cols>
  <sheetData>
    <row r="1" spans="1:11">
      <c r="A1" s="7" t="s">
        <v>66</v>
      </c>
      <c r="B1" s="7"/>
      <c r="C1" s="7"/>
      <c r="D1" s="7"/>
      <c r="E1" s="7"/>
      <c r="F1" s="7"/>
      <c r="G1" s="7"/>
      <c r="H1" s="15"/>
      <c r="I1" s="15"/>
      <c r="J1" s="15"/>
      <c r="K1" s="7"/>
    </row>
    <row r="2" spans="1:11">
      <c r="A2" s="7" t="s">
        <v>7</v>
      </c>
      <c r="B2" s="23">
        <v>40428</v>
      </c>
      <c r="C2" s="7"/>
      <c r="D2" s="7"/>
      <c r="E2" s="7"/>
      <c r="F2" s="7"/>
      <c r="G2" s="7"/>
      <c r="H2" s="15"/>
      <c r="I2" s="15"/>
      <c r="J2" s="15"/>
      <c r="K2" s="7"/>
    </row>
    <row r="3" spans="1:11">
      <c r="A3" s="7"/>
      <c r="B3" s="7"/>
      <c r="C3" s="7"/>
      <c r="D3" s="7"/>
      <c r="E3" s="7"/>
      <c r="F3" s="7"/>
      <c r="G3" s="7"/>
      <c r="H3" s="15"/>
      <c r="I3" s="15"/>
      <c r="J3" s="15"/>
      <c r="K3" s="7"/>
    </row>
    <row r="4" spans="1:11">
      <c r="A4" s="25" t="s">
        <v>65</v>
      </c>
      <c r="B4" s="7"/>
      <c r="C4" s="7"/>
      <c r="D4" s="7"/>
      <c r="E4" s="7"/>
      <c r="F4" s="7"/>
      <c r="G4" s="7"/>
      <c r="H4" s="15"/>
      <c r="I4" s="15"/>
      <c r="J4" s="15"/>
      <c r="K4" s="7"/>
    </row>
    <row r="5" spans="1:11">
      <c r="A5" s="7"/>
      <c r="B5" s="7"/>
      <c r="C5" s="7"/>
      <c r="D5" s="7"/>
      <c r="E5" s="7"/>
      <c r="F5" s="7"/>
      <c r="G5" s="7"/>
      <c r="H5" s="15"/>
      <c r="I5" s="15"/>
      <c r="J5" s="15"/>
      <c r="K5" s="7"/>
    </row>
    <row r="6" spans="1:11" ht="22.8">
      <c r="A6" s="7" t="s">
        <v>3</v>
      </c>
      <c r="B6" s="25">
        <v>3.6</v>
      </c>
      <c r="C6" s="7" t="s">
        <v>1</v>
      </c>
      <c r="D6" s="7"/>
      <c r="E6" s="16"/>
      <c r="F6" s="16"/>
      <c r="G6" s="16" t="s">
        <v>9</v>
      </c>
      <c r="H6" s="24" t="s">
        <v>8</v>
      </c>
      <c r="I6" s="15" t="s">
        <v>10</v>
      </c>
      <c r="J6" s="15"/>
      <c r="K6" s="7"/>
    </row>
    <row r="7" spans="1:11">
      <c r="A7" s="7" t="s">
        <v>4</v>
      </c>
      <c r="B7" s="12">
        <f>+B6*G7*H7*I7</f>
        <v>984.096</v>
      </c>
      <c r="C7" s="7" t="s">
        <v>2</v>
      </c>
      <c r="D7" s="12">
        <f>+B7*3600/1000</f>
        <v>3542.7456000000002</v>
      </c>
      <c r="E7" s="7" t="s">
        <v>68</v>
      </c>
      <c r="F7" s="7"/>
      <c r="G7" s="25">
        <v>3.35</v>
      </c>
      <c r="H7" s="25">
        <v>96</v>
      </c>
      <c r="I7" s="38">
        <v>0.85</v>
      </c>
      <c r="J7" s="15"/>
      <c r="K7" s="7"/>
    </row>
    <row r="8" spans="1:11">
      <c r="A8" s="7"/>
      <c r="B8" s="7"/>
      <c r="C8" s="7"/>
      <c r="D8" s="7"/>
      <c r="E8" s="7"/>
      <c r="F8" s="7"/>
      <c r="G8" s="7"/>
      <c r="H8" s="7"/>
      <c r="I8" s="15"/>
      <c r="J8" s="15"/>
      <c r="K8" s="7"/>
    </row>
    <row r="9" spans="1:11">
      <c r="A9" s="7" t="s">
        <v>26</v>
      </c>
      <c r="B9" s="26">
        <v>200</v>
      </c>
      <c r="C9" s="7" t="s">
        <v>27</v>
      </c>
      <c r="D9" s="7"/>
      <c r="E9" s="7"/>
      <c r="F9" s="7"/>
      <c r="G9" s="7"/>
      <c r="H9" s="7"/>
      <c r="I9" s="15"/>
      <c r="J9" s="15"/>
      <c r="K9" s="7"/>
    </row>
    <row r="10" spans="1:11">
      <c r="A10" s="7" t="s">
        <v>28</v>
      </c>
      <c r="B10" s="26">
        <v>0.3</v>
      </c>
      <c r="C10" s="7" t="s">
        <v>30</v>
      </c>
      <c r="D10" s="7"/>
      <c r="E10" s="7"/>
      <c r="F10" s="7"/>
      <c r="G10" s="7"/>
      <c r="H10" s="7"/>
      <c r="I10" s="15"/>
      <c r="J10" s="15"/>
      <c r="K10" s="7"/>
    </row>
    <row r="11" spans="1:11">
      <c r="A11" s="7" t="s">
        <v>29</v>
      </c>
      <c r="B11" s="26">
        <v>0.1</v>
      </c>
      <c r="C11" s="7" t="s">
        <v>30</v>
      </c>
      <c r="D11" s="7"/>
      <c r="E11" s="7"/>
      <c r="F11" s="7"/>
      <c r="G11" s="7"/>
      <c r="H11" s="7"/>
      <c r="I11" s="15"/>
      <c r="J11" s="15"/>
      <c r="K11" s="7"/>
    </row>
    <row r="12" spans="1:11">
      <c r="A12" s="10" t="s">
        <v>31</v>
      </c>
      <c r="B12" s="25">
        <v>3</v>
      </c>
      <c r="C12" s="7" t="s">
        <v>25</v>
      </c>
      <c r="D12" s="7"/>
      <c r="E12" s="7"/>
      <c r="F12" s="7"/>
      <c r="G12" s="7"/>
      <c r="H12" s="15"/>
      <c r="I12" s="15"/>
      <c r="J12" s="15"/>
      <c r="K12" s="7"/>
    </row>
    <row r="13" spans="1:11">
      <c r="A13" s="7" t="s">
        <v>21</v>
      </c>
      <c r="B13" s="12">
        <f>+B9/B10</f>
        <v>666.66666666666674</v>
      </c>
      <c r="C13" s="7" t="s">
        <v>25</v>
      </c>
      <c r="D13" s="7"/>
      <c r="E13" s="7"/>
      <c r="F13" s="7"/>
      <c r="G13" s="7"/>
      <c r="H13" s="7"/>
      <c r="I13" s="15"/>
      <c r="J13" s="15"/>
      <c r="K13" s="7"/>
    </row>
    <row r="14" spans="1:11">
      <c r="A14" s="7" t="s">
        <v>22</v>
      </c>
      <c r="B14" s="7">
        <f>8*3600</f>
        <v>28800</v>
      </c>
      <c r="C14" s="7" t="s">
        <v>25</v>
      </c>
      <c r="D14" s="7"/>
      <c r="E14" s="7"/>
      <c r="F14" s="7"/>
      <c r="G14" s="7"/>
      <c r="H14" s="15"/>
      <c r="I14" s="15"/>
      <c r="J14" s="15"/>
      <c r="K14" s="7"/>
    </row>
    <row r="15" spans="1:11">
      <c r="A15" s="7" t="s">
        <v>23</v>
      </c>
      <c r="B15" s="7">
        <f>+B9/B11</f>
        <v>2000</v>
      </c>
      <c r="C15" s="7" t="s">
        <v>25</v>
      </c>
      <c r="D15" s="7"/>
      <c r="E15" s="7"/>
      <c r="F15" s="7"/>
      <c r="G15" s="7"/>
      <c r="H15" s="15"/>
      <c r="I15" s="15"/>
      <c r="J15" s="15"/>
      <c r="K15" s="7"/>
    </row>
    <row r="16" spans="1:11">
      <c r="A16" s="10" t="s">
        <v>24</v>
      </c>
      <c r="B16" s="7">
        <f>20*60</f>
        <v>1200</v>
      </c>
      <c r="C16" s="7" t="s">
        <v>25</v>
      </c>
      <c r="D16" s="7"/>
      <c r="E16" s="7"/>
      <c r="F16" s="7"/>
      <c r="G16" s="7"/>
      <c r="H16" s="15"/>
      <c r="I16" s="15"/>
      <c r="J16" s="15"/>
      <c r="K16" s="7"/>
    </row>
    <row r="17" spans="1:19">
      <c r="A17" s="10" t="s">
        <v>49</v>
      </c>
      <c r="B17" s="7">
        <f>SUM(B14:B16)</f>
        <v>32000</v>
      </c>
      <c r="C17" s="7" t="s">
        <v>25</v>
      </c>
      <c r="D17" s="13">
        <f>+B17/3600</f>
        <v>8.8888888888888893</v>
      </c>
      <c r="E17" s="7" t="s">
        <v>50</v>
      </c>
      <c r="F17" s="7"/>
      <c r="G17" s="7"/>
      <c r="H17" s="15"/>
      <c r="I17" s="15"/>
      <c r="J17" s="15"/>
      <c r="K17" s="7"/>
    </row>
    <row r="18" spans="1:19">
      <c r="A18" s="10"/>
      <c r="D18" s="11"/>
    </row>
    <row r="19" spans="1:19">
      <c r="A19" s="10" t="s">
        <v>53</v>
      </c>
      <c r="B19" s="37">
        <v>0.8</v>
      </c>
      <c r="D19" s="11"/>
    </row>
    <row r="20" spans="1:19">
      <c r="A20" s="10"/>
    </row>
    <row r="21" spans="1:19">
      <c r="A21" s="7"/>
      <c r="B21" s="7"/>
      <c r="C21" s="7"/>
      <c r="D21" s="7"/>
      <c r="E21" s="7"/>
      <c r="F21" s="7"/>
      <c r="G21" s="7"/>
      <c r="H21" s="15"/>
      <c r="I21" s="15"/>
      <c r="J21" s="32" t="s">
        <v>54</v>
      </c>
      <c r="K21" s="33"/>
      <c r="L21" s="33"/>
      <c r="M21" s="34"/>
      <c r="N21" s="12"/>
      <c r="O21" s="12"/>
      <c r="P21" s="7"/>
      <c r="Q21" s="7"/>
      <c r="R21" s="7"/>
      <c r="S21" s="7"/>
    </row>
    <row r="22" spans="1:19" ht="22.8">
      <c r="A22" s="7" t="s">
        <v>5</v>
      </c>
      <c r="B22" s="16"/>
      <c r="C22" s="16" t="s">
        <v>55</v>
      </c>
      <c r="D22" s="7" t="s">
        <v>6</v>
      </c>
      <c r="E22" s="7" t="s">
        <v>32</v>
      </c>
      <c r="F22" s="7" t="s">
        <v>51</v>
      </c>
      <c r="G22" s="7" t="s">
        <v>35</v>
      </c>
      <c r="H22" s="7" t="s">
        <v>36</v>
      </c>
      <c r="I22" s="15"/>
      <c r="J22" s="35" t="s">
        <v>33</v>
      </c>
      <c r="K22" s="6" t="s">
        <v>34</v>
      </c>
      <c r="L22" s="4" t="s">
        <v>61</v>
      </c>
      <c r="M22" s="36" t="s">
        <v>62</v>
      </c>
      <c r="N22" s="16" t="s">
        <v>59</v>
      </c>
      <c r="O22" s="16" t="s">
        <v>67</v>
      </c>
      <c r="P22" s="7" t="s">
        <v>0</v>
      </c>
      <c r="Q22" s="7"/>
      <c r="R22" s="7"/>
      <c r="S22" s="7"/>
    </row>
    <row r="23" spans="1:19">
      <c r="A23" s="17" t="s">
        <v>11</v>
      </c>
      <c r="B23" s="8"/>
      <c r="C23" s="27"/>
      <c r="D23" s="27">
        <v>3.3</v>
      </c>
      <c r="E23" s="28">
        <f>+B17</f>
        <v>32000</v>
      </c>
      <c r="F23" s="28">
        <f>$B$17-E23</f>
        <v>0</v>
      </c>
      <c r="G23" s="27">
        <v>0.2</v>
      </c>
      <c r="H23" s="29">
        <v>1.4999999999999999E-2</v>
      </c>
      <c r="I23" s="14"/>
      <c r="J23" s="14">
        <f>+D23*G23</f>
        <v>0.66</v>
      </c>
      <c r="K23" s="14">
        <f>+D23*H23</f>
        <v>4.9499999999999995E-2</v>
      </c>
      <c r="L23" s="14">
        <f>+(J23*E23)/3600</f>
        <v>5.8666666666666663</v>
      </c>
      <c r="M23" s="14">
        <f>+(K23*F23)/3600</f>
        <v>0</v>
      </c>
      <c r="N23" s="14">
        <f>+(L23+M23)/$B$19</f>
        <v>7.3333333333333321</v>
      </c>
      <c r="O23" s="15">
        <f t="shared" ref="O23:O34" si="0">+N23*3600/1000</f>
        <v>26.399999999999995</v>
      </c>
      <c r="P23" s="18"/>
      <c r="Q23" s="7"/>
      <c r="R23" s="7"/>
      <c r="S23" s="7"/>
    </row>
    <row r="24" spans="1:19">
      <c r="A24" s="19" t="s">
        <v>12</v>
      </c>
      <c r="B24" s="7"/>
      <c r="C24" s="25"/>
      <c r="D24" s="25"/>
      <c r="E24" s="25"/>
      <c r="F24" s="30"/>
      <c r="G24" s="25"/>
      <c r="H24" s="25"/>
      <c r="I24" s="15"/>
      <c r="J24" s="15"/>
      <c r="K24" s="15"/>
      <c r="L24" s="15"/>
      <c r="M24" s="15">
        <f t="shared" ref="M24:M29" si="1">+(K24*F24)/3600</f>
        <v>0</v>
      </c>
      <c r="N24" s="15">
        <f>+G49*2</f>
        <v>35.524074074074072</v>
      </c>
      <c r="O24" s="15">
        <f t="shared" si="0"/>
        <v>127.88666666666666</v>
      </c>
      <c r="P24" s="9" t="s">
        <v>64</v>
      </c>
      <c r="Q24" s="7"/>
      <c r="R24" s="7"/>
      <c r="S24" s="7"/>
    </row>
    <row r="25" spans="1:19">
      <c r="A25" s="19" t="s">
        <v>19</v>
      </c>
      <c r="B25" s="12"/>
      <c r="C25" s="25"/>
      <c r="D25" s="25">
        <v>12</v>
      </c>
      <c r="E25" s="25">
        <f>+B17-B15</f>
        <v>30000</v>
      </c>
      <c r="F25" s="30">
        <f>$B$17-E25</f>
        <v>2000</v>
      </c>
      <c r="G25" s="25">
        <v>5.0000000000000001E-3</v>
      </c>
      <c r="H25" s="25">
        <v>0</v>
      </c>
      <c r="I25" s="15"/>
      <c r="J25" s="15">
        <f t="shared" ref="J25:J35" si="2">+D25*G25</f>
        <v>0.06</v>
      </c>
      <c r="K25" s="15">
        <f t="shared" ref="K25:K35" si="3">+D25*H25</f>
        <v>0</v>
      </c>
      <c r="L25" s="15">
        <f t="shared" ref="L25:L29" si="4">+(J25*E25)/3600</f>
        <v>0.5</v>
      </c>
      <c r="M25" s="15">
        <f t="shared" si="1"/>
        <v>0</v>
      </c>
      <c r="N25" s="15">
        <f>+(L25+M25)/$B$19</f>
        <v>0.625</v>
      </c>
      <c r="O25" s="15">
        <f t="shared" si="0"/>
        <v>2.25</v>
      </c>
      <c r="P25" s="9"/>
      <c r="Q25" s="7"/>
      <c r="R25" s="7"/>
      <c r="S25" s="7"/>
    </row>
    <row r="26" spans="1:19">
      <c r="A26" s="19" t="s">
        <v>20</v>
      </c>
      <c r="B26" s="7"/>
      <c r="C26" s="25"/>
      <c r="D26" s="25">
        <v>12</v>
      </c>
      <c r="E26" s="25">
        <f>+B15</f>
        <v>2000</v>
      </c>
      <c r="F26" s="30">
        <f>$B$17-E26</f>
        <v>30000</v>
      </c>
      <c r="G26" s="25">
        <v>2.1999999999999999E-2</v>
      </c>
      <c r="H26" s="25">
        <v>0</v>
      </c>
      <c r="I26" s="15"/>
      <c r="J26" s="15">
        <f t="shared" si="2"/>
        <v>0.26400000000000001</v>
      </c>
      <c r="K26" s="15">
        <f t="shared" si="3"/>
        <v>0</v>
      </c>
      <c r="L26" s="15">
        <f t="shared" si="4"/>
        <v>0.14666666666666667</v>
      </c>
      <c r="M26" s="15">
        <f t="shared" si="1"/>
        <v>0</v>
      </c>
      <c r="N26" s="15">
        <f t="shared" ref="N26:N35" si="5">+(L26+M26)/$B$19</f>
        <v>0.18333333333333332</v>
      </c>
      <c r="O26" s="15">
        <f t="shared" si="0"/>
        <v>0.66</v>
      </c>
      <c r="P26" s="9"/>
      <c r="Q26" s="7"/>
      <c r="R26" s="7"/>
      <c r="S26" s="7"/>
    </row>
    <row r="27" spans="1:19">
      <c r="A27" s="19" t="s">
        <v>58</v>
      </c>
      <c r="B27" s="7"/>
      <c r="C27" s="25"/>
      <c r="D27" s="25">
        <v>12</v>
      </c>
      <c r="E27" s="25">
        <f>+B17-E25-E26</f>
        <v>0</v>
      </c>
      <c r="F27" s="30">
        <f>$B$17-E27</f>
        <v>32000</v>
      </c>
      <c r="G27" s="25">
        <v>3.3999999999999998E-3</v>
      </c>
      <c r="H27" s="25">
        <v>0</v>
      </c>
      <c r="I27" s="15"/>
      <c r="J27" s="15">
        <f t="shared" si="2"/>
        <v>4.0799999999999996E-2</v>
      </c>
      <c r="K27" s="15">
        <f t="shared" si="3"/>
        <v>0</v>
      </c>
      <c r="L27" s="15">
        <f t="shared" si="4"/>
        <v>0</v>
      </c>
      <c r="M27" s="15">
        <f t="shared" si="1"/>
        <v>0</v>
      </c>
      <c r="N27" s="15">
        <f t="shared" si="5"/>
        <v>0</v>
      </c>
      <c r="O27" s="15">
        <f t="shared" si="0"/>
        <v>0</v>
      </c>
      <c r="P27" s="9"/>
      <c r="Q27" s="7"/>
      <c r="R27" s="7"/>
      <c r="S27" s="7"/>
    </row>
    <row r="28" spans="1:19">
      <c r="A28" s="19" t="s">
        <v>15</v>
      </c>
      <c r="B28" s="7"/>
      <c r="C28" s="25"/>
      <c r="D28" s="25">
        <v>12</v>
      </c>
      <c r="E28" s="25">
        <f>+B17</f>
        <v>32000</v>
      </c>
      <c r="F28" s="30">
        <f>$B$17-E28</f>
        <v>0</v>
      </c>
      <c r="G28" s="25">
        <v>0.04</v>
      </c>
      <c r="H28" s="25">
        <v>0</v>
      </c>
      <c r="I28" s="15"/>
      <c r="J28" s="15">
        <f t="shared" si="2"/>
        <v>0.48</v>
      </c>
      <c r="K28" s="15">
        <f t="shared" si="3"/>
        <v>0</v>
      </c>
      <c r="L28" s="15">
        <f t="shared" si="4"/>
        <v>4.2666666666666666</v>
      </c>
      <c r="M28" s="15">
        <f t="shared" si="1"/>
        <v>0</v>
      </c>
      <c r="N28" s="15">
        <f t="shared" si="5"/>
        <v>5.333333333333333</v>
      </c>
      <c r="O28" s="15">
        <f t="shared" si="0"/>
        <v>19.2</v>
      </c>
      <c r="P28" s="9" t="s">
        <v>52</v>
      </c>
      <c r="Q28" s="7"/>
      <c r="R28" s="7"/>
      <c r="S28" s="7"/>
    </row>
    <row r="29" spans="1:19">
      <c r="A29" s="19" t="s">
        <v>16</v>
      </c>
      <c r="B29" s="7"/>
      <c r="C29" s="25"/>
      <c r="D29" s="25">
        <v>5</v>
      </c>
      <c r="E29" s="25">
        <v>300</v>
      </c>
      <c r="F29" s="30">
        <f>$B$17-E29</f>
        <v>31700</v>
      </c>
      <c r="G29" s="25">
        <v>0.05</v>
      </c>
      <c r="H29" s="25">
        <v>0</v>
      </c>
      <c r="I29" s="15"/>
      <c r="J29" s="15">
        <f t="shared" si="2"/>
        <v>0.25</v>
      </c>
      <c r="K29" s="15">
        <f t="shared" si="3"/>
        <v>0</v>
      </c>
      <c r="L29" s="15">
        <f t="shared" si="4"/>
        <v>2.0833333333333332E-2</v>
      </c>
      <c r="M29" s="15">
        <f t="shared" si="1"/>
        <v>0</v>
      </c>
      <c r="N29" s="15">
        <f t="shared" si="5"/>
        <v>2.6041666666666664E-2</v>
      </c>
      <c r="O29" s="15">
        <f t="shared" si="0"/>
        <v>9.3749999999999986E-2</v>
      </c>
      <c r="P29" s="9"/>
      <c r="Q29" s="7"/>
      <c r="R29" s="7"/>
      <c r="S29" s="7"/>
    </row>
    <row r="30" spans="1:19">
      <c r="A30" s="19" t="s">
        <v>13</v>
      </c>
      <c r="B30" s="7"/>
      <c r="C30" s="25">
        <f>+B9/2</f>
        <v>100</v>
      </c>
      <c r="D30" s="25">
        <v>12</v>
      </c>
      <c r="E30" s="25">
        <v>5</v>
      </c>
      <c r="F30" s="25"/>
      <c r="G30" s="25">
        <v>0.08</v>
      </c>
      <c r="H30" s="25">
        <v>0</v>
      </c>
      <c r="I30" s="15"/>
      <c r="J30" s="15">
        <f t="shared" si="2"/>
        <v>0.96</v>
      </c>
      <c r="K30" s="15">
        <f t="shared" si="3"/>
        <v>0</v>
      </c>
      <c r="L30" s="15">
        <f>+(C30*E30*J30)/3600</f>
        <v>0.13333333333333333</v>
      </c>
      <c r="M30" s="15">
        <f>+(F30*K30)/3600</f>
        <v>0</v>
      </c>
      <c r="N30" s="15">
        <f t="shared" si="5"/>
        <v>0.16666666666666666</v>
      </c>
      <c r="O30" s="15">
        <f t="shared" si="0"/>
        <v>0.6</v>
      </c>
      <c r="P30" s="9"/>
      <c r="Q30" s="7"/>
      <c r="R30" s="7"/>
      <c r="S30" s="7"/>
    </row>
    <row r="31" spans="1:19" ht="34.200000000000003">
      <c r="A31" s="19" t="s">
        <v>14</v>
      </c>
      <c r="B31" s="7"/>
      <c r="C31" s="25">
        <v>500</v>
      </c>
      <c r="D31" s="25">
        <v>5</v>
      </c>
      <c r="E31" s="25">
        <v>2</v>
      </c>
      <c r="F31" s="30">
        <f>+(B13+B15)+(0.2*(B16+B14))</f>
        <v>8666.6666666666679</v>
      </c>
      <c r="G31" s="25">
        <v>0.8</v>
      </c>
      <c r="H31" s="25">
        <v>0.01</v>
      </c>
      <c r="I31" s="15"/>
      <c r="J31" s="15">
        <f t="shared" si="2"/>
        <v>4</v>
      </c>
      <c r="K31" s="15">
        <f t="shared" si="3"/>
        <v>0.05</v>
      </c>
      <c r="L31" s="15">
        <f t="shared" ref="L31:L35" si="6">+(C31*E31*J31)/3600</f>
        <v>1.1111111111111112</v>
      </c>
      <c r="M31" s="15">
        <f t="shared" ref="M31:M35" si="7">+(F31*K31)/3600</f>
        <v>0.12037037037037039</v>
      </c>
      <c r="N31" s="15">
        <f t="shared" si="5"/>
        <v>1.5393518518518519</v>
      </c>
      <c r="O31" s="15">
        <f t="shared" si="0"/>
        <v>5.541666666666667</v>
      </c>
      <c r="P31" s="20" t="s">
        <v>60</v>
      </c>
      <c r="Q31" s="7"/>
      <c r="R31" s="7"/>
      <c r="S31" s="7"/>
    </row>
    <row r="32" spans="1:19">
      <c r="A32" s="19" t="s">
        <v>17</v>
      </c>
      <c r="B32" s="7"/>
      <c r="C32" s="25">
        <f>+B9/2</f>
        <v>100</v>
      </c>
      <c r="D32" s="25">
        <v>12</v>
      </c>
      <c r="E32" s="25">
        <v>10</v>
      </c>
      <c r="F32" s="25"/>
      <c r="G32" s="25">
        <v>2.5000000000000001E-2</v>
      </c>
      <c r="H32" s="25">
        <v>0</v>
      </c>
      <c r="I32" s="15"/>
      <c r="J32" s="15">
        <f t="shared" si="2"/>
        <v>0.30000000000000004</v>
      </c>
      <c r="K32" s="15">
        <f t="shared" si="3"/>
        <v>0</v>
      </c>
      <c r="L32" s="15">
        <f t="shared" si="6"/>
        <v>8.3333333333333343E-2</v>
      </c>
      <c r="M32" s="15">
        <f t="shared" si="7"/>
        <v>0</v>
      </c>
      <c r="N32" s="15">
        <f t="shared" si="5"/>
        <v>0.10416666666666667</v>
      </c>
      <c r="O32" s="15">
        <f t="shared" si="0"/>
        <v>0.375</v>
      </c>
      <c r="P32" s="9"/>
      <c r="Q32" s="7"/>
      <c r="R32" s="7"/>
      <c r="S32" s="7"/>
    </row>
    <row r="33" spans="1:19">
      <c r="A33" s="19" t="s">
        <v>56</v>
      </c>
      <c r="B33" s="7"/>
      <c r="C33" s="25">
        <f>+B9/2</f>
        <v>100</v>
      </c>
      <c r="D33" s="25">
        <v>12</v>
      </c>
      <c r="E33" s="25">
        <v>10</v>
      </c>
      <c r="F33" s="25"/>
      <c r="G33" s="25">
        <v>0.1</v>
      </c>
      <c r="H33" s="25">
        <v>0</v>
      </c>
      <c r="I33" s="15"/>
      <c r="J33" s="15">
        <f t="shared" si="2"/>
        <v>1.2000000000000002</v>
      </c>
      <c r="K33" s="15">
        <f t="shared" si="3"/>
        <v>0</v>
      </c>
      <c r="L33" s="15">
        <f t="shared" si="6"/>
        <v>0.33333333333333337</v>
      </c>
      <c r="M33" s="15">
        <f t="shared" si="7"/>
        <v>0</v>
      </c>
      <c r="N33" s="15">
        <f t="shared" si="5"/>
        <v>0.41666666666666669</v>
      </c>
      <c r="O33" s="15">
        <f t="shared" si="0"/>
        <v>1.5</v>
      </c>
      <c r="P33" s="9"/>
      <c r="Q33" s="7"/>
      <c r="R33" s="7"/>
      <c r="S33" s="7"/>
    </row>
    <row r="34" spans="1:19">
      <c r="A34" s="19" t="s">
        <v>57</v>
      </c>
      <c r="B34" s="7"/>
      <c r="C34" s="25">
        <f>+B9/2</f>
        <v>100</v>
      </c>
      <c r="D34" s="25">
        <v>12</v>
      </c>
      <c r="E34" s="25">
        <v>10</v>
      </c>
      <c r="F34" s="25"/>
      <c r="G34" s="25">
        <v>0.35</v>
      </c>
      <c r="H34" s="25">
        <v>0</v>
      </c>
      <c r="I34" s="15"/>
      <c r="J34" s="15">
        <f t="shared" si="2"/>
        <v>4.1999999999999993</v>
      </c>
      <c r="K34" s="15">
        <f t="shared" si="3"/>
        <v>0</v>
      </c>
      <c r="L34" s="15">
        <f t="shared" si="6"/>
        <v>1.1666666666666665</v>
      </c>
      <c r="M34" s="15">
        <f t="shared" si="7"/>
        <v>0</v>
      </c>
      <c r="N34" s="15">
        <f t="shared" si="5"/>
        <v>1.458333333333333</v>
      </c>
      <c r="O34" s="15">
        <f t="shared" si="0"/>
        <v>5.2499999999999991</v>
      </c>
      <c r="P34" s="9"/>
      <c r="Q34" s="7"/>
      <c r="R34" s="7"/>
      <c r="S34" s="7"/>
    </row>
    <row r="35" spans="1:19">
      <c r="A35" s="19" t="s">
        <v>18</v>
      </c>
      <c r="B35" s="7"/>
      <c r="C35" s="30">
        <f>+B17/600</f>
        <v>53.333333333333336</v>
      </c>
      <c r="D35" s="25">
        <v>12</v>
      </c>
      <c r="E35" s="30">
        <v>2</v>
      </c>
      <c r="F35" s="25"/>
      <c r="G35" s="25">
        <v>0.05</v>
      </c>
      <c r="H35" s="25">
        <v>0</v>
      </c>
      <c r="I35" s="15"/>
      <c r="J35" s="15">
        <f t="shared" si="2"/>
        <v>0.60000000000000009</v>
      </c>
      <c r="K35" s="15">
        <f t="shared" si="3"/>
        <v>0</v>
      </c>
      <c r="L35" s="15">
        <f t="shared" si="6"/>
        <v>1.7777777777777781E-2</v>
      </c>
      <c r="M35" s="15">
        <f t="shared" si="7"/>
        <v>0</v>
      </c>
      <c r="N35" s="15">
        <f t="shared" si="5"/>
        <v>2.2222222222222227E-2</v>
      </c>
      <c r="O35" s="15">
        <f>+N35*3600/1000</f>
        <v>8.0000000000000016E-2</v>
      </c>
      <c r="P35" s="9"/>
      <c r="Q35" s="7"/>
      <c r="R35" s="7"/>
      <c r="S35" s="7"/>
    </row>
    <row r="36" spans="1:19">
      <c r="A36" s="21" t="s">
        <v>48</v>
      </c>
      <c r="B36" s="4"/>
      <c r="C36" s="4"/>
      <c r="D36" s="4"/>
      <c r="E36" s="4"/>
      <c r="F36" s="4"/>
      <c r="G36" s="4"/>
      <c r="H36" s="4"/>
      <c r="I36" s="6"/>
      <c r="J36" s="6"/>
      <c r="K36" s="6"/>
      <c r="L36" s="4"/>
      <c r="M36" s="4"/>
      <c r="N36" s="6">
        <f>SUM(N23:N35)</f>
        <v>52.732523148148147</v>
      </c>
      <c r="O36" s="6"/>
      <c r="P36" s="22"/>
      <c r="Q36" s="7"/>
      <c r="R36" s="7"/>
      <c r="S36" s="7"/>
    </row>
    <row r="37" spans="1:19">
      <c r="A37" s="7"/>
      <c r="B37" s="7"/>
      <c r="C37" s="7"/>
      <c r="D37" s="7"/>
      <c r="E37" s="7"/>
      <c r="F37" s="7"/>
      <c r="G37" s="7"/>
      <c r="H37" s="7"/>
      <c r="I37" s="15"/>
      <c r="J37" s="15"/>
      <c r="K37" s="15"/>
      <c r="L37" s="7"/>
      <c r="M37" s="7"/>
      <c r="N37" s="7"/>
      <c r="O37" s="7"/>
      <c r="P37" s="7"/>
      <c r="Q37" s="7"/>
      <c r="R37" s="7"/>
      <c r="S37" s="7"/>
    </row>
    <row r="40" spans="1:19">
      <c r="A40" s="1" t="s">
        <v>63</v>
      </c>
    </row>
    <row r="41" spans="1:19">
      <c r="B41" s="1" t="s">
        <v>37</v>
      </c>
      <c r="C41" s="1" t="s">
        <v>38</v>
      </c>
      <c r="D41" s="1" t="s">
        <v>47</v>
      </c>
      <c r="E41" s="1" t="s">
        <v>39</v>
      </c>
      <c r="G41" s="1" t="s">
        <v>40</v>
      </c>
    </row>
    <row r="42" spans="1:19">
      <c r="A42" s="1" t="s">
        <v>41</v>
      </c>
      <c r="B42" s="3">
        <v>25</v>
      </c>
      <c r="C42" s="3">
        <v>150</v>
      </c>
      <c r="D42" s="3">
        <v>1</v>
      </c>
      <c r="E42" s="5">
        <f>+B42*C42*D42</f>
        <v>3750</v>
      </c>
      <c r="F42" s="5"/>
      <c r="G42" s="11">
        <f>+E42/3600</f>
        <v>1.0416666666666667</v>
      </c>
    </row>
    <row r="43" spans="1:19">
      <c r="A43" s="1" t="s">
        <v>42</v>
      </c>
      <c r="B43" s="3">
        <v>35</v>
      </c>
      <c r="C43" s="3">
        <v>30</v>
      </c>
      <c r="D43" s="3">
        <v>1</v>
      </c>
      <c r="E43" s="5">
        <f t="shared" ref="E43:E48" si="8">+B43*C43*D43</f>
        <v>1050</v>
      </c>
      <c r="F43" s="5"/>
      <c r="G43" s="11">
        <f t="shared" ref="G43:G48" si="9">+E43/3600</f>
        <v>0.29166666666666669</v>
      </c>
    </row>
    <row r="44" spans="1:19">
      <c r="A44" s="1" t="s">
        <v>43</v>
      </c>
      <c r="B44" s="3">
        <v>8</v>
      </c>
      <c r="C44" s="31">
        <f>+B9/B10</f>
        <v>666.66666666666674</v>
      </c>
      <c r="D44" s="3">
        <v>1</v>
      </c>
      <c r="E44" s="5">
        <f t="shared" si="8"/>
        <v>5333.3333333333339</v>
      </c>
      <c r="F44" s="5"/>
      <c r="G44" s="11">
        <f t="shared" si="9"/>
        <v>1.4814814814814816</v>
      </c>
    </row>
    <row r="45" spans="1:19">
      <c r="A45" s="1" t="s">
        <v>44</v>
      </c>
      <c r="B45" s="3">
        <v>6</v>
      </c>
      <c r="C45" s="3">
        <f>+B14</f>
        <v>28800</v>
      </c>
      <c r="D45" s="3">
        <v>0.2</v>
      </c>
      <c r="E45" s="5">
        <f t="shared" si="8"/>
        <v>34560</v>
      </c>
      <c r="F45" s="5"/>
      <c r="G45" s="11">
        <f t="shared" si="9"/>
        <v>9.6</v>
      </c>
    </row>
    <row r="46" spans="1:19">
      <c r="A46" s="1" t="s">
        <v>45</v>
      </c>
      <c r="B46" s="3">
        <v>35</v>
      </c>
      <c r="C46" s="3">
        <v>50</v>
      </c>
      <c r="D46" s="3">
        <v>1</v>
      </c>
      <c r="E46" s="5">
        <f t="shared" si="8"/>
        <v>1750</v>
      </c>
      <c r="F46" s="5"/>
      <c r="G46" s="11">
        <f t="shared" si="9"/>
        <v>0.4861111111111111</v>
      </c>
    </row>
    <row r="47" spans="1:19">
      <c r="A47" s="1" t="s">
        <v>46</v>
      </c>
      <c r="B47" s="3">
        <v>6</v>
      </c>
      <c r="C47" s="31">
        <f>+B9/B11</f>
        <v>2000</v>
      </c>
      <c r="D47" s="3">
        <v>1</v>
      </c>
      <c r="E47" s="5">
        <f t="shared" si="8"/>
        <v>12000</v>
      </c>
      <c r="F47" s="5"/>
      <c r="G47" s="11">
        <f t="shared" si="9"/>
        <v>3.3333333333333335</v>
      </c>
    </row>
    <row r="48" spans="1:19">
      <c r="A48" s="1" t="s">
        <v>41</v>
      </c>
      <c r="B48" s="3">
        <v>55</v>
      </c>
      <c r="C48" s="3">
        <v>100</v>
      </c>
      <c r="D48" s="3">
        <v>1</v>
      </c>
      <c r="E48" s="5">
        <f t="shared" si="8"/>
        <v>5500</v>
      </c>
      <c r="F48" s="5"/>
      <c r="G48" s="11">
        <f t="shared" si="9"/>
        <v>1.5277777777777777</v>
      </c>
    </row>
    <row r="49" spans="1:7">
      <c r="A49" s="1" t="s">
        <v>48</v>
      </c>
      <c r="G49" s="11">
        <f>SUM(G42:G48)</f>
        <v>17.762037037037036</v>
      </c>
    </row>
  </sheetData>
  <phoneticPr fontId="1" type="noConversion"/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System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Gene Massion</cp:lastModifiedBy>
  <cp:lastPrinted>2010-04-08T17:38:25Z</cp:lastPrinted>
  <dcterms:created xsi:type="dcterms:W3CDTF">1999-11-12T00:25:30Z</dcterms:created>
  <dcterms:modified xsi:type="dcterms:W3CDTF">2014-09-08T20:03:35Z</dcterms:modified>
</cp:coreProperties>
</file>