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ChemSensors\JonE\ISUS-APEX_2000m\A-221483-20_CompositeHsg\"/>
    </mc:Choice>
  </mc:AlternateContent>
  <xr:revisionPtr revIDLastSave="0" documentId="13_ncr:1_{333F381F-CC8F-4CED-B41F-C7D24D4E5F1B}" xr6:coauthVersionLast="47" xr6:coauthVersionMax="47" xr10:uidLastSave="{00000000-0000-0000-0000-000000000000}"/>
  <bookViews>
    <workbookView xWindow="4596" yWindow="1344" windowWidth="27108" windowHeight="13920" activeTab="1" xr2:uid="{00000000-000D-0000-FFFF-FFFF00000000}"/>
  </bookViews>
  <sheets>
    <sheet name="Sheet1" sheetId="1" r:id="rId1"/>
    <sheet name="error chec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2" l="1"/>
  <c r="T16" i="2"/>
  <c r="V16" i="2" s="1"/>
  <c r="T15" i="2"/>
  <c r="S16" i="2"/>
  <c r="R9" i="2"/>
  <c r="R15" i="2"/>
  <c r="V10" i="2"/>
  <c r="S8" i="2"/>
  <c r="U8" i="2"/>
  <c r="O8" i="2"/>
  <c r="I8" i="2"/>
  <c r="D8" i="2"/>
  <c r="R8" i="2" s="1"/>
  <c r="U18" i="1"/>
  <c r="S18" i="1"/>
  <c r="I18" i="1"/>
  <c r="O18" i="1"/>
  <c r="D18" i="1"/>
  <c r="R18" i="1" s="1"/>
  <c r="S15" i="1"/>
  <c r="I15" i="1"/>
  <c r="O15" i="1"/>
  <c r="D15" i="1"/>
  <c r="R15" i="1" s="1"/>
  <c r="S12" i="1"/>
  <c r="I12" i="1"/>
  <c r="O12" i="1"/>
  <c r="D12" i="1"/>
  <c r="R12" i="1" s="1"/>
  <c r="S9" i="1"/>
  <c r="I9" i="1"/>
  <c r="O9" i="1"/>
  <c r="D9" i="1"/>
  <c r="R9" i="1" s="1"/>
  <c r="S6" i="1"/>
  <c r="I6" i="1"/>
  <c r="O6" i="1"/>
  <c r="S23" i="1"/>
  <c r="S26" i="1"/>
  <c r="S29" i="1"/>
  <c r="D6" i="1"/>
  <c r="R6" i="1" s="1"/>
  <c r="I29" i="1"/>
  <c r="O29" i="1"/>
  <c r="D29" i="1"/>
  <c r="R29" i="1" s="1"/>
  <c r="T29" i="1" s="1"/>
  <c r="I26" i="1"/>
  <c r="O26" i="1"/>
  <c r="D26" i="1"/>
  <c r="R26" i="1" s="1"/>
  <c r="O23" i="1"/>
  <c r="I23" i="1"/>
  <c r="D23" i="1"/>
  <c r="R23" i="1" s="1"/>
  <c r="T8" i="2" l="1"/>
  <c r="V8" i="2" s="1"/>
  <c r="U26" i="1"/>
  <c r="T15" i="1"/>
  <c r="T23" i="1"/>
  <c r="U6" i="1"/>
  <c r="T12" i="1"/>
  <c r="U15" i="1"/>
  <c r="U9" i="1"/>
  <c r="T18" i="1"/>
  <c r="V18" i="1" s="1"/>
  <c r="U12" i="1"/>
  <c r="V12" i="1" s="1"/>
  <c r="T9" i="1"/>
  <c r="V9" i="1" s="1"/>
  <c r="T6" i="1"/>
  <c r="V6" i="1" s="1"/>
  <c r="U29" i="1"/>
  <c r="V29" i="1" s="1"/>
  <c r="T26" i="1"/>
  <c r="V26" i="1" s="1"/>
  <c r="U23" i="1"/>
  <c r="V23" i="1" s="1"/>
  <c r="V15" i="1" l="1"/>
  <c r="U35" i="1"/>
  <c r="O35" i="1" l="1"/>
  <c r="M35" i="1"/>
  <c r="R35" i="1" l="1"/>
  <c r="T35" i="1" s="1"/>
  <c r="V35" i="1" s="1"/>
</calcChain>
</file>

<file path=xl/sharedStrings.xml><?xml version="1.0" encoding="utf-8"?>
<sst xmlns="http://schemas.openxmlformats.org/spreadsheetml/2006/main" count="68" uniqueCount="42">
  <si>
    <t>I.D. shell</t>
  </si>
  <si>
    <t>O.D SHELL</t>
  </si>
  <si>
    <t>Asymmetric (Lobar) Buckling [Shell Instability] P.crit</t>
  </si>
  <si>
    <t>Design Depth (m) =</t>
  </si>
  <si>
    <t xml:space="preserve">q (psi) = </t>
  </si>
  <si>
    <t>Shell Length (L.b)</t>
  </si>
  <si>
    <t>Wet Wt. @ Depth</t>
  </si>
  <si>
    <t>Shell Wall Thickness</t>
  </si>
  <si>
    <t>Margin of Safety</t>
  </si>
  <si>
    <t>Margin of Safety for Buckling</t>
  </si>
  <si>
    <t>Wet Wt. of Case</t>
  </si>
  <si>
    <t>Titanium Tube 2000m</t>
  </si>
  <si>
    <t>Ext. Vol. of Case (in^3)</t>
  </si>
  <si>
    <t>Axial Disp.Shell (in./in.)</t>
  </si>
  <si>
    <t>Delta Radius Change  EXTERNAL (in)</t>
  </si>
  <si>
    <t>Difference</t>
  </si>
  <si>
    <t>Max. Stress (Hoop Str)</t>
  </si>
  <si>
    <t>Dry Wt. of Case (lbf.)</t>
  </si>
  <si>
    <t>Total Axial Disp (in)</t>
  </si>
  <si>
    <t>SW-density=</t>
  </si>
  <si>
    <t>.03706 lbf/in^3</t>
  </si>
  <si>
    <t>SW-density_DEEP=</t>
  </si>
  <si>
    <t>.03706+(2000*1.45876*.03706)/325,000 = .037143</t>
  </si>
  <si>
    <t>LM Graphite_Epoxy  Fiber Tube 2000m (10L@+/-80)</t>
  </si>
  <si>
    <t>LM Graphite_Epoxy  Fiber Tube 2000m (10L@+/-75)</t>
  </si>
  <si>
    <t>LM Graphite_Epoxy  Fiber Tube 2000m (10L@+/-70)</t>
  </si>
  <si>
    <t>LM Graphite_Epoxy  Fiber Tube 2000m (12L@+/-80)</t>
  </si>
  <si>
    <t>LM Graphite_Epoxy  Fiber Tube 2000m (12L@+/-75)</t>
  </si>
  <si>
    <t>LM Graphite_Epoxy  Fiber Tube 2000m (12L@+/-70)</t>
  </si>
  <si>
    <t>LM Graphite_Epoxy  Fiber Tube 2000m (12L@+/-65)</t>
  </si>
  <si>
    <t>LM Graphite_Epoxy  Fiber Tube 2000m (12L@+/-60)</t>
  </si>
  <si>
    <t>x</t>
  </si>
  <si>
    <t>gram per lb</t>
  </si>
  <si>
    <t>grams:</t>
  </si>
  <si>
    <t>m^3</t>
  </si>
  <si>
    <t>nominal</t>
  </si>
  <si>
    <t>depth</t>
  </si>
  <si>
    <t>vol</t>
  </si>
  <si>
    <t xml:space="preserve">density </t>
  </si>
  <si>
    <t>(kg/m^3)</t>
  </si>
  <si>
    <t>displaced mass</t>
  </si>
  <si>
    <t>delta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</si>
</sst>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2" x14ac:knownFonts="1">
    <font>
      <sz val="11"/>
      <color theme="1"/>
      <name val="Calibri"/>
      <family val="2"/>
      <scheme val="minor"/>
    </font>
    <font>
      <sz val="8"/>
      <color rgb="FF1F1F1F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textRotation="75"/>
    </xf>
    <xf numFmtId="49" fontId="0" fillId="0" borderId="0" xfId="0" applyNumberFormat="1" applyAlignment="1">
      <alignment textRotation="75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textRotation="75"/>
    </xf>
    <xf numFmtId="49" fontId="0" fillId="2" borderId="0" xfId="0" applyNumberFormat="1" applyFill="1" applyAlignment="1">
      <alignment textRotation="75" wrapText="1"/>
    </xf>
    <xf numFmtId="167" fontId="0" fillId="0" borderId="0" xfId="0" applyNumberFormat="1"/>
    <xf numFmtId="168" fontId="0" fillId="0" borderId="0" xfId="0" applyNumberFormat="1"/>
    <xf numFmtId="49" fontId="0" fillId="0" borderId="0" xfId="0" applyNumberFormat="1" applyFill="1" applyAlignment="1">
      <alignment textRotation="75" wrapText="1"/>
    </xf>
    <xf numFmtId="49" fontId="0" fillId="0" borderId="0" xfId="0" applyNumberFormat="1" applyFill="1" applyAlignment="1">
      <alignment textRotation="75"/>
    </xf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30480</xdr:rowOff>
    </xdr:from>
    <xdr:to>
      <xdr:col>9</xdr:col>
      <xdr:colOff>419629</xdr:colOff>
      <xdr:row>65</xdr:row>
      <xdr:rowOff>16079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4B219-3BB1-4B95-96B6-6FB8B9E78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25040"/>
          <a:ext cx="6104149" cy="967823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27</xdr:col>
      <xdr:colOff>335280</xdr:colOff>
      <xdr:row>69</xdr:row>
      <xdr:rowOff>114300</xdr:rowOff>
    </xdr:to>
    <xdr:pic>
      <xdr:nvPicPr>
        <xdr:cNvPr id="3" name="image_0">
          <a:extLst>
            <a:ext uri="{FF2B5EF4-FFF2-40B4-BE49-F238E27FC236}">
              <a16:creationId xmlns:a16="http://schemas.microsoft.com/office/drawing/2014/main" id="{9A139E03-6A6F-4074-99A7-352FA5E4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320" y="6972300"/>
          <a:ext cx="9776460" cy="7612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zoomScale="80" zoomScaleNormal="80" zoomScalePageLayoutView="50" workbookViewId="0">
      <pane ySplit="3" topLeftCell="A4" activePane="bottomLeft" state="frozen"/>
      <selection pane="bottomLeft" activeCell="X3" sqref="X3"/>
    </sheetView>
  </sheetViews>
  <sheetFormatPr defaultRowHeight="14.4" x14ac:dyDescent="0.3"/>
  <cols>
    <col min="1" max="1" width="7.109375" customWidth="1"/>
    <col min="2" max="3" width="7.6640625" customWidth="1"/>
    <col min="4" max="4" width="7.109375" customWidth="1"/>
    <col min="5" max="6" width="7.44140625" customWidth="1"/>
    <col min="7" max="7" width="7.33203125" customWidth="1"/>
    <col min="10" max="10" width="11.88671875" customWidth="1"/>
    <col min="11" max="11" width="11.44140625" customWidth="1"/>
    <col min="12" max="13" width="7.44140625" customWidth="1"/>
    <col min="17" max="17" width="2.5546875" customWidth="1"/>
    <col min="23" max="23" width="17.6640625" customWidth="1"/>
  </cols>
  <sheetData>
    <row r="1" spans="1:22" ht="25.95" customHeight="1" x14ac:dyDescent="0.3">
      <c r="B1" t="s">
        <v>3</v>
      </c>
      <c r="E1" s="10">
        <v>2000</v>
      </c>
      <c r="G1" t="s">
        <v>4</v>
      </c>
      <c r="H1" s="2">
        <v>2931</v>
      </c>
      <c r="J1" t="s">
        <v>19</v>
      </c>
      <c r="K1" t="s">
        <v>20</v>
      </c>
      <c r="M1" t="s">
        <v>21</v>
      </c>
      <c r="O1" t="s">
        <v>22</v>
      </c>
    </row>
    <row r="2" spans="1:22" ht="19.95" customHeight="1" x14ac:dyDescent="0.3">
      <c r="H2" s="8"/>
      <c r="I2" s="8"/>
      <c r="J2" s="8"/>
      <c r="L2" s="9"/>
      <c r="M2" s="8"/>
    </row>
    <row r="3" spans="1:22" s="3" customFormat="1" ht="180.75" customHeight="1" x14ac:dyDescent="0.3">
      <c r="A3" s="11" t="s">
        <v>5</v>
      </c>
      <c r="B3" s="11" t="s">
        <v>0</v>
      </c>
      <c r="C3" s="11" t="s">
        <v>7</v>
      </c>
      <c r="D3" s="16" t="s">
        <v>1</v>
      </c>
      <c r="E3" s="16"/>
      <c r="F3" s="16"/>
      <c r="G3" s="11"/>
      <c r="H3" s="11" t="s">
        <v>13</v>
      </c>
      <c r="I3" s="16" t="s">
        <v>18</v>
      </c>
      <c r="J3" s="11" t="s">
        <v>14</v>
      </c>
      <c r="L3" s="11" t="s">
        <v>16</v>
      </c>
      <c r="M3" s="11" t="s">
        <v>8</v>
      </c>
      <c r="N3" s="12" t="s">
        <v>2</v>
      </c>
      <c r="O3" s="4" t="s">
        <v>9</v>
      </c>
      <c r="P3" s="15"/>
      <c r="R3" s="3" t="s">
        <v>12</v>
      </c>
      <c r="S3" s="3" t="s">
        <v>17</v>
      </c>
      <c r="T3" s="11" t="s">
        <v>10</v>
      </c>
      <c r="U3" s="3" t="s">
        <v>6</v>
      </c>
      <c r="V3" s="3" t="s">
        <v>15</v>
      </c>
    </row>
    <row r="5" spans="1:22" x14ac:dyDescent="0.3">
      <c r="A5" t="s">
        <v>26</v>
      </c>
    </row>
    <row r="6" spans="1:22" x14ac:dyDescent="0.3">
      <c r="A6">
        <v>15.75</v>
      </c>
      <c r="B6">
        <v>2.2549999999999999</v>
      </c>
      <c r="C6">
        <v>0.14699999999999999</v>
      </c>
      <c r="D6" s="5">
        <f>B6+2*C6</f>
        <v>2.5489999999999999</v>
      </c>
      <c r="H6">
        <v>8.2349999999999993E-3</v>
      </c>
      <c r="I6" s="13">
        <f>H6*A6</f>
        <v>0.12970124999999999</v>
      </c>
      <c r="J6" s="13">
        <v>8.7000000000000001E-4</v>
      </c>
      <c r="L6">
        <v>29835</v>
      </c>
      <c r="M6">
        <v>1.99</v>
      </c>
      <c r="N6">
        <v>9138</v>
      </c>
      <c r="O6" s="6">
        <f>N6/$H$1</f>
        <v>3.1177072671443193</v>
      </c>
      <c r="R6" s="2">
        <f>(PI()/4)*D6^2*A6</f>
        <v>80.372987293043707</v>
      </c>
      <c r="S6" s="5">
        <f>0.06323*A6</f>
        <v>0.99587249999999994</v>
      </c>
      <c r="T6" s="5">
        <f>S6-R6*0.03706</f>
        <v>-1.9827504090802002</v>
      </c>
      <c r="U6" s="5">
        <f>S6-(((PI()/4)*(D6-(2*J6))^2*(A6-(H6*A6)))*0.037143)</f>
        <v>-1.9607967681898195</v>
      </c>
      <c r="V6" s="5">
        <f>T6-U6</f>
        <v>-2.1953640890380655E-2</v>
      </c>
    </row>
    <row r="8" spans="1:22" x14ac:dyDescent="0.3">
      <c r="A8" t="s">
        <v>27</v>
      </c>
    </row>
    <row r="9" spans="1:22" x14ac:dyDescent="0.3">
      <c r="A9">
        <v>15.75</v>
      </c>
      <c r="B9">
        <v>2.2549999999999999</v>
      </c>
      <c r="C9">
        <v>0.14699999999999999</v>
      </c>
      <c r="D9" s="5">
        <f>B9+2*C9</f>
        <v>2.5489999999999999</v>
      </c>
      <c r="H9">
        <v>7.4460000000000004E-3</v>
      </c>
      <c r="I9" s="13">
        <f>H9*A9</f>
        <v>0.1172745</v>
      </c>
      <c r="J9">
        <v>7.2579999999999997E-4</v>
      </c>
      <c r="L9">
        <v>28901</v>
      </c>
      <c r="M9">
        <v>2.2599999999999998</v>
      </c>
      <c r="N9">
        <v>8554</v>
      </c>
      <c r="O9" s="6">
        <f>N9/$H$1</f>
        <v>2.9184578642101671</v>
      </c>
      <c r="R9" s="2">
        <f>(PI()/4)*D9^2*A9</f>
        <v>80.372987293043707</v>
      </c>
      <c r="S9" s="5">
        <f>0.06323*A9</f>
        <v>0.99587249999999994</v>
      </c>
      <c r="T9" s="5">
        <f>S9-R9*0.03706</f>
        <v>-1.9827504090802002</v>
      </c>
      <c r="U9" s="5">
        <f>S9-(((PI()/4)*(D9-(2*J9))^2*(A9-(H9*A9)))*0.037143)</f>
        <v>-1.9638190274058256</v>
      </c>
      <c r="V9" s="5">
        <f>T9-U9</f>
        <v>-1.8931381674374581E-2</v>
      </c>
    </row>
    <row r="10" spans="1:22" x14ac:dyDescent="0.3">
      <c r="D10" s="5"/>
      <c r="I10" s="13"/>
      <c r="O10" s="6"/>
      <c r="R10" s="2"/>
      <c r="S10" s="5"/>
      <c r="T10" s="5"/>
      <c r="U10" s="5"/>
      <c r="V10" s="5"/>
    </row>
    <row r="11" spans="1:22" x14ac:dyDescent="0.3">
      <c r="A11" t="s">
        <v>28</v>
      </c>
      <c r="D11" s="5"/>
      <c r="I11" s="13"/>
      <c r="O11" s="6"/>
      <c r="R11" s="2"/>
      <c r="S11" s="5"/>
      <c r="T11" s="5"/>
      <c r="U11" s="5"/>
      <c r="V11" s="5"/>
    </row>
    <row r="12" spans="1:22" x14ac:dyDescent="0.3">
      <c r="A12">
        <v>15.75</v>
      </c>
      <c r="B12">
        <v>2.2549999999999999</v>
      </c>
      <c r="C12">
        <v>0.14699999999999999</v>
      </c>
      <c r="D12" s="5">
        <f>B12+2*C12</f>
        <v>2.5489999999999999</v>
      </c>
      <c r="H12">
        <v>6.3179999999999998E-3</v>
      </c>
      <c r="I12" s="13">
        <f>H12*A12</f>
        <v>9.95085E-2</v>
      </c>
      <c r="J12">
        <v>6.3747000000000001E-4</v>
      </c>
      <c r="L12">
        <v>27911</v>
      </c>
      <c r="M12">
        <v>2.75</v>
      </c>
      <c r="N12">
        <v>7794</v>
      </c>
      <c r="O12" s="6">
        <f>N12/$H$1</f>
        <v>2.6591606960081884</v>
      </c>
      <c r="R12" s="2">
        <f>(PI()/4)*D12^2*A12</f>
        <v>80.372987293043707</v>
      </c>
      <c r="S12" s="5">
        <f>0.06323*A12</f>
        <v>0.99587249999999994</v>
      </c>
      <c r="T12" s="5">
        <f>S12-R12*0.03706</f>
        <v>-1.9827504090802002</v>
      </c>
      <c r="U12" s="5">
        <f>S12-(((PI()/4)*(D12-(2*J12))^2*(A12-(H12*A12)))*0.037143)</f>
        <v>-1.9675935656018728</v>
      </c>
      <c r="V12" s="5">
        <f>T12-U12</f>
        <v>-1.5156843478327353E-2</v>
      </c>
    </row>
    <row r="13" spans="1:22" x14ac:dyDescent="0.3">
      <c r="D13" s="5"/>
      <c r="I13" s="13"/>
      <c r="O13" s="6"/>
      <c r="R13" s="2"/>
      <c r="S13" s="5"/>
      <c r="T13" s="5"/>
      <c r="U13" s="5"/>
      <c r="V13" s="5"/>
    </row>
    <row r="14" spans="1:22" x14ac:dyDescent="0.3">
      <c r="A14" t="s">
        <v>29</v>
      </c>
      <c r="D14" s="5"/>
      <c r="I14" s="13"/>
      <c r="O14" s="6"/>
      <c r="R14" s="2"/>
      <c r="S14" s="5"/>
      <c r="T14" s="5"/>
      <c r="U14" s="5"/>
      <c r="V14" s="5"/>
    </row>
    <row r="15" spans="1:22" x14ac:dyDescent="0.3">
      <c r="A15">
        <v>15.75</v>
      </c>
      <c r="B15">
        <v>2.2549999999999999</v>
      </c>
      <c r="C15">
        <v>0.14699999999999999</v>
      </c>
      <c r="D15" s="5">
        <f>B15+2*C15</f>
        <v>2.5489999999999999</v>
      </c>
      <c r="H15">
        <v>4.8573000000000002E-3</v>
      </c>
      <c r="I15" s="13">
        <f>H15*A15</f>
        <v>7.6502475E-2</v>
      </c>
      <c r="J15">
        <v>7.3539000000000005E-4</v>
      </c>
      <c r="L15">
        <v>27083</v>
      </c>
      <c r="M15">
        <v>3.68</v>
      </c>
      <c r="N15">
        <v>6910</v>
      </c>
      <c r="O15" s="6">
        <f>N15/$H$1</f>
        <v>2.3575571477311499</v>
      </c>
      <c r="R15" s="2">
        <f>(PI()/4)*D15^2*A15</f>
        <v>80.372987293043707</v>
      </c>
      <c r="S15" s="5">
        <f>0.06323*A15</f>
        <v>0.99587249999999994</v>
      </c>
      <c r="T15" s="5">
        <f>S15-R15*0.03706</f>
        <v>-1.9827504090802002</v>
      </c>
      <c r="U15" s="5">
        <f>S15-(((PI()/4)*(D15-(2*J15))^2*(A15-(H15*A15)))*0.037143)</f>
        <v>-1.9714935762986823</v>
      </c>
      <c r="V15" s="5">
        <f>T15-U15</f>
        <v>-1.12568327815179E-2</v>
      </c>
    </row>
    <row r="16" spans="1:22" x14ac:dyDescent="0.3">
      <c r="D16" s="5"/>
      <c r="I16" s="13"/>
      <c r="O16" s="6"/>
      <c r="R16" s="2"/>
      <c r="S16" s="5"/>
      <c r="T16" s="5"/>
      <c r="U16" s="5"/>
      <c r="V16" s="5"/>
    </row>
    <row r="17" spans="1:23" x14ac:dyDescent="0.3">
      <c r="A17" t="s">
        <v>30</v>
      </c>
      <c r="D17" s="5"/>
      <c r="I17" s="13"/>
      <c r="O17" s="6"/>
      <c r="R17" s="2"/>
      <c r="S17" s="5"/>
      <c r="T17" s="5"/>
      <c r="U17" s="5"/>
      <c r="V17" s="5"/>
    </row>
    <row r="18" spans="1:23" x14ac:dyDescent="0.3">
      <c r="A18">
        <v>15.75</v>
      </c>
      <c r="B18">
        <v>2.2549999999999999</v>
      </c>
      <c r="C18">
        <v>0.14699999999999999</v>
      </c>
      <c r="D18" s="5">
        <f>B18+2*C18</f>
        <v>2.5489999999999999</v>
      </c>
      <c r="H18">
        <v>3.1239000000000002E-3</v>
      </c>
      <c r="I18" s="13">
        <f>H18*A18</f>
        <v>4.9201425E-2</v>
      </c>
      <c r="J18">
        <v>1.1926E-3</v>
      </c>
      <c r="L18">
        <v>26604</v>
      </c>
      <c r="M18">
        <v>5.47</v>
      </c>
      <c r="N18">
        <v>5959</v>
      </c>
      <c r="O18" s="6">
        <f>N18/$H$1</f>
        <v>2.0330945069942001</v>
      </c>
      <c r="R18" s="2">
        <f>(PI()/4)*D18^2*A18</f>
        <v>80.372987293043707</v>
      </c>
      <c r="S18" s="5">
        <f>0.06323*A18</f>
        <v>0.99587249999999994</v>
      </c>
      <c r="T18" s="5">
        <f>S18-R18*0.03706</f>
        <v>-1.9827504090802002</v>
      </c>
      <c r="U18" s="5">
        <f>S18-(((PI()/4)*(D18-(2*J18))^2*(A18-(H18*A18)))*0.037143)</f>
        <v>-1.9745287514453218</v>
      </c>
      <c r="V18" s="5">
        <f>T18-U18</f>
        <v>-8.2216576348783654E-3</v>
      </c>
      <c r="W18" s="8" t="s">
        <v>31</v>
      </c>
    </row>
    <row r="19" spans="1:23" x14ac:dyDescent="0.3">
      <c r="D19" s="5"/>
      <c r="I19" s="13"/>
      <c r="O19" s="6"/>
      <c r="R19" s="2"/>
      <c r="S19" s="5"/>
      <c r="T19" s="5"/>
      <c r="U19" s="5"/>
      <c r="V19" s="5"/>
    </row>
    <row r="22" spans="1:23" x14ac:dyDescent="0.3">
      <c r="A22" t="s">
        <v>23</v>
      </c>
    </row>
    <row r="23" spans="1:23" x14ac:dyDescent="0.3">
      <c r="A23">
        <v>15.75</v>
      </c>
      <c r="B23">
        <v>2.2549999999999999</v>
      </c>
      <c r="C23">
        <v>0.1225</v>
      </c>
      <c r="D23" s="5">
        <f>B23+2*C23</f>
        <v>2.5</v>
      </c>
      <c r="H23">
        <v>9.6769999999999998E-3</v>
      </c>
      <c r="I23" s="13">
        <f>H23*A23</f>
        <v>0.15241274999999999</v>
      </c>
      <c r="J23">
        <v>1.041E-3</v>
      </c>
      <c r="L23">
        <v>34380</v>
      </c>
      <c r="M23">
        <v>1.69</v>
      </c>
      <c r="N23">
        <v>5455</v>
      </c>
      <c r="O23" s="6">
        <f>N23/$H$1</f>
        <v>1.8611395428181507</v>
      </c>
      <c r="R23" s="2">
        <f>(PI()/4)*D23^2*A23</f>
        <v>77.312631709436317</v>
      </c>
      <c r="S23" s="5">
        <f>0.05215*A23</f>
        <v>0.8213625</v>
      </c>
      <c r="T23" s="5">
        <f>S23-R23*0.03706</f>
        <v>-2.0438436311517103</v>
      </c>
      <c r="U23" s="5">
        <f>S23-(((PI()/4)*(D23-(2*J23))^2*(A23-(H23*A23)))*0.037143)</f>
        <v>-2.0177371648520115</v>
      </c>
      <c r="V23" s="5">
        <f>T23-U23</f>
        <v>-2.6106466299698816E-2</v>
      </c>
    </row>
    <row r="25" spans="1:23" x14ac:dyDescent="0.3">
      <c r="A25" t="s">
        <v>24</v>
      </c>
    </row>
    <row r="26" spans="1:23" x14ac:dyDescent="0.3">
      <c r="A26">
        <v>15.75</v>
      </c>
      <c r="B26">
        <v>2.2549999999999999</v>
      </c>
      <c r="C26">
        <v>0.1225</v>
      </c>
      <c r="D26" s="5">
        <f>B26+2*C26</f>
        <v>2.5</v>
      </c>
      <c r="H26">
        <v>8.744E-3</v>
      </c>
      <c r="I26" s="13">
        <f>H26*A26</f>
        <v>0.13771800000000001</v>
      </c>
      <c r="J26">
        <v>8.6970000000000005E-4</v>
      </c>
      <c r="L26">
        <v>33450</v>
      </c>
      <c r="M26">
        <v>1.93</v>
      </c>
      <c r="N26">
        <v>5106</v>
      </c>
      <c r="O26" s="6">
        <f>N26/$H$1</f>
        <v>1.7420675537359263</v>
      </c>
      <c r="R26" s="2">
        <f>(PI()/4)*D26^2*A26</f>
        <v>77.312631709436317</v>
      </c>
      <c r="S26" s="5">
        <f>0.05215*A26</f>
        <v>0.8213625</v>
      </c>
      <c r="T26" s="5">
        <f>S26-R26*0.03706</f>
        <v>-2.0438436311517103</v>
      </c>
      <c r="U26" s="5">
        <f>S26-(((PI()/4)*(D26-(2*J26))^2*(A26-(H26*A26)))*0.037143)</f>
        <v>-2.0211915047067146</v>
      </c>
      <c r="V26" s="5">
        <f>T26-U26</f>
        <v>-2.2652126444995702E-2</v>
      </c>
    </row>
    <row r="28" spans="1:23" x14ac:dyDescent="0.3">
      <c r="A28" t="s">
        <v>25</v>
      </c>
    </row>
    <row r="29" spans="1:23" x14ac:dyDescent="0.3">
      <c r="A29">
        <v>15.75</v>
      </c>
      <c r="B29">
        <v>2.2549999999999999</v>
      </c>
      <c r="C29">
        <v>0.1225</v>
      </c>
      <c r="D29" s="5">
        <f>B29+2*C29</f>
        <v>2.5</v>
      </c>
      <c r="H29">
        <v>7.4110000000000001E-3</v>
      </c>
      <c r="I29" s="13">
        <f>H29*A29</f>
        <v>0.11672325</v>
      </c>
      <c r="J29">
        <v>7.628E-4</v>
      </c>
      <c r="L29">
        <v>32471</v>
      </c>
      <c r="M29">
        <v>2.35</v>
      </c>
      <c r="N29">
        <v>4652</v>
      </c>
      <c r="O29" s="6">
        <f>N29/$H$1</f>
        <v>1.5871716137836915</v>
      </c>
      <c r="R29" s="2">
        <f>(PI()/4)*D29^2*A29</f>
        <v>77.312631709436317</v>
      </c>
      <c r="S29" s="5">
        <f>0.05215*A29</f>
        <v>0.8213625</v>
      </c>
      <c r="T29" s="5">
        <f>S29-R29*0.03706</f>
        <v>-2.0438436311517103</v>
      </c>
      <c r="U29" s="5">
        <f>S29-(((PI()/4)*(D29-(2*J29))^2*(A29-(H29*A29)))*0.037143)</f>
        <v>-2.0255012576169502</v>
      </c>
      <c r="V29" s="5">
        <f>T29-U29</f>
        <v>-1.8342373534760092E-2</v>
      </c>
    </row>
    <row r="33" spans="1:27" x14ac:dyDescent="0.3">
      <c r="H33" s="13"/>
      <c r="I33" s="13"/>
      <c r="K33" s="7"/>
      <c r="O33" s="6"/>
      <c r="R33" s="2"/>
      <c r="S33" s="1"/>
      <c r="T33" s="6"/>
      <c r="U33" s="6"/>
      <c r="V33" s="6"/>
      <c r="X33" s="5"/>
      <c r="Y33" s="6"/>
      <c r="Z33" s="6"/>
      <c r="AA33" s="2"/>
    </row>
    <row r="34" spans="1:27" x14ac:dyDescent="0.3">
      <c r="A34" t="s">
        <v>11</v>
      </c>
      <c r="X34" s="5"/>
      <c r="Y34" s="6"/>
      <c r="Z34" s="6"/>
      <c r="AA34" s="2"/>
    </row>
    <row r="35" spans="1:27" x14ac:dyDescent="0.3">
      <c r="A35">
        <v>14.75</v>
      </c>
      <c r="B35" s="5">
        <v>2.27</v>
      </c>
      <c r="C35">
        <v>0.115</v>
      </c>
      <c r="D35" s="5">
        <v>2.5</v>
      </c>
      <c r="I35">
        <v>5.4489999999999999E-3</v>
      </c>
      <c r="J35">
        <v>3.9179999999999996E-3</v>
      </c>
      <c r="K35" s="7"/>
      <c r="L35">
        <v>31109</v>
      </c>
      <c r="M35" s="1">
        <f>125000/L35</f>
        <v>4.018129801665113</v>
      </c>
      <c r="N35">
        <v>4413</v>
      </c>
      <c r="O35" s="6">
        <f>N35/3000</f>
        <v>1.4710000000000001</v>
      </c>
      <c r="R35" s="2">
        <f>(PI()/4)*D35^2*A35</f>
        <v>72.403893188202261</v>
      </c>
      <c r="S35" s="14">
        <v>2.0329999999999999</v>
      </c>
      <c r="T35" s="7">
        <f>S35-R35*0.03706</f>
        <v>-0.65028828155477614</v>
      </c>
      <c r="U35" s="5">
        <f>S35-(((PI()/4)*(D35-(2*J35))^2*(A35-(H35*A35)))*0.037143)</f>
        <v>-0.63946555551910578</v>
      </c>
      <c r="V35" s="5">
        <f>T35-U35</f>
        <v>-1.082272603567036E-2</v>
      </c>
      <c r="X35" s="5"/>
      <c r="Y35" s="6"/>
      <c r="Z35" s="6"/>
      <c r="AA35" s="2"/>
    </row>
    <row r="36" spans="1:27" x14ac:dyDescent="0.3">
      <c r="B36" s="5"/>
      <c r="C36" s="5"/>
      <c r="D36" s="5"/>
      <c r="K36" s="7"/>
      <c r="M36" s="1"/>
      <c r="O36" s="6"/>
      <c r="R36" s="2"/>
      <c r="T36" s="7"/>
      <c r="V36" s="6"/>
      <c r="X36" s="5"/>
      <c r="Y36" s="6"/>
      <c r="Z36" s="6"/>
      <c r="AA36" s="2"/>
    </row>
    <row r="37" spans="1:27" x14ac:dyDescent="0.3">
      <c r="B37" s="5"/>
      <c r="C37" s="5"/>
      <c r="D37" s="5"/>
      <c r="K37" s="7"/>
      <c r="M37" s="1"/>
      <c r="O37" s="6"/>
      <c r="R37" s="2"/>
      <c r="U37" s="6"/>
      <c r="V37" s="6"/>
      <c r="X37" s="5"/>
      <c r="Y37" s="6"/>
      <c r="Z37" s="6"/>
      <c r="AA37" s="2"/>
    </row>
    <row r="38" spans="1:27" x14ac:dyDescent="0.3">
      <c r="X38" s="5"/>
      <c r="Y38" s="6"/>
      <c r="Z38" s="6"/>
      <c r="AA38" s="2"/>
    </row>
    <row r="39" spans="1:27" x14ac:dyDescent="0.3">
      <c r="C39" s="5"/>
    </row>
    <row r="42" spans="1:27" x14ac:dyDescent="0.3">
      <c r="K42" s="7"/>
      <c r="O42" s="5"/>
      <c r="R42" s="2"/>
      <c r="S42" s="6"/>
      <c r="T42" s="6"/>
      <c r="U42" s="6"/>
      <c r="V42" s="6"/>
    </row>
  </sheetData>
  <pageMargins left="0.25" right="0.25" top="0.75" bottom="0.75" header="0.3" footer="0.3"/>
  <pageSetup paperSize="11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4540-4CD5-40B7-B917-AC9B37A366F2}">
  <dimension ref="A1:W16"/>
  <sheetViews>
    <sheetView tabSelected="1" workbookViewId="0">
      <selection activeCell="K16" sqref="K16"/>
    </sheetView>
  </sheetViews>
  <sheetFormatPr defaultRowHeight="14.4" x14ac:dyDescent="0.3"/>
  <cols>
    <col min="1" max="1" width="10.88671875" customWidth="1"/>
    <col min="3" max="3" width="9.77734375" customWidth="1"/>
    <col min="19" max="19" width="12" bestFit="1" customWidth="1"/>
    <col min="21" max="21" width="10.109375" bestFit="1" customWidth="1"/>
  </cols>
  <sheetData>
    <row r="1" spans="1:23" x14ac:dyDescent="0.3">
      <c r="B1" t="s">
        <v>3</v>
      </c>
      <c r="E1" s="10">
        <v>2000</v>
      </c>
      <c r="G1" t="s">
        <v>4</v>
      </c>
      <c r="H1" s="2">
        <v>2901</v>
      </c>
      <c r="J1" t="s">
        <v>19</v>
      </c>
      <c r="K1" t="s">
        <v>20</v>
      </c>
      <c r="M1" t="s">
        <v>21</v>
      </c>
      <c r="O1" t="s">
        <v>22</v>
      </c>
    </row>
    <row r="3" spans="1:23" x14ac:dyDescent="0.3">
      <c r="C3" s="17" t="s">
        <v>32</v>
      </c>
      <c r="D3" s="18">
        <v>453.6</v>
      </c>
    </row>
    <row r="6" spans="1:23" ht="160.19999999999999" x14ac:dyDescent="0.3">
      <c r="A6" s="11" t="s">
        <v>5</v>
      </c>
      <c r="B6" s="11" t="s">
        <v>0</v>
      </c>
      <c r="C6" s="11" t="s">
        <v>7</v>
      </c>
      <c r="D6" s="16" t="s">
        <v>1</v>
      </c>
      <c r="E6" s="16"/>
      <c r="F6" s="16"/>
      <c r="G6" s="11"/>
      <c r="H6" s="11" t="s">
        <v>13</v>
      </c>
      <c r="I6" s="16" t="s">
        <v>18</v>
      </c>
      <c r="J6" s="11" t="s">
        <v>14</v>
      </c>
      <c r="K6" s="3"/>
      <c r="L6" s="11" t="s">
        <v>16</v>
      </c>
      <c r="M6" s="11" t="s">
        <v>8</v>
      </c>
      <c r="N6" s="12" t="s">
        <v>2</v>
      </c>
      <c r="O6" s="4" t="s">
        <v>9</v>
      </c>
      <c r="P6" s="15"/>
      <c r="Q6" s="3"/>
      <c r="R6" s="3" t="s">
        <v>12</v>
      </c>
      <c r="S6" s="3" t="s">
        <v>17</v>
      </c>
      <c r="T6" s="11" t="s">
        <v>10</v>
      </c>
      <c r="U6" s="3" t="s">
        <v>6</v>
      </c>
      <c r="V6" s="3" t="s">
        <v>15</v>
      </c>
    </row>
    <row r="7" spans="1:23" x14ac:dyDescent="0.3">
      <c r="A7" t="s">
        <v>30</v>
      </c>
      <c r="D7" s="5"/>
      <c r="I7" s="13"/>
      <c r="O7" s="6"/>
      <c r="R7" s="2"/>
      <c r="S7" s="5"/>
      <c r="T7" s="5"/>
      <c r="U7" s="5"/>
      <c r="V7" s="5"/>
    </row>
    <row r="8" spans="1:23" x14ac:dyDescent="0.3">
      <c r="A8">
        <v>15.75</v>
      </c>
      <c r="B8">
        <v>2.2549999999999999</v>
      </c>
      <c r="C8">
        <v>0.14699999999999999</v>
      </c>
      <c r="D8" s="5">
        <f>B8+2*C8</f>
        <v>2.5489999999999999</v>
      </c>
      <c r="H8">
        <v>3.1239000000000002E-3</v>
      </c>
      <c r="I8" s="13">
        <f>H8*A8</f>
        <v>4.9201425E-2</v>
      </c>
      <c r="J8">
        <v>1.1926E-3</v>
      </c>
      <c r="L8">
        <v>26604</v>
      </c>
      <c r="M8">
        <v>5.47</v>
      </c>
      <c r="N8">
        <v>5959</v>
      </c>
      <c r="O8" s="6">
        <f>N8/$H$1</f>
        <v>2.0541192692175114</v>
      </c>
      <c r="Q8" t="s">
        <v>35</v>
      </c>
      <c r="R8" s="7">
        <f>(PI()/4)*D8^2*A8</f>
        <v>80.372987293043707</v>
      </c>
      <c r="S8" s="5">
        <f>0.06323*A8</f>
        <v>0.99587249999999994</v>
      </c>
      <c r="T8" s="5">
        <f>S8-R8*0.03706</f>
        <v>-1.9827504090802002</v>
      </c>
      <c r="U8" s="5">
        <f>S8-(((PI()/4)*(D8-(2*J8))^2*(A8-(H8*A8)))*0.037143)</f>
        <v>-1.9745287514453218</v>
      </c>
      <c r="V8" s="5">
        <f>T8-U8</f>
        <v>-8.2216576348783654E-3</v>
      </c>
      <c r="W8" s="8" t="s">
        <v>31</v>
      </c>
    </row>
    <row r="9" spans="1:23" x14ac:dyDescent="0.3">
      <c r="Q9" t="s">
        <v>36</v>
      </c>
      <c r="R9">
        <f>((PI()/4)*(D8-(2*J8))^2*(A8-(H8*A8)))</f>
        <v>79.972033800320958</v>
      </c>
    </row>
    <row r="10" spans="1:23" x14ac:dyDescent="0.3">
      <c r="U10" t="s">
        <v>33</v>
      </c>
      <c r="V10">
        <f>V8*D3</f>
        <v>-3.7293439031808266</v>
      </c>
    </row>
    <row r="13" spans="1:23" x14ac:dyDescent="0.3">
      <c r="R13" t="s">
        <v>37</v>
      </c>
      <c r="S13" t="s">
        <v>38</v>
      </c>
    </row>
    <row r="14" spans="1:23" x14ac:dyDescent="0.3">
      <c r="R14" t="s">
        <v>34</v>
      </c>
      <c r="S14" t="s">
        <v>39</v>
      </c>
      <c r="T14" t="s">
        <v>40</v>
      </c>
      <c r="V14" t="s">
        <v>41</v>
      </c>
    </row>
    <row r="15" spans="1:23" x14ac:dyDescent="0.3">
      <c r="Q15" t="s">
        <v>35</v>
      </c>
      <c r="R15">
        <f>R8*0.0000163871</f>
        <v>1.3170801800698366E-3</v>
      </c>
      <c r="S15">
        <v>1025</v>
      </c>
      <c r="T15">
        <f>R15*S15</f>
        <v>1.3500071845715826</v>
      </c>
    </row>
    <row r="16" spans="1:23" x14ac:dyDescent="0.3">
      <c r="Q16" t="s">
        <v>36</v>
      </c>
      <c r="R16">
        <f>R9*0.0000163871*0.999</f>
        <v>1.3091992053741505E-3</v>
      </c>
      <c r="S16">
        <f>S15+(0.00000045)*(20000000)</f>
        <v>1034</v>
      </c>
      <c r="T16">
        <f>S16*R16</f>
        <v>1.3537119783568716</v>
      </c>
      <c r="V16">
        <f>(-T16+T15)*1000</f>
        <v>-3.7047937852889845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error check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Justin Tucker</cp:lastModifiedBy>
  <cp:lastPrinted>2019-08-26T21:54:57Z</cp:lastPrinted>
  <dcterms:created xsi:type="dcterms:W3CDTF">2019-05-03T22:17:26Z</dcterms:created>
  <dcterms:modified xsi:type="dcterms:W3CDTF">2025-09-09T00:21:48Z</dcterms:modified>
</cp:coreProperties>
</file>