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xl/charts/chart8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28620" windowHeight="14700" activeTab="6"/>
  </bookViews>
  <sheets>
    <sheet name="Bank 1 run 1" sheetId="1" r:id="rId1"/>
    <sheet name="Bank 2 run 1" sheetId="2" r:id="rId2"/>
    <sheet name="Bank 1 run 2" sheetId="3" r:id="rId3"/>
    <sheet name="Bank 2 run 2" sheetId="4" r:id="rId4"/>
    <sheet name="Bank 1 run 3" sheetId="5" r:id="rId5"/>
    <sheet name="DSPL Run 1" sheetId="6" r:id="rId6"/>
    <sheet name="DSPL run 2" sheetId="7" r:id="rId7"/>
    <sheet name="Chart1" sheetId="9" r:id="rId8"/>
    <sheet name="DSPL run 3" sheetId="8" r:id="rId9"/>
  </sheets>
  <calcPr calcId="125725"/>
</workbook>
</file>

<file path=xl/calcChain.xml><?xml version="1.0" encoding="utf-8"?>
<calcChain xmlns="http://schemas.openxmlformats.org/spreadsheetml/2006/main">
  <c r="D46" i="8"/>
  <c r="D45"/>
  <c r="D44"/>
  <c r="D43"/>
  <c r="D42"/>
  <c r="D41"/>
  <c r="D40"/>
  <c r="D39"/>
  <c r="D38"/>
  <c r="D37"/>
  <c r="D36"/>
  <c r="D35"/>
  <c r="D30"/>
  <c r="D34"/>
  <c r="D33"/>
  <c r="D32"/>
  <c r="D31"/>
  <c r="D29"/>
  <c r="E29" s="1"/>
  <c r="E23"/>
  <c r="E22"/>
  <c r="E21"/>
  <c r="E20"/>
  <c r="E19"/>
  <c r="E18"/>
  <c r="E15"/>
  <c r="E14"/>
  <c r="E13"/>
  <c r="E12"/>
  <c r="D28"/>
  <c r="D27"/>
  <c r="E27" s="1"/>
  <c r="D26"/>
  <c r="D25"/>
  <c r="E26" s="1"/>
  <c r="D24"/>
  <c r="D23"/>
  <c r="D22"/>
  <c r="C9" i="6"/>
  <c r="C8"/>
  <c r="D21" i="8"/>
  <c r="D20"/>
  <c r="D19"/>
  <c r="D18"/>
  <c r="D17"/>
  <c r="D16"/>
  <c r="E17" s="1"/>
  <c r="D15"/>
  <c r="D14"/>
  <c r="D13"/>
  <c r="D12"/>
  <c r="D11"/>
  <c r="H11"/>
  <c r="B25" i="7"/>
  <c r="C25" s="1"/>
  <c r="B24"/>
  <c r="B23"/>
  <c r="B22"/>
  <c r="B21"/>
  <c r="B20"/>
  <c r="B28"/>
  <c r="B27"/>
  <c r="B26"/>
  <c r="C20"/>
  <c r="C28"/>
  <c r="C27"/>
  <c r="C26"/>
  <c r="C24"/>
  <c r="C23"/>
  <c r="C22"/>
  <c r="C21"/>
  <c r="C19"/>
  <c r="C18"/>
  <c r="C17"/>
  <c r="C16"/>
  <c r="C15"/>
  <c r="C14"/>
  <c r="C13"/>
  <c r="C12"/>
  <c r="G11"/>
  <c r="C11"/>
  <c r="G10" i="6"/>
  <c r="B28"/>
  <c r="C28" s="1"/>
  <c r="B27"/>
  <c r="C27" s="1"/>
  <c r="B26"/>
  <c r="C26" s="1"/>
  <c r="D26" s="1"/>
  <c r="E26" s="1"/>
  <c r="B25"/>
  <c r="C25" s="1"/>
  <c r="D25" s="1"/>
  <c r="E25" s="1"/>
  <c r="B24"/>
  <c r="B23"/>
  <c r="B22"/>
  <c r="G21"/>
  <c r="G20"/>
  <c r="G19"/>
  <c r="G18"/>
  <c r="G17"/>
  <c r="G16"/>
  <c r="G15"/>
  <c r="G14"/>
  <c r="G13"/>
  <c r="G12"/>
  <c r="G11"/>
  <c r="B21"/>
  <c r="C21" s="1"/>
  <c r="B20"/>
  <c r="C24"/>
  <c r="C23"/>
  <c r="C22"/>
  <c r="C20"/>
  <c r="C19"/>
  <c r="C18"/>
  <c r="C17"/>
  <c r="C16"/>
  <c r="C15"/>
  <c r="C14"/>
  <c r="C13"/>
  <c r="C12"/>
  <c r="C11"/>
  <c r="D13" i="5"/>
  <c r="F27" i="4"/>
  <c r="F26"/>
  <c r="F25"/>
  <c r="F24"/>
  <c r="F23"/>
  <c r="F22"/>
  <c r="F21"/>
  <c r="F20"/>
  <c r="F19"/>
  <c r="F18"/>
  <c r="F17"/>
  <c r="F16"/>
  <c r="F15"/>
  <c r="F14"/>
  <c r="F13"/>
  <c r="F12"/>
  <c r="F11"/>
  <c r="B21" i="5"/>
  <c r="B27" i="4"/>
  <c r="B26"/>
  <c r="B20" i="5"/>
  <c r="C9" i="4"/>
  <c r="C8"/>
  <c r="B28"/>
  <c r="C26"/>
  <c r="D26" s="1"/>
  <c r="E26" s="1"/>
  <c r="C28"/>
  <c r="C27"/>
  <c r="B25"/>
  <c r="C25" s="1"/>
  <c r="D25" s="1"/>
  <c r="E25" s="1"/>
  <c r="B19" i="5"/>
  <c r="B18"/>
  <c r="B17"/>
  <c r="B24" i="4"/>
  <c r="B23"/>
  <c r="B22"/>
  <c r="B16" i="5"/>
  <c r="B21" i="4"/>
  <c r="D24" i="5"/>
  <c r="D23"/>
  <c r="D12"/>
  <c r="B20" i="4"/>
  <c r="B24" i="5"/>
  <c r="C24" s="1"/>
  <c r="B23"/>
  <c r="C23" s="1"/>
  <c r="B22"/>
  <c r="C22" s="1"/>
  <c r="C21"/>
  <c r="D22" s="1"/>
  <c r="C20"/>
  <c r="C19"/>
  <c r="C18"/>
  <c r="C17"/>
  <c r="C16"/>
  <c r="C15"/>
  <c r="C14"/>
  <c r="C13"/>
  <c r="C12"/>
  <c r="C11"/>
  <c r="B19" i="4"/>
  <c r="B18"/>
  <c r="D12"/>
  <c r="C24"/>
  <c r="C23"/>
  <c r="C22"/>
  <c r="C21"/>
  <c r="C20"/>
  <c r="C19"/>
  <c r="C18"/>
  <c r="C17"/>
  <c r="C16"/>
  <c r="C15"/>
  <c r="C14"/>
  <c r="C13"/>
  <c r="D13" s="1"/>
  <c r="C12"/>
  <c r="C11"/>
  <c r="B20" i="3"/>
  <c r="B24"/>
  <c r="B23"/>
  <c r="B22"/>
  <c r="B21"/>
  <c r="D12"/>
  <c r="E12" s="1"/>
  <c r="C24"/>
  <c r="C23"/>
  <c r="C22"/>
  <c r="C21"/>
  <c r="C20"/>
  <c r="C19"/>
  <c r="C18"/>
  <c r="C17"/>
  <c r="C16"/>
  <c r="C15"/>
  <c r="C14"/>
  <c r="C13"/>
  <c r="C12"/>
  <c r="C11"/>
  <c r="C24" i="2"/>
  <c r="D24" s="1"/>
  <c r="C23"/>
  <c r="C22"/>
  <c r="D22" s="1"/>
  <c r="C21"/>
  <c r="C20"/>
  <c r="D20" s="1"/>
  <c r="E20" s="1"/>
  <c r="C19"/>
  <c r="C18"/>
  <c r="C17"/>
  <c r="C16"/>
  <c r="C15"/>
  <c r="C14"/>
  <c r="C13"/>
  <c r="C12"/>
  <c r="C11"/>
  <c r="C8"/>
  <c r="C9"/>
  <c r="D19"/>
  <c r="D18"/>
  <c r="D17"/>
  <c r="D16"/>
  <c r="D15"/>
  <c r="D14"/>
  <c r="D13"/>
  <c r="E13" s="1"/>
  <c r="E14" s="1"/>
  <c r="E15" s="1"/>
  <c r="E16" s="1"/>
  <c r="E17" s="1"/>
  <c r="F3" i="1"/>
  <c r="D7"/>
  <c r="D8" s="1"/>
  <c r="D9" s="1"/>
  <c r="D10" s="1"/>
  <c r="D11" s="1"/>
  <c r="D6"/>
  <c r="C11"/>
  <c r="C10"/>
  <c r="C9"/>
  <c r="C8"/>
  <c r="C7"/>
  <c r="C6"/>
  <c r="B3"/>
  <c r="B2"/>
  <c r="B11"/>
  <c r="B10"/>
  <c r="B9"/>
  <c r="E46" i="8" l="1"/>
  <c r="E44"/>
  <c r="E42"/>
  <c r="E39"/>
  <c r="E38"/>
  <c r="E40"/>
  <c r="E41"/>
  <c r="E43"/>
  <c r="E45"/>
  <c r="E37"/>
  <c r="E36"/>
  <c r="E35"/>
  <c r="E16"/>
  <c r="E34"/>
  <c r="E32"/>
  <c r="E30"/>
  <c r="E31"/>
  <c r="E33"/>
  <c r="E28"/>
  <c r="E25"/>
  <c r="E24"/>
  <c r="F12"/>
  <c r="D9"/>
  <c r="H12"/>
  <c r="F13"/>
  <c r="D8"/>
  <c r="D21" i="7"/>
  <c r="D20"/>
  <c r="D18"/>
  <c r="D16"/>
  <c r="C9"/>
  <c r="D14"/>
  <c r="D12"/>
  <c r="E12" s="1"/>
  <c r="G12" s="1"/>
  <c r="D22"/>
  <c r="D24"/>
  <c r="D26"/>
  <c r="D28"/>
  <c r="D23"/>
  <c r="D25"/>
  <c r="D27"/>
  <c r="D13"/>
  <c r="E13" s="1"/>
  <c r="D15"/>
  <c r="D17"/>
  <c r="D19"/>
  <c r="C8"/>
  <c r="E9" s="1"/>
  <c r="F9" s="1"/>
  <c r="G9" s="1"/>
  <c r="D28" i="6"/>
  <c r="F26"/>
  <c r="G26"/>
  <c r="D27"/>
  <c r="E27" s="1"/>
  <c r="F25"/>
  <c r="G25"/>
  <c r="D24"/>
  <c r="D21"/>
  <c r="D19"/>
  <c r="D15"/>
  <c r="D14"/>
  <c r="D13"/>
  <c r="D12"/>
  <c r="E12" s="1"/>
  <c r="D16"/>
  <c r="D20"/>
  <c r="D22"/>
  <c r="D17"/>
  <c r="E9"/>
  <c r="F9" s="1"/>
  <c r="G9" s="1"/>
  <c r="D18"/>
  <c r="D23"/>
  <c r="D21" i="5"/>
  <c r="D28" i="4"/>
  <c r="D20" i="5"/>
  <c r="D27" i="4"/>
  <c r="E27" s="1"/>
  <c r="E28" s="1"/>
  <c r="D19" i="5"/>
  <c r="D18"/>
  <c r="D17"/>
  <c r="D24" i="4"/>
  <c r="D23"/>
  <c r="D22"/>
  <c r="D16" i="5"/>
  <c r="D15"/>
  <c r="D21" i="4"/>
  <c r="D14" i="5"/>
  <c r="D20" i="4"/>
  <c r="E12" i="5"/>
  <c r="C8"/>
  <c r="C9"/>
  <c r="D19" i="4"/>
  <c r="D18"/>
  <c r="D17"/>
  <c r="D16"/>
  <c r="D15"/>
  <c r="D14"/>
  <c r="E12"/>
  <c r="D17" i="3"/>
  <c r="C9"/>
  <c r="D15"/>
  <c r="D19"/>
  <c r="D21"/>
  <c r="D23"/>
  <c r="D13"/>
  <c r="E13" s="1"/>
  <c r="D14"/>
  <c r="D16"/>
  <c r="D18"/>
  <c r="D20"/>
  <c r="D22"/>
  <c r="D24"/>
  <c r="C8"/>
  <c r="E9" s="1"/>
  <c r="F9" s="1"/>
  <c r="G9" s="1"/>
  <c r="D21" i="2"/>
  <c r="E21" s="1"/>
  <c r="E22" s="1"/>
  <c r="E23" s="1"/>
  <c r="E24" s="1"/>
  <c r="D23"/>
  <c r="E9"/>
  <c r="F9" s="1"/>
  <c r="G9" s="1"/>
  <c r="E18"/>
  <c r="E19" s="1"/>
  <c r="D3" i="1"/>
  <c r="E3" s="1"/>
  <c r="F9" i="8" l="1"/>
  <c r="G9" s="1"/>
  <c r="H9" s="1"/>
  <c r="H13"/>
  <c r="F14"/>
  <c r="G13" i="7"/>
  <c r="E14"/>
  <c r="F27" i="6"/>
  <c r="E28"/>
  <c r="G27"/>
  <c r="E13"/>
  <c r="E14" s="1"/>
  <c r="E9" i="5"/>
  <c r="F9" s="1"/>
  <c r="G9" s="1"/>
  <c r="E13"/>
  <c r="E9" i="4"/>
  <c r="F9" s="1"/>
  <c r="G9" s="1"/>
  <c r="E13"/>
  <c r="E14" s="1"/>
  <c r="E15" s="1"/>
  <c r="E16" s="1"/>
  <c r="E17" s="1"/>
  <c r="E18" s="1"/>
  <c r="E19" s="1"/>
  <c r="E20" s="1"/>
  <c r="E21" s="1"/>
  <c r="E22" s="1"/>
  <c r="E23" s="1"/>
  <c r="E24" s="1"/>
  <c r="E14" i="3"/>
  <c r="E15" s="1"/>
  <c r="E16" s="1"/>
  <c r="E17" s="1"/>
  <c r="E18" s="1"/>
  <c r="E19" s="1"/>
  <c r="E20" s="1"/>
  <c r="E21" s="1"/>
  <c r="E22" s="1"/>
  <c r="E23" s="1"/>
  <c r="E24" s="1"/>
  <c r="F15" i="8" l="1"/>
  <c r="H14"/>
  <c r="E15" i="7"/>
  <c r="G14"/>
  <c r="F28" i="6"/>
  <c r="G28"/>
  <c r="E15"/>
  <c r="E14" i="5"/>
  <c r="H15" i="8" l="1"/>
  <c r="F16"/>
  <c r="G15" i="7"/>
  <c r="E16"/>
  <c r="E16" i="6"/>
  <c r="E15" i="5"/>
  <c r="F17" i="8" l="1"/>
  <c r="H16"/>
  <c r="E17" i="7"/>
  <c r="G16"/>
  <c r="E17" i="6"/>
  <c r="E16" i="5"/>
  <c r="H17" i="8" l="1"/>
  <c r="F18"/>
  <c r="G17" i="7"/>
  <c r="E18"/>
  <c r="E18" i="6"/>
  <c r="E17" i="5"/>
  <c r="F19" i="8" l="1"/>
  <c r="H18"/>
  <c r="E19" i="7"/>
  <c r="G18"/>
  <c r="E19" i="6"/>
  <c r="E18" i="5"/>
  <c r="F20" i="8" l="1"/>
  <c r="H19"/>
  <c r="E20" i="7"/>
  <c r="G19"/>
  <c r="E20" i="6"/>
  <c r="E19" i="5"/>
  <c r="F21" i="8" l="1"/>
  <c r="H20"/>
  <c r="E21" i="7"/>
  <c r="G20"/>
  <c r="E21" i="6"/>
  <c r="E20" i="5"/>
  <c r="F22" i="8" l="1"/>
  <c r="H21"/>
  <c r="E22" i="7"/>
  <c r="G21"/>
  <c r="E22" i="6"/>
  <c r="E21" i="5"/>
  <c r="F20" s="1"/>
  <c r="F23" i="8" l="1"/>
  <c r="H22"/>
  <c r="E23" i="7"/>
  <c r="G22"/>
  <c r="E23" i="6"/>
  <c r="G22"/>
  <c r="E22" i="5"/>
  <c r="E23" s="1"/>
  <c r="E24" s="1"/>
  <c r="F12"/>
  <c r="F21"/>
  <c r="F11"/>
  <c r="F13"/>
  <c r="F14"/>
  <c r="F15"/>
  <c r="F16"/>
  <c r="F17"/>
  <c r="F18"/>
  <c r="F19"/>
  <c r="F24" i="8" l="1"/>
  <c r="H23"/>
  <c r="E24" i="7"/>
  <c r="G23"/>
  <c r="E24" i="6"/>
  <c r="G23"/>
  <c r="F25" i="8" l="1"/>
  <c r="H24"/>
  <c r="E25" i="7"/>
  <c r="G24"/>
  <c r="G24" i="6"/>
  <c r="F21" s="1"/>
  <c r="F26" i="8" l="1"/>
  <c r="H25"/>
  <c r="E26" i="7"/>
  <c r="G25"/>
  <c r="F12" i="6"/>
  <c r="F20"/>
  <c r="F17"/>
  <c r="F16"/>
  <c r="F13"/>
  <c r="F22"/>
  <c r="F23"/>
  <c r="F14"/>
  <c r="F18"/>
  <c r="F11"/>
  <c r="F15"/>
  <c r="F19"/>
  <c r="F24"/>
  <c r="F27" i="8" l="1"/>
  <c r="H26"/>
  <c r="E27" i="7"/>
  <c r="G26"/>
  <c r="F28" i="8" l="1"/>
  <c r="F29" s="1"/>
  <c r="H27"/>
  <c r="E28" i="7"/>
  <c r="G27"/>
  <c r="H29" i="8" l="1"/>
  <c r="F30"/>
  <c r="H28"/>
  <c r="G28" i="7"/>
  <c r="G10" s="1"/>
  <c r="F31" i="8" l="1"/>
  <c r="H30"/>
  <c r="F11" i="7"/>
  <c r="F12"/>
  <c r="F13"/>
  <c r="F14"/>
  <c r="F15"/>
  <c r="F16"/>
  <c r="F17"/>
  <c r="F18"/>
  <c r="F19"/>
  <c r="F20"/>
  <c r="F21"/>
  <c r="F22"/>
  <c r="F23"/>
  <c r="F24"/>
  <c r="F25"/>
  <c r="F26"/>
  <c r="F27"/>
  <c r="F28"/>
  <c r="H31" i="8" l="1"/>
  <c r="F32"/>
  <c r="H32" l="1"/>
  <c r="F33"/>
  <c r="F34" l="1"/>
  <c r="H33"/>
  <c r="F35" l="1"/>
  <c r="H34"/>
  <c r="H35" l="1"/>
  <c r="F36"/>
  <c r="F37" l="1"/>
  <c r="H36"/>
  <c r="F38" l="1"/>
  <c r="F39" s="1"/>
  <c r="H37"/>
  <c r="H39" l="1"/>
  <c r="F40"/>
  <c r="H38"/>
  <c r="H10" s="1"/>
  <c r="G39" s="1"/>
  <c r="F41" l="1"/>
  <c r="G40"/>
  <c r="H40"/>
  <c r="G29"/>
  <c r="G11"/>
  <c r="G13"/>
  <c r="G15"/>
  <c r="G17"/>
  <c r="G19"/>
  <c r="G21"/>
  <c r="G23"/>
  <c r="G25"/>
  <c r="G27"/>
  <c r="G30"/>
  <c r="G12"/>
  <c r="G14"/>
  <c r="G16"/>
  <c r="G18"/>
  <c r="G20"/>
  <c r="G22"/>
  <c r="G24"/>
  <c r="G26"/>
  <c r="G28"/>
  <c r="G31"/>
  <c r="G32"/>
  <c r="G33"/>
  <c r="G34"/>
  <c r="G35"/>
  <c r="G36"/>
  <c r="G37"/>
  <c r="G38"/>
  <c r="F42" l="1"/>
  <c r="G41"/>
  <c r="H41"/>
  <c r="F43" l="1"/>
  <c r="G42"/>
  <c r="H42"/>
  <c r="F44" l="1"/>
  <c r="G43"/>
  <c r="H43"/>
  <c r="F45" l="1"/>
  <c r="G44"/>
  <c r="H44"/>
  <c r="F46" l="1"/>
  <c r="G45"/>
  <c r="H45"/>
  <c r="H46" l="1"/>
  <c r="G46"/>
</calcChain>
</file>

<file path=xl/sharedStrings.xml><?xml version="1.0" encoding="utf-8"?>
<sst xmlns="http://schemas.openxmlformats.org/spreadsheetml/2006/main" count="59" uniqueCount="13">
  <si>
    <t>Slope</t>
  </si>
  <si>
    <t>Intercept</t>
  </si>
  <si>
    <t>Constant 10 amp current using two programmable loads set at 5 amps each</t>
  </si>
  <si>
    <t>time</t>
  </si>
  <si>
    <t>hour</t>
  </si>
  <si>
    <t>Whr</t>
  </si>
  <si>
    <t>Whr accum.</t>
  </si>
  <si>
    <t>Voltage</t>
  </si>
  <si>
    <t>Constant 35 watts using programmable load</t>
  </si>
  <si>
    <t>Constant 167 watts using programmable load</t>
  </si>
  <si>
    <t>DSPL Constant 167 watts using programmable load</t>
  </si>
  <si>
    <t>DSPL Constant 83 watts using programmable load</t>
  </si>
  <si>
    <t>Day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</si>
</sst>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3">
    <xf numFmtId="0" fontId="0" fillId="0" borderId="0" xfId="0"/>
    <xf numFmtId="0" fontId="1" fillId="2" borderId="1" xfId="1"/>
    <xf numFmtId="9" fontId="0" fillId="0" borderId="0" xfId="0" applyNumberFormat="1"/>
  </cellXfs>
  <cellStyles count="2">
    <cellStyle name="Calculation" xfId="1" builtinId="22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marker>
            <c:symbol val="none"/>
          </c:marker>
          <c:xVal>
            <c:numRef>
              <c:f>'Bank 1 run 1'!$B$5:$B$11</c:f>
              <c:numCache>
                <c:formatCode>General</c:formatCode>
                <c:ptCount val="7"/>
                <c:pt idx="0">
                  <c:v>1100</c:v>
                </c:pt>
                <c:pt idx="1">
                  <c:v>1200</c:v>
                </c:pt>
                <c:pt idx="2">
                  <c:v>1300</c:v>
                </c:pt>
                <c:pt idx="3">
                  <c:v>1400</c:v>
                </c:pt>
                <c:pt idx="4">
                  <c:v>1475</c:v>
                </c:pt>
                <c:pt idx="5">
                  <c:v>1625</c:v>
                </c:pt>
                <c:pt idx="6">
                  <c:v>1675</c:v>
                </c:pt>
              </c:numCache>
            </c:numRef>
          </c:xVal>
          <c:yVal>
            <c:numRef>
              <c:f>'Bank 1 run 1'!$A$5:$A$11</c:f>
              <c:numCache>
                <c:formatCode>General</c:formatCode>
                <c:ptCount val="7"/>
                <c:pt idx="0">
                  <c:v>48.8</c:v>
                </c:pt>
                <c:pt idx="1">
                  <c:v>47.9</c:v>
                </c:pt>
                <c:pt idx="2">
                  <c:v>47.2</c:v>
                </c:pt>
                <c:pt idx="3">
                  <c:v>46.5</c:v>
                </c:pt>
                <c:pt idx="4">
                  <c:v>46.22</c:v>
                </c:pt>
                <c:pt idx="5">
                  <c:v>44.68</c:v>
                </c:pt>
                <c:pt idx="6">
                  <c:v>44.43</c:v>
                </c:pt>
              </c:numCache>
            </c:numRef>
          </c:yVal>
        </c:ser>
        <c:axId val="128638976"/>
        <c:axId val="128637184"/>
      </c:scatterChart>
      <c:scatterChart>
        <c:scatterStyle val="lineMarker"/>
        <c:ser>
          <c:idx val="1"/>
          <c:order val="1"/>
          <c:tx>
            <c:v>Energy</c:v>
          </c:tx>
          <c:marker>
            <c:symbol val="none"/>
          </c:marker>
          <c:xVal>
            <c:numRef>
              <c:f>'Bank 1 run 1'!$B$5:$B$11</c:f>
              <c:numCache>
                <c:formatCode>General</c:formatCode>
                <c:ptCount val="7"/>
                <c:pt idx="0">
                  <c:v>1100</c:v>
                </c:pt>
                <c:pt idx="1">
                  <c:v>1200</c:v>
                </c:pt>
                <c:pt idx="2">
                  <c:v>1300</c:v>
                </c:pt>
                <c:pt idx="3">
                  <c:v>1400</c:v>
                </c:pt>
                <c:pt idx="4">
                  <c:v>1475</c:v>
                </c:pt>
                <c:pt idx="5">
                  <c:v>1625</c:v>
                </c:pt>
                <c:pt idx="6">
                  <c:v>1675</c:v>
                </c:pt>
              </c:numCache>
            </c:numRef>
          </c:xVal>
          <c:yVal>
            <c:numRef>
              <c:f>'Bank 1 run 1'!$D$5:$D$11</c:f>
              <c:numCache>
                <c:formatCode>General</c:formatCode>
                <c:ptCount val="7"/>
                <c:pt idx="0">
                  <c:v>0</c:v>
                </c:pt>
                <c:pt idx="1">
                  <c:v>483.49999999999994</c:v>
                </c:pt>
                <c:pt idx="2">
                  <c:v>959</c:v>
                </c:pt>
                <c:pt idx="3">
                  <c:v>1427.5</c:v>
                </c:pt>
                <c:pt idx="4">
                  <c:v>1775.2</c:v>
                </c:pt>
                <c:pt idx="5">
                  <c:v>2456.9499999999998</c:v>
                </c:pt>
                <c:pt idx="6">
                  <c:v>2679.7249999999999</c:v>
                </c:pt>
              </c:numCache>
            </c:numRef>
          </c:yVal>
        </c:ser>
        <c:axId val="138895744"/>
        <c:axId val="50886528"/>
      </c:scatterChart>
      <c:valAx>
        <c:axId val="128638976"/>
        <c:scaling>
          <c:orientation val="minMax"/>
          <c:max val="2300"/>
          <c:min val="1100"/>
        </c:scaling>
        <c:axPos val="b"/>
        <c:numFmt formatCode="General" sourceLinked="1"/>
        <c:tickLblPos val="nextTo"/>
        <c:crossAx val="128637184"/>
        <c:crosses val="autoZero"/>
        <c:crossBetween val="midCat"/>
      </c:valAx>
      <c:valAx>
        <c:axId val="128637184"/>
        <c:scaling>
          <c:orientation val="minMax"/>
        </c:scaling>
        <c:axPos val="l"/>
        <c:majorGridlines/>
        <c:numFmt formatCode="General" sourceLinked="1"/>
        <c:tickLblPos val="nextTo"/>
        <c:crossAx val="128638976"/>
        <c:crosses val="autoZero"/>
        <c:crossBetween val="midCat"/>
      </c:valAx>
      <c:valAx>
        <c:axId val="50886528"/>
        <c:scaling>
          <c:orientation val="minMax"/>
        </c:scaling>
        <c:axPos val="r"/>
        <c:numFmt formatCode="General" sourceLinked="1"/>
        <c:tickLblPos val="nextTo"/>
        <c:crossAx val="138895744"/>
        <c:crosses val="max"/>
        <c:crossBetween val="midCat"/>
      </c:valAx>
      <c:valAx>
        <c:axId val="138895744"/>
        <c:scaling>
          <c:orientation val="minMax"/>
        </c:scaling>
        <c:delete val="1"/>
        <c:axPos val="b"/>
        <c:numFmt formatCode="General" sourceLinked="1"/>
        <c:tickLblPos val="none"/>
        <c:crossAx val="50886528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xVal>
            <c:numRef>
              <c:f>'Bank 2 run 1'!$C$11:$C$20</c:f>
              <c:numCache>
                <c:formatCode>General</c:formatCode>
                <c:ptCount val="10"/>
                <c:pt idx="0">
                  <c:v>595</c:v>
                </c:pt>
                <c:pt idx="1">
                  <c:v>636.66666666666663</c:v>
                </c:pt>
                <c:pt idx="2">
                  <c:v>685</c:v>
                </c:pt>
                <c:pt idx="3">
                  <c:v>725</c:v>
                </c:pt>
                <c:pt idx="4">
                  <c:v>818.33333333333337</c:v>
                </c:pt>
                <c:pt idx="5">
                  <c:v>911.66666666666663</c:v>
                </c:pt>
                <c:pt idx="6">
                  <c:v>993.33333333333337</c:v>
                </c:pt>
                <c:pt idx="7">
                  <c:v>1086.6666666666667</c:v>
                </c:pt>
                <c:pt idx="8">
                  <c:v>1206.6666666666667</c:v>
                </c:pt>
                <c:pt idx="9">
                  <c:v>1315</c:v>
                </c:pt>
              </c:numCache>
            </c:numRef>
          </c:xVal>
          <c:yVal>
            <c:numRef>
              <c:f>'Bank 2 run 1'!$A$11:$A$20</c:f>
              <c:numCache>
                <c:formatCode>General</c:formatCode>
                <c:ptCount val="10"/>
                <c:pt idx="0">
                  <c:v>51.45</c:v>
                </c:pt>
                <c:pt idx="1">
                  <c:v>48.55</c:v>
                </c:pt>
                <c:pt idx="2">
                  <c:v>47.69</c:v>
                </c:pt>
                <c:pt idx="3">
                  <c:v>47.39</c:v>
                </c:pt>
                <c:pt idx="4">
                  <c:v>46.8</c:v>
                </c:pt>
                <c:pt idx="5">
                  <c:v>46.19</c:v>
                </c:pt>
                <c:pt idx="6">
                  <c:v>45.59</c:v>
                </c:pt>
                <c:pt idx="7">
                  <c:v>44.8</c:v>
                </c:pt>
                <c:pt idx="8">
                  <c:v>43.41</c:v>
                </c:pt>
                <c:pt idx="9">
                  <c:v>37.86</c:v>
                </c:pt>
              </c:numCache>
            </c:numRef>
          </c:yVal>
        </c:ser>
        <c:axId val="50705920"/>
        <c:axId val="50704384"/>
      </c:scatterChart>
      <c:scatterChart>
        <c:scatterStyle val="lineMarker"/>
        <c:ser>
          <c:idx val="1"/>
          <c:order val="1"/>
          <c:tx>
            <c:v>Energy</c:v>
          </c:tx>
          <c:xVal>
            <c:numRef>
              <c:f>'Bank 2 run 1'!$C$12:$C$20</c:f>
              <c:numCache>
                <c:formatCode>General</c:formatCode>
                <c:ptCount val="9"/>
                <c:pt idx="0">
                  <c:v>636.66666666666663</c:v>
                </c:pt>
                <c:pt idx="1">
                  <c:v>685</c:v>
                </c:pt>
                <c:pt idx="2">
                  <c:v>725</c:v>
                </c:pt>
                <c:pt idx="3">
                  <c:v>818.33333333333337</c:v>
                </c:pt>
                <c:pt idx="4">
                  <c:v>911.66666666666663</c:v>
                </c:pt>
                <c:pt idx="5">
                  <c:v>993.33333333333337</c:v>
                </c:pt>
                <c:pt idx="6">
                  <c:v>1086.6666666666667</c:v>
                </c:pt>
                <c:pt idx="7">
                  <c:v>1206.6666666666667</c:v>
                </c:pt>
                <c:pt idx="8">
                  <c:v>1315</c:v>
                </c:pt>
              </c:numCache>
            </c:numRef>
          </c:xVal>
          <c:yVal>
            <c:numRef>
              <c:f>'Bank 2 run 1'!$E$12:$E$20</c:f>
              <c:numCache>
                <c:formatCode>General</c:formatCode>
                <c:ptCount val="9"/>
                <c:pt idx="0">
                  <c:v>0</c:v>
                </c:pt>
                <c:pt idx="1">
                  <c:v>232.58000000000018</c:v>
                </c:pt>
                <c:pt idx="2">
                  <c:v>422.74000000000018</c:v>
                </c:pt>
                <c:pt idx="3">
                  <c:v>862.29333333333375</c:v>
                </c:pt>
                <c:pt idx="4">
                  <c:v>1296.2466666666667</c:v>
                </c:pt>
                <c:pt idx="5">
                  <c:v>1671.0150000000003</c:v>
                </c:pt>
                <c:pt idx="6">
                  <c:v>2092.8350000000005</c:v>
                </c:pt>
                <c:pt idx="7">
                  <c:v>2622.0950000000003</c:v>
                </c:pt>
                <c:pt idx="8">
                  <c:v>3062.3074999999999</c:v>
                </c:pt>
              </c:numCache>
            </c:numRef>
          </c:yVal>
        </c:ser>
        <c:axId val="133093248"/>
        <c:axId val="130902272"/>
      </c:scatterChart>
      <c:valAx>
        <c:axId val="50705920"/>
        <c:scaling>
          <c:orientation val="minMax"/>
          <c:max val="1900"/>
          <c:min val="500"/>
        </c:scaling>
        <c:axPos val="b"/>
        <c:numFmt formatCode="General" sourceLinked="1"/>
        <c:tickLblPos val="nextTo"/>
        <c:crossAx val="50704384"/>
        <c:crosses val="autoZero"/>
        <c:crossBetween val="midCat"/>
      </c:valAx>
      <c:valAx>
        <c:axId val="50704384"/>
        <c:scaling>
          <c:orientation val="minMax"/>
        </c:scaling>
        <c:axPos val="l"/>
        <c:majorGridlines/>
        <c:numFmt formatCode="General" sourceLinked="1"/>
        <c:tickLblPos val="nextTo"/>
        <c:crossAx val="50705920"/>
        <c:crosses val="autoZero"/>
        <c:crossBetween val="midCat"/>
      </c:valAx>
      <c:valAx>
        <c:axId val="130902272"/>
        <c:scaling>
          <c:orientation val="minMax"/>
        </c:scaling>
        <c:axPos val="r"/>
        <c:numFmt formatCode="General" sourceLinked="1"/>
        <c:tickLblPos val="nextTo"/>
        <c:crossAx val="133093248"/>
        <c:crosses val="max"/>
        <c:crossBetween val="midCat"/>
      </c:valAx>
      <c:valAx>
        <c:axId val="133093248"/>
        <c:scaling>
          <c:orientation val="minMax"/>
        </c:scaling>
        <c:delete val="1"/>
        <c:axPos val="b"/>
        <c:numFmt formatCode="General" sourceLinked="1"/>
        <c:tickLblPos val="none"/>
        <c:crossAx val="130902272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xVal>
            <c:numRef>
              <c:f>'Bank 1 run 2'!$C$11:$C$24</c:f>
              <c:numCache>
                <c:formatCode>General</c:formatCode>
                <c:ptCount val="14"/>
                <c:pt idx="0">
                  <c:v>623.33333333333337</c:v>
                </c:pt>
                <c:pt idx="1">
                  <c:v>625</c:v>
                </c:pt>
                <c:pt idx="2">
                  <c:v>683.33333333333337</c:v>
                </c:pt>
                <c:pt idx="3">
                  <c:v>805</c:v>
                </c:pt>
                <c:pt idx="4">
                  <c:v>900</c:v>
                </c:pt>
                <c:pt idx="5">
                  <c:v>1015</c:v>
                </c:pt>
                <c:pt idx="6">
                  <c:v>1086.6666666666667</c:v>
                </c:pt>
                <c:pt idx="7">
                  <c:v>1201.6666666666667</c:v>
                </c:pt>
                <c:pt idx="8">
                  <c:v>1355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</c:numCache>
            </c:numRef>
          </c:xVal>
          <c:yVal>
            <c:numRef>
              <c:f>'Bank 1 run 2'!$A$11:$A$24</c:f>
              <c:numCache>
                <c:formatCode>General</c:formatCode>
                <c:ptCount val="14"/>
                <c:pt idx="0">
                  <c:v>53.7</c:v>
                </c:pt>
                <c:pt idx="1">
                  <c:v>50.9</c:v>
                </c:pt>
                <c:pt idx="2">
                  <c:v>48.65</c:v>
                </c:pt>
                <c:pt idx="3">
                  <c:v>47.88</c:v>
                </c:pt>
                <c:pt idx="4">
                  <c:v>47.2</c:v>
                </c:pt>
                <c:pt idx="5">
                  <c:v>46.25</c:v>
                </c:pt>
                <c:pt idx="6">
                  <c:v>45.5</c:v>
                </c:pt>
                <c:pt idx="7">
                  <c:v>44.11</c:v>
                </c:pt>
                <c:pt idx="8">
                  <c:v>37.799999999999997</c:v>
                </c:pt>
                <c:pt idx="9">
                  <c:v>37.86</c:v>
                </c:pt>
              </c:numCache>
            </c:numRef>
          </c:yVal>
        </c:ser>
        <c:axId val="146417536"/>
        <c:axId val="146416000"/>
      </c:scatterChart>
      <c:scatterChart>
        <c:scatterStyle val="lineMarker"/>
        <c:ser>
          <c:idx val="3"/>
          <c:order val="1"/>
          <c:tx>
            <c:v>Energy</c:v>
          </c:tx>
          <c:xVal>
            <c:numRef>
              <c:f>'Bank 1 run 2'!$C$11:$C$24</c:f>
              <c:numCache>
                <c:formatCode>General</c:formatCode>
                <c:ptCount val="14"/>
                <c:pt idx="0">
                  <c:v>623.33333333333337</c:v>
                </c:pt>
                <c:pt idx="1">
                  <c:v>625</c:v>
                </c:pt>
                <c:pt idx="2">
                  <c:v>683.33333333333337</c:v>
                </c:pt>
                <c:pt idx="3">
                  <c:v>805</c:v>
                </c:pt>
                <c:pt idx="4">
                  <c:v>900</c:v>
                </c:pt>
                <c:pt idx="5">
                  <c:v>1015</c:v>
                </c:pt>
                <c:pt idx="6">
                  <c:v>1086.6666666666667</c:v>
                </c:pt>
                <c:pt idx="7">
                  <c:v>1201.6666666666667</c:v>
                </c:pt>
                <c:pt idx="8">
                  <c:v>1355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</c:numCache>
            </c:numRef>
          </c:xVal>
          <c:yVal>
            <c:numRef>
              <c:f>'Bank 1 run 2'!$E$11:$E$24</c:f>
              <c:numCache>
                <c:formatCode>General</c:formatCode>
                <c:ptCount val="14"/>
                <c:pt idx="0">
                  <c:v>0</c:v>
                </c:pt>
                <c:pt idx="1">
                  <c:v>8.7166666666664678</c:v>
                </c:pt>
                <c:pt idx="2">
                  <c:v>299.07083333333333</c:v>
                </c:pt>
                <c:pt idx="3">
                  <c:v>886.29499999999973</c:v>
                </c:pt>
                <c:pt idx="4">
                  <c:v>1337.9249999999997</c:v>
                </c:pt>
                <c:pt idx="5">
                  <c:v>1875.2624999999998</c:v>
                </c:pt>
                <c:pt idx="6">
                  <c:v>2204.0333333333333</c:v>
                </c:pt>
                <c:pt idx="7">
                  <c:v>2719.2908333333335</c:v>
                </c:pt>
                <c:pt idx="8">
                  <c:v>3347.2674999999999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</c:numCache>
            </c:numRef>
          </c:yVal>
        </c:ser>
        <c:axId val="147200256"/>
        <c:axId val="147197952"/>
      </c:scatterChart>
      <c:valAx>
        <c:axId val="146417536"/>
        <c:scaling>
          <c:orientation val="minMax"/>
        </c:scaling>
        <c:axPos val="b"/>
        <c:numFmt formatCode="General" sourceLinked="1"/>
        <c:tickLblPos val="nextTo"/>
        <c:crossAx val="146416000"/>
        <c:crosses val="autoZero"/>
        <c:crossBetween val="midCat"/>
      </c:valAx>
      <c:valAx>
        <c:axId val="146416000"/>
        <c:scaling>
          <c:orientation val="minMax"/>
        </c:scaling>
        <c:axPos val="l"/>
        <c:majorGridlines/>
        <c:numFmt formatCode="General" sourceLinked="1"/>
        <c:tickLblPos val="nextTo"/>
        <c:crossAx val="146417536"/>
        <c:crosses val="autoZero"/>
        <c:crossBetween val="midCat"/>
      </c:valAx>
      <c:valAx>
        <c:axId val="147197952"/>
        <c:scaling>
          <c:orientation val="minMax"/>
        </c:scaling>
        <c:axPos val="r"/>
        <c:numFmt formatCode="General" sourceLinked="1"/>
        <c:tickLblPos val="nextTo"/>
        <c:crossAx val="147200256"/>
        <c:crosses val="max"/>
        <c:crossBetween val="midCat"/>
      </c:valAx>
      <c:valAx>
        <c:axId val="147200256"/>
        <c:scaling>
          <c:orientation val="minMax"/>
        </c:scaling>
        <c:delete val="1"/>
        <c:axPos val="b"/>
        <c:numFmt formatCode="General" sourceLinked="1"/>
        <c:tickLblPos val="none"/>
        <c:crossAx val="147197952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0"/>
          <c:order val="0"/>
          <c:tx>
            <c:v>Time</c:v>
          </c:tx>
          <c:xVal>
            <c:numRef>
              <c:f>'Bank 2 run 2'!$B$11:$B$28</c:f>
              <c:numCache>
                <c:formatCode>General</c:formatCode>
                <c:ptCount val="18"/>
                <c:pt idx="0">
                  <c:v>554</c:v>
                </c:pt>
                <c:pt idx="1">
                  <c:v>554</c:v>
                </c:pt>
                <c:pt idx="2">
                  <c:v>651</c:v>
                </c:pt>
                <c:pt idx="3">
                  <c:v>824</c:v>
                </c:pt>
                <c:pt idx="4">
                  <c:v>941</c:v>
                </c:pt>
                <c:pt idx="5">
                  <c:v>1314</c:v>
                </c:pt>
                <c:pt idx="6">
                  <c:v>1522</c:v>
                </c:pt>
                <c:pt idx="7">
                  <c:v>10209</c:v>
                </c:pt>
                <c:pt idx="8">
                  <c:v>10545</c:v>
                </c:pt>
                <c:pt idx="9">
                  <c:v>10847</c:v>
                </c:pt>
                <c:pt idx="10">
                  <c:v>10935</c:v>
                </c:pt>
                <c:pt idx="11">
                  <c:v>11204</c:v>
                </c:pt>
                <c:pt idx="12">
                  <c:v>12604</c:v>
                </c:pt>
                <c:pt idx="13">
                  <c:v>12804</c:v>
                </c:pt>
                <c:pt idx="14">
                  <c:v>12900</c:v>
                </c:pt>
                <c:pt idx="15">
                  <c:v>13008</c:v>
                </c:pt>
                <c:pt idx="16">
                  <c:v>13150</c:v>
                </c:pt>
                <c:pt idx="17">
                  <c:v>#N/A</c:v>
                </c:pt>
              </c:numCache>
            </c:numRef>
          </c:xVal>
          <c:yVal>
            <c:numRef>
              <c:f>'Bank 2 run 2'!$A$11:$A$28</c:f>
              <c:numCache>
                <c:formatCode>General</c:formatCode>
                <c:ptCount val="18"/>
                <c:pt idx="0">
                  <c:v>54</c:v>
                </c:pt>
                <c:pt idx="1">
                  <c:v>53.8</c:v>
                </c:pt>
                <c:pt idx="2">
                  <c:v>52.48</c:v>
                </c:pt>
                <c:pt idx="3">
                  <c:v>52.16</c:v>
                </c:pt>
                <c:pt idx="4">
                  <c:v>51.98</c:v>
                </c:pt>
                <c:pt idx="5">
                  <c:v>51.61</c:v>
                </c:pt>
                <c:pt idx="6">
                  <c:v>51.45</c:v>
                </c:pt>
                <c:pt idx="7">
                  <c:v>46.69</c:v>
                </c:pt>
                <c:pt idx="8">
                  <c:v>46.35</c:v>
                </c:pt>
                <c:pt idx="9">
                  <c:v>46.13</c:v>
                </c:pt>
                <c:pt idx="10">
                  <c:v>46.07</c:v>
                </c:pt>
                <c:pt idx="11">
                  <c:v>45.85</c:v>
                </c:pt>
                <c:pt idx="12">
                  <c:v>44.12</c:v>
                </c:pt>
                <c:pt idx="13">
                  <c:v>43.57</c:v>
                </c:pt>
                <c:pt idx="14">
                  <c:v>43.2</c:v>
                </c:pt>
                <c:pt idx="15">
                  <c:v>42.61</c:v>
                </c:pt>
                <c:pt idx="16">
                  <c:v>40.950000000000003</c:v>
                </c:pt>
                <c:pt idx="17">
                  <c:v>43.2</c:v>
                </c:pt>
              </c:numCache>
            </c:numRef>
          </c:yVal>
          <c:smooth val="1"/>
        </c:ser>
        <c:axId val="146811136"/>
        <c:axId val="146809216"/>
      </c:scatterChart>
      <c:scatterChart>
        <c:scatterStyle val="smoothMarker"/>
        <c:ser>
          <c:idx val="1"/>
          <c:order val="1"/>
          <c:tx>
            <c:v>Power</c:v>
          </c:tx>
          <c:xVal>
            <c:numRef>
              <c:f>'Bank 2 run 2'!$B$11:$B$28</c:f>
              <c:numCache>
                <c:formatCode>General</c:formatCode>
                <c:ptCount val="18"/>
                <c:pt idx="0">
                  <c:v>554</c:v>
                </c:pt>
                <c:pt idx="1">
                  <c:v>554</c:v>
                </c:pt>
                <c:pt idx="2">
                  <c:v>651</c:v>
                </c:pt>
                <c:pt idx="3">
                  <c:v>824</c:v>
                </c:pt>
                <c:pt idx="4">
                  <c:v>941</c:v>
                </c:pt>
                <c:pt idx="5">
                  <c:v>1314</c:v>
                </c:pt>
                <c:pt idx="6">
                  <c:v>1522</c:v>
                </c:pt>
                <c:pt idx="7">
                  <c:v>10209</c:v>
                </c:pt>
                <c:pt idx="8">
                  <c:v>10545</c:v>
                </c:pt>
                <c:pt idx="9">
                  <c:v>10847</c:v>
                </c:pt>
                <c:pt idx="10">
                  <c:v>10935</c:v>
                </c:pt>
                <c:pt idx="11">
                  <c:v>11204</c:v>
                </c:pt>
                <c:pt idx="12">
                  <c:v>12604</c:v>
                </c:pt>
                <c:pt idx="13">
                  <c:v>12804</c:v>
                </c:pt>
                <c:pt idx="14">
                  <c:v>12900</c:v>
                </c:pt>
                <c:pt idx="15">
                  <c:v>13008</c:v>
                </c:pt>
                <c:pt idx="16">
                  <c:v>13150</c:v>
                </c:pt>
                <c:pt idx="17">
                  <c:v>#N/A</c:v>
                </c:pt>
              </c:numCache>
            </c:numRef>
          </c:xVal>
          <c:yVal>
            <c:numRef>
              <c:f>'Bank 2 run 2'!$E$11:$E$28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33.25</c:v>
                </c:pt>
                <c:pt idx="3">
                  <c:v>87.5</c:v>
                </c:pt>
                <c:pt idx="4">
                  <c:v>132.41666666666669</c:v>
                </c:pt>
                <c:pt idx="5">
                  <c:v>256.66666666666663</c:v>
                </c:pt>
                <c:pt idx="6">
                  <c:v>331.33333333333337</c:v>
                </c:pt>
                <c:pt idx="7">
                  <c:v>3368.7500000000005</c:v>
                </c:pt>
                <c:pt idx="8">
                  <c:v>3494.7500000000005</c:v>
                </c:pt>
                <c:pt idx="9">
                  <c:v>3600.9166666666674</c:v>
                </c:pt>
                <c:pt idx="10">
                  <c:v>3628.9166666666674</c:v>
                </c:pt>
                <c:pt idx="11">
                  <c:v>3715.8333333333335</c:v>
                </c:pt>
                <c:pt idx="12">
                  <c:v>4205.8333333333339</c:v>
                </c:pt>
                <c:pt idx="13">
                  <c:v>4275.8333333333339</c:v>
                </c:pt>
                <c:pt idx="14">
                  <c:v>4308.5000000000009</c:v>
                </c:pt>
                <c:pt idx="15">
                  <c:v>4348.1666666666679</c:v>
                </c:pt>
                <c:pt idx="16">
                  <c:v>4407.6666666666679</c:v>
                </c:pt>
                <c:pt idx="17">
                  <c:v>#N/A</c:v>
                </c:pt>
              </c:numCache>
            </c:numRef>
          </c:yVal>
          <c:smooth val="1"/>
        </c:ser>
        <c:axId val="132299776"/>
        <c:axId val="132275200"/>
      </c:scatterChart>
      <c:valAx>
        <c:axId val="146811136"/>
        <c:scaling>
          <c:orientation val="minMax"/>
        </c:scaling>
        <c:axPos val="b"/>
        <c:numFmt formatCode="General" sourceLinked="1"/>
        <c:tickLblPos val="nextTo"/>
        <c:crossAx val="146809216"/>
        <c:crosses val="autoZero"/>
        <c:crossBetween val="midCat"/>
      </c:valAx>
      <c:valAx>
        <c:axId val="146809216"/>
        <c:scaling>
          <c:orientation val="minMax"/>
          <c:min val="40"/>
        </c:scaling>
        <c:axPos val="l"/>
        <c:majorGridlines/>
        <c:numFmt formatCode="General" sourceLinked="1"/>
        <c:tickLblPos val="nextTo"/>
        <c:crossAx val="146811136"/>
        <c:crosses val="autoZero"/>
        <c:crossBetween val="midCat"/>
      </c:valAx>
      <c:valAx>
        <c:axId val="132275200"/>
        <c:scaling>
          <c:orientation val="minMax"/>
        </c:scaling>
        <c:axPos val="r"/>
        <c:numFmt formatCode="General" sourceLinked="1"/>
        <c:tickLblPos val="nextTo"/>
        <c:crossAx val="132299776"/>
        <c:crosses val="max"/>
        <c:crossBetween val="midCat"/>
      </c:valAx>
      <c:valAx>
        <c:axId val="132299776"/>
        <c:scaling>
          <c:orientation val="minMax"/>
        </c:scaling>
        <c:delete val="1"/>
        <c:axPos val="b"/>
        <c:numFmt formatCode="General" sourceLinked="1"/>
        <c:tickLblPos val="none"/>
        <c:crossAx val="132275200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0"/>
          <c:order val="0"/>
          <c:xVal>
            <c:numRef>
              <c:f>'Bank 1 run 3'!$B$11:$B$24</c:f>
              <c:numCache>
                <c:formatCode>General</c:formatCode>
                <c:ptCount val="14"/>
                <c:pt idx="0">
                  <c:v>1204</c:v>
                </c:pt>
                <c:pt idx="1">
                  <c:v>1204</c:v>
                </c:pt>
                <c:pt idx="2">
                  <c:v>1247</c:v>
                </c:pt>
                <c:pt idx="3">
                  <c:v>1335</c:v>
                </c:pt>
                <c:pt idx="4">
                  <c:v>1604</c:v>
                </c:pt>
                <c:pt idx="5">
                  <c:v>3004</c:v>
                </c:pt>
                <c:pt idx="6">
                  <c:v>3105</c:v>
                </c:pt>
                <c:pt idx="7">
                  <c:v>3204</c:v>
                </c:pt>
                <c:pt idx="8">
                  <c:v>3300</c:v>
                </c:pt>
                <c:pt idx="9">
                  <c:v>3408</c:v>
                </c:pt>
                <c:pt idx="10">
                  <c:v>3550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</c:numCache>
            </c:numRef>
          </c:xVal>
          <c:yVal>
            <c:numRef>
              <c:f>'Bank 1 run 3'!$A$11:$A$24</c:f>
              <c:numCache>
                <c:formatCode>General</c:formatCode>
                <c:ptCount val="14"/>
                <c:pt idx="0">
                  <c:v>52.72</c:v>
                </c:pt>
                <c:pt idx="1">
                  <c:v>51.8</c:v>
                </c:pt>
                <c:pt idx="2">
                  <c:v>50.48</c:v>
                </c:pt>
                <c:pt idx="3">
                  <c:v>50.26</c:v>
                </c:pt>
                <c:pt idx="4">
                  <c:v>49.75</c:v>
                </c:pt>
                <c:pt idx="5">
                  <c:v>46.2</c:v>
                </c:pt>
                <c:pt idx="6">
                  <c:v>45.75</c:v>
                </c:pt>
                <c:pt idx="7">
                  <c:v>45.23</c:v>
                </c:pt>
                <c:pt idx="8">
                  <c:v>44.64</c:v>
                </c:pt>
                <c:pt idx="9">
                  <c:v>43.62</c:v>
                </c:pt>
                <c:pt idx="10">
                  <c:v>29.04</c:v>
                </c:pt>
              </c:numCache>
            </c:numRef>
          </c:yVal>
          <c:smooth val="1"/>
        </c:ser>
        <c:axId val="133457408"/>
        <c:axId val="133455872"/>
      </c:scatterChart>
      <c:scatterChart>
        <c:scatterStyle val="smoothMarker"/>
        <c:ser>
          <c:idx val="1"/>
          <c:order val="1"/>
          <c:tx>
            <c:v>Power</c:v>
          </c:tx>
          <c:xVal>
            <c:numRef>
              <c:f>'Bank 1 run 3'!$B$11:$B$24</c:f>
              <c:numCache>
                <c:formatCode>General</c:formatCode>
                <c:ptCount val="14"/>
                <c:pt idx="0">
                  <c:v>1204</c:v>
                </c:pt>
                <c:pt idx="1">
                  <c:v>1204</c:v>
                </c:pt>
                <c:pt idx="2">
                  <c:v>1247</c:v>
                </c:pt>
                <c:pt idx="3">
                  <c:v>1335</c:v>
                </c:pt>
                <c:pt idx="4">
                  <c:v>1604</c:v>
                </c:pt>
                <c:pt idx="5">
                  <c:v>3004</c:v>
                </c:pt>
                <c:pt idx="6">
                  <c:v>3105</c:v>
                </c:pt>
                <c:pt idx="7">
                  <c:v>3204</c:v>
                </c:pt>
                <c:pt idx="8">
                  <c:v>3300</c:v>
                </c:pt>
                <c:pt idx="9">
                  <c:v>3408</c:v>
                </c:pt>
                <c:pt idx="10">
                  <c:v>3550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</c:numCache>
            </c:numRef>
          </c:xVal>
          <c:yVal>
            <c:numRef>
              <c:f>'Bank 1 run 3'!$E$11:$E$24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119.68333333333308</c:v>
                </c:pt>
                <c:pt idx="3">
                  <c:v>253.28333333333308</c:v>
                </c:pt>
                <c:pt idx="4">
                  <c:v>668</c:v>
                </c:pt>
                <c:pt idx="5">
                  <c:v>3005.9999999999995</c:v>
                </c:pt>
                <c:pt idx="6">
                  <c:v>3175.7833333333333</c:v>
                </c:pt>
                <c:pt idx="7">
                  <c:v>3339.9999999999995</c:v>
                </c:pt>
                <c:pt idx="8">
                  <c:v>3495.8666666666663</c:v>
                </c:pt>
                <c:pt idx="9">
                  <c:v>3685.1333333333332</c:v>
                </c:pt>
                <c:pt idx="10">
                  <c:v>3969.0333333333333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</c:numCache>
            </c:numRef>
          </c:yVal>
          <c:smooth val="1"/>
        </c:ser>
        <c:axId val="150294912"/>
        <c:axId val="145016704"/>
      </c:scatterChart>
      <c:valAx>
        <c:axId val="133457408"/>
        <c:scaling>
          <c:orientation val="minMax"/>
        </c:scaling>
        <c:axPos val="b"/>
        <c:numFmt formatCode="General" sourceLinked="1"/>
        <c:tickLblPos val="nextTo"/>
        <c:crossAx val="133455872"/>
        <c:crosses val="autoZero"/>
        <c:crossBetween val="midCat"/>
      </c:valAx>
      <c:valAx>
        <c:axId val="133455872"/>
        <c:scaling>
          <c:orientation val="minMax"/>
          <c:min val="25"/>
        </c:scaling>
        <c:axPos val="l"/>
        <c:majorGridlines/>
        <c:numFmt formatCode="General" sourceLinked="1"/>
        <c:tickLblPos val="nextTo"/>
        <c:crossAx val="133457408"/>
        <c:crosses val="autoZero"/>
        <c:crossBetween val="midCat"/>
      </c:valAx>
      <c:valAx>
        <c:axId val="145016704"/>
        <c:scaling>
          <c:orientation val="minMax"/>
        </c:scaling>
        <c:axPos val="r"/>
        <c:numFmt formatCode="General" sourceLinked="1"/>
        <c:tickLblPos val="nextTo"/>
        <c:crossAx val="150294912"/>
        <c:crosses val="max"/>
        <c:crossBetween val="midCat"/>
      </c:valAx>
      <c:valAx>
        <c:axId val="150294912"/>
        <c:scaling>
          <c:orientation val="minMax"/>
        </c:scaling>
        <c:delete val="1"/>
        <c:axPos val="b"/>
        <c:numFmt formatCode="General" sourceLinked="1"/>
        <c:tickLblPos val="none"/>
        <c:crossAx val="145016704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tx>
            <c:v>Voltage</c:v>
          </c:tx>
          <c:xVal>
            <c:numRef>
              <c:f>'DSPL Run 1'!$B$11:$B$28</c:f>
              <c:numCache>
                <c:formatCode>General</c:formatCode>
                <c:ptCount val="18"/>
                <c:pt idx="0">
                  <c:v>1326</c:v>
                </c:pt>
                <c:pt idx="1">
                  <c:v>1326</c:v>
                </c:pt>
                <c:pt idx="2">
                  <c:v>1329</c:v>
                </c:pt>
                <c:pt idx="3">
                  <c:v>1336</c:v>
                </c:pt>
                <c:pt idx="4">
                  <c:v>1410</c:v>
                </c:pt>
                <c:pt idx="5">
                  <c:v>1502</c:v>
                </c:pt>
                <c:pt idx="6">
                  <c:v>1547</c:v>
                </c:pt>
                <c:pt idx="7">
                  <c:v>1610</c:v>
                </c:pt>
                <c:pt idx="8">
                  <c:v>1658</c:v>
                </c:pt>
                <c:pt idx="9">
                  <c:v>2956</c:v>
                </c:pt>
                <c:pt idx="10">
                  <c:v>3038</c:v>
                </c:pt>
                <c:pt idx="11">
                  <c:v>3141</c:v>
                </c:pt>
                <c:pt idx="12">
                  <c:v>3219</c:v>
                </c:pt>
                <c:pt idx="13">
                  <c:v>3324</c:v>
                </c:pt>
                <c:pt idx="14">
                  <c:v>3429</c:v>
                </c:pt>
                <c:pt idx="15">
                  <c:v>3458</c:v>
                </c:pt>
                <c:pt idx="16">
                  <c:v>3530</c:v>
                </c:pt>
                <c:pt idx="17">
                  <c:v>3615</c:v>
                </c:pt>
              </c:numCache>
            </c:numRef>
          </c:xVal>
          <c:yVal>
            <c:numRef>
              <c:f>'DSPL Run 1'!$A$11:$A$28</c:f>
              <c:numCache>
                <c:formatCode>General</c:formatCode>
                <c:ptCount val="18"/>
                <c:pt idx="0">
                  <c:v>53</c:v>
                </c:pt>
                <c:pt idx="1">
                  <c:v>52.91</c:v>
                </c:pt>
                <c:pt idx="2">
                  <c:v>49.71</c:v>
                </c:pt>
                <c:pt idx="3">
                  <c:v>49.52</c:v>
                </c:pt>
                <c:pt idx="4">
                  <c:v>49.44</c:v>
                </c:pt>
                <c:pt idx="5">
                  <c:v>49.3</c:v>
                </c:pt>
                <c:pt idx="6">
                  <c:v>49.19</c:v>
                </c:pt>
                <c:pt idx="7">
                  <c:v>49.13</c:v>
                </c:pt>
                <c:pt idx="8">
                  <c:v>49.01</c:v>
                </c:pt>
                <c:pt idx="9">
                  <c:v>46.27</c:v>
                </c:pt>
                <c:pt idx="10">
                  <c:v>46.09</c:v>
                </c:pt>
                <c:pt idx="11">
                  <c:v>45.78</c:v>
                </c:pt>
                <c:pt idx="12">
                  <c:v>45.58</c:v>
                </c:pt>
                <c:pt idx="13">
                  <c:v>45.21</c:v>
                </c:pt>
                <c:pt idx="14">
                  <c:v>44.79</c:v>
                </c:pt>
                <c:pt idx="15">
                  <c:v>44.58</c:v>
                </c:pt>
                <c:pt idx="16">
                  <c:v>44.33</c:v>
                </c:pt>
                <c:pt idx="17">
                  <c:v>43.91</c:v>
                </c:pt>
              </c:numCache>
            </c:numRef>
          </c:yVal>
        </c:ser>
        <c:axId val="144760192"/>
        <c:axId val="144758656"/>
      </c:scatterChart>
      <c:scatterChart>
        <c:scatterStyle val="lineMarker"/>
        <c:ser>
          <c:idx val="1"/>
          <c:order val="1"/>
          <c:tx>
            <c:v>Energy</c:v>
          </c:tx>
          <c:xVal>
            <c:numRef>
              <c:f>'DSPL Run 1'!$B$11:$B$28</c:f>
              <c:numCache>
                <c:formatCode>General</c:formatCode>
                <c:ptCount val="18"/>
                <c:pt idx="0">
                  <c:v>1326</c:v>
                </c:pt>
                <c:pt idx="1">
                  <c:v>1326</c:v>
                </c:pt>
                <c:pt idx="2">
                  <c:v>1329</c:v>
                </c:pt>
                <c:pt idx="3">
                  <c:v>1336</c:v>
                </c:pt>
                <c:pt idx="4">
                  <c:v>1410</c:v>
                </c:pt>
                <c:pt idx="5">
                  <c:v>1502</c:v>
                </c:pt>
                <c:pt idx="6">
                  <c:v>1547</c:v>
                </c:pt>
                <c:pt idx="7">
                  <c:v>1610</c:v>
                </c:pt>
                <c:pt idx="8">
                  <c:v>1658</c:v>
                </c:pt>
                <c:pt idx="9">
                  <c:v>2956</c:v>
                </c:pt>
                <c:pt idx="10">
                  <c:v>3038</c:v>
                </c:pt>
                <c:pt idx="11">
                  <c:v>3141</c:v>
                </c:pt>
                <c:pt idx="12">
                  <c:v>3219</c:v>
                </c:pt>
                <c:pt idx="13">
                  <c:v>3324</c:v>
                </c:pt>
                <c:pt idx="14">
                  <c:v>3429</c:v>
                </c:pt>
                <c:pt idx="15">
                  <c:v>3458</c:v>
                </c:pt>
                <c:pt idx="16">
                  <c:v>3530</c:v>
                </c:pt>
                <c:pt idx="17">
                  <c:v>3615</c:v>
                </c:pt>
              </c:numCache>
            </c:numRef>
          </c:xVal>
          <c:yVal>
            <c:numRef>
              <c:f>'DSPL Run 1'!$E$11:$E$28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8.35</c:v>
                </c:pt>
                <c:pt idx="3">
                  <c:v>27.833333333333456</c:v>
                </c:pt>
                <c:pt idx="4">
                  <c:v>122.46666666666692</c:v>
                </c:pt>
                <c:pt idx="5">
                  <c:v>267.20000000000005</c:v>
                </c:pt>
                <c:pt idx="6">
                  <c:v>392.45000000000005</c:v>
                </c:pt>
                <c:pt idx="7">
                  <c:v>456.46666666666698</c:v>
                </c:pt>
                <c:pt idx="8">
                  <c:v>590.06666666666695</c:v>
                </c:pt>
                <c:pt idx="9">
                  <c:v>2755.5000000000005</c:v>
                </c:pt>
                <c:pt idx="10">
                  <c:v>2872.4000000000005</c:v>
                </c:pt>
                <c:pt idx="11">
                  <c:v>3047.7500000000005</c:v>
                </c:pt>
                <c:pt idx="12">
                  <c:v>3153.5166666666664</c:v>
                </c:pt>
                <c:pt idx="13">
                  <c:v>3334.4333333333334</c:v>
                </c:pt>
                <c:pt idx="14">
                  <c:v>3515.3500000000004</c:v>
                </c:pt>
                <c:pt idx="15">
                  <c:v>3596.0666666666666</c:v>
                </c:pt>
                <c:pt idx="16">
                  <c:v>3685.1333333333337</c:v>
                </c:pt>
                <c:pt idx="17">
                  <c:v>3810.3833333333337</c:v>
                </c:pt>
              </c:numCache>
            </c:numRef>
          </c:yVal>
        </c:ser>
        <c:axId val="145716352"/>
        <c:axId val="145279616"/>
      </c:scatterChart>
      <c:valAx>
        <c:axId val="144760192"/>
        <c:scaling>
          <c:orientation val="minMax"/>
        </c:scaling>
        <c:axPos val="b"/>
        <c:numFmt formatCode="General" sourceLinked="1"/>
        <c:tickLblPos val="nextTo"/>
        <c:crossAx val="144758656"/>
        <c:crosses val="autoZero"/>
        <c:crossBetween val="midCat"/>
      </c:valAx>
      <c:valAx>
        <c:axId val="144758656"/>
        <c:scaling>
          <c:orientation val="minMax"/>
          <c:min val="40"/>
        </c:scaling>
        <c:axPos val="l"/>
        <c:majorGridlines/>
        <c:numFmt formatCode="General" sourceLinked="1"/>
        <c:tickLblPos val="nextTo"/>
        <c:crossAx val="144760192"/>
        <c:crosses val="autoZero"/>
        <c:crossBetween val="midCat"/>
      </c:valAx>
      <c:valAx>
        <c:axId val="145279616"/>
        <c:scaling>
          <c:orientation val="minMax"/>
        </c:scaling>
        <c:axPos val="r"/>
        <c:numFmt formatCode="General" sourceLinked="1"/>
        <c:tickLblPos val="nextTo"/>
        <c:crossAx val="145716352"/>
        <c:crosses val="max"/>
        <c:crossBetween val="midCat"/>
      </c:valAx>
      <c:valAx>
        <c:axId val="145716352"/>
        <c:scaling>
          <c:orientation val="minMax"/>
        </c:scaling>
        <c:delete val="1"/>
        <c:axPos val="b"/>
        <c:numFmt formatCode="General" sourceLinked="1"/>
        <c:tickLblPos val="none"/>
        <c:crossAx val="145279616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tx>
            <c:v>Voltage</c:v>
          </c:tx>
          <c:xVal>
            <c:numRef>
              <c:f>'DSPL run 2'!$B$11:$B$28</c:f>
              <c:numCache>
                <c:formatCode>General</c:formatCode>
                <c:ptCount val="18"/>
                <c:pt idx="0">
                  <c:v>918</c:v>
                </c:pt>
                <c:pt idx="1">
                  <c:v>919</c:v>
                </c:pt>
                <c:pt idx="2">
                  <c:v>920</c:v>
                </c:pt>
                <c:pt idx="3">
                  <c:v>923</c:v>
                </c:pt>
                <c:pt idx="4">
                  <c:v>1000</c:v>
                </c:pt>
                <c:pt idx="5">
                  <c:v>1029</c:v>
                </c:pt>
                <c:pt idx="6">
                  <c:v>1227</c:v>
                </c:pt>
                <c:pt idx="7">
                  <c:v>1338</c:v>
                </c:pt>
                <c:pt idx="8">
                  <c:v>1438</c:v>
                </c:pt>
                <c:pt idx="9">
                  <c:v>2952</c:v>
                </c:pt>
                <c:pt idx="10">
                  <c:v>3114</c:v>
                </c:pt>
                <c:pt idx="11">
                  <c:v>3230</c:v>
                </c:pt>
                <c:pt idx="12">
                  <c:v>3312</c:v>
                </c:pt>
                <c:pt idx="13">
                  <c:v>3317</c:v>
                </c:pt>
                <c:pt idx="14">
                  <c:v>3321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</c:numCache>
            </c:numRef>
          </c:xVal>
          <c:yVal>
            <c:numRef>
              <c:f>'DSPL run 2'!$A$11:$A$28</c:f>
              <c:numCache>
                <c:formatCode>General</c:formatCode>
                <c:ptCount val="18"/>
                <c:pt idx="0">
                  <c:v>53.03</c:v>
                </c:pt>
                <c:pt idx="1">
                  <c:v>51.2</c:v>
                </c:pt>
                <c:pt idx="2">
                  <c:v>50.01</c:v>
                </c:pt>
                <c:pt idx="3">
                  <c:v>49.82</c:v>
                </c:pt>
                <c:pt idx="4">
                  <c:v>49.56</c:v>
                </c:pt>
                <c:pt idx="5">
                  <c:v>49.52</c:v>
                </c:pt>
                <c:pt idx="6">
                  <c:v>49.27</c:v>
                </c:pt>
                <c:pt idx="7">
                  <c:v>49.08</c:v>
                </c:pt>
                <c:pt idx="8">
                  <c:v>48.91</c:v>
                </c:pt>
                <c:pt idx="9">
                  <c:v>45.34</c:v>
                </c:pt>
                <c:pt idx="10">
                  <c:v>44.83</c:v>
                </c:pt>
                <c:pt idx="11">
                  <c:v>44.23</c:v>
                </c:pt>
                <c:pt idx="12">
                  <c:v>43.79</c:v>
                </c:pt>
                <c:pt idx="13">
                  <c:v>43.72</c:v>
                </c:pt>
                <c:pt idx="14">
                  <c:v>43.69</c:v>
                </c:pt>
                <c:pt idx="15">
                  <c:v>44.58</c:v>
                </c:pt>
                <c:pt idx="16">
                  <c:v>44.33</c:v>
                </c:pt>
                <c:pt idx="17">
                  <c:v>43.91</c:v>
                </c:pt>
              </c:numCache>
            </c:numRef>
          </c:yVal>
        </c:ser>
        <c:axId val="145575936"/>
        <c:axId val="145541376"/>
      </c:scatterChart>
      <c:scatterChart>
        <c:scatterStyle val="lineMarker"/>
        <c:ser>
          <c:idx val="1"/>
          <c:order val="1"/>
          <c:tx>
            <c:v>Energy</c:v>
          </c:tx>
          <c:xVal>
            <c:numRef>
              <c:f>'DSPL run 2'!$B$11:$B$28</c:f>
              <c:numCache>
                <c:formatCode>General</c:formatCode>
                <c:ptCount val="18"/>
                <c:pt idx="0">
                  <c:v>918</c:v>
                </c:pt>
                <c:pt idx="1">
                  <c:v>919</c:v>
                </c:pt>
                <c:pt idx="2">
                  <c:v>920</c:v>
                </c:pt>
                <c:pt idx="3">
                  <c:v>923</c:v>
                </c:pt>
                <c:pt idx="4">
                  <c:v>1000</c:v>
                </c:pt>
                <c:pt idx="5">
                  <c:v>1029</c:v>
                </c:pt>
                <c:pt idx="6">
                  <c:v>1227</c:v>
                </c:pt>
                <c:pt idx="7">
                  <c:v>1338</c:v>
                </c:pt>
                <c:pt idx="8">
                  <c:v>1438</c:v>
                </c:pt>
                <c:pt idx="9">
                  <c:v>2952</c:v>
                </c:pt>
                <c:pt idx="10">
                  <c:v>3114</c:v>
                </c:pt>
                <c:pt idx="11">
                  <c:v>3230</c:v>
                </c:pt>
                <c:pt idx="12">
                  <c:v>3312</c:v>
                </c:pt>
                <c:pt idx="13">
                  <c:v>3317</c:v>
                </c:pt>
                <c:pt idx="14">
                  <c:v>3321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</c:numCache>
            </c:numRef>
          </c:xVal>
          <c:yVal>
            <c:numRef>
              <c:f>'DSPL run 2'!$E$11:$E$28</c:f>
              <c:numCache>
                <c:formatCode>General</c:formatCode>
                <c:ptCount val="18"/>
                <c:pt idx="0">
                  <c:v>0</c:v>
                </c:pt>
                <c:pt idx="1">
                  <c:v>2.7833333333332702</c:v>
                </c:pt>
                <c:pt idx="2">
                  <c:v>5.5666666666667304</c:v>
                </c:pt>
                <c:pt idx="3">
                  <c:v>13.91666666666673</c:v>
                </c:pt>
                <c:pt idx="4">
                  <c:v>116.89999999999999</c:v>
                </c:pt>
                <c:pt idx="5">
                  <c:v>197.61666666666653</c:v>
                </c:pt>
                <c:pt idx="6">
                  <c:v>526.04999999999995</c:v>
                </c:pt>
                <c:pt idx="7">
                  <c:v>723.66666666666652</c:v>
                </c:pt>
                <c:pt idx="8">
                  <c:v>890.66666666666652</c:v>
                </c:pt>
                <c:pt idx="9">
                  <c:v>3434.6333333333332</c:v>
                </c:pt>
                <c:pt idx="10">
                  <c:v>3662.8666666666672</c:v>
                </c:pt>
                <c:pt idx="11">
                  <c:v>3874.4000000000005</c:v>
                </c:pt>
                <c:pt idx="12">
                  <c:v>3991.3000000000006</c:v>
                </c:pt>
                <c:pt idx="13">
                  <c:v>4005.2166666666676</c:v>
                </c:pt>
                <c:pt idx="14">
                  <c:v>4016.3500000000008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</c:numCache>
            </c:numRef>
          </c:yVal>
        </c:ser>
        <c:axId val="157702016"/>
        <c:axId val="157769088"/>
      </c:scatterChart>
      <c:valAx>
        <c:axId val="145575936"/>
        <c:scaling>
          <c:orientation val="minMax"/>
          <c:min val="900"/>
        </c:scaling>
        <c:axPos val="b"/>
        <c:numFmt formatCode="General" sourceLinked="1"/>
        <c:tickLblPos val="nextTo"/>
        <c:crossAx val="145541376"/>
        <c:crosses val="autoZero"/>
        <c:crossBetween val="midCat"/>
      </c:valAx>
      <c:valAx>
        <c:axId val="145541376"/>
        <c:scaling>
          <c:orientation val="minMax"/>
          <c:max val="55"/>
          <c:min val="40"/>
        </c:scaling>
        <c:axPos val="l"/>
        <c:majorGridlines/>
        <c:numFmt formatCode="General" sourceLinked="1"/>
        <c:tickLblPos val="nextTo"/>
        <c:crossAx val="145575936"/>
        <c:crosses val="autoZero"/>
        <c:crossBetween val="midCat"/>
      </c:valAx>
      <c:valAx>
        <c:axId val="157769088"/>
        <c:scaling>
          <c:orientation val="minMax"/>
        </c:scaling>
        <c:axPos val="r"/>
        <c:numFmt formatCode="General" sourceLinked="1"/>
        <c:tickLblPos val="nextTo"/>
        <c:crossAx val="157702016"/>
        <c:crosses val="max"/>
        <c:crossBetween val="midCat"/>
      </c:valAx>
      <c:valAx>
        <c:axId val="157702016"/>
        <c:scaling>
          <c:orientation val="minMax"/>
        </c:scaling>
        <c:delete val="1"/>
        <c:axPos val="b"/>
        <c:numFmt formatCode="General" sourceLinked="1"/>
        <c:tickLblPos val="none"/>
        <c:crossAx val="157769088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2"/>
          <c:order val="0"/>
          <c:tx>
            <c:v>Voltage</c:v>
          </c:tx>
          <c:xVal>
            <c:numRef>
              <c:f>'DSPL run 3'!$D$11:$D$46</c:f>
              <c:numCache>
                <c:formatCode>General</c:formatCode>
                <c:ptCount val="36"/>
                <c:pt idx="0">
                  <c:v>901.66666666666663</c:v>
                </c:pt>
                <c:pt idx="1">
                  <c:v>901.66666666666663</c:v>
                </c:pt>
                <c:pt idx="2">
                  <c:v>908.33333333333337</c:v>
                </c:pt>
                <c:pt idx="3">
                  <c:v>978.33333333333337</c:v>
                </c:pt>
                <c:pt idx="4">
                  <c:v>1080</c:v>
                </c:pt>
                <c:pt idx="5">
                  <c:v>1136.6666666666667</c:v>
                </c:pt>
                <c:pt idx="6">
                  <c:v>1340</c:v>
                </c:pt>
                <c:pt idx="7">
                  <c:v>1441.6666666666667</c:v>
                </c:pt>
                <c:pt idx="8">
                  <c:v>1540</c:v>
                </c:pt>
                <c:pt idx="9">
                  <c:v>1628.3333333333333</c:v>
                </c:pt>
                <c:pt idx="10">
                  <c:v>2971.6666666666665</c:v>
                </c:pt>
                <c:pt idx="11">
                  <c:v>3096.6666666666665</c:v>
                </c:pt>
                <c:pt idx="12">
                  <c:v>3180</c:v>
                </c:pt>
                <c:pt idx="13">
                  <c:v>3271.6666666666665</c:v>
                </c:pt>
                <c:pt idx="14">
                  <c:v>3386.6666666666665</c:v>
                </c:pt>
                <c:pt idx="15">
                  <c:v>3570</c:v>
                </c:pt>
                <c:pt idx="16">
                  <c:v>3681.666666666667</c:v>
                </c:pt>
                <c:pt idx="17">
                  <c:v>3923.333333333333</c:v>
                </c:pt>
                <c:pt idx="18">
                  <c:v>5361.666666666667</c:v>
                </c:pt>
                <c:pt idx="19">
                  <c:v>5453.333333333333</c:v>
                </c:pt>
                <c:pt idx="20">
                  <c:v>5566.666666666667</c:v>
                </c:pt>
                <c:pt idx="21">
                  <c:v>5643.333333333333</c:v>
                </c:pt>
                <c:pt idx="22">
                  <c:v>5696.666666666667</c:v>
                </c:pt>
                <c:pt idx="23">
                  <c:v>5718.333333333333</c:v>
                </c:pt>
                <c:pt idx="24">
                  <c:v>5745</c:v>
                </c:pt>
                <c:pt idx="25">
                  <c:v>5758.333333333333</c:v>
                </c:pt>
                <c:pt idx="26">
                  <c:v>5788.333333333333</c:v>
                </c:pt>
                <c:pt idx="27">
                  <c:v>5793.333333333333</c:v>
                </c:pt>
                <c:pt idx="28">
                  <c:v>5800</c:v>
                </c:pt>
                <c:pt idx="29">
                  <c:v>5805</c:v>
                </c:pt>
                <c:pt idx="30">
                  <c:v>5808.333333333333</c:v>
                </c:pt>
                <c:pt idx="31">
                  <c:v>5813.333333333333</c:v>
                </c:pt>
                <c:pt idx="32">
                  <c:v>5825</c:v>
                </c:pt>
                <c:pt idx="33">
                  <c:v>5860</c:v>
                </c:pt>
                <c:pt idx="34">
                  <c:v>5898.333333333333</c:v>
                </c:pt>
                <c:pt idx="35">
                  <c:v>5900</c:v>
                </c:pt>
              </c:numCache>
            </c:numRef>
          </c:xVal>
          <c:yVal>
            <c:numRef>
              <c:f>'DSPL run 3'!$A$11:$A$46</c:f>
              <c:numCache>
                <c:formatCode>General</c:formatCode>
                <c:ptCount val="36"/>
                <c:pt idx="0">
                  <c:v>52.87</c:v>
                </c:pt>
                <c:pt idx="1">
                  <c:v>52.14</c:v>
                </c:pt>
                <c:pt idx="2">
                  <c:v>50.7</c:v>
                </c:pt>
                <c:pt idx="3">
                  <c:v>50.38</c:v>
                </c:pt>
                <c:pt idx="4">
                  <c:v>50.31</c:v>
                </c:pt>
                <c:pt idx="5">
                  <c:v>50.27</c:v>
                </c:pt>
                <c:pt idx="6">
                  <c:v>50.07</c:v>
                </c:pt>
                <c:pt idx="7">
                  <c:v>49.97</c:v>
                </c:pt>
                <c:pt idx="8">
                  <c:v>49.86</c:v>
                </c:pt>
                <c:pt idx="9">
                  <c:v>49.77</c:v>
                </c:pt>
                <c:pt idx="10">
                  <c:v>48.36</c:v>
                </c:pt>
                <c:pt idx="11">
                  <c:v>48.22</c:v>
                </c:pt>
                <c:pt idx="12">
                  <c:v>48.12</c:v>
                </c:pt>
                <c:pt idx="13">
                  <c:v>48.02</c:v>
                </c:pt>
                <c:pt idx="14">
                  <c:v>47.89</c:v>
                </c:pt>
                <c:pt idx="15">
                  <c:v>47.68</c:v>
                </c:pt>
                <c:pt idx="16">
                  <c:v>47.54</c:v>
                </c:pt>
                <c:pt idx="17">
                  <c:v>47.25</c:v>
                </c:pt>
                <c:pt idx="18">
                  <c:v>44.99</c:v>
                </c:pt>
                <c:pt idx="19">
                  <c:v>44.75</c:v>
                </c:pt>
                <c:pt idx="20">
                  <c:v>44.41</c:v>
                </c:pt>
                <c:pt idx="21">
                  <c:v>44.12</c:v>
                </c:pt>
                <c:pt idx="22">
                  <c:v>43.87</c:v>
                </c:pt>
                <c:pt idx="23">
                  <c:v>43.74</c:v>
                </c:pt>
                <c:pt idx="24">
                  <c:v>43.54</c:v>
                </c:pt>
                <c:pt idx="25">
                  <c:v>43.42</c:v>
                </c:pt>
                <c:pt idx="26">
                  <c:v>43.05</c:v>
                </c:pt>
                <c:pt idx="27">
                  <c:v>42.99</c:v>
                </c:pt>
                <c:pt idx="28">
                  <c:v>42.9</c:v>
                </c:pt>
                <c:pt idx="29">
                  <c:v>42.84</c:v>
                </c:pt>
                <c:pt idx="30">
                  <c:v>42.79</c:v>
                </c:pt>
                <c:pt idx="31">
                  <c:v>42.72</c:v>
                </c:pt>
                <c:pt idx="32">
                  <c:v>42.56</c:v>
                </c:pt>
                <c:pt idx="33">
                  <c:v>42.05</c:v>
                </c:pt>
                <c:pt idx="34">
                  <c:v>41.28</c:v>
                </c:pt>
                <c:pt idx="35">
                  <c:v>41.21</c:v>
                </c:pt>
              </c:numCache>
            </c:numRef>
          </c:yVal>
        </c:ser>
        <c:axId val="223266688"/>
        <c:axId val="236885504"/>
      </c:scatterChart>
      <c:scatterChart>
        <c:scatterStyle val="lineMarker"/>
        <c:ser>
          <c:idx val="0"/>
          <c:order val="1"/>
          <c:tx>
            <c:v>Energy</c:v>
          </c:tx>
          <c:xVal>
            <c:numRef>
              <c:f>'DSPL run 3'!$D$11:$D$46</c:f>
              <c:numCache>
                <c:formatCode>General</c:formatCode>
                <c:ptCount val="36"/>
                <c:pt idx="0">
                  <c:v>901.66666666666663</c:v>
                </c:pt>
                <c:pt idx="1">
                  <c:v>901.66666666666663</c:v>
                </c:pt>
                <c:pt idx="2">
                  <c:v>908.33333333333337</c:v>
                </c:pt>
                <c:pt idx="3">
                  <c:v>978.33333333333337</c:v>
                </c:pt>
                <c:pt idx="4">
                  <c:v>1080</c:v>
                </c:pt>
                <c:pt idx="5">
                  <c:v>1136.6666666666667</c:v>
                </c:pt>
                <c:pt idx="6">
                  <c:v>1340</c:v>
                </c:pt>
                <c:pt idx="7">
                  <c:v>1441.6666666666667</c:v>
                </c:pt>
                <c:pt idx="8">
                  <c:v>1540</c:v>
                </c:pt>
                <c:pt idx="9">
                  <c:v>1628.3333333333333</c:v>
                </c:pt>
                <c:pt idx="10">
                  <c:v>2971.6666666666665</c:v>
                </c:pt>
                <c:pt idx="11">
                  <c:v>3096.6666666666665</c:v>
                </c:pt>
                <c:pt idx="12">
                  <c:v>3180</c:v>
                </c:pt>
                <c:pt idx="13">
                  <c:v>3271.6666666666665</c:v>
                </c:pt>
                <c:pt idx="14">
                  <c:v>3386.6666666666665</c:v>
                </c:pt>
                <c:pt idx="15">
                  <c:v>3570</c:v>
                </c:pt>
                <c:pt idx="16">
                  <c:v>3681.666666666667</c:v>
                </c:pt>
                <c:pt idx="17">
                  <c:v>3923.333333333333</c:v>
                </c:pt>
                <c:pt idx="18">
                  <c:v>5361.666666666667</c:v>
                </c:pt>
                <c:pt idx="19">
                  <c:v>5453.333333333333</c:v>
                </c:pt>
                <c:pt idx="20">
                  <c:v>5566.666666666667</c:v>
                </c:pt>
                <c:pt idx="21">
                  <c:v>5643.333333333333</c:v>
                </c:pt>
                <c:pt idx="22">
                  <c:v>5696.666666666667</c:v>
                </c:pt>
                <c:pt idx="23">
                  <c:v>5718.333333333333</c:v>
                </c:pt>
                <c:pt idx="24">
                  <c:v>5745</c:v>
                </c:pt>
                <c:pt idx="25">
                  <c:v>5758.333333333333</c:v>
                </c:pt>
                <c:pt idx="26">
                  <c:v>5788.333333333333</c:v>
                </c:pt>
                <c:pt idx="27">
                  <c:v>5793.333333333333</c:v>
                </c:pt>
                <c:pt idx="28">
                  <c:v>5800</c:v>
                </c:pt>
                <c:pt idx="29">
                  <c:v>5805</c:v>
                </c:pt>
                <c:pt idx="30">
                  <c:v>5808.333333333333</c:v>
                </c:pt>
                <c:pt idx="31">
                  <c:v>5813.333333333333</c:v>
                </c:pt>
                <c:pt idx="32">
                  <c:v>5825</c:v>
                </c:pt>
                <c:pt idx="33">
                  <c:v>5860</c:v>
                </c:pt>
                <c:pt idx="34">
                  <c:v>5898.333333333333</c:v>
                </c:pt>
                <c:pt idx="35">
                  <c:v>5900</c:v>
                </c:pt>
              </c:numCache>
            </c:numRef>
          </c:xVal>
          <c:yVal>
            <c:numRef>
              <c:f>'DSPL run 3'!$F$11:$F$46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5.5333333333333963</c:v>
                </c:pt>
                <c:pt idx="3">
                  <c:v>63.633333333333397</c:v>
                </c:pt>
                <c:pt idx="4">
                  <c:v>148.01666666666671</c:v>
                </c:pt>
                <c:pt idx="5">
                  <c:v>195.0500000000001</c:v>
                </c:pt>
                <c:pt idx="6">
                  <c:v>363.81666666666672</c:v>
                </c:pt>
                <c:pt idx="7">
                  <c:v>448.2000000000001</c:v>
                </c:pt>
                <c:pt idx="8">
                  <c:v>529.81666666666672</c:v>
                </c:pt>
                <c:pt idx="9">
                  <c:v>603.13333333333333</c:v>
                </c:pt>
                <c:pt idx="10">
                  <c:v>1718.1</c:v>
                </c:pt>
                <c:pt idx="11">
                  <c:v>1821.85</c:v>
                </c:pt>
                <c:pt idx="12">
                  <c:v>1891.0166666666667</c:v>
                </c:pt>
                <c:pt idx="13">
                  <c:v>1967.1</c:v>
                </c:pt>
                <c:pt idx="14">
                  <c:v>2062.5499999999997</c:v>
                </c:pt>
                <c:pt idx="15">
                  <c:v>2214.7166666666667</c:v>
                </c:pt>
                <c:pt idx="16">
                  <c:v>2307.4</c:v>
                </c:pt>
                <c:pt idx="17">
                  <c:v>2507.9833333333331</c:v>
                </c:pt>
                <c:pt idx="18">
                  <c:v>3701.8</c:v>
                </c:pt>
                <c:pt idx="19">
                  <c:v>3777.8833333333332</c:v>
                </c:pt>
                <c:pt idx="20">
                  <c:v>3871.9500000000003</c:v>
                </c:pt>
                <c:pt idx="21">
                  <c:v>3935.583333333333</c:v>
                </c:pt>
                <c:pt idx="22">
                  <c:v>3979.8500000000004</c:v>
                </c:pt>
                <c:pt idx="23">
                  <c:v>3997.833333333333</c:v>
                </c:pt>
                <c:pt idx="24">
                  <c:v>4019.9666666666667</c:v>
                </c:pt>
                <c:pt idx="25">
                  <c:v>4031.0333333333333</c:v>
                </c:pt>
                <c:pt idx="26">
                  <c:v>4055.9333333333334</c:v>
                </c:pt>
                <c:pt idx="27">
                  <c:v>4060.0833333333335</c:v>
                </c:pt>
                <c:pt idx="28">
                  <c:v>4065.6166666666672</c:v>
                </c:pt>
                <c:pt idx="29">
                  <c:v>4069.7666666666673</c:v>
                </c:pt>
                <c:pt idx="30">
                  <c:v>4072.5333333333338</c:v>
                </c:pt>
                <c:pt idx="31">
                  <c:v>4076.6833333333338</c:v>
                </c:pt>
                <c:pt idx="32">
                  <c:v>4086.3666666666672</c:v>
                </c:pt>
                <c:pt idx="33">
                  <c:v>4115.416666666667</c:v>
                </c:pt>
                <c:pt idx="34">
                  <c:v>4147.2333333333336</c:v>
                </c:pt>
                <c:pt idx="35">
                  <c:v>4148.6166666666668</c:v>
                </c:pt>
              </c:numCache>
            </c:numRef>
          </c:yVal>
        </c:ser>
        <c:axId val="204521856"/>
        <c:axId val="236887040"/>
      </c:scatterChart>
      <c:valAx>
        <c:axId val="223266688"/>
        <c:scaling>
          <c:orientation val="minMax"/>
        </c:scaling>
        <c:axPos val="b"/>
        <c:numFmt formatCode="General" sourceLinked="1"/>
        <c:tickLblPos val="nextTo"/>
        <c:crossAx val="236885504"/>
        <c:crosses val="autoZero"/>
        <c:crossBetween val="midCat"/>
      </c:valAx>
      <c:valAx>
        <c:axId val="236885504"/>
        <c:scaling>
          <c:orientation val="minMax"/>
          <c:max val="55"/>
          <c:min val="40"/>
        </c:scaling>
        <c:axPos val="l"/>
        <c:majorGridlines/>
        <c:numFmt formatCode="General" sourceLinked="1"/>
        <c:tickLblPos val="nextTo"/>
        <c:crossAx val="223266688"/>
        <c:crosses val="autoZero"/>
        <c:crossBetween val="midCat"/>
      </c:valAx>
      <c:valAx>
        <c:axId val="236887040"/>
        <c:scaling>
          <c:orientation val="minMax"/>
        </c:scaling>
        <c:axPos val="r"/>
        <c:numFmt formatCode="General" sourceLinked="1"/>
        <c:tickLblPos val="nextTo"/>
        <c:crossAx val="204521856"/>
        <c:crosses val="max"/>
        <c:crossBetween val="midCat"/>
      </c:valAx>
      <c:valAx>
        <c:axId val="204521856"/>
        <c:scaling>
          <c:orientation val="minMax"/>
        </c:scaling>
        <c:delete val="1"/>
        <c:axPos val="b"/>
        <c:numFmt formatCode="General" sourceLinked="1"/>
        <c:tickLblPos val="none"/>
        <c:crossAx val="236887040"/>
        <c:crosses val="autoZero"/>
        <c:crossBetween val="midCat"/>
      </c:valAx>
    </c:plotArea>
    <c:legend>
      <c:legendPos val="r"/>
      <c:layout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44" workbookViewId="0" zoomToFit="1"/>
  </sheetViews>
  <pageMargins left="0.7" right="0.7" top="0.75" bottom="0.75" header="0.3" footer="0.3"/>
  <pageSetup orientation="landscape" verticalDpi="0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13</xdr:row>
      <xdr:rowOff>47625</xdr:rowOff>
    </xdr:from>
    <xdr:to>
      <xdr:col>7</xdr:col>
      <xdr:colOff>428625</xdr:colOff>
      <xdr:row>27</xdr:row>
      <xdr:rowOff>123825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76200</xdr:colOff>
      <xdr:row>23</xdr:row>
      <xdr:rowOff>180975</xdr:rowOff>
    </xdr:from>
    <xdr:to>
      <xdr:col>19</xdr:col>
      <xdr:colOff>381000</xdr:colOff>
      <xdr:row>38</xdr:row>
      <xdr:rowOff>66675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600075</xdr:colOff>
      <xdr:row>1</xdr:row>
      <xdr:rowOff>114299</xdr:rowOff>
    </xdr:from>
    <xdr:to>
      <xdr:col>19</xdr:col>
      <xdr:colOff>180975</xdr:colOff>
      <xdr:row>31</xdr:row>
      <xdr:rowOff>104774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76200</xdr:colOff>
      <xdr:row>16</xdr:row>
      <xdr:rowOff>180974</xdr:rowOff>
    </xdr:from>
    <xdr:to>
      <xdr:col>23</xdr:col>
      <xdr:colOff>400050</xdr:colOff>
      <xdr:row>45</xdr:row>
      <xdr:rowOff>152399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438149</xdr:colOff>
      <xdr:row>3</xdr:row>
      <xdr:rowOff>0</xdr:rowOff>
    </xdr:from>
    <xdr:to>
      <xdr:col>19</xdr:col>
      <xdr:colOff>523874</xdr:colOff>
      <xdr:row>32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571500</xdr:colOff>
      <xdr:row>16</xdr:row>
      <xdr:rowOff>28574</xdr:rowOff>
    </xdr:from>
    <xdr:to>
      <xdr:col>24</xdr:col>
      <xdr:colOff>400050</xdr:colOff>
      <xdr:row>44</xdr:row>
      <xdr:rowOff>190499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571500</xdr:colOff>
      <xdr:row>16</xdr:row>
      <xdr:rowOff>28575</xdr:rowOff>
    </xdr:from>
    <xdr:to>
      <xdr:col>18</xdr:col>
      <xdr:colOff>266700</xdr:colOff>
      <xdr:row>30</xdr:row>
      <xdr:rowOff>104775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8671719" cy="629708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1"/>
  <sheetViews>
    <sheetView workbookViewId="0">
      <selection activeCell="A2" sqref="A2:F11"/>
    </sheetView>
  </sheetViews>
  <sheetFormatPr defaultRowHeight="15"/>
  <sheetData>
    <row r="2" spans="1:6">
      <c r="A2" t="s">
        <v>0</v>
      </c>
      <c r="B2">
        <f>SLOPE(B5:B11,A5:A11)</f>
        <v>-132.3279898383972</v>
      </c>
    </row>
    <row r="3" spans="1:6">
      <c r="A3" t="s">
        <v>1</v>
      </c>
      <c r="B3">
        <f>INTERCEPT(B5:B11,A5:A11)</f>
        <v>7554.0280185801594</v>
      </c>
      <c r="C3">
        <v>40</v>
      </c>
      <c r="D3">
        <f>C3*B2+B3</f>
        <v>2260.9084250442711</v>
      </c>
      <c r="E3">
        <f>(D3-B4)/100</f>
        <v>11.609084250442711</v>
      </c>
      <c r="F3">
        <f>10*(A5+40)/2*E3</f>
        <v>5154.4334071965641</v>
      </c>
    </row>
    <row r="4" spans="1:6">
      <c r="A4">
        <v>53</v>
      </c>
      <c r="B4">
        <v>1100</v>
      </c>
    </row>
    <row r="5" spans="1:6">
      <c r="A5">
        <v>48.8</v>
      </c>
      <c r="B5">
        <v>1100</v>
      </c>
      <c r="C5">
        <v>0</v>
      </c>
      <c r="D5">
        <v>0</v>
      </c>
    </row>
    <row r="6" spans="1:6">
      <c r="A6">
        <v>47.9</v>
      </c>
      <c r="B6">
        <v>1200</v>
      </c>
      <c r="C6">
        <f>10*(A5+A6)/2*(B6-B5)/100</f>
        <v>483.49999999999994</v>
      </c>
      <c r="D6">
        <f>D5+C6</f>
        <v>483.49999999999994</v>
      </c>
    </row>
    <row r="7" spans="1:6">
      <c r="A7">
        <v>47.2</v>
      </c>
      <c r="B7">
        <v>1300</v>
      </c>
      <c r="C7">
        <f t="shared" ref="C7:C11" si="0">10*(A6+A7)/2*(B7-B6)/100</f>
        <v>475.5</v>
      </c>
      <c r="D7">
        <f t="shared" ref="D7:D11" si="1">D6+C7</f>
        <v>959</v>
      </c>
    </row>
    <row r="8" spans="1:6">
      <c r="A8">
        <v>46.5</v>
      </c>
      <c r="B8">
        <v>1400</v>
      </c>
      <c r="C8">
        <f t="shared" si="0"/>
        <v>468.5</v>
      </c>
      <c r="D8">
        <f t="shared" si="1"/>
        <v>1427.5</v>
      </c>
    </row>
    <row r="9" spans="1:6">
      <c r="A9">
        <v>46.22</v>
      </c>
      <c r="B9">
        <f>(14+45/60)*100</f>
        <v>1475</v>
      </c>
      <c r="C9">
        <f t="shared" si="0"/>
        <v>347.7</v>
      </c>
      <c r="D9">
        <f t="shared" si="1"/>
        <v>1775.2</v>
      </c>
    </row>
    <row r="10" spans="1:6">
      <c r="A10">
        <v>44.68</v>
      </c>
      <c r="B10">
        <f>1600+1500/60</f>
        <v>1625</v>
      </c>
      <c r="C10">
        <f t="shared" si="0"/>
        <v>681.75</v>
      </c>
      <c r="D10">
        <f t="shared" si="1"/>
        <v>2456.9499999999998</v>
      </c>
    </row>
    <row r="11" spans="1:6">
      <c r="A11">
        <v>44.43</v>
      </c>
      <c r="B11">
        <f>1600+4500/60</f>
        <v>1675</v>
      </c>
      <c r="C11">
        <f t="shared" si="0"/>
        <v>222.77500000000001</v>
      </c>
      <c r="D11">
        <f t="shared" si="1"/>
        <v>2679.7249999999999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G24"/>
  <sheetViews>
    <sheetView workbookViewId="0">
      <selection activeCell="A20" sqref="A20"/>
    </sheetView>
  </sheetViews>
  <sheetFormatPr defaultRowHeight="15"/>
  <sheetData>
    <row r="4" spans="1:7">
      <c r="A4" t="s">
        <v>2</v>
      </c>
    </row>
    <row r="8" spans="1:7">
      <c r="A8" t="s">
        <v>0</v>
      </c>
      <c r="C8">
        <f>SLOPE(C12:C19,A12:A19)</f>
        <v>-120.52653877859301</v>
      </c>
    </row>
    <row r="9" spans="1:7">
      <c r="A9" t="s">
        <v>1</v>
      </c>
      <c r="C9">
        <f>INTERCEPT(C12:C19,A12:A19)</f>
        <v>6463.5967284624712</v>
      </c>
      <c r="D9">
        <v>40</v>
      </c>
      <c r="E9">
        <f>D9*C8+C9</f>
        <v>1642.5351773187513</v>
      </c>
      <c r="F9">
        <f>(E9-C11)/100</f>
        <v>10.475351773187512</v>
      </c>
      <c r="G9">
        <f>10*(A12+40)/2*F9</f>
        <v>4637.9619975787709</v>
      </c>
    </row>
    <row r="10" spans="1:7">
      <c r="A10" t="s">
        <v>7</v>
      </c>
      <c r="B10" t="s">
        <v>3</v>
      </c>
      <c r="C10" t="s">
        <v>4</v>
      </c>
      <c r="D10" t="s">
        <v>5</v>
      </c>
      <c r="E10" t="s">
        <v>6</v>
      </c>
    </row>
    <row r="11" spans="1:7">
      <c r="A11" s="1">
        <v>51.45</v>
      </c>
      <c r="B11" s="1">
        <v>557</v>
      </c>
      <c r="C11">
        <f>(TRUNC($B11/100,0)*100+($B11-TRUNC($B11/100,0)*100)*10/6)</f>
        <v>595</v>
      </c>
    </row>
    <row r="12" spans="1:7">
      <c r="A12" s="1">
        <v>48.55</v>
      </c>
      <c r="B12" s="1">
        <v>622</v>
      </c>
      <c r="C12">
        <f t="shared" ref="C12:C24" si="0">(TRUNC($B12/100,0)*100+($B12-TRUNC($B12/100,0)*100)*10/6)</f>
        <v>636.66666666666663</v>
      </c>
      <c r="D12">
        <v>0</v>
      </c>
      <c r="E12">
        <v>0</v>
      </c>
    </row>
    <row r="13" spans="1:7">
      <c r="A13" s="1">
        <v>47.69</v>
      </c>
      <c r="B13" s="1">
        <v>651</v>
      </c>
      <c r="C13">
        <f t="shared" si="0"/>
        <v>685</v>
      </c>
      <c r="D13">
        <f>10*(A12+A13)/2*(C13-C12)/100</f>
        <v>232.58000000000018</v>
      </c>
      <c r="E13">
        <f>E12+D13</f>
        <v>232.58000000000018</v>
      </c>
    </row>
    <row r="14" spans="1:7">
      <c r="A14" s="1">
        <v>47.39</v>
      </c>
      <c r="B14" s="1">
        <v>715</v>
      </c>
      <c r="C14">
        <f t="shared" si="0"/>
        <v>725</v>
      </c>
      <c r="D14">
        <f t="shared" ref="D14:D18" si="1">10*(A13+A14)/2*(C14-C13)/100</f>
        <v>190.16</v>
      </c>
      <c r="E14">
        <f t="shared" ref="E14:E18" si="2">E13+D14</f>
        <v>422.74000000000018</v>
      </c>
    </row>
    <row r="15" spans="1:7">
      <c r="A15" s="1">
        <v>46.8</v>
      </c>
      <c r="B15" s="1">
        <v>811</v>
      </c>
      <c r="C15">
        <f t="shared" si="0"/>
        <v>818.33333333333337</v>
      </c>
      <c r="D15">
        <f t="shared" si="1"/>
        <v>439.55333333333351</v>
      </c>
      <c r="E15">
        <f t="shared" si="2"/>
        <v>862.29333333333375</v>
      </c>
    </row>
    <row r="16" spans="1:7">
      <c r="A16" s="1">
        <v>46.19</v>
      </c>
      <c r="B16" s="1">
        <v>907</v>
      </c>
      <c r="C16">
        <f t="shared" si="0"/>
        <v>911.66666666666663</v>
      </c>
      <c r="D16">
        <f t="shared" si="1"/>
        <v>433.95333333333298</v>
      </c>
      <c r="E16">
        <f t="shared" si="2"/>
        <v>1296.2466666666667</v>
      </c>
    </row>
    <row r="17" spans="1:5">
      <c r="A17" s="1">
        <v>45.59</v>
      </c>
      <c r="B17" s="1">
        <v>956</v>
      </c>
      <c r="C17">
        <f t="shared" si="0"/>
        <v>993.33333333333337</v>
      </c>
      <c r="D17">
        <f t="shared" si="1"/>
        <v>374.76833333333366</v>
      </c>
      <c r="E17">
        <f t="shared" si="2"/>
        <v>1671.0150000000003</v>
      </c>
    </row>
    <row r="18" spans="1:5">
      <c r="A18" s="1">
        <v>44.8</v>
      </c>
      <c r="B18" s="1">
        <v>1052</v>
      </c>
      <c r="C18">
        <f t="shared" si="0"/>
        <v>1086.6666666666667</v>
      </c>
      <c r="D18">
        <f t="shared" si="1"/>
        <v>421.82000000000016</v>
      </c>
      <c r="E18">
        <f t="shared" si="2"/>
        <v>2092.8350000000005</v>
      </c>
    </row>
    <row r="19" spans="1:5">
      <c r="A19" s="1">
        <v>43.41</v>
      </c>
      <c r="B19" s="1">
        <v>1204</v>
      </c>
      <c r="C19">
        <f t="shared" si="0"/>
        <v>1206.6666666666667</v>
      </c>
      <c r="D19">
        <f t="shared" ref="D19" si="3">10*(A18+A19)/2*(C19-C18)/100</f>
        <v>529.25999999999988</v>
      </c>
      <c r="E19">
        <f t="shared" ref="E19" si="4">E18+D19</f>
        <v>2622.0950000000003</v>
      </c>
    </row>
    <row r="20" spans="1:5">
      <c r="A20" s="1">
        <v>37.86</v>
      </c>
      <c r="B20" s="1">
        <v>1309</v>
      </c>
      <c r="C20">
        <f t="shared" si="0"/>
        <v>1315</v>
      </c>
      <c r="D20">
        <f t="shared" ref="D20:D24" si="5">10*(A19+A20)/2*(C20-C19)/100</f>
        <v>440.21249999999964</v>
      </c>
      <c r="E20">
        <f t="shared" ref="E20:E24" si="6">E19+D20</f>
        <v>3062.3074999999999</v>
      </c>
    </row>
    <row r="21" spans="1:5">
      <c r="A21" s="1"/>
      <c r="B21" s="1"/>
      <c r="C21">
        <f t="shared" si="0"/>
        <v>0</v>
      </c>
      <c r="D21">
        <f t="shared" si="5"/>
        <v>-2489.2950000000001</v>
      </c>
      <c r="E21">
        <f t="shared" si="6"/>
        <v>573.01249999999982</v>
      </c>
    </row>
    <row r="22" spans="1:5">
      <c r="A22" s="1"/>
      <c r="B22" s="1"/>
      <c r="C22">
        <f t="shared" si="0"/>
        <v>0</v>
      </c>
      <c r="D22">
        <f t="shared" si="5"/>
        <v>0</v>
      </c>
      <c r="E22">
        <f t="shared" si="6"/>
        <v>573.01249999999982</v>
      </c>
    </row>
    <row r="23" spans="1:5">
      <c r="A23" s="1"/>
      <c r="B23" s="1"/>
      <c r="C23">
        <f t="shared" si="0"/>
        <v>0</v>
      </c>
      <c r="D23">
        <f t="shared" si="5"/>
        <v>0</v>
      </c>
      <c r="E23">
        <f t="shared" si="6"/>
        <v>573.01249999999982</v>
      </c>
    </row>
    <row r="24" spans="1:5">
      <c r="A24" s="1"/>
      <c r="B24" s="1"/>
      <c r="C24">
        <f t="shared" si="0"/>
        <v>0</v>
      </c>
      <c r="D24">
        <f t="shared" si="5"/>
        <v>0</v>
      </c>
      <c r="E24">
        <f t="shared" si="6"/>
        <v>573.01249999999982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4:G24"/>
  <sheetViews>
    <sheetView topLeftCell="A2" workbookViewId="0">
      <selection activeCell="A4" sqref="A4:G24"/>
    </sheetView>
  </sheetViews>
  <sheetFormatPr defaultRowHeight="15"/>
  <sheetData>
    <row r="4" spans="1:7">
      <c r="A4" t="s">
        <v>2</v>
      </c>
    </row>
    <row r="8" spans="1:7">
      <c r="A8" t="s">
        <v>0</v>
      </c>
      <c r="C8">
        <f>SLOPE(C12:C19,A12:A19)</f>
        <v>-60.521267288230192</v>
      </c>
    </row>
    <row r="9" spans="1:7">
      <c r="A9" t="s">
        <v>1</v>
      </c>
      <c r="C9">
        <f>INTERCEPT(C12:C19,A12:A19)</f>
        <v>3745.130524531121</v>
      </c>
      <c r="D9">
        <v>40</v>
      </c>
      <c r="E9">
        <f>D9*C8+C9</f>
        <v>1324.2798330019132</v>
      </c>
      <c r="F9">
        <f>(E9-C11)/100</f>
        <v>7.0094649966857983</v>
      </c>
      <c r="G9">
        <f>10*(A12+40)/2*F9</f>
        <v>3185.8018409936954</v>
      </c>
    </row>
    <row r="10" spans="1:7">
      <c r="A10" t="s">
        <v>7</v>
      </c>
      <c r="B10" t="s">
        <v>3</v>
      </c>
      <c r="C10" t="s">
        <v>4</v>
      </c>
      <c r="D10" t="s">
        <v>5</v>
      </c>
      <c r="E10" t="s">
        <v>6</v>
      </c>
    </row>
    <row r="11" spans="1:7">
      <c r="A11" s="1">
        <v>53.7</v>
      </c>
      <c r="B11" s="1">
        <v>614</v>
      </c>
      <c r="C11">
        <f>(TRUNC($B11/100,0)*100+($B11-TRUNC($B11/100,0)*100)*10/6)</f>
        <v>623.33333333333337</v>
      </c>
      <c r="D11">
        <v>0</v>
      </c>
      <c r="E11">
        <v>0</v>
      </c>
    </row>
    <row r="12" spans="1:7">
      <c r="A12" s="1">
        <v>50.9</v>
      </c>
      <c r="B12" s="1">
        <v>615</v>
      </c>
      <c r="C12">
        <f t="shared" ref="C12:C24" si="0">(TRUNC($B12/100,0)*100+($B12-TRUNC($B12/100,0)*100)*10/6)</f>
        <v>625</v>
      </c>
      <c r="D12">
        <f>10*(A11+A12)/2*(C12-C11)/100</f>
        <v>8.7166666666664678</v>
      </c>
      <c r="E12">
        <f>E11+D12</f>
        <v>8.7166666666664678</v>
      </c>
    </row>
    <row r="13" spans="1:7">
      <c r="A13" s="1">
        <v>48.65</v>
      </c>
      <c r="B13" s="1">
        <v>650</v>
      </c>
      <c r="C13">
        <f t="shared" si="0"/>
        <v>683.33333333333337</v>
      </c>
      <c r="D13">
        <f>10*(A12+A13)/2*(C13-C12)/100</f>
        <v>290.35416666666686</v>
      </c>
      <c r="E13">
        <f>E12+D13</f>
        <v>299.07083333333333</v>
      </c>
    </row>
    <row r="14" spans="1:7">
      <c r="A14" s="1">
        <v>47.88</v>
      </c>
      <c r="B14" s="1">
        <v>803</v>
      </c>
      <c r="C14">
        <f t="shared" si="0"/>
        <v>805</v>
      </c>
      <c r="D14">
        <f t="shared" ref="D14:D24" si="1">10*(A13+A14)/2*(C14-C13)/100</f>
        <v>587.22416666666641</v>
      </c>
      <c r="E14">
        <f t="shared" ref="E14:E24" si="2">E13+D14</f>
        <v>886.29499999999973</v>
      </c>
    </row>
    <row r="15" spans="1:7">
      <c r="A15" s="1">
        <v>47.2</v>
      </c>
      <c r="B15" s="1">
        <v>900</v>
      </c>
      <c r="C15">
        <f t="shared" si="0"/>
        <v>900</v>
      </c>
      <c r="D15">
        <f t="shared" si="1"/>
        <v>451.63000000000005</v>
      </c>
      <c r="E15">
        <f t="shared" si="2"/>
        <v>1337.9249999999997</v>
      </c>
    </row>
    <row r="16" spans="1:7">
      <c r="A16" s="1">
        <v>46.25</v>
      </c>
      <c r="B16" s="1">
        <v>1009</v>
      </c>
      <c r="C16">
        <f t="shared" si="0"/>
        <v>1015</v>
      </c>
      <c r="D16">
        <f t="shared" si="1"/>
        <v>537.33749999999998</v>
      </c>
      <c r="E16">
        <f t="shared" si="2"/>
        <v>1875.2624999999998</v>
      </c>
    </row>
    <row r="17" spans="1:5">
      <c r="A17" s="1">
        <v>45.5</v>
      </c>
      <c r="B17" s="1">
        <v>1052</v>
      </c>
      <c r="C17">
        <f t="shared" si="0"/>
        <v>1086.6666666666667</v>
      </c>
      <c r="D17">
        <f t="shared" si="1"/>
        <v>328.77083333333366</v>
      </c>
      <c r="E17">
        <f t="shared" si="2"/>
        <v>2204.0333333333333</v>
      </c>
    </row>
    <row r="18" spans="1:5">
      <c r="A18" s="1">
        <v>44.11</v>
      </c>
      <c r="B18" s="1">
        <v>1201</v>
      </c>
      <c r="C18">
        <f t="shared" si="0"/>
        <v>1201.6666666666667</v>
      </c>
      <c r="D18">
        <f t="shared" si="1"/>
        <v>515.25750000000005</v>
      </c>
      <c r="E18">
        <f t="shared" si="2"/>
        <v>2719.2908333333335</v>
      </c>
    </row>
    <row r="19" spans="1:5">
      <c r="A19" s="1">
        <v>37.799999999999997</v>
      </c>
      <c r="B19" s="1">
        <v>1333</v>
      </c>
      <c r="C19">
        <f t="shared" si="0"/>
        <v>1355</v>
      </c>
      <c r="D19">
        <f t="shared" si="1"/>
        <v>627.97666666666623</v>
      </c>
      <c r="E19">
        <f t="shared" si="2"/>
        <v>3347.2674999999999</v>
      </c>
    </row>
    <row r="20" spans="1:5">
      <c r="A20" s="1">
        <v>37.86</v>
      </c>
      <c r="B20" s="1" t="e">
        <f>NA()</f>
        <v>#N/A</v>
      </c>
      <c r="C20" t="e">
        <f t="shared" si="0"/>
        <v>#N/A</v>
      </c>
      <c r="D20" t="e">
        <f t="shared" si="1"/>
        <v>#N/A</v>
      </c>
      <c r="E20" t="e">
        <f t="shared" si="2"/>
        <v>#N/A</v>
      </c>
    </row>
    <row r="21" spans="1:5">
      <c r="A21" s="1"/>
      <c r="B21" s="1" t="e">
        <f>NA()</f>
        <v>#N/A</v>
      </c>
      <c r="C21" t="e">
        <f t="shared" si="0"/>
        <v>#N/A</v>
      </c>
      <c r="D21" t="e">
        <f>10*(A20+A21)/2*(C21-C20)/100</f>
        <v>#N/A</v>
      </c>
      <c r="E21" t="e">
        <f t="shared" si="2"/>
        <v>#N/A</v>
      </c>
    </row>
    <row r="22" spans="1:5">
      <c r="A22" s="1"/>
      <c r="B22" s="1" t="e">
        <f>NA()</f>
        <v>#N/A</v>
      </c>
      <c r="C22" t="e">
        <f t="shared" si="0"/>
        <v>#N/A</v>
      </c>
      <c r="D22" t="e">
        <f t="shared" si="1"/>
        <v>#N/A</v>
      </c>
      <c r="E22" t="e">
        <f t="shared" si="2"/>
        <v>#N/A</v>
      </c>
    </row>
    <row r="23" spans="1:5">
      <c r="A23" s="1"/>
      <c r="B23" s="1" t="e">
        <f>NA()</f>
        <v>#N/A</v>
      </c>
      <c r="C23" t="e">
        <f t="shared" si="0"/>
        <v>#N/A</v>
      </c>
      <c r="D23" t="e">
        <f t="shared" si="1"/>
        <v>#N/A</v>
      </c>
      <c r="E23" t="e">
        <f t="shared" si="2"/>
        <v>#N/A</v>
      </c>
    </row>
    <row r="24" spans="1:5">
      <c r="A24" s="1"/>
      <c r="B24" s="1" t="e">
        <f>NA()</f>
        <v>#N/A</v>
      </c>
      <c r="C24" t="e">
        <f t="shared" si="0"/>
        <v>#N/A</v>
      </c>
      <c r="D24" t="e">
        <f t="shared" si="1"/>
        <v>#N/A</v>
      </c>
      <c r="E24" t="e">
        <f t="shared" si="2"/>
        <v>#N/A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4:G28"/>
  <sheetViews>
    <sheetView workbookViewId="0">
      <selection activeCell="F12" sqref="F12:F27"/>
    </sheetView>
  </sheetViews>
  <sheetFormatPr defaultRowHeight="15"/>
  <sheetData>
    <row r="4" spans="1:7">
      <c r="A4" t="s">
        <v>8</v>
      </c>
    </row>
    <row r="8" spans="1:7">
      <c r="A8" t="s">
        <v>0</v>
      </c>
      <c r="C8">
        <f>SLOPE(C24:C25,A24:A25)</f>
        <v>-252.25225225225563</v>
      </c>
    </row>
    <row r="9" spans="1:7">
      <c r="A9" t="s">
        <v>1</v>
      </c>
      <c r="C9">
        <f>INTERCEPT(C24:C25,A24:A25)</f>
        <v>23797.297297297446</v>
      </c>
      <c r="D9">
        <v>40</v>
      </c>
      <c r="E9">
        <f>D9*C8+C9</f>
        <v>13707.207207207221</v>
      </c>
      <c r="F9">
        <f>(E9-C11)/100</f>
        <v>131.17207207207221</v>
      </c>
      <c r="G9">
        <f>10*(A12+40)/2*F9</f>
        <v>61519.701801801864</v>
      </c>
    </row>
    <row r="10" spans="1:7">
      <c r="A10" t="s">
        <v>7</v>
      </c>
      <c r="B10" t="s">
        <v>3</v>
      </c>
      <c r="C10" t="s">
        <v>4</v>
      </c>
      <c r="D10" t="s">
        <v>5</v>
      </c>
      <c r="E10" t="s">
        <v>6</v>
      </c>
    </row>
    <row r="11" spans="1:7">
      <c r="A11" s="1">
        <v>54</v>
      </c>
      <c r="B11" s="1">
        <v>554</v>
      </c>
      <c r="C11">
        <f>(TRUNC($B11/100,0)*100+($B11-TRUNC($B11/100,0)*100)*10/6)</f>
        <v>590</v>
      </c>
      <c r="D11">
        <v>0</v>
      </c>
      <c r="E11">
        <v>0</v>
      </c>
      <c r="F11" s="2">
        <f>1-E11/E$27</f>
        <v>1</v>
      </c>
    </row>
    <row r="12" spans="1:7">
      <c r="A12" s="1">
        <v>53.8</v>
      </c>
      <c r="B12" s="1">
        <v>554</v>
      </c>
      <c r="C12">
        <f t="shared" ref="C12:C28" si="0">(TRUNC($B12/100,0)*100+($B12-TRUNC($B12/100,0)*100)*10/6)</f>
        <v>590</v>
      </c>
      <c r="D12">
        <f>35*(C12-C11)/100</f>
        <v>0</v>
      </c>
      <c r="E12">
        <f>E11+D12</f>
        <v>0</v>
      </c>
      <c r="F12" s="2">
        <f t="shared" ref="F12:F27" si="1">1-E12/E$27</f>
        <v>1</v>
      </c>
    </row>
    <row r="13" spans="1:7">
      <c r="A13" s="1">
        <v>52.48</v>
      </c>
      <c r="B13" s="1">
        <v>651</v>
      </c>
      <c r="C13">
        <f t="shared" si="0"/>
        <v>685</v>
      </c>
      <c r="D13">
        <f t="shared" ref="D13:D28" si="2">35*(C13-C12)/100</f>
        <v>33.25</v>
      </c>
      <c r="E13">
        <f>E12+D13</f>
        <v>33.25</v>
      </c>
      <c r="F13" s="2">
        <f t="shared" si="1"/>
        <v>0.99245632609846479</v>
      </c>
    </row>
    <row r="14" spans="1:7">
      <c r="A14" s="1">
        <v>52.16</v>
      </c>
      <c r="B14" s="1">
        <v>824</v>
      </c>
      <c r="C14">
        <f t="shared" si="0"/>
        <v>840</v>
      </c>
      <c r="D14">
        <f t="shared" si="2"/>
        <v>54.25</v>
      </c>
      <c r="E14">
        <f t="shared" ref="E14:E24" si="3">E13+D14</f>
        <v>87.5</v>
      </c>
      <c r="F14" s="2">
        <f t="shared" si="1"/>
        <v>0.98014822657490741</v>
      </c>
    </row>
    <row r="15" spans="1:7">
      <c r="A15" s="1">
        <v>51.98</v>
      </c>
      <c r="B15" s="1">
        <v>941</v>
      </c>
      <c r="C15">
        <f t="shared" si="0"/>
        <v>968.33333333333337</v>
      </c>
      <c r="D15">
        <f t="shared" si="2"/>
        <v>44.916666666666679</v>
      </c>
      <c r="E15">
        <f t="shared" si="3"/>
        <v>132.41666666666669</v>
      </c>
      <c r="F15" s="2">
        <f t="shared" si="1"/>
        <v>0.9699576495500265</v>
      </c>
    </row>
    <row r="16" spans="1:7">
      <c r="A16" s="1">
        <v>51.61</v>
      </c>
      <c r="B16" s="1">
        <v>1314</v>
      </c>
      <c r="C16">
        <f t="shared" si="0"/>
        <v>1323.3333333333333</v>
      </c>
      <c r="D16">
        <f t="shared" si="2"/>
        <v>124.24999999999996</v>
      </c>
      <c r="E16">
        <f t="shared" si="3"/>
        <v>256.66666666666663</v>
      </c>
      <c r="F16" s="2">
        <f t="shared" si="1"/>
        <v>0.94176813128639492</v>
      </c>
    </row>
    <row r="17" spans="1:6">
      <c r="A17" s="1">
        <v>51.45</v>
      </c>
      <c r="B17" s="1">
        <v>1522</v>
      </c>
      <c r="C17">
        <f t="shared" si="0"/>
        <v>1536.6666666666667</v>
      </c>
      <c r="D17">
        <f t="shared" si="2"/>
        <v>74.666666666666714</v>
      </c>
      <c r="E17">
        <f t="shared" si="3"/>
        <v>331.33333333333337</v>
      </c>
      <c r="F17" s="2">
        <f t="shared" si="1"/>
        <v>0.92482795129698259</v>
      </c>
    </row>
    <row r="18" spans="1:6">
      <c r="A18" s="1">
        <v>46.69</v>
      </c>
      <c r="B18" s="1">
        <f>((24*4)*100+609)</f>
        <v>10209</v>
      </c>
      <c r="C18">
        <f t="shared" si="0"/>
        <v>10215</v>
      </c>
      <c r="D18">
        <f t="shared" si="2"/>
        <v>3037.416666666667</v>
      </c>
      <c r="E18">
        <f t="shared" si="3"/>
        <v>3368.7500000000005</v>
      </c>
      <c r="F18" s="2">
        <f t="shared" si="1"/>
        <v>0.23570672313393337</v>
      </c>
    </row>
    <row r="19" spans="1:6">
      <c r="A19" s="1">
        <v>46.35</v>
      </c>
      <c r="B19" s="1">
        <f>((24*4)*100+945)</f>
        <v>10545</v>
      </c>
      <c r="C19">
        <f t="shared" si="0"/>
        <v>10575</v>
      </c>
      <c r="D19">
        <f t="shared" si="2"/>
        <v>126</v>
      </c>
      <c r="E19">
        <f t="shared" si="3"/>
        <v>3494.7500000000005</v>
      </c>
      <c r="F19" s="2">
        <f t="shared" si="1"/>
        <v>0.2071201694018</v>
      </c>
    </row>
    <row r="20" spans="1:6">
      <c r="A20" s="1">
        <v>46.13</v>
      </c>
      <c r="B20" s="1">
        <f>((24*4)*100+1247)</f>
        <v>10847</v>
      </c>
      <c r="C20">
        <f t="shared" si="0"/>
        <v>10878.333333333334</v>
      </c>
      <c r="D20">
        <f t="shared" si="2"/>
        <v>106.16666666666688</v>
      </c>
      <c r="E20">
        <f t="shared" si="3"/>
        <v>3600.9166666666674</v>
      </c>
      <c r="F20" s="2">
        <f t="shared" si="1"/>
        <v>0.18303335097935425</v>
      </c>
    </row>
    <row r="21" spans="1:6">
      <c r="A21" s="1">
        <v>46.07</v>
      </c>
      <c r="B21" s="1">
        <f>((24*4)*100+1335)</f>
        <v>10935</v>
      </c>
      <c r="C21">
        <f t="shared" si="0"/>
        <v>10958.333333333334</v>
      </c>
      <c r="D21">
        <f t="shared" si="2"/>
        <v>28</v>
      </c>
      <c r="E21">
        <f t="shared" si="3"/>
        <v>3628.9166666666674</v>
      </c>
      <c r="F21" s="2">
        <f t="shared" si="1"/>
        <v>0.17668078348332461</v>
      </c>
    </row>
    <row r="22" spans="1:6">
      <c r="A22" s="1">
        <v>45.85</v>
      </c>
      <c r="B22" s="1">
        <f>((24*4)*100+1604)</f>
        <v>11204</v>
      </c>
      <c r="C22">
        <f t="shared" si="0"/>
        <v>11206.666666666666</v>
      </c>
      <c r="D22">
        <f t="shared" si="2"/>
        <v>86.916666666666245</v>
      </c>
      <c r="E22">
        <f t="shared" si="3"/>
        <v>3715.8333333333335</v>
      </c>
      <c r="F22" s="2">
        <f t="shared" si="1"/>
        <v>0.15696135521439936</v>
      </c>
    </row>
    <row r="23" spans="1:6">
      <c r="A23" s="1">
        <v>44.12</v>
      </c>
      <c r="B23" s="1">
        <f>((24*5)*100+604)</f>
        <v>12604</v>
      </c>
      <c r="C23">
        <f t="shared" si="0"/>
        <v>12606.666666666666</v>
      </c>
      <c r="D23">
        <f t="shared" si="2"/>
        <v>490</v>
      </c>
      <c r="E23">
        <f t="shared" si="3"/>
        <v>4205.8333333333339</v>
      </c>
      <c r="F23" s="2">
        <f t="shared" si="1"/>
        <v>4.5791424033880479E-2</v>
      </c>
    </row>
    <row r="24" spans="1:6">
      <c r="A24" s="1">
        <v>43.57</v>
      </c>
      <c r="B24" s="1">
        <f>((24*5)*100+804)</f>
        <v>12804</v>
      </c>
      <c r="C24">
        <f t="shared" si="0"/>
        <v>12806.666666666666</v>
      </c>
      <c r="D24">
        <f t="shared" si="2"/>
        <v>70</v>
      </c>
      <c r="E24">
        <f t="shared" si="3"/>
        <v>4275.8333333333339</v>
      </c>
      <c r="F24" s="2">
        <f t="shared" si="1"/>
        <v>2.9910005293806385E-2</v>
      </c>
    </row>
    <row r="25" spans="1:6">
      <c r="A25" s="1">
        <v>43.2</v>
      </c>
      <c r="B25" s="1">
        <f>((24*5)*100+900)</f>
        <v>12900</v>
      </c>
      <c r="C25">
        <f t="shared" si="0"/>
        <v>12900</v>
      </c>
      <c r="D25">
        <f t="shared" si="2"/>
        <v>32.666666666666877</v>
      </c>
      <c r="E25">
        <f t="shared" ref="E25" si="4">E24+D25</f>
        <v>4308.5000000000009</v>
      </c>
      <c r="F25" s="2">
        <f t="shared" si="1"/>
        <v>2.2498676548438401E-2</v>
      </c>
    </row>
    <row r="26" spans="1:6">
      <c r="A26" s="1">
        <v>42.61</v>
      </c>
      <c r="B26" s="1">
        <f>((24*5)*100+1008)</f>
        <v>13008</v>
      </c>
      <c r="C26">
        <f t="shared" si="0"/>
        <v>13013.333333333334</v>
      </c>
      <c r="D26">
        <f t="shared" si="2"/>
        <v>39.666666666666877</v>
      </c>
      <c r="E26">
        <f t="shared" ref="E26:E28" si="5">E25+D26</f>
        <v>4348.1666666666679</v>
      </c>
      <c r="F26" s="2">
        <f t="shared" si="1"/>
        <v>1.3499205929062952E-2</v>
      </c>
    </row>
    <row r="27" spans="1:6">
      <c r="A27" s="1">
        <v>40.950000000000003</v>
      </c>
      <c r="B27" s="1">
        <f>((24*5)*100+1150)</f>
        <v>13150</v>
      </c>
      <c r="C27">
        <f t="shared" si="0"/>
        <v>13183.333333333334</v>
      </c>
      <c r="D27">
        <f t="shared" si="2"/>
        <v>59.5</v>
      </c>
      <c r="E27">
        <f t="shared" si="5"/>
        <v>4407.6666666666679</v>
      </c>
      <c r="F27" s="2">
        <f t="shared" si="1"/>
        <v>0</v>
      </c>
    </row>
    <row r="28" spans="1:6">
      <c r="A28" s="1">
        <v>43.2</v>
      </c>
      <c r="B28" s="1" t="e">
        <f>NA()</f>
        <v>#N/A</v>
      </c>
      <c r="C28" t="e">
        <f t="shared" si="0"/>
        <v>#N/A</v>
      </c>
      <c r="D28" t="e">
        <f t="shared" si="2"/>
        <v>#N/A</v>
      </c>
      <c r="E28" t="e">
        <f t="shared" si="5"/>
        <v>#N/A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4:G24"/>
  <sheetViews>
    <sheetView workbookViewId="0">
      <selection activeCell="B21" sqref="B21"/>
    </sheetView>
  </sheetViews>
  <sheetFormatPr defaultRowHeight="15"/>
  <sheetData>
    <row r="4" spans="1:7">
      <c r="A4" t="s">
        <v>9</v>
      </c>
    </row>
    <row r="8" spans="1:7">
      <c r="A8" t="s">
        <v>0</v>
      </c>
      <c r="C8">
        <f>SLOPE(C12:C19,A12:A19)</f>
        <v>-338.91914750504577</v>
      </c>
    </row>
    <row r="9" spans="1:7">
      <c r="A9" t="s">
        <v>1</v>
      </c>
      <c r="C9">
        <f>INTERCEPT(C12:C19,A12:A19)</f>
        <v>18531.737551853726</v>
      </c>
      <c r="D9">
        <v>40</v>
      </c>
      <c r="E9">
        <f>D9*C8+C9</f>
        <v>4974.9716516518965</v>
      </c>
      <c r="F9">
        <f>(E9-C11)/100</f>
        <v>37.683049849852296</v>
      </c>
      <c r="G9">
        <f>10*(A12+40)/2*F9</f>
        <v>17296.519881082204</v>
      </c>
    </row>
    <row r="10" spans="1:7">
      <c r="A10" t="s">
        <v>7</v>
      </c>
      <c r="B10" t="s">
        <v>3</v>
      </c>
      <c r="C10" t="s">
        <v>4</v>
      </c>
      <c r="D10" t="s">
        <v>5</v>
      </c>
      <c r="E10" t="s">
        <v>6</v>
      </c>
    </row>
    <row r="11" spans="1:7">
      <c r="A11" s="1">
        <v>52.72</v>
      </c>
      <c r="B11" s="1">
        <v>1204</v>
      </c>
      <c r="C11">
        <f>(TRUNC($B11/100,0)*100+($B11-TRUNC($B11/100,0)*100)*10/6)</f>
        <v>1206.6666666666667</v>
      </c>
      <c r="D11">
        <v>0</v>
      </c>
      <c r="E11">
        <v>0</v>
      </c>
      <c r="F11" s="2">
        <f>E11/E$21</f>
        <v>0</v>
      </c>
    </row>
    <row r="12" spans="1:7">
      <c r="A12" s="1">
        <v>51.8</v>
      </c>
      <c r="B12" s="1">
        <v>1204</v>
      </c>
      <c r="C12">
        <f t="shared" ref="C12:C24" si="0">(TRUNC($B12/100,0)*100+($B12-TRUNC($B12/100,0)*100)*10/6)</f>
        <v>1206.6666666666667</v>
      </c>
      <c r="D12">
        <f>167*(C12-C11)/100</f>
        <v>0</v>
      </c>
      <c r="E12">
        <f>E11+D12</f>
        <v>0</v>
      </c>
      <c r="F12" s="2">
        <f t="shared" ref="F12:F21" si="1">E12/E$21</f>
        <v>0</v>
      </c>
    </row>
    <row r="13" spans="1:7">
      <c r="A13" s="1">
        <v>50.48</v>
      </c>
      <c r="B13" s="1">
        <v>1247</v>
      </c>
      <c r="C13">
        <f t="shared" si="0"/>
        <v>1278.3333333333333</v>
      </c>
      <c r="D13">
        <f>167*(C13-C12)/100</f>
        <v>119.68333333333308</v>
      </c>
      <c r="E13">
        <f>E12+D13</f>
        <v>119.68333333333308</v>
      </c>
      <c r="F13" s="2">
        <f t="shared" si="1"/>
        <v>3.0154277699859684E-2</v>
      </c>
    </row>
    <row r="14" spans="1:7">
      <c r="A14" s="1">
        <v>50.26</v>
      </c>
      <c r="B14" s="1">
        <v>1335</v>
      </c>
      <c r="C14">
        <f t="shared" si="0"/>
        <v>1358.3333333333333</v>
      </c>
      <c r="D14">
        <f t="shared" ref="D14:D24" si="2">167*(C14-C13)/100</f>
        <v>133.6</v>
      </c>
      <c r="E14">
        <f t="shared" ref="E14:E24" si="3">E13+D14</f>
        <v>253.28333333333308</v>
      </c>
      <c r="F14" s="2">
        <f t="shared" si="1"/>
        <v>6.3814866760168232E-2</v>
      </c>
    </row>
    <row r="15" spans="1:7">
      <c r="A15" s="1">
        <v>49.75</v>
      </c>
      <c r="B15" s="1">
        <v>1604</v>
      </c>
      <c r="C15">
        <f t="shared" si="0"/>
        <v>1606.6666666666667</v>
      </c>
      <c r="D15">
        <f t="shared" si="2"/>
        <v>414.71666666666692</v>
      </c>
      <c r="E15">
        <f t="shared" si="3"/>
        <v>668</v>
      </c>
      <c r="F15" s="2">
        <f t="shared" si="1"/>
        <v>0.16830294530154277</v>
      </c>
    </row>
    <row r="16" spans="1:7">
      <c r="A16" s="1">
        <v>46.2</v>
      </c>
      <c r="B16" s="1">
        <f>2400+604</f>
        <v>3004</v>
      </c>
      <c r="C16">
        <f t="shared" si="0"/>
        <v>3006.6666666666665</v>
      </c>
      <c r="D16">
        <f t="shared" si="2"/>
        <v>2337.9999999999995</v>
      </c>
      <c r="E16">
        <f t="shared" si="3"/>
        <v>3005.9999999999995</v>
      </c>
      <c r="F16" s="2">
        <f t="shared" si="1"/>
        <v>0.75736325385694236</v>
      </c>
    </row>
    <row r="17" spans="1:6">
      <c r="A17" s="1">
        <v>45.75</v>
      </c>
      <c r="B17" s="1">
        <f>2400+705</f>
        <v>3105</v>
      </c>
      <c r="C17">
        <f t="shared" si="0"/>
        <v>3108.3333333333335</v>
      </c>
      <c r="D17">
        <f t="shared" si="2"/>
        <v>169.78333333333384</v>
      </c>
      <c r="E17">
        <f t="shared" si="3"/>
        <v>3175.7833333333333</v>
      </c>
      <c r="F17" s="2">
        <f t="shared" si="1"/>
        <v>0.800140252454418</v>
      </c>
    </row>
    <row r="18" spans="1:6">
      <c r="A18" s="1">
        <v>45.23</v>
      </c>
      <c r="B18" s="1">
        <f>2400+804</f>
        <v>3204</v>
      </c>
      <c r="C18">
        <f t="shared" si="0"/>
        <v>3206.6666666666665</v>
      </c>
      <c r="D18">
        <f t="shared" si="2"/>
        <v>164.21666666666616</v>
      </c>
      <c r="E18">
        <f t="shared" si="3"/>
        <v>3339.9999999999995</v>
      </c>
      <c r="F18" s="2">
        <f t="shared" si="1"/>
        <v>0.84151472650771375</v>
      </c>
    </row>
    <row r="19" spans="1:6">
      <c r="A19" s="1">
        <v>44.64</v>
      </c>
      <c r="B19" s="1">
        <f>2400+900</f>
        <v>3300</v>
      </c>
      <c r="C19">
        <f t="shared" si="0"/>
        <v>3300</v>
      </c>
      <c r="D19">
        <f t="shared" si="2"/>
        <v>155.8666666666669</v>
      </c>
      <c r="E19">
        <f t="shared" si="3"/>
        <v>3495.8666666666663</v>
      </c>
      <c r="F19" s="2">
        <f t="shared" si="1"/>
        <v>0.88078541374474051</v>
      </c>
    </row>
    <row r="20" spans="1:6">
      <c r="A20" s="1">
        <v>43.62</v>
      </c>
      <c r="B20" s="1">
        <f>2400+1008</f>
        <v>3408</v>
      </c>
      <c r="C20">
        <f t="shared" si="0"/>
        <v>3413.3333333333335</v>
      </c>
      <c r="D20">
        <f t="shared" si="2"/>
        <v>189.26666666666694</v>
      </c>
      <c r="E20">
        <f t="shared" si="3"/>
        <v>3685.1333333333332</v>
      </c>
      <c r="F20" s="2">
        <f t="shared" si="1"/>
        <v>0.92847124824684435</v>
      </c>
    </row>
    <row r="21" spans="1:6">
      <c r="A21" s="1">
        <v>29.04</v>
      </c>
      <c r="B21" s="1">
        <f>2400+1150</f>
        <v>3550</v>
      </c>
      <c r="C21">
        <f t="shared" si="0"/>
        <v>3583.3333333333335</v>
      </c>
      <c r="D21">
        <f t="shared" si="2"/>
        <v>283.89999999999998</v>
      </c>
      <c r="E21">
        <f t="shared" si="3"/>
        <v>3969.0333333333333</v>
      </c>
      <c r="F21" s="2">
        <f t="shared" si="1"/>
        <v>1</v>
      </c>
    </row>
    <row r="22" spans="1:6">
      <c r="A22" s="1"/>
      <c r="B22" s="1" t="e">
        <f>NA()</f>
        <v>#N/A</v>
      </c>
      <c r="C22" t="e">
        <f t="shared" si="0"/>
        <v>#N/A</v>
      </c>
      <c r="D22" t="e">
        <f t="shared" si="2"/>
        <v>#N/A</v>
      </c>
      <c r="E22" t="e">
        <f t="shared" si="3"/>
        <v>#N/A</v>
      </c>
    </row>
    <row r="23" spans="1:6">
      <c r="A23" s="1"/>
      <c r="B23" s="1" t="e">
        <f>NA()</f>
        <v>#N/A</v>
      </c>
      <c r="C23" t="e">
        <f t="shared" si="0"/>
        <v>#N/A</v>
      </c>
      <c r="D23" t="e">
        <f t="shared" si="2"/>
        <v>#N/A</v>
      </c>
      <c r="E23" t="e">
        <f t="shared" si="3"/>
        <v>#N/A</v>
      </c>
    </row>
    <row r="24" spans="1:6">
      <c r="A24" s="1"/>
      <c r="B24" s="1" t="e">
        <f>NA()</f>
        <v>#N/A</v>
      </c>
      <c r="C24" t="e">
        <f t="shared" si="0"/>
        <v>#N/A</v>
      </c>
      <c r="D24" t="e">
        <f t="shared" si="2"/>
        <v>#N/A</v>
      </c>
      <c r="E24" t="e">
        <f t="shared" si="3"/>
        <v>#N/A</v>
      </c>
    </row>
  </sheetData>
  <pageMargins left="0.7" right="0.7" top="0.75" bottom="0.75" header="0.3" footer="0.3"/>
  <pageSetup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4:G28"/>
  <sheetViews>
    <sheetView workbookViewId="0">
      <selection activeCell="D10" sqref="D10"/>
    </sheetView>
  </sheetViews>
  <sheetFormatPr defaultRowHeight="15"/>
  <cols>
    <col min="3" max="5" width="9.140625" customWidth="1"/>
  </cols>
  <sheetData>
    <row r="4" spans="1:7">
      <c r="A4" t="s">
        <v>10</v>
      </c>
    </row>
    <row r="8" spans="1:7">
      <c r="A8" t="s">
        <v>0</v>
      </c>
      <c r="C8">
        <f>SLOPE(C19:C20,A19:A20)</f>
        <v>-473.23600973236103</v>
      </c>
    </row>
    <row r="9" spans="1:7">
      <c r="A9" t="s">
        <v>1</v>
      </c>
      <c r="C9">
        <f>INTERCEPT(C19:C20,A19:A20)</f>
        <v>24889.96350364968</v>
      </c>
      <c r="D9">
        <v>48.3</v>
      </c>
      <c r="E9">
        <f>D9*C8+C9</f>
        <v>2032.6642335766446</v>
      </c>
      <c r="F9">
        <f>(E9-C11)/100</f>
        <v>6.8933090024331136</v>
      </c>
      <c r="G9">
        <f>10*(A12+40)/2*F9</f>
        <v>3202.2866970803025</v>
      </c>
    </row>
    <row r="10" spans="1:7">
      <c r="A10" t="s">
        <v>7</v>
      </c>
      <c r="B10" t="s">
        <v>3</v>
      </c>
      <c r="C10" t="s">
        <v>4</v>
      </c>
      <c r="D10" t="s">
        <v>5</v>
      </c>
      <c r="E10" t="s">
        <v>6</v>
      </c>
      <c r="G10">
        <f>MAX(G11:G28)</f>
        <v>3810.3833333333337</v>
      </c>
    </row>
    <row r="11" spans="1:7">
      <c r="A11" s="1">
        <v>53</v>
      </c>
      <c r="B11" s="1">
        <v>1326</v>
      </c>
      <c r="C11">
        <f>(TRUNC($B11/100,0)*100+($B11-TRUNC($B11/100,0)*100)*10/6)</f>
        <v>1343.3333333333333</v>
      </c>
      <c r="D11">
        <v>0</v>
      </c>
      <c r="E11">
        <v>0</v>
      </c>
      <c r="F11" s="2">
        <f>1-E11/$G$10</f>
        <v>1</v>
      </c>
      <c r="G11">
        <f>IF(ISNA(E11),0,E11)</f>
        <v>0</v>
      </c>
    </row>
    <row r="12" spans="1:7">
      <c r="A12" s="1">
        <v>52.91</v>
      </c>
      <c r="B12" s="1">
        <v>1326</v>
      </c>
      <c r="C12">
        <f t="shared" ref="C12:C28" si="0">(TRUNC($B12/100,0)*100+($B12-TRUNC($B12/100,0)*100)*10/6)</f>
        <v>1343.3333333333333</v>
      </c>
      <c r="D12">
        <f>167*(C12-C11)/100</f>
        <v>0</v>
      </c>
      <c r="E12">
        <f>E11+D12</f>
        <v>0</v>
      </c>
      <c r="F12" s="2">
        <f t="shared" ref="F12:F28" si="1">1-E12/$G$10</f>
        <v>1</v>
      </c>
      <c r="G12">
        <f t="shared" ref="G12:G24" si="2">IF(ISNA(E12),0,E12)</f>
        <v>0</v>
      </c>
    </row>
    <row r="13" spans="1:7">
      <c r="A13" s="1">
        <v>49.71</v>
      </c>
      <c r="B13" s="1">
        <v>1329</v>
      </c>
      <c r="C13">
        <f t="shared" si="0"/>
        <v>1348.3333333333333</v>
      </c>
      <c r="D13">
        <f>167*(C13-C12)/100</f>
        <v>8.35</v>
      </c>
      <c r="E13">
        <f>E12+D13</f>
        <v>8.35</v>
      </c>
      <c r="F13" s="2">
        <f t="shared" si="1"/>
        <v>0.99780861943024102</v>
      </c>
      <c r="G13">
        <f t="shared" si="2"/>
        <v>8.35</v>
      </c>
    </row>
    <row r="14" spans="1:7">
      <c r="A14" s="1">
        <v>49.52</v>
      </c>
      <c r="B14" s="1">
        <v>1336</v>
      </c>
      <c r="C14">
        <f t="shared" si="0"/>
        <v>1360</v>
      </c>
      <c r="D14">
        <f t="shared" ref="D14:D28" si="3">167*(C14-C13)/100</f>
        <v>19.483333333333459</v>
      </c>
      <c r="E14">
        <f t="shared" ref="E14:E24" si="4">E13+D14</f>
        <v>27.833333333333456</v>
      </c>
      <c r="F14" s="2">
        <f t="shared" si="1"/>
        <v>0.99269539810080343</v>
      </c>
      <c r="G14">
        <f t="shared" si="2"/>
        <v>27.833333333333456</v>
      </c>
    </row>
    <row r="15" spans="1:7">
      <c r="A15" s="1">
        <v>49.44</v>
      </c>
      <c r="B15" s="1">
        <v>1410</v>
      </c>
      <c r="C15">
        <f t="shared" si="0"/>
        <v>1416.6666666666667</v>
      </c>
      <c r="D15">
        <f t="shared" si="3"/>
        <v>94.633333333333468</v>
      </c>
      <c r="E15">
        <f t="shared" si="4"/>
        <v>122.46666666666692</v>
      </c>
      <c r="F15" s="2">
        <f t="shared" si="1"/>
        <v>0.96785975164353533</v>
      </c>
      <c r="G15">
        <f t="shared" si="2"/>
        <v>122.46666666666692</v>
      </c>
    </row>
    <row r="16" spans="1:7">
      <c r="A16" s="1">
        <v>49.3</v>
      </c>
      <c r="B16" s="1">
        <v>1502</v>
      </c>
      <c r="C16">
        <f t="shared" si="0"/>
        <v>1503.3333333333333</v>
      </c>
      <c r="D16">
        <f t="shared" si="3"/>
        <v>144.73333333333309</v>
      </c>
      <c r="E16">
        <f t="shared" si="4"/>
        <v>267.20000000000005</v>
      </c>
      <c r="F16" s="2">
        <f t="shared" si="1"/>
        <v>0.92987582176771366</v>
      </c>
      <c r="G16">
        <f t="shared" si="2"/>
        <v>267.20000000000005</v>
      </c>
    </row>
    <row r="17" spans="1:7">
      <c r="A17" s="1">
        <v>49.19</v>
      </c>
      <c r="B17" s="1">
        <v>1547</v>
      </c>
      <c r="C17">
        <f t="shared" si="0"/>
        <v>1578.3333333333333</v>
      </c>
      <c r="D17">
        <f t="shared" si="3"/>
        <v>125.25</v>
      </c>
      <c r="E17">
        <f t="shared" si="4"/>
        <v>392.45000000000005</v>
      </c>
      <c r="F17" s="2">
        <f t="shared" si="1"/>
        <v>0.89700511322132948</v>
      </c>
      <c r="G17">
        <f t="shared" si="2"/>
        <v>392.45000000000005</v>
      </c>
    </row>
    <row r="18" spans="1:7">
      <c r="A18" s="1">
        <v>49.13</v>
      </c>
      <c r="B18" s="1">
        <v>1610</v>
      </c>
      <c r="C18">
        <f t="shared" si="0"/>
        <v>1616.6666666666667</v>
      </c>
      <c r="D18">
        <f t="shared" si="3"/>
        <v>64.016666666666922</v>
      </c>
      <c r="E18">
        <f t="shared" si="4"/>
        <v>456.46666666666698</v>
      </c>
      <c r="F18" s="2">
        <f t="shared" si="1"/>
        <v>0.88020452885317746</v>
      </c>
      <c r="G18">
        <f t="shared" si="2"/>
        <v>456.46666666666698</v>
      </c>
    </row>
    <row r="19" spans="1:7">
      <c r="A19" s="1">
        <v>49.01</v>
      </c>
      <c r="B19" s="1">
        <v>1658</v>
      </c>
      <c r="C19">
        <f t="shared" si="0"/>
        <v>1696.6666666666667</v>
      </c>
      <c r="D19">
        <f t="shared" si="3"/>
        <v>133.6</v>
      </c>
      <c r="E19">
        <f t="shared" si="4"/>
        <v>590.06666666666695</v>
      </c>
      <c r="F19" s="2">
        <f t="shared" si="1"/>
        <v>0.84514243973703429</v>
      </c>
      <c r="G19">
        <f t="shared" si="2"/>
        <v>590.06666666666695</v>
      </c>
    </row>
    <row r="20" spans="1:7">
      <c r="A20" s="1">
        <v>46.27</v>
      </c>
      <c r="B20" s="1">
        <f>2400+556</f>
        <v>2956</v>
      </c>
      <c r="C20">
        <f t="shared" si="0"/>
        <v>2993.3333333333335</v>
      </c>
      <c r="D20">
        <f t="shared" si="3"/>
        <v>2165.4333333333334</v>
      </c>
      <c r="E20">
        <f t="shared" si="4"/>
        <v>2755.5000000000005</v>
      </c>
      <c r="F20" s="2">
        <f t="shared" si="1"/>
        <v>0.27684441197954701</v>
      </c>
      <c r="G20">
        <f t="shared" si="2"/>
        <v>2755.5000000000005</v>
      </c>
    </row>
    <row r="21" spans="1:7">
      <c r="A21" s="1">
        <v>46.09</v>
      </c>
      <c r="B21" s="1">
        <f>2400+638</f>
        <v>3038</v>
      </c>
      <c r="C21">
        <f t="shared" si="0"/>
        <v>3063.3333333333335</v>
      </c>
      <c r="D21">
        <f t="shared" si="3"/>
        <v>116.9</v>
      </c>
      <c r="E21">
        <f t="shared" si="4"/>
        <v>2872.4000000000005</v>
      </c>
      <c r="F21" s="2">
        <f t="shared" si="1"/>
        <v>0.24616508400292181</v>
      </c>
      <c r="G21">
        <f t="shared" si="2"/>
        <v>2872.4000000000005</v>
      </c>
    </row>
    <row r="22" spans="1:7">
      <c r="A22" s="1">
        <v>45.78</v>
      </c>
      <c r="B22" s="1">
        <f>2400+741</f>
        <v>3141</v>
      </c>
      <c r="C22">
        <f t="shared" si="0"/>
        <v>3168.3333333333335</v>
      </c>
      <c r="D22">
        <f t="shared" si="3"/>
        <v>175.35</v>
      </c>
      <c r="E22">
        <f t="shared" si="4"/>
        <v>3047.7500000000005</v>
      </c>
      <c r="F22" s="2">
        <f t="shared" si="1"/>
        <v>0.20014609203798384</v>
      </c>
      <c r="G22">
        <f t="shared" si="2"/>
        <v>3047.7500000000005</v>
      </c>
    </row>
    <row r="23" spans="1:7">
      <c r="A23" s="1">
        <v>45.58</v>
      </c>
      <c r="B23" s="1">
        <f>2400+819</f>
        <v>3219</v>
      </c>
      <c r="C23">
        <f t="shared" si="0"/>
        <v>3231.6666666666665</v>
      </c>
      <c r="D23">
        <f t="shared" si="3"/>
        <v>105.76666666666617</v>
      </c>
      <c r="E23">
        <f t="shared" si="4"/>
        <v>3153.5166666666664</v>
      </c>
      <c r="F23" s="2">
        <f t="shared" si="1"/>
        <v>0.17238860482103735</v>
      </c>
      <c r="G23">
        <f t="shared" si="2"/>
        <v>3153.5166666666664</v>
      </c>
    </row>
    <row r="24" spans="1:7">
      <c r="A24" s="1">
        <v>45.21</v>
      </c>
      <c r="B24" s="1">
        <f>2400+924</f>
        <v>3324</v>
      </c>
      <c r="C24">
        <f t="shared" si="0"/>
        <v>3340</v>
      </c>
      <c r="D24">
        <f t="shared" si="3"/>
        <v>180.91666666666694</v>
      </c>
      <c r="E24">
        <f t="shared" si="4"/>
        <v>3334.4333333333334</v>
      </c>
      <c r="F24" s="2">
        <f t="shared" si="1"/>
        <v>0.12490869247626013</v>
      </c>
      <c r="G24">
        <f t="shared" si="2"/>
        <v>3334.4333333333334</v>
      </c>
    </row>
    <row r="25" spans="1:7">
      <c r="A25" s="1">
        <v>44.79</v>
      </c>
      <c r="B25" s="1">
        <f>2400+1029</f>
        <v>3429</v>
      </c>
      <c r="C25">
        <f t="shared" si="0"/>
        <v>3448.3333333333335</v>
      </c>
      <c r="D25">
        <f t="shared" si="3"/>
        <v>180.91666666666694</v>
      </c>
      <c r="E25">
        <f t="shared" ref="E25" si="5">E24+D25</f>
        <v>3515.3500000000004</v>
      </c>
      <c r="F25" s="2">
        <f t="shared" si="1"/>
        <v>7.7428780131482799E-2</v>
      </c>
      <c r="G25">
        <f t="shared" ref="G25" si="6">IF(ISNA(E25),0,E25)</f>
        <v>3515.3500000000004</v>
      </c>
    </row>
    <row r="26" spans="1:7">
      <c r="A26" s="1">
        <v>44.58</v>
      </c>
      <c r="B26" s="1">
        <f>2400+1058</f>
        <v>3458</v>
      </c>
      <c r="C26">
        <f t="shared" si="0"/>
        <v>3496.6666666666665</v>
      </c>
      <c r="D26">
        <f t="shared" si="3"/>
        <v>80.716666666666157</v>
      </c>
      <c r="E26">
        <f t="shared" ref="E26:E28" si="7">E25+D26</f>
        <v>3596.0666666666666</v>
      </c>
      <c r="F26" s="2">
        <f t="shared" si="1"/>
        <v>5.6245434623813151E-2</v>
      </c>
      <c r="G26">
        <f t="shared" ref="G26:G28" si="8">IF(ISNA(E26),0,E26)</f>
        <v>3596.0666666666666</v>
      </c>
    </row>
    <row r="27" spans="1:7">
      <c r="A27" s="1">
        <v>44.33</v>
      </c>
      <c r="B27" s="1">
        <f>2400+1130</f>
        <v>3530</v>
      </c>
      <c r="C27">
        <f t="shared" si="0"/>
        <v>3550</v>
      </c>
      <c r="D27">
        <f t="shared" si="3"/>
        <v>89.066666666666919</v>
      </c>
      <c r="E27">
        <f t="shared" si="7"/>
        <v>3685.1333333333337</v>
      </c>
      <c r="F27" s="2">
        <f t="shared" si="1"/>
        <v>3.2870708546384186E-2</v>
      </c>
      <c r="G27">
        <f t="shared" si="8"/>
        <v>3685.1333333333337</v>
      </c>
    </row>
    <row r="28" spans="1:7">
      <c r="A28" s="1">
        <v>43.91</v>
      </c>
      <c r="B28" s="1">
        <f>2400+1215</f>
        <v>3615</v>
      </c>
      <c r="C28">
        <f t="shared" si="0"/>
        <v>3625</v>
      </c>
      <c r="D28">
        <f t="shared" si="3"/>
        <v>125.25</v>
      </c>
      <c r="E28">
        <f t="shared" si="7"/>
        <v>3810.3833333333337</v>
      </c>
      <c r="F28" s="2">
        <f t="shared" si="1"/>
        <v>0</v>
      </c>
      <c r="G28">
        <f t="shared" si="8"/>
        <v>3810.3833333333337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4:G28"/>
  <sheetViews>
    <sheetView tabSelected="1" workbookViewId="0">
      <selection activeCell="A4" sqref="A4:G28"/>
    </sheetView>
  </sheetViews>
  <sheetFormatPr defaultRowHeight="15"/>
  <sheetData>
    <row r="4" spans="1:7">
      <c r="A4" t="s">
        <v>10</v>
      </c>
    </row>
    <row r="8" spans="1:7">
      <c r="A8" t="s">
        <v>0</v>
      </c>
      <c r="C8">
        <f>SLOPE(C12:C19,A12:A19)</f>
        <v>-224.8697369502527</v>
      </c>
    </row>
    <row r="9" spans="1:7">
      <c r="A9" t="s">
        <v>1</v>
      </c>
      <c r="C9">
        <f>INTERCEPT(C12:C19,A12:A19)</f>
        <v>12284.977588156906</v>
      </c>
      <c r="D9">
        <v>40</v>
      </c>
      <c r="E9">
        <f>D9*C8+C9</f>
        <v>3290.188110146797</v>
      </c>
      <c r="F9">
        <f>(E9-C11)/100</f>
        <v>23.601881101467971</v>
      </c>
      <c r="G9">
        <f>10*(A12+40)/2*F9</f>
        <v>10762.457782269395</v>
      </c>
    </row>
    <row r="10" spans="1:7">
      <c r="A10" t="s">
        <v>7</v>
      </c>
      <c r="B10" t="s">
        <v>3</v>
      </c>
      <c r="C10" t="s">
        <v>4</v>
      </c>
      <c r="D10" t="s">
        <v>5</v>
      </c>
      <c r="E10" t="s">
        <v>6</v>
      </c>
      <c r="G10">
        <f>MAX(G11:G28)</f>
        <v>4016.3500000000008</v>
      </c>
    </row>
    <row r="11" spans="1:7">
      <c r="A11" s="1">
        <v>53.03</v>
      </c>
      <c r="B11" s="1">
        <v>918</v>
      </c>
      <c r="C11">
        <f>(TRUNC($B11/100,0)*100+($B11-TRUNC($B11/100,0)*100)*10/6)</f>
        <v>930</v>
      </c>
      <c r="D11">
        <v>0</v>
      </c>
      <c r="E11">
        <v>0</v>
      </c>
      <c r="F11" s="2">
        <f>1-E11/$G$10</f>
        <v>1</v>
      </c>
      <c r="G11">
        <f>IF(ISNA(E11),0,E11)</f>
        <v>0</v>
      </c>
    </row>
    <row r="12" spans="1:7">
      <c r="A12" s="1">
        <v>51.2</v>
      </c>
      <c r="B12" s="1">
        <v>919</v>
      </c>
      <c r="C12">
        <f t="shared" ref="C12:C28" si="0">(TRUNC($B12/100,0)*100+($B12-TRUNC($B12/100,0)*100)*10/6)</f>
        <v>931.66666666666663</v>
      </c>
      <c r="D12">
        <f>167*(C12-C11)/100</f>
        <v>2.7833333333332702</v>
      </c>
      <c r="E12">
        <f>E11+D12</f>
        <v>2.7833333333332702</v>
      </c>
      <c r="F12" s="2">
        <f t="shared" ref="F12:F28" si="1">1-E12/$G$10</f>
        <v>0.99930699930699929</v>
      </c>
      <c r="G12">
        <f t="shared" ref="G12:G28" si="2">IF(ISNA(E12),0,E12)</f>
        <v>2.7833333333332702</v>
      </c>
    </row>
    <row r="13" spans="1:7">
      <c r="A13" s="1">
        <v>50.01</v>
      </c>
      <c r="B13" s="1">
        <v>920</v>
      </c>
      <c r="C13">
        <f t="shared" si="0"/>
        <v>933.33333333333337</v>
      </c>
      <c r="D13">
        <f>167*(C13-C12)/100</f>
        <v>2.7833333333334598</v>
      </c>
      <c r="E13">
        <f>E12+D13</f>
        <v>5.5666666666667304</v>
      </c>
      <c r="F13" s="2">
        <f t="shared" si="1"/>
        <v>0.99861399861399858</v>
      </c>
      <c r="G13">
        <f t="shared" si="2"/>
        <v>5.5666666666667304</v>
      </c>
    </row>
    <row r="14" spans="1:7">
      <c r="A14" s="1">
        <v>49.82</v>
      </c>
      <c r="B14" s="1">
        <v>923</v>
      </c>
      <c r="C14">
        <f t="shared" si="0"/>
        <v>938.33333333333337</v>
      </c>
      <c r="D14">
        <f t="shared" ref="D14:D28" si="3">167*(C14-C13)/100</f>
        <v>8.35</v>
      </c>
      <c r="E14">
        <f t="shared" ref="E14:E28" si="4">E13+D14</f>
        <v>13.91666666666673</v>
      </c>
      <c r="F14" s="2">
        <f t="shared" si="1"/>
        <v>0.99653499653499655</v>
      </c>
      <c r="G14">
        <f t="shared" si="2"/>
        <v>13.91666666666673</v>
      </c>
    </row>
    <row r="15" spans="1:7">
      <c r="A15" s="1">
        <v>49.56</v>
      </c>
      <c r="B15" s="1">
        <v>1000</v>
      </c>
      <c r="C15">
        <f t="shared" si="0"/>
        <v>1000</v>
      </c>
      <c r="D15">
        <f t="shared" si="3"/>
        <v>102.98333333333326</v>
      </c>
      <c r="E15">
        <f t="shared" si="4"/>
        <v>116.89999999999999</v>
      </c>
      <c r="F15" s="2">
        <f t="shared" si="1"/>
        <v>0.97089397089397089</v>
      </c>
      <c r="G15">
        <f t="shared" si="2"/>
        <v>116.89999999999999</v>
      </c>
    </row>
    <row r="16" spans="1:7">
      <c r="A16" s="1">
        <v>49.52</v>
      </c>
      <c r="B16" s="1">
        <v>1029</v>
      </c>
      <c r="C16">
        <f t="shared" si="0"/>
        <v>1048.3333333333333</v>
      </c>
      <c r="D16">
        <f t="shared" si="3"/>
        <v>80.716666666666541</v>
      </c>
      <c r="E16">
        <f t="shared" si="4"/>
        <v>197.61666666666653</v>
      </c>
      <c r="F16" s="2">
        <f t="shared" si="1"/>
        <v>0.95079695079695081</v>
      </c>
      <c r="G16">
        <f t="shared" si="2"/>
        <v>197.61666666666653</v>
      </c>
    </row>
    <row r="17" spans="1:7">
      <c r="A17" s="1">
        <v>49.27</v>
      </c>
      <c r="B17" s="1">
        <v>1227</v>
      </c>
      <c r="C17">
        <f t="shared" si="0"/>
        <v>1245</v>
      </c>
      <c r="D17">
        <f t="shared" si="3"/>
        <v>328.43333333333345</v>
      </c>
      <c r="E17">
        <f t="shared" si="4"/>
        <v>526.04999999999995</v>
      </c>
      <c r="F17" s="2">
        <f t="shared" si="1"/>
        <v>0.86902286902286907</v>
      </c>
      <c r="G17">
        <f t="shared" si="2"/>
        <v>526.04999999999995</v>
      </c>
    </row>
    <row r="18" spans="1:7">
      <c r="A18" s="1">
        <v>49.08</v>
      </c>
      <c r="B18" s="1">
        <v>1338</v>
      </c>
      <c r="C18">
        <f t="shared" si="0"/>
        <v>1363.3333333333333</v>
      </c>
      <c r="D18">
        <f t="shared" si="3"/>
        <v>197.61666666666653</v>
      </c>
      <c r="E18">
        <f t="shared" si="4"/>
        <v>723.66666666666652</v>
      </c>
      <c r="F18" s="2">
        <f t="shared" si="1"/>
        <v>0.81981981981981988</v>
      </c>
      <c r="G18">
        <f t="shared" si="2"/>
        <v>723.66666666666652</v>
      </c>
    </row>
    <row r="19" spans="1:7">
      <c r="A19" s="1">
        <v>48.91</v>
      </c>
      <c r="B19" s="1">
        <v>1438</v>
      </c>
      <c r="C19">
        <f t="shared" si="0"/>
        <v>1463.3333333333333</v>
      </c>
      <c r="D19">
        <f t="shared" si="3"/>
        <v>167</v>
      </c>
      <c r="E19">
        <f t="shared" si="4"/>
        <v>890.66666666666652</v>
      </c>
      <c r="F19" s="2">
        <f t="shared" si="1"/>
        <v>0.7782397782397783</v>
      </c>
      <c r="G19">
        <f t="shared" si="2"/>
        <v>890.66666666666652</v>
      </c>
    </row>
    <row r="20" spans="1:7">
      <c r="A20" s="1">
        <v>45.34</v>
      </c>
      <c r="B20" s="1">
        <f>2400+552</f>
        <v>2952</v>
      </c>
      <c r="C20">
        <f t="shared" si="0"/>
        <v>2986.6666666666665</v>
      </c>
      <c r="D20">
        <f t="shared" si="3"/>
        <v>2543.9666666666667</v>
      </c>
      <c r="E20">
        <f t="shared" si="4"/>
        <v>3434.6333333333332</v>
      </c>
      <c r="F20" s="2">
        <f t="shared" si="1"/>
        <v>0.14483714483714505</v>
      </c>
      <c r="G20">
        <f t="shared" si="2"/>
        <v>3434.6333333333332</v>
      </c>
    </row>
    <row r="21" spans="1:7">
      <c r="A21" s="1">
        <v>44.83</v>
      </c>
      <c r="B21" s="1">
        <f>2400+714</f>
        <v>3114</v>
      </c>
      <c r="C21">
        <f t="shared" si="0"/>
        <v>3123.3333333333335</v>
      </c>
      <c r="D21">
        <f t="shared" si="3"/>
        <v>228.23333333333383</v>
      </c>
      <c r="E21">
        <f t="shared" si="4"/>
        <v>3662.8666666666672</v>
      </c>
      <c r="F21" s="2">
        <f t="shared" si="1"/>
        <v>8.8011088011088034E-2</v>
      </c>
      <c r="G21">
        <f t="shared" si="2"/>
        <v>3662.8666666666672</v>
      </c>
    </row>
    <row r="22" spans="1:7">
      <c r="A22" s="1">
        <v>44.23</v>
      </c>
      <c r="B22" s="1">
        <f>2400+830</f>
        <v>3230</v>
      </c>
      <c r="C22">
        <f t="shared" si="0"/>
        <v>3250</v>
      </c>
      <c r="D22">
        <f t="shared" si="3"/>
        <v>211.53333333333308</v>
      </c>
      <c r="E22">
        <f t="shared" si="4"/>
        <v>3874.4000000000005</v>
      </c>
      <c r="F22" s="2">
        <f t="shared" si="1"/>
        <v>3.5343035343035401E-2</v>
      </c>
      <c r="G22">
        <f t="shared" si="2"/>
        <v>3874.4000000000005</v>
      </c>
    </row>
    <row r="23" spans="1:7">
      <c r="A23" s="1">
        <v>43.79</v>
      </c>
      <c r="B23" s="1">
        <f>2400+912</f>
        <v>3312</v>
      </c>
      <c r="C23">
        <f t="shared" si="0"/>
        <v>3320</v>
      </c>
      <c r="D23">
        <f t="shared" si="3"/>
        <v>116.9</v>
      </c>
      <c r="E23">
        <f t="shared" si="4"/>
        <v>3991.3000000000006</v>
      </c>
      <c r="F23" s="2">
        <f t="shared" si="1"/>
        <v>6.2370062370062929E-3</v>
      </c>
      <c r="G23">
        <f t="shared" si="2"/>
        <v>3991.3000000000006</v>
      </c>
    </row>
    <row r="24" spans="1:7">
      <c r="A24" s="1">
        <v>43.72</v>
      </c>
      <c r="B24" s="1">
        <f>2400+917</f>
        <v>3317</v>
      </c>
      <c r="C24">
        <f t="shared" si="0"/>
        <v>3328.3333333333335</v>
      </c>
      <c r="D24">
        <f t="shared" si="3"/>
        <v>13.91666666666692</v>
      </c>
      <c r="E24">
        <f t="shared" si="4"/>
        <v>4005.2166666666676</v>
      </c>
      <c r="F24" s="2">
        <f t="shared" si="1"/>
        <v>2.7720027720027351E-3</v>
      </c>
      <c r="G24">
        <f t="shared" si="2"/>
        <v>4005.2166666666676</v>
      </c>
    </row>
    <row r="25" spans="1:7">
      <c r="A25" s="1">
        <v>43.69</v>
      </c>
      <c r="B25" s="1">
        <f>2400+921</f>
        <v>3321</v>
      </c>
      <c r="C25">
        <f t="shared" si="0"/>
        <v>3335</v>
      </c>
      <c r="D25">
        <f t="shared" si="3"/>
        <v>11.133333333333081</v>
      </c>
      <c r="E25">
        <f t="shared" si="4"/>
        <v>4016.3500000000008</v>
      </c>
      <c r="F25" s="2">
        <f t="shared" si="1"/>
        <v>0</v>
      </c>
      <c r="G25">
        <f t="shared" si="2"/>
        <v>4016.3500000000008</v>
      </c>
    </row>
    <row r="26" spans="1:7">
      <c r="A26" s="1">
        <v>44.58</v>
      </c>
      <c r="B26" s="1" t="e">
        <f>NA()</f>
        <v>#N/A</v>
      </c>
      <c r="C26" t="e">
        <f t="shared" si="0"/>
        <v>#N/A</v>
      </c>
      <c r="D26" t="e">
        <f t="shared" si="3"/>
        <v>#N/A</v>
      </c>
      <c r="E26" t="e">
        <f t="shared" si="4"/>
        <v>#N/A</v>
      </c>
      <c r="F26" s="2" t="e">
        <f t="shared" si="1"/>
        <v>#N/A</v>
      </c>
      <c r="G26">
        <f t="shared" si="2"/>
        <v>0</v>
      </c>
    </row>
    <row r="27" spans="1:7">
      <c r="A27" s="1">
        <v>44.33</v>
      </c>
      <c r="B27" s="1" t="e">
        <f>NA()</f>
        <v>#N/A</v>
      </c>
      <c r="C27" t="e">
        <f t="shared" si="0"/>
        <v>#N/A</v>
      </c>
      <c r="D27" t="e">
        <f t="shared" si="3"/>
        <v>#N/A</v>
      </c>
      <c r="E27" t="e">
        <f t="shared" si="4"/>
        <v>#N/A</v>
      </c>
      <c r="F27" s="2" t="e">
        <f t="shared" si="1"/>
        <v>#N/A</v>
      </c>
      <c r="G27">
        <f t="shared" si="2"/>
        <v>0</v>
      </c>
    </row>
    <row r="28" spans="1:7">
      <c r="A28" s="1">
        <v>43.91</v>
      </c>
      <c r="B28" s="1" t="e">
        <f>NA()</f>
        <v>#N/A</v>
      </c>
      <c r="C28" t="e">
        <f t="shared" si="0"/>
        <v>#N/A</v>
      </c>
      <c r="D28" t="e">
        <f t="shared" si="3"/>
        <v>#N/A</v>
      </c>
      <c r="E28" t="e">
        <f t="shared" si="4"/>
        <v>#N/A</v>
      </c>
      <c r="F28" s="2" t="e">
        <f t="shared" si="1"/>
        <v>#N/A</v>
      </c>
      <c r="G28">
        <f t="shared" si="2"/>
        <v>0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4:H46"/>
  <sheetViews>
    <sheetView workbookViewId="0">
      <selection activeCell="C47" sqref="C47"/>
    </sheetView>
  </sheetViews>
  <sheetFormatPr defaultRowHeight="15"/>
  <sheetData>
    <row r="4" spans="1:8">
      <c r="A4" t="s">
        <v>11</v>
      </c>
    </row>
    <row r="8" spans="1:8">
      <c r="A8" t="s">
        <v>0</v>
      </c>
      <c r="D8">
        <f>SLOPE(D12:D19,A12:A19)</f>
        <v>-243.36763903727692</v>
      </c>
    </row>
    <row r="9" spans="1:8">
      <c r="A9" t="s">
        <v>1</v>
      </c>
      <c r="D9">
        <f>INTERCEPT(D12:D19,A12:A19)</f>
        <v>13446.772818251922</v>
      </c>
      <c r="E9">
        <v>40</v>
      </c>
      <c r="F9">
        <f>E9*D8+D9</f>
        <v>3712.0672567608453</v>
      </c>
      <c r="G9">
        <f>(F9-D11)/100</f>
        <v>28.10400590094179</v>
      </c>
      <c r="H9">
        <f>10*(A12+40)/2*G9</f>
        <v>12947.515518563881</v>
      </c>
    </row>
    <row r="10" spans="1:8">
      <c r="A10" t="s">
        <v>7</v>
      </c>
      <c r="B10" t="s">
        <v>12</v>
      </c>
      <c r="C10" t="s">
        <v>3</v>
      </c>
      <c r="D10" t="s">
        <v>4</v>
      </c>
      <c r="E10" t="s">
        <v>5</v>
      </c>
      <c r="F10" t="s">
        <v>6</v>
      </c>
      <c r="H10">
        <f>MAX(H11:H38)</f>
        <v>4060.0833333333335</v>
      </c>
    </row>
    <row r="11" spans="1:8">
      <c r="A11" s="1">
        <v>52.87</v>
      </c>
      <c r="B11" s="1">
        <v>0</v>
      </c>
      <c r="C11" s="1">
        <v>901</v>
      </c>
      <c r="D11">
        <f>(TRUNC($C11/100,0)*100+($C11-TRUNC($C11/100,0)*100)*10/6)+2400*B11</f>
        <v>901.66666666666663</v>
      </c>
      <c r="E11">
        <v>0</v>
      </c>
      <c r="F11">
        <v>0</v>
      </c>
      <c r="G11" s="2">
        <f>1-F11/$H$10</f>
        <v>1</v>
      </c>
      <c r="H11">
        <f>IF(ISNA(F11),0,F11)</f>
        <v>0</v>
      </c>
    </row>
    <row r="12" spans="1:8">
      <c r="A12" s="1">
        <v>52.14</v>
      </c>
      <c r="B12" s="1">
        <v>0</v>
      </c>
      <c r="C12" s="1">
        <v>901</v>
      </c>
      <c r="D12">
        <f t="shared" ref="D12:D28" si="0">(TRUNC($C12/100,0)*100+($C12-TRUNC($C12/100,0)*100)*10/6)+2400*B12</f>
        <v>901.66666666666663</v>
      </c>
      <c r="E12">
        <f>83*(D12-D11)/100</f>
        <v>0</v>
      </c>
      <c r="F12">
        <f>F11+E12</f>
        <v>0</v>
      </c>
      <c r="G12" s="2">
        <f t="shared" ref="G12:G46" si="1">1-F12/$H$10</f>
        <v>1</v>
      </c>
      <c r="H12">
        <f t="shared" ref="H12:H28" si="2">IF(ISNA(F12),0,F12)</f>
        <v>0</v>
      </c>
    </row>
    <row r="13" spans="1:8">
      <c r="A13" s="1">
        <v>50.7</v>
      </c>
      <c r="B13" s="1">
        <v>0</v>
      </c>
      <c r="C13" s="1">
        <v>905</v>
      </c>
      <c r="D13">
        <f t="shared" si="0"/>
        <v>908.33333333333337</v>
      </c>
      <c r="E13">
        <f t="shared" ref="E13:E46" si="3">83*(D13-D12)/100</f>
        <v>5.5333333333333963</v>
      </c>
      <c r="F13">
        <f>F12+E13</f>
        <v>5.5333333333333963</v>
      </c>
      <c r="G13" s="2">
        <f t="shared" si="1"/>
        <v>0.99863713798977849</v>
      </c>
      <c r="H13">
        <f t="shared" si="2"/>
        <v>5.5333333333333963</v>
      </c>
    </row>
    <row r="14" spans="1:8">
      <c r="A14" s="1">
        <v>50.38</v>
      </c>
      <c r="B14" s="1">
        <v>0</v>
      </c>
      <c r="C14" s="1">
        <v>947</v>
      </c>
      <c r="D14">
        <f t="shared" si="0"/>
        <v>978.33333333333337</v>
      </c>
      <c r="E14">
        <f t="shared" si="3"/>
        <v>58.1</v>
      </c>
      <c r="F14">
        <f t="shared" ref="F14:F28" si="4">F13+E14</f>
        <v>63.633333333333397</v>
      </c>
      <c r="G14" s="2">
        <f t="shared" si="1"/>
        <v>0.98432708688245318</v>
      </c>
      <c r="H14">
        <f t="shared" si="2"/>
        <v>63.633333333333397</v>
      </c>
    </row>
    <row r="15" spans="1:8">
      <c r="A15" s="1">
        <v>50.31</v>
      </c>
      <c r="B15" s="1">
        <v>0</v>
      </c>
      <c r="C15" s="1">
        <v>1048</v>
      </c>
      <c r="D15">
        <f t="shared" si="0"/>
        <v>1080</v>
      </c>
      <c r="E15">
        <f t="shared" si="3"/>
        <v>84.383333333333297</v>
      </c>
      <c r="F15">
        <f t="shared" si="4"/>
        <v>148.01666666666671</v>
      </c>
      <c r="G15" s="2">
        <f t="shared" si="1"/>
        <v>0.96354344122657576</v>
      </c>
      <c r="H15">
        <f t="shared" si="2"/>
        <v>148.01666666666671</v>
      </c>
    </row>
    <row r="16" spans="1:8">
      <c r="A16" s="1">
        <v>50.27</v>
      </c>
      <c r="B16" s="1">
        <v>0</v>
      </c>
      <c r="C16" s="1">
        <v>1122</v>
      </c>
      <c r="D16">
        <f t="shared" si="0"/>
        <v>1136.6666666666667</v>
      </c>
      <c r="E16">
        <f t="shared" si="3"/>
        <v>47.033333333333395</v>
      </c>
      <c r="F16">
        <f t="shared" si="4"/>
        <v>195.0500000000001</v>
      </c>
      <c r="G16" s="2">
        <f t="shared" si="1"/>
        <v>0.95195911413969336</v>
      </c>
      <c r="H16">
        <f t="shared" si="2"/>
        <v>195.0500000000001</v>
      </c>
    </row>
    <row r="17" spans="1:8">
      <c r="A17" s="1">
        <v>50.07</v>
      </c>
      <c r="B17" s="1">
        <v>0</v>
      </c>
      <c r="C17" s="1">
        <v>1324</v>
      </c>
      <c r="D17">
        <f t="shared" si="0"/>
        <v>1340</v>
      </c>
      <c r="E17">
        <f t="shared" si="3"/>
        <v>168.76666666666659</v>
      </c>
      <c r="F17">
        <f t="shared" si="4"/>
        <v>363.81666666666672</v>
      </c>
      <c r="G17" s="2">
        <f t="shared" si="1"/>
        <v>0.91039182282793862</v>
      </c>
      <c r="H17">
        <f t="shared" si="2"/>
        <v>363.81666666666672</v>
      </c>
    </row>
    <row r="18" spans="1:8">
      <c r="A18" s="1">
        <v>49.97</v>
      </c>
      <c r="B18" s="1">
        <v>0</v>
      </c>
      <c r="C18" s="1">
        <v>1425</v>
      </c>
      <c r="D18">
        <f t="shared" si="0"/>
        <v>1441.6666666666667</v>
      </c>
      <c r="E18">
        <f t="shared" si="3"/>
        <v>84.383333333333397</v>
      </c>
      <c r="F18">
        <f t="shared" si="4"/>
        <v>448.2000000000001</v>
      </c>
      <c r="G18" s="2">
        <f t="shared" si="1"/>
        <v>0.88960817717206131</v>
      </c>
      <c r="H18">
        <f t="shared" si="2"/>
        <v>448.2000000000001</v>
      </c>
    </row>
    <row r="19" spans="1:8">
      <c r="A19" s="1">
        <v>49.86</v>
      </c>
      <c r="B19" s="1">
        <v>0</v>
      </c>
      <c r="C19" s="1">
        <v>1524</v>
      </c>
      <c r="D19">
        <f t="shared" si="0"/>
        <v>1540</v>
      </c>
      <c r="E19">
        <f t="shared" si="3"/>
        <v>81.616666666666603</v>
      </c>
      <c r="F19">
        <f t="shared" si="4"/>
        <v>529.81666666666672</v>
      </c>
      <c r="G19" s="2">
        <f t="shared" si="1"/>
        <v>0.86950596252129475</v>
      </c>
      <c r="H19">
        <f t="shared" si="2"/>
        <v>529.81666666666672</v>
      </c>
    </row>
    <row r="20" spans="1:8">
      <c r="A20" s="1">
        <v>49.77</v>
      </c>
      <c r="B20" s="1">
        <v>0</v>
      </c>
      <c r="C20" s="1">
        <v>1617</v>
      </c>
      <c r="D20">
        <f t="shared" si="0"/>
        <v>1628.3333333333333</v>
      </c>
      <c r="E20">
        <f t="shared" si="3"/>
        <v>73.316666666666606</v>
      </c>
      <c r="F20">
        <f t="shared" si="4"/>
        <v>603.13333333333333</v>
      </c>
      <c r="G20" s="2">
        <f t="shared" si="1"/>
        <v>0.85144804088586035</v>
      </c>
      <c r="H20">
        <f t="shared" si="2"/>
        <v>603.13333333333333</v>
      </c>
    </row>
    <row r="21" spans="1:8">
      <c r="A21" s="1">
        <v>48.36</v>
      </c>
      <c r="B21" s="1">
        <v>1</v>
      </c>
      <c r="C21" s="1">
        <v>543</v>
      </c>
      <c r="D21">
        <f t="shared" si="0"/>
        <v>2971.6666666666665</v>
      </c>
      <c r="E21">
        <f t="shared" si="3"/>
        <v>1114.9666666666665</v>
      </c>
      <c r="F21">
        <f t="shared" si="4"/>
        <v>1718.1</v>
      </c>
      <c r="G21" s="2">
        <f t="shared" si="1"/>
        <v>0.57683134582623508</v>
      </c>
      <c r="H21">
        <f t="shared" si="2"/>
        <v>1718.1</v>
      </c>
    </row>
    <row r="22" spans="1:8">
      <c r="A22" s="1">
        <v>48.22</v>
      </c>
      <c r="B22" s="1">
        <v>1</v>
      </c>
      <c r="C22" s="1">
        <v>658</v>
      </c>
      <c r="D22">
        <f t="shared" si="0"/>
        <v>3096.6666666666665</v>
      </c>
      <c r="E22">
        <f t="shared" si="3"/>
        <v>103.75</v>
      </c>
      <c r="F22">
        <f t="shared" si="4"/>
        <v>1821.85</v>
      </c>
      <c r="G22" s="2">
        <f t="shared" si="1"/>
        <v>0.5512776831345827</v>
      </c>
      <c r="H22">
        <f t="shared" si="2"/>
        <v>1821.85</v>
      </c>
    </row>
    <row r="23" spans="1:8">
      <c r="A23" s="1">
        <v>48.12</v>
      </c>
      <c r="B23" s="1">
        <v>1</v>
      </c>
      <c r="C23" s="1">
        <v>748</v>
      </c>
      <c r="D23">
        <f t="shared" si="0"/>
        <v>3180</v>
      </c>
      <c r="E23">
        <f t="shared" si="3"/>
        <v>69.166666666666785</v>
      </c>
      <c r="F23">
        <f t="shared" si="4"/>
        <v>1891.0166666666667</v>
      </c>
      <c r="G23" s="2">
        <f t="shared" si="1"/>
        <v>0.53424190800681437</v>
      </c>
      <c r="H23">
        <f t="shared" si="2"/>
        <v>1891.0166666666667</v>
      </c>
    </row>
    <row r="24" spans="1:8">
      <c r="A24" s="1">
        <v>48.02</v>
      </c>
      <c r="B24" s="1">
        <v>1</v>
      </c>
      <c r="C24" s="1">
        <v>843</v>
      </c>
      <c r="D24">
        <f t="shared" si="0"/>
        <v>3271.6666666666665</v>
      </c>
      <c r="E24">
        <f t="shared" si="3"/>
        <v>76.083333333333215</v>
      </c>
      <c r="F24">
        <f t="shared" si="4"/>
        <v>1967.1</v>
      </c>
      <c r="G24" s="2">
        <f t="shared" si="1"/>
        <v>0.51550255536626921</v>
      </c>
      <c r="H24">
        <f t="shared" si="2"/>
        <v>1967.1</v>
      </c>
    </row>
    <row r="25" spans="1:8">
      <c r="A25" s="1">
        <v>47.89</v>
      </c>
      <c r="B25" s="1">
        <v>1</v>
      </c>
      <c r="C25" s="1">
        <v>952</v>
      </c>
      <c r="D25">
        <f t="shared" si="0"/>
        <v>3386.6666666666665</v>
      </c>
      <c r="E25">
        <f t="shared" si="3"/>
        <v>95.45</v>
      </c>
      <c r="F25">
        <f t="shared" si="4"/>
        <v>2062.5499999999997</v>
      </c>
      <c r="G25" s="2">
        <f t="shared" si="1"/>
        <v>0.49199318568994899</v>
      </c>
      <c r="H25">
        <f t="shared" si="2"/>
        <v>2062.5499999999997</v>
      </c>
    </row>
    <row r="26" spans="1:8">
      <c r="A26" s="1">
        <v>47.68</v>
      </c>
      <c r="B26" s="1">
        <v>1</v>
      </c>
      <c r="C26" s="1">
        <v>1142</v>
      </c>
      <c r="D26">
        <f t="shared" si="0"/>
        <v>3570</v>
      </c>
      <c r="E26">
        <f t="shared" si="3"/>
        <v>152.1666666666668</v>
      </c>
      <c r="F26">
        <f t="shared" si="4"/>
        <v>2214.7166666666667</v>
      </c>
      <c r="G26" s="2">
        <f t="shared" si="1"/>
        <v>0.45451448040885867</v>
      </c>
      <c r="H26">
        <f t="shared" si="2"/>
        <v>2214.7166666666667</v>
      </c>
    </row>
    <row r="27" spans="1:8">
      <c r="A27" s="1">
        <v>47.54</v>
      </c>
      <c r="B27" s="1">
        <v>1</v>
      </c>
      <c r="C27" s="1">
        <v>1249</v>
      </c>
      <c r="D27">
        <f t="shared" si="0"/>
        <v>3681.666666666667</v>
      </c>
      <c r="E27">
        <f t="shared" si="3"/>
        <v>92.683333333333579</v>
      </c>
      <c r="F27">
        <f t="shared" si="4"/>
        <v>2307.4</v>
      </c>
      <c r="G27" s="2">
        <f t="shared" si="1"/>
        <v>0.43168654173764909</v>
      </c>
      <c r="H27">
        <f t="shared" si="2"/>
        <v>2307.4</v>
      </c>
    </row>
    <row r="28" spans="1:8">
      <c r="A28" s="1">
        <v>47.25</v>
      </c>
      <c r="B28" s="1">
        <v>1</v>
      </c>
      <c r="C28" s="1">
        <v>1514</v>
      </c>
      <c r="D28">
        <f t="shared" si="0"/>
        <v>3923.333333333333</v>
      </c>
      <c r="E28">
        <f t="shared" si="3"/>
        <v>200.58333333333286</v>
      </c>
      <c r="F28">
        <f t="shared" si="4"/>
        <v>2507.9833333333331</v>
      </c>
      <c r="G28" s="2">
        <f t="shared" si="1"/>
        <v>0.38228279386712105</v>
      </c>
      <c r="H28">
        <f t="shared" si="2"/>
        <v>2507.9833333333331</v>
      </c>
    </row>
    <row r="29" spans="1:8">
      <c r="A29" s="1">
        <v>44.99</v>
      </c>
      <c r="B29" s="1">
        <v>2</v>
      </c>
      <c r="C29" s="1">
        <v>537</v>
      </c>
      <c r="D29">
        <f t="shared" ref="D29:D34" si="5">(TRUNC($C29/100,0)*100+($C29-TRUNC($C29/100,0)*100)*10/6)+2400*B29</f>
        <v>5361.666666666667</v>
      </c>
      <c r="E29">
        <f t="shared" si="3"/>
        <v>1193.8166666666671</v>
      </c>
      <c r="F29">
        <f t="shared" ref="F29:F34" si="6">F28+E29</f>
        <v>3701.8</v>
      </c>
      <c r="G29" s="2">
        <f t="shared" si="1"/>
        <v>8.8245315161839866E-2</v>
      </c>
      <c r="H29">
        <f t="shared" ref="H29:H34" si="7">IF(ISNA(F29),0,F29)</f>
        <v>3701.8</v>
      </c>
    </row>
    <row r="30" spans="1:8">
      <c r="A30" s="1">
        <v>44.75</v>
      </c>
      <c r="B30" s="1">
        <v>2</v>
      </c>
      <c r="C30" s="1">
        <v>632</v>
      </c>
      <c r="D30">
        <f t="shared" si="5"/>
        <v>5453.333333333333</v>
      </c>
      <c r="E30">
        <f t="shared" si="3"/>
        <v>76.083333333332831</v>
      </c>
      <c r="F30">
        <f t="shared" si="6"/>
        <v>3777.8833333333332</v>
      </c>
      <c r="G30" s="2">
        <f t="shared" si="1"/>
        <v>6.9505962521294817E-2</v>
      </c>
      <c r="H30">
        <f t="shared" si="7"/>
        <v>3777.8833333333332</v>
      </c>
    </row>
    <row r="31" spans="1:8">
      <c r="A31" s="1">
        <v>44.41</v>
      </c>
      <c r="B31" s="1">
        <v>2</v>
      </c>
      <c r="C31" s="1">
        <v>740</v>
      </c>
      <c r="D31">
        <f t="shared" si="5"/>
        <v>5566.666666666667</v>
      </c>
      <c r="E31">
        <f t="shared" si="3"/>
        <v>94.066666666667174</v>
      </c>
      <c r="F31">
        <f t="shared" si="6"/>
        <v>3871.9500000000003</v>
      </c>
      <c r="G31" s="2">
        <f t="shared" si="1"/>
        <v>4.6337308347529804E-2</v>
      </c>
      <c r="H31">
        <f t="shared" si="7"/>
        <v>3871.9500000000003</v>
      </c>
    </row>
    <row r="32" spans="1:8">
      <c r="A32" s="1">
        <v>44.12</v>
      </c>
      <c r="B32" s="1">
        <v>2</v>
      </c>
      <c r="C32" s="1">
        <v>826</v>
      </c>
      <c r="D32">
        <f t="shared" si="5"/>
        <v>5643.333333333333</v>
      </c>
      <c r="E32">
        <f t="shared" si="3"/>
        <v>63.633333333332828</v>
      </c>
      <c r="F32">
        <f t="shared" si="6"/>
        <v>3935.583333333333</v>
      </c>
      <c r="G32" s="2">
        <f t="shared" si="1"/>
        <v>3.0664395229983099E-2</v>
      </c>
      <c r="H32">
        <f t="shared" si="7"/>
        <v>3935.583333333333</v>
      </c>
    </row>
    <row r="33" spans="1:8">
      <c r="A33" s="1">
        <v>43.87</v>
      </c>
      <c r="B33" s="1">
        <v>2</v>
      </c>
      <c r="C33" s="1">
        <v>858</v>
      </c>
      <c r="D33">
        <f t="shared" si="5"/>
        <v>5696.666666666667</v>
      </c>
      <c r="E33">
        <f t="shared" si="3"/>
        <v>44.26666666666717</v>
      </c>
      <c r="F33">
        <f t="shared" si="6"/>
        <v>3979.8500000000004</v>
      </c>
      <c r="G33" s="2">
        <f t="shared" si="1"/>
        <v>1.9761499148211237E-2</v>
      </c>
      <c r="H33">
        <f t="shared" si="7"/>
        <v>3979.8500000000004</v>
      </c>
    </row>
    <row r="34" spans="1:8">
      <c r="A34" s="1">
        <v>43.74</v>
      </c>
      <c r="B34" s="1">
        <v>2</v>
      </c>
      <c r="C34" s="1">
        <v>911</v>
      </c>
      <c r="D34">
        <f t="shared" si="5"/>
        <v>5718.333333333333</v>
      </c>
      <c r="E34">
        <f t="shared" si="3"/>
        <v>17.98333333333283</v>
      </c>
      <c r="F34">
        <f t="shared" si="6"/>
        <v>3997.833333333333</v>
      </c>
      <c r="G34" s="2">
        <f t="shared" si="1"/>
        <v>1.5332197614991605E-2</v>
      </c>
      <c r="H34">
        <f t="shared" si="7"/>
        <v>3997.833333333333</v>
      </c>
    </row>
    <row r="35" spans="1:8">
      <c r="A35" s="1">
        <v>43.54</v>
      </c>
      <c r="B35" s="1">
        <v>2</v>
      </c>
      <c r="C35" s="1">
        <v>927</v>
      </c>
      <c r="D35">
        <f t="shared" ref="D35:D38" si="8">(TRUNC($C35/100,0)*100+($C35-TRUNC($C35/100,0)*100)*10/6)+2400*B35</f>
        <v>5745</v>
      </c>
      <c r="E35">
        <f t="shared" si="3"/>
        <v>22.133333333333585</v>
      </c>
      <c r="F35">
        <f t="shared" ref="F35:F38" si="9">F34+E35</f>
        <v>4019.9666666666667</v>
      </c>
      <c r="G35" s="2">
        <f t="shared" si="1"/>
        <v>9.8807495741056739E-3</v>
      </c>
      <c r="H35">
        <f t="shared" ref="H35:H38" si="10">IF(ISNA(F35),0,F35)</f>
        <v>4019.9666666666667</v>
      </c>
    </row>
    <row r="36" spans="1:8">
      <c r="A36" s="1">
        <v>43.42</v>
      </c>
      <c r="B36" s="1">
        <v>2</v>
      </c>
      <c r="C36" s="1">
        <v>935</v>
      </c>
      <c r="D36">
        <f t="shared" si="8"/>
        <v>5758.333333333333</v>
      </c>
      <c r="E36">
        <f t="shared" si="3"/>
        <v>11.066666666666414</v>
      </c>
      <c r="F36">
        <f t="shared" si="9"/>
        <v>4031.0333333333333</v>
      </c>
      <c r="G36" s="2">
        <f t="shared" si="1"/>
        <v>7.1550255536627638E-3</v>
      </c>
      <c r="H36">
        <f t="shared" si="10"/>
        <v>4031.0333333333333</v>
      </c>
    </row>
    <row r="37" spans="1:8">
      <c r="A37" s="1">
        <v>43.05</v>
      </c>
      <c r="B37" s="1">
        <v>2</v>
      </c>
      <c r="C37" s="1">
        <v>953</v>
      </c>
      <c r="D37">
        <f t="shared" si="8"/>
        <v>5788.333333333333</v>
      </c>
      <c r="E37">
        <f t="shared" si="3"/>
        <v>24.9</v>
      </c>
      <c r="F37">
        <f t="shared" si="9"/>
        <v>4055.9333333333334</v>
      </c>
      <c r="G37" s="2">
        <f t="shared" si="1"/>
        <v>1.0221465076660774E-3</v>
      </c>
      <c r="H37">
        <f t="shared" si="10"/>
        <v>4055.9333333333334</v>
      </c>
    </row>
    <row r="38" spans="1:8">
      <c r="A38" s="1">
        <v>42.99</v>
      </c>
      <c r="B38" s="1">
        <v>2</v>
      </c>
      <c r="C38" s="1">
        <v>956</v>
      </c>
      <c r="D38">
        <f t="shared" si="8"/>
        <v>5793.333333333333</v>
      </c>
      <c r="E38">
        <f t="shared" si="3"/>
        <v>4.1500000000000004</v>
      </c>
      <c r="F38">
        <f t="shared" si="9"/>
        <v>4060.0833333333335</v>
      </c>
      <c r="G38" s="2">
        <f t="shared" si="1"/>
        <v>0</v>
      </c>
      <c r="H38">
        <f t="shared" si="10"/>
        <v>4060.0833333333335</v>
      </c>
    </row>
    <row r="39" spans="1:8">
      <c r="A39" s="1">
        <v>42.9</v>
      </c>
      <c r="B39" s="1">
        <v>2</v>
      </c>
      <c r="C39" s="1">
        <v>1000</v>
      </c>
      <c r="D39">
        <f t="shared" ref="D39:D46" si="11">(TRUNC($C39/100,0)*100+($C39-TRUNC($C39/100,0)*100)*10/6)+2400*B39</f>
        <v>5800</v>
      </c>
      <c r="E39">
        <f t="shared" si="3"/>
        <v>5.5333333333335846</v>
      </c>
      <c r="F39">
        <f t="shared" ref="F39:F46" si="12">F38+E39</f>
        <v>4065.6166666666672</v>
      </c>
      <c r="G39" s="2">
        <f t="shared" si="1"/>
        <v>-1.3628620102215105E-3</v>
      </c>
      <c r="H39">
        <f t="shared" ref="H39:H46" si="13">IF(ISNA(F39),0,F39)</f>
        <v>4065.6166666666672</v>
      </c>
    </row>
    <row r="40" spans="1:8">
      <c r="A40" s="1">
        <v>42.84</v>
      </c>
      <c r="B40" s="1">
        <v>2</v>
      </c>
      <c r="C40" s="1">
        <v>1003</v>
      </c>
      <c r="D40">
        <f t="shared" si="11"/>
        <v>5805</v>
      </c>
      <c r="E40">
        <f t="shared" si="3"/>
        <v>4.1500000000000004</v>
      </c>
      <c r="F40">
        <f t="shared" si="12"/>
        <v>4069.7666666666673</v>
      </c>
      <c r="G40" s="2">
        <f t="shared" si="1"/>
        <v>-2.3850085178875879E-3</v>
      </c>
      <c r="H40">
        <f t="shared" si="13"/>
        <v>4069.7666666666673</v>
      </c>
    </row>
    <row r="41" spans="1:8">
      <c r="A41" s="1">
        <v>42.79</v>
      </c>
      <c r="B41" s="1">
        <v>2</v>
      </c>
      <c r="C41" s="1">
        <v>1005</v>
      </c>
      <c r="D41">
        <f t="shared" si="11"/>
        <v>5808.333333333333</v>
      </c>
      <c r="E41">
        <f t="shared" si="3"/>
        <v>2.7666666666664153</v>
      </c>
      <c r="F41">
        <f t="shared" si="12"/>
        <v>4072.5333333333338</v>
      </c>
      <c r="G41" s="2">
        <f t="shared" si="1"/>
        <v>-3.0664395229984542E-3</v>
      </c>
      <c r="H41">
        <f t="shared" si="13"/>
        <v>4072.5333333333338</v>
      </c>
    </row>
    <row r="42" spans="1:8">
      <c r="A42" s="1">
        <v>42.72</v>
      </c>
      <c r="B42" s="1">
        <v>2</v>
      </c>
      <c r="C42" s="1">
        <v>1008</v>
      </c>
      <c r="D42">
        <f t="shared" si="11"/>
        <v>5813.333333333333</v>
      </c>
      <c r="E42">
        <f t="shared" si="3"/>
        <v>4.1500000000000004</v>
      </c>
      <c r="F42">
        <f t="shared" si="12"/>
        <v>4076.6833333333338</v>
      </c>
      <c r="G42" s="2">
        <f t="shared" si="1"/>
        <v>-4.0885860306645316E-3</v>
      </c>
      <c r="H42">
        <f t="shared" si="13"/>
        <v>4076.6833333333338</v>
      </c>
    </row>
    <row r="43" spans="1:8">
      <c r="A43" s="1">
        <v>42.56</v>
      </c>
      <c r="B43" s="1">
        <v>2</v>
      </c>
      <c r="C43" s="1">
        <v>1015</v>
      </c>
      <c r="D43">
        <f t="shared" si="11"/>
        <v>5825</v>
      </c>
      <c r="E43">
        <f t="shared" si="3"/>
        <v>9.6833333333335858</v>
      </c>
      <c r="F43">
        <f t="shared" si="12"/>
        <v>4086.3666666666672</v>
      </c>
      <c r="G43" s="2">
        <f t="shared" si="1"/>
        <v>-6.4735945485521196E-3</v>
      </c>
      <c r="H43">
        <f t="shared" si="13"/>
        <v>4086.3666666666672</v>
      </c>
    </row>
    <row r="44" spans="1:8">
      <c r="A44" s="1">
        <v>42.05</v>
      </c>
      <c r="B44" s="1">
        <v>2</v>
      </c>
      <c r="C44" s="1">
        <v>1036</v>
      </c>
      <c r="D44">
        <f t="shared" si="11"/>
        <v>5860</v>
      </c>
      <c r="E44">
        <f t="shared" si="3"/>
        <v>29.05</v>
      </c>
      <c r="F44">
        <f t="shared" si="12"/>
        <v>4115.416666666667</v>
      </c>
      <c r="G44" s="2">
        <f t="shared" si="1"/>
        <v>-1.3628620102214661E-2</v>
      </c>
      <c r="H44">
        <f t="shared" si="13"/>
        <v>4115.416666666667</v>
      </c>
    </row>
    <row r="45" spans="1:8">
      <c r="A45" s="1">
        <v>41.28</v>
      </c>
      <c r="B45" s="1">
        <v>2</v>
      </c>
      <c r="C45" s="1">
        <v>1059</v>
      </c>
      <c r="D45">
        <f t="shared" si="11"/>
        <v>5898.333333333333</v>
      </c>
      <c r="E45">
        <f t="shared" si="3"/>
        <v>31.816666666666414</v>
      </c>
      <c r="F45">
        <f t="shared" si="12"/>
        <v>4147.2333333333336</v>
      </c>
      <c r="G45" s="2">
        <f t="shared" si="1"/>
        <v>-2.1465076660988069E-2</v>
      </c>
      <c r="H45">
        <f t="shared" si="13"/>
        <v>4147.2333333333336</v>
      </c>
    </row>
    <row r="46" spans="1:8">
      <c r="A46" s="1">
        <v>41.21</v>
      </c>
      <c r="B46" s="1">
        <v>2</v>
      </c>
      <c r="C46" s="1">
        <v>1100</v>
      </c>
      <c r="D46">
        <f t="shared" si="11"/>
        <v>5900</v>
      </c>
      <c r="E46">
        <f t="shared" si="3"/>
        <v>1.3833333333335849</v>
      </c>
      <c r="F46">
        <f t="shared" si="12"/>
        <v>4148.6166666666668</v>
      </c>
      <c r="G46" s="2">
        <f t="shared" si="1"/>
        <v>-2.1805792163543503E-2</v>
      </c>
      <c r="H46">
        <f t="shared" si="13"/>
        <v>4148.6166666666668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Charts</vt:lpstr>
      </vt:variant>
      <vt:variant>
        <vt:i4>1</vt:i4>
      </vt:variant>
    </vt:vector>
  </HeadingPairs>
  <TitlesOfParts>
    <vt:vector size="9" baseType="lpstr">
      <vt:lpstr>Bank 1 run 1</vt:lpstr>
      <vt:lpstr>Bank 2 run 1</vt:lpstr>
      <vt:lpstr>Bank 1 run 2</vt:lpstr>
      <vt:lpstr>Bank 2 run 2</vt:lpstr>
      <vt:lpstr>Bank 1 run 3</vt:lpstr>
      <vt:lpstr>DSPL Run 1</vt:lpstr>
      <vt:lpstr>DSPL run 2</vt:lpstr>
      <vt:lpstr>DSPL run 3</vt:lpstr>
      <vt:lpstr>Chart1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mbari</dc:creator>
  <cp:lastModifiedBy>mbari</cp:lastModifiedBy>
  <cp:lastPrinted>2011-06-02T18:06:56Z</cp:lastPrinted>
  <dcterms:created xsi:type="dcterms:W3CDTF">2011-05-16T21:07:18Z</dcterms:created>
  <dcterms:modified xsi:type="dcterms:W3CDTF">2011-06-02T19:09:48Z</dcterms:modified>
</cp:coreProperties>
</file>