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FIDO\documents\"/>
    </mc:Choice>
  </mc:AlternateContent>
  <xr:revisionPtr revIDLastSave="0" documentId="13_ncr:1_{290079B2-AFB0-49B1-B1A5-E6D6CEC74294}" xr6:coauthVersionLast="47" xr6:coauthVersionMax="47" xr10:uidLastSave="{00000000-0000-0000-0000-000000000000}"/>
  <bookViews>
    <workbookView xWindow="-120" yWindow="-120" windowWidth="57840" windowHeight="31920" activeTab="2" xr2:uid="{DDFE7406-6B98-4814-A2E9-F50519054B4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C17" i="3"/>
  <c r="I9" i="3"/>
  <c r="H11" i="3"/>
  <c r="H9" i="2"/>
  <c r="M9" i="2" s="1"/>
  <c r="N9" i="2" s="1"/>
  <c r="Q9" i="2" s="1"/>
  <c r="H8" i="2"/>
  <c r="I8" i="2" s="1"/>
  <c r="H15" i="3"/>
  <c r="H16" i="3"/>
  <c r="H14" i="3"/>
  <c r="H13" i="3"/>
  <c r="H12" i="3"/>
  <c r="F15" i="3"/>
  <c r="B15" i="3"/>
  <c r="G15" i="3" s="1"/>
  <c r="F16" i="3"/>
  <c r="B16" i="3"/>
  <c r="G16" i="3" s="1"/>
  <c r="F14" i="3"/>
  <c r="B13" i="3"/>
  <c r="G13" i="3" s="1"/>
  <c r="B14" i="3"/>
  <c r="G14" i="3" s="1"/>
  <c r="B12" i="3"/>
  <c r="G12" i="3" s="1"/>
  <c r="B11" i="3"/>
  <c r="G11" i="3" s="1"/>
  <c r="P18" i="2"/>
  <c r="P17" i="2"/>
  <c r="P16" i="2"/>
  <c r="P15" i="2"/>
  <c r="P14" i="2"/>
  <c r="P13" i="2"/>
  <c r="P12" i="2"/>
  <c r="P11" i="2"/>
  <c r="M8" i="2"/>
  <c r="J18" i="2"/>
  <c r="I18" i="2"/>
  <c r="I17" i="2"/>
  <c r="J17" i="2" s="1"/>
  <c r="I16" i="2"/>
  <c r="J16" i="2" s="1"/>
  <c r="I15" i="2"/>
  <c r="J15" i="2" s="1"/>
  <c r="I14" i="2"/>
  <c r="J14" i="2" s="1"/>
  <c r="I13" i="2"/>
  <c r="J13" i="2" s="1"/>
  <c r="I12" i="2"/>
  <c r="J12" i="2" s="1"/>
  <c r="J11" i="2"/>
  <c r="I11" i="2"/>
  <c r="B18" i="2"/>
  <c r="G18" i="2" s="1"/>
  <c r="K18" i="2" s="1"/>
  <c r="B17" i="2"/>
  <c r="G17" i="2" s="1"/>
  <c r="K17" i="2" s="1"/>
  <c r="B16" i="2"/>
  <c r="G16" i="2" s="1"/>
  <c r="K16" i="2" s="1"/>
  <c r="B15" i="2"/>
  <c r="G15" i="2" s="1"/>
  <c r="K15" i="2" s="1"/>
  <c r="B14" i="2"/>
  <c r="G14" i="2" s="1"/>
  <c r="K14" i="2" s="1"/>
  <c r="B13" i="2"/>
  <c r="G13" i="2" s="1"/>
  <c r="K13" i="2" s="1"/>
  <c r="B12" i="2"/>
  <c r="G12" i="2" s="1"/>
  <c r="B11" i="2"/>
  <c r="G11" i="2" s="1"/>
  <c r="K11" i="2" s="1"/>
  <c r="E42" i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B29" i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5" i="1"/>
  <c r="K15" i="1" s="1"/>
  <c r="L15" i="1" s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I19" i="1"/>
  <c r="I18" i="1"/>
  <c r="I17" i="1"/>
  <c r="I16" i="1"/>
  <c r="I15" i="1"/>
  <c r="I14" i="1"/>
  <c r="I13" i="1"/>
  <c r="I12" i="1"/>
  <c r="I11" i="1"/>
  <c r="L8" i="3" l="1"/>
  <c r="L9" i="3"/>
  <c r="I9" i="2"/>
  <c r="M17" i="2"/>
  <c r="L18" i="2"/>
  <c r="L17" i="2"/>
  <c r="L15" i="2"/>
  <c r="L14" i="2"/>
  <c r="L13" i="2"/>
  <c r="L12" i="2"/>
  <c r="L11" i="2"/>
  <c r="L16" i="2"/>
  <c r="M13" i="2"/>
  <c r="M14" i="2"/>
  <c r="M16" i="2"/>
  <c r="M18" i="2"/>
  <c r="N8" i="2"/>
  <c r="H20" i="2"/>
  <c r="C19" i="2"/>
  <c r="P19" i="2" s="1"/>
  <c r="M11" i="2"/>
  <c r="M15" i="2"/>
  <c r="M12" i="2"/>
  <c r="K12" i="2"/>
  <c r="K21" i="1"/>
  <c r="M7" i="3" l="1"/>
  <c r="N15" i="2"/>
  <c r="N17" i="2"/>
  <c r="N18" i="2"/>
  <c r="N16" i="2"/>
  <c r="Q8" i="2"/>
  <c r="N14" i="2"/>
  <c r="N13" i="2"/>
  <c r="N12" i="2"/>
  <c r="N11" i="2"/>
  <c r="H17" i="2"/>
  <c r="H16" i="2"/>
  <c r="H14" i="2"/>
  <c r="H12" i="2"/>
  <c r="H18" i="2"/>
  <c r="H15" i="2"/>
  <c r="H13" i="2"/>
  <c r="H11" i="2"/>
  <c r="M9" i="3" l="1"/>
  <c r="D5" i="3"/>
  <c r="M8" i="3"/>
  <c r="O8" i="3" s="1"/>
  <c r="D6" i="3" s="1"/>
  <c r="B127" i="2"/>
  <c r="C127" i="2" s="1"/>
  <c r="B123" i="2"/>
  <c r="C123" i="2" s="1"/>
  <c r="B66" i="2"/>
  <c r="C66" i="2" s="1"/>
  <c r="B64" i="2"/>
  <c r="C64" i="2" s="1"/>
  <c r="B120" i="2"/>
  <c r="C120" i="2" s="1"/>
  <c r="B62" i="2"/>
  <c r="C62" i="2" s="1"/>
  <c r="B61" i="2"/>
  <c r="C61" i="2" s="1"/>
  <c r="B117" i="2"/>
  <c r="C117" i="2" s="1"/>
  <c r="B116" i="2"/>
  <c r="C116" i="2" s="1"/>
  <c r="B56" i="2"/>
  <c r="C56" i="2" s="1"/>
  <c r="B100" i="2"/>
  <c r="C100" i="2" s="1"/>
  <c r="B99" i="2"/>
  <c r="C99" i="2" s="1"/>
  <c r="B52" i="2"/>
  <c r="C52" i="2" s="1"/>
  <c r="B97" i="2"/>
  <c r="C97" i="2" s="1"/>
  <c r="B50" i="2"/>
  <c r="C50" i="2" s="1"/>
  <c r="B95" i="2"/>
  <c r="C95" i="2" s="1"/>
  <c r="B93" i="2"/>
  <c r="C93" i="2" s="1"/>
  <c r="Q14" i="2"/>
  <c r="B122" i="2"/>
  <c r="C122" i="2" s="1"/>
  <c r="B65" i="2"/>
  <c r="C65" i="2" s="1"/>
  <c r="B121" i="2"/>
  <c r="C121" i="2" s="1"/>
  <c r="B63" i="2"/>
  <c r="C63" i="2" s="1"/>
  <c r="B119" i="2"/>
  <c r="C119" i="2" s="1"/>
  <c r="B118" i="2"/>
  <c r="C118" i="2" s="1"/>
  <c r="B60" i="2"/>
  <c r="C60" i="2" s="1"/>
  <c r="B59" i="2"/>
  <c r="C59" i="2" s="1"/>
  <c r="B58" i="2"/>
  <c r="C58" i="2" s="1"/>
  <c r="B57" i="2"/>
  <c r="C57" i="2" s="1"/>
  <c r="B101" i="2"/>
  <c r="C101" i="2" s="1"/>
  <c r="B54" i="2"/>
  <c r="C54" i="2" s="1"/>
  <c r="B98" i="2"/>
  <c r="C98" i="2" s="1"/>
  <c r="B51" i="2"/>
  <c r="C51" i="2" s="1"/>
  <c r="B96" i="2"/>
  <c r="C96" i="2" s="1"/>
  <c r="Q16" i="2"/>
  <c r="Q15" i="2"/>
  <c r="B91" i="2"/>
  <c r="C91" i="2" s="1"/>
  <c r="Q13" i="2"/>
  <c r="B90" i="2"/>
  <c r="C90" i="2" s="1"/>
  <c r="Q12" i="2"/>
  <c r="B89" i="2"/>
  <c r="C89" i="2" s="1"/>
  <c r="B88" i="2"/>
  <c r="C88" i="2" s="1"/>
  <c r="B133" i="2"/>
  <c r="C133" i="2" s="1"/>
  <c r="B87" i="2"/>
  <c r="C87" i="2" s="1"/>
  <c r="B132" i="2"/>
  <c r="C132" i="2" s="1"/>
  <c r="B83" i="2"/>
  <c r="C83" i="2" s="1"/>
  <c r="B131" i="2"/>
  <c r="C131" i="2" s="1"/>
  <c r="B82" i="2"/>
  <c r="C82" i="2" s="1"/>
  <c r="B130" i="2"/>
  <c r="C130" i="2" s="1"/>
  <c r="B81" i="2"/>
  <c r="C81" i="2" s="1"/>
  <c r="B126" i="2"/>
  <c r="C126" i="2" s="1"/>
  <c r="B69" i="2"/>
  <c r="C69" i="2" s="1"/>
  <c r="B125" i="2"/>
  <c r="C125" i="2" s="1"/>
  <c r="B68" i="2"/>
  <c r="C68" i="2" s="1"/>
  <c r="B124" i="2"/>
  <c r="C124" i="2" s="1"/>
  <c r="B67" i="2"/>
  <c r="C67" i="2" s="1"/>
  <c r="B115" i="2"/>
  <c r="C115" i="2" s="1"/>
  <c r="B114" i="2"/>
  <c r="C114" i="2" s="1"/>
  <c r="B113" i="2"/>
  <c r="C113" i="2" s="1"/>
  <c r="B55" i="2"/>
  <c r="C55" i="2" s="1"/>
  <c r="B53" i="2"/>
  <c r="C53" i="2" s="1"/>
  <c r="B49" i="2"/>
  <c r="C49" i="2" s="1"/>
  <c r="B94" i="2"/>
  <c r="C94" i="2" s="1"/>
  <c r="B92" i="2"/>
  <c r="C92" i="2" s="1"/>
  <c r="B108" i="2"/>
  <c r="C108" i="2" s="1"/>
  <c r="B76" i="2"/>
  <c r="C76" i="2" s="1"/>
  <c r="B44" i="2"/>
  <c r="C44" i="2" s="1"/>
  <c r="B139" i="2"/>
  <c r="C139" i="2" s="1"/>
  <c r="B107" i="2"/>
  <c r="C107" i="2" s="1"/>
  <c r="B75" i="2"/>
  <c r="C75" i="2" s="1"/>
  <c r="B43" i="2"/>
  <c r="C43" i="2" s="1"/>
  <c r="B138" i="2"/>
  <c r="C138" i="2" s="1"/>
  <c r="B106" i="2"/>
  <c r="C106" i="2" s="1"/>
  <c r="B74" i="2"/>
  <c r="C74" i="2" s="1"/>
  <c r="B42" i="2"/>
  <c r="C42" i="2" s="1"/>
  <c r="B137" i="2"/>
  <c r="C137" i="2" s="1"/>
  <c r="B105" i="2"/>
  <c r="C105" i="2" s="1"/>
  <c r="B73" i="2"/>
  <c r="C73" i="2" s="1"/>
  <c r="B41" i="2"/>
  <c r="C41" i="2" s="1"/>
  <c r="B136" i="2"/>
  <c r="C136" i="2" s="1"/>
  <c r="B104" i="2"/>
  <c r="C104" i="2" s="1"/>
  <c r="B72" i="2"/>
  <c r="C72" i="2" s="1"/>
  <c r="B84" i="2"/>
  <c r="C84" i="2" s="1"/>
  <c r="Q19" i="2"/>
  <c r="B112" i="2"/>
  <c r="C112" i="2" s="1"/>
  <c r="B135" i="2"/>
  <c r="C135" i="2" s="1"/>
  <c r="B80" i="2"/>
  <c r="C80" i="2" s="1"/>
  <c r="B103" i="2"/>
  <c r="C103" i="2" s="1"/>
  <c r="B48" i="2"/>
  <c r="C48" i="2" s="1"/>
  <c r="B71" i="2"/>
  <c r="C71" i="2" s="1"/>
  <c r="B111" i="2"/>
  <c r="C111" i="2" s="1"/>
  <c r="Q18" i="2"/>
  <c r="B79" i="2"/>
  <c r="C79" i="2" s="1"/>
  <c r="B134" i="2"/>
  <c r="C134" i="2" s="1"/>
  <c r="B47" i="2"/>
  <c r="C47" i="2" s="1"/>
  <c r="B102" i="2"/>
  <c r="C102" i="2" s="1"/>
  <c r="B110" i="2"/>
  <c r="C110" i="2" s="1"/>
  <c r="B70" i="2"/>
  <c r="C70" i="2" s="1"/>
  <c r="B78" i="2"/>
  <c r="C78" i="2" s="1"/>
  <c r="Q17" i="2"/>
  <c r="B46" i="2"/>
  <c r="C46" i="2" s="1"/>
  <c r="B85" i="2"/>
  <c r="C85" i="2" s="1"/>
  <c r="B109" i="2"/>
  <c r="C109" i="2" s="1"/>
  <c r="B128" i="2"/>
  <c r="C128" i="2" s="1"/>
  <c r="B77" i="2"/>
  <c r="C77" i="2" s="1"/>
  <c r="Q11" i="2"/>
  <c r="B45" i="2"/>
  <c r="C45" i="2" s="1"/>
  <c r="B86" i="2"/>
  <c r="C86" i="2" s="1"/>
  <c r="B140" i="2"/>
  <c r="C140" i="2" s="1"/>
  <c r="B129" i="2"/>
  <c r="C129" i="2" s="1"/>
  <c r="O6" i="3" l="1"/>
  <c r="N11" i="3" s="1"/>
  <c r="N12" i="3" l="1"/>
  <c r="N13" i="3"/>
  <c r="N14" i="3"/>
  <c r="N16" i="3"/>
  <c r="N15" i="3"/>
  <c r="N17" i="3"/>
  <c r="P4" i="3"/>
  <c r="P5" i="3" s="1"/>
  <c r="O9" i="3" s="1"/>
  <c r="O13" i="3" l="1"/>
  <c r="P13" i="3" s="1"/>
  <c r="R13" i="3" s="1"/>
  <c r="O17" i="3"/>
  <c r="P17" i="3" s="1"/>
  <c r="O15" i="3"/>
  <c r="P15" i="3" s="1"/>
  <c r="R15" i="3" s="1"/>
  <c r="O16" i="3"/>
  <c r="P16" i="3" s="1"/>
  <c r="R16" i="3" s="1"/>
  <c r="O14" i="3"/>
  <c r="P14" i="3" s="1"/>
  <c r="R14" i="3" s="1"/>
  <c r="O12" i="3"/>
  <c r="P12" i="3" s="1"/>
  <c r="R12" i="3" s="1"/>
  <c r="S11" i="3"/>
  <c r="O11" i="3"/>
  <c r="P11" i="3" s="1"/>
  <c r="Q11" i="3" l="1"/>
  <c r="R11" i="3"/>
</calcChain>
</file>

<file path=xl/sharedStrings.xml><?xml version="1.0" encoding="utf-8"?>
<sst xmlns="http://schemas.openxmlformats.org/spreadsheetml/2006/main" count="62" uniqueCount="53">
  <si>
    <t>PSI</t>
  </si>
  <si>
    <t>Vol (ml)</t>
  </si>
  <si>
    <t>Time (s)</t>
  </si>
  <si>
    <t>Freq(Hz)</t>
  </si>
  <si>
    <t>Rate (ml/min)</t>
  </si>
  <si>
    <t>Calc ml/min</t>
  </si>
  <si>
    <t>Pulses</t>
  </si>
  <si>
    <t>ml/pulse</t>
  </si>
  <si>
    <t>Pressure on the pot</t>
  </si>
  <si>
    <t>Volume collected</t>
  </si>
  <si>
    <t>Freq from DMM</t>
  </si>
  <si>
    <t>Flow Meter</t>
  </si>
  <si>
    <t>Flow meter</t>
  </si>
  <si>
    <t>Freq * time</t>
  </si>
  <si>
    <t>Vol/pulses</t>
  </si>
  <si>
    <t>gindx</t>
  </si>
  <si>
    <t>index</t>
  </si>
  <si>
    <t>lastime</t>
  </si>
  <si>
    <t>thistime</t>
  </si>
  <si>
    <t>Time</t>
  </si>
  <si>
    <t>Hz</t>
  </si>
  <si>
    <t>Vol</t>
  </si>
  <si>
    <t>FIDO</t>
  </si>
  <si>
    <t>BW(ml)</t>
  </si>
  <si>
    <t>l/m</t>
  </si>
  <si>
    <t>m</t>
  </si>
  <si>
    <t>b</t>
  </si>
  <si>
    <t>FIDO/2</t>
  </si>
  <si>
    <t>1/FIDO (l/p)</t>
  </si>
  <si>
    <t>(l/p)</t>
  </si>
  <si>
    <t>FIDO cnt</t>
  </si>
  <si>
    <t>Fido pace</t>
  </si>
  <si>
    <t>l/min</t>
  </si>
  <si>
    <t>l/p</t>
  </si>
  <si>
    <t>slope</t>
  </si>
  <si>
    <t>inter</t>
  </si>
  <si>
    <t>slope/60</t>
  </si>
  <si>
    <t>inter/60</t>
  </si>
  <si>
    <t>1000=freq of counts</t>
  </si>
  <si>
    <t>cnt freq</t>
  </si>
  <si>
    <t>cnt/pul</t>
  </si>
  <si>
    <t>cnts</t>
  </si>
  <si>
    <t>vol(nl)</t>
  </si>
  <si>
    <t>l/sec</t>
  </si>
  <si>
    <t>vol/cnt</t>
  </si>
  <si>
    <t>vol/pul</t>
  </si>
  <si>
    <t>factor</t>
  </si>
  <si>
    <t>main clk</t>
  </si>
  <si>
    <t>psc</t>
  </si>
  <si>
    <t>What Gain you want</t>
  </si>
  <si>
    <t>What offset you want</t>
  </si>
  <si>
    <t>Volume per Count</t>
  </si>
  <si>
    <t>Volume per Count 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</si>
</sst>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E+00"/>
  </numFmts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9">
    <xf numFmtId="0" fontId="0" fillId="0" borderId="0" xfId="0"/>
    <xf numFmtId="0" fontId="0" fillId="0" borderId="0" xfId="0" applyAlignment="1">
      <alignment textRotation="90"/>
    </xf>
    <xf numFmtId="11" fontId="0" fillId="0" borderId="0" xfId="0" applyNumberFormat="1"/>
    <xf numFmtId="0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2" borderId="1" xfId="1"/>
    <xf numFmtId="0" fontId="2" fillId="3" borderId="2" xfId="2"/>
    <xf numFmtId="0" fontId="0" fillId="0" borderId="0" xfId="0" applyAlignment="1">
      <alignment horizontal="center"/>
    </xf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Sheet2!$E$10</c:f>
              <c:strCache>
                <c:ptCount val="1"/>
                <c:pt idx="0">
                  <c:v>FIDO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Sheet2!$C$11:$C$18</c:f>
              <c:numCache>
                <c:formatCode>General</c:formatCode>
                <c:ptCount val="8"/>
                <c:pt idx="0">
                  <c:v>13</c:v>
                </c:pt>
                <c:pt idx="1">
                  <c:v>53</c:v>
                </c:pt>
                <c:pt idx="2">
                  <c:v>80</c:v>
                </c:pt>
                <c:pt idx="3">
                  <c:v>101</c:v>
                </c:pt>
                <c:pt idx="4">
                  <c:v>132</c:v>
                </c:pt>
                <c:pt idx="5">
                  <c:v>155</c:v>
                </c:pt>
                <c:pt idx="6">
                  <c:v>185</c:v>
                </c:pt>
                <c:pt idx="7">
                  <c:v>202</c:v>
                </c:pt>
              </c:numCache>
            </c:numRef>
          </c:xVal>
          <c:yVal>
            <c:numRef>
              <c:f>Sheet2!$E$11:$E$18</c:f>
              <c:numCache>
                <c:formatCode>General</c:formatCode>
                <c:ptCount val="8"/>
                <c:pt idx="0">
                  <c:v>47491</c:v>
                </c:pt>
                <c:pt idx="1">
                  <c:v>70898</c:v>
                </c:pt>
                <c:pt idx="2">
                  <c:v>76370</c:v>
                </c:pt>
                <c:pt idx="3">
                  <c:v>79636</c:v>
                </c:pt>
                <c:pt idx="4">
                  <c:v>82334</c:v>
                </c:pt>
                <c:pt idx="5">
                  <c:v>83651</c:v>
                </c:pt>
                <c:pt idx="6">
                  <c:v>86006</c:v>
                </c:pt>
                <c:pt idx="7">
                  <c:v>86793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8D-400C-AA75-ACDA219D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057664"/>
        <c:axId val="219055168"/>
      </c:scatterChart>
      <c:scatterChart>
        <c:scatterStyle val="smoothMarker"/>
        <c:varyColors val="0"/>
        <c:ser>
          <c:idx val="2"/>
          <c:order val="1"/>
          <c:tx>
            <c:strRef>
              <c:f>Sheet2!$F$10</c:f>
              <c:strCache>
                <c:ptCount val="1"/>
                <c:pt idx="0">
                  <c:v>BW(ml)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Sheet2!$C$11:$C$18</c:f>
              <c:numCache>
                <c:formatCode>General</c:formatCode>
                <c:ptCount val="8"/>
                <c:pt idx="0">
                  <c:v>13</c:v>
                </c:pt>
                <c:pt idx="1">
                  <c:v>53</c:v>
                </c:pt>
                <c:pt idx="2">
                  <c:v>80</c:v>
                </c:pt>
                <c:pt idx="3">
                  <c:v>101</c:v>
                </c:pt>
                <c:pt idx="4">
                  <c:v>132</c:v>
                </c:pt>
                <c:pt idx="5">
                  <c:v>155</c:v>
                </c:pt>
                <c:pt idx="6">
                  <c:v>185</c:v>
                </c:pt>
                <c:pt idx="7">
                  <c:v>202</c:v>
                </c:pt>
              </c:numCache>
            </c:numRef>
          </c:xVal>
          <c:yVal>
            <c:numRef>
              <c:f>Sheet2!$F$11:$F$18</c:f>
              <c:numCache>
                <c:formatCode>General</c:formatCode>
                <c:ptCount val="8"/>
                <c:pt idx="0">
                  <c:v>1375</c:v>
                </c:pt>
                <c:pt idx="1">
                  <c:v>1083.7</c:v>
                </c:pt>
                <c:pt idx="2">
                  <c:v>1036</c:v>
                </c:pt>
                <c:pt idx="3">
                  <c:v>1023.7</c:v>
                </c:pt>
                <c:pt idx="4">
                  <c:v>1006.9</c:v>
                </c:pt>
                <c:pt idx="5">
                  <c:v>1002.7</c:v>
                </c:pt>
                <c:pt idx="6">
                  <c:v>1008.6</c:v>
                </c:pt>
                <c:pt idx="7">
                  <c:v>1001.6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08D-400C-AA75-ACDA219D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783056"/>
        <c:axId val="224783472"/>
      </c:scatterChart>
      <c:valAx>
        <c:axId val="21905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55168"/>
        <c:crosses val="autoZero"/>
        <c:crossBetween val="midCat"/>
      </c:valAx>
      <c:valAx>
        <c:axId val="21905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57664"/>
        <c:crosses val="autoZero"/>
        <c:crossBetween val="midCat"/>
      </c:valAx>
      <c:valAx>
        <c:axId val="224783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783056"/>
        <c:crosses val="max"/>
        <c:crossBetween val="midCat"/>
      </c:valAx>
      <c:valAx>
        <c:axId val="224783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78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3"/>
          <c:order val="0"/>
          <c:tx>
            <c:strRef>
              <c:f>Sheet2!$G$10</c:f>
              <c:strCache>
                <c:ptCount val="1"/>
                <c:pt idx="0">
                  <c:v>l/m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Sheet2!$C$11:$C$18</c:f>
              <c:numCache>
                <c:formatCode>General</c:formatCode>
                <c:ptCount val="8"/>
                <c:pt idx="0">
                  <c:v>13</c:v>
                </c:pt>
                <c:pt idx="1">
                  <c:v>53</c:v>
                </c:pt>
                <c:pt idx="2">
                  <c:v>80</c:v>
                </c:pt>
                <c:pt idx="3">
                  <c:v>101</c:v>
                </c:pt>
                <c:pt idx="4">
                  <c:v>132</c:v>
                </c:pt>
                <c:pt idx="5">
                  <c:v>155</c:v>
                </c:pt>
                <c:pt idx="6">
                  <c:v>185</c:v>
                </c:pt>
                <c:pt idx="7">
                  <c:v>202</c:v>
                </c:pt>
              </c:numCache>
            </c:numRef>
          </c:xVal>
          <c:yVal>
            <c:numRef>
              <c:f>Sheet2!$G$11:$G$18</c:f>
              <c:numCache>
                <c:formatCode>General</c:formatCode>
                <c:ptCount val="8"/>
                <c:pt idx="0">
                  <c:v>3.430531732418525E-2</c:v>
                </c:pt>
                <c:pt idx="1">
                  <c:v>9.0090090090090086E-2</c:v>
                </c:pt>
                <c:pt idx="2">
                  <c:v>0.12658227848101264</c:v>
                </c:pt>
                <c:pt idx="3">
                  <c:v>0.15345268542199489</c:v>
                </c:pt>
                <c:pt idx="4">
                  <c:v>0.1941747572815534</c:v>
                </c:pt>
                <c:pt idx="5">
                  <c:v>0.22556390977443608</c:v>
                </c:pt>
                <c:pt idx="6">
                  <c:v>0.2608695652173913</c:v>
                </c:pt>
                <c:pt idx="7">
                  <c:v>0.28169014084507044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77-47F7-B314-913452E84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201520"/>
        <c:axId val="356214832"/>
      </c:scatterChart>
      <c:valAx>
        <c:axId val="356201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214832"/>
        <c:crosses val="autoZero"/>
        <c:crossBetween val="midCat"/>
      </c:valAx>
      <c:valAx>
        <c:axId val="3562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20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Sheet3!$G$10</c:f>
              <c:strCache>
                <c:ptCount val="1"/>
                <c:pt idx="0">
                  <c:v>l/min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Sheet3!$C$11:$C$16</c:f>
              <c:numCache>
                <c:formatCode>General</c:formatCode>
                <c:ptCount val="6"/>
                <c:pt idx="0">
                  <c:v>201</c:v>
                </c:pt>
                <c:pt idx="1">
                  <c:v>156</c:v>
                </c:pt>
                <c:pt idx="2">
                  <c:v>98</c:v>
                </c:pt>
                <c:pt idx="3">
                  <c:v>56</c:v>
                </c:pt>
                <c:pt idx="4">
                  <c:v>49.5</c:v>
                </c:pt>
                <c:pt idx="5">
                  <c:v>42</c:v>
                </c:pt>
              </c:numCache>
            </c:numRef>
          </c:xVal>
          <c:yVal>
            <c:numRef>
              <c:f>Sheet3!$G$11:$G$16</c:f>
              <c:numCache>
                <c:formatCode>General</c:formatCode>
                <c:ptCount val="6"/>
                <c:pt idx="0">
                  <c:v>0.28436018957345971</c:v>
                </c:pt>
                <c:pt idx="1">
                  <c:v>0.22900763358778628</c:v>
                </c:pt>
                <c:pt idx="2">
                  <c:v>0.15247776365946633</c:v>
                </c:pt>
                <c:pt idx="3">
                  <c:v>9.1254752851711016E-2</c:v>
                </c:pt>
                <c:pt idx="4">
                  <c:v>8.645533141210375E-2</c:v>
                </c:pt>
                <c:pt idx="5">
                  <c:v>7.434944237918216E-2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057-44B9-BDC3-946DF253A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4493343"/>
        <c:axId val="574497087"/>
      </c:scatterChart>
      <c:valAx>
        <c:axId val="574493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497087"/>
        <c:crosses val="autoZero"/>
        <c:crossBetween val="midCat"/>
      </c:valAx>
      <c:valAx>
        <c:axId val="5744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4933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Sheet3!$N$10</c:f>
              <c:strCache>
                <c:ptCount val="1"/>
                <c:pt idx="0">
                  <c:v>cnt/pul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Sheet3!$G$11:$G$16</c:f>
              <c:numCache>
                <c:formatCode>General</c:formatCode>
                <c:ptCount val="6"/>
                <c:pt idx="0">
                  <c:v>0.28436018957345971</c:v>
                </c:pt>
                <c:pt idx="1">
                  <c:v>0.22900763358778628</c:v>
                </c:pt>
                <c:pt idx="2">
                  <c:v>0.15247776365946633</c:v>
                </c:pt>
                <c:pt idx="3">
                  <c:v>9.1254752851711016E-2</c:v>
                </c:pt>
                <c:pt idx="4">
                  <c:v>8.645533141210375E-2</c:v>
                </c:pt>
                <c:pt idx="5">
                  <c:v>7.434944237918216E-2</c:v>
                </c:pt>
              </c:numCache>
            </c:numRef>
          </c:xVal>
          <c:yVal>
            <c:numRef>
              <c:f>Sheet3!$N$11:$N$16</c:f>
              <c:numCache>
                <c:formatCode>General</c:formatCode>
                <c:ptCount val="6"/>
                <c:pt idx="0">
                  <c:v>73.06467661691542</c:v>
                </c:pt>
                <c:pt idx="1">
                  <c:v>94.141025641025635</c:v>
                </c:pt>
                <c:pt idx="2">
                  <c:v>149.85714285714283</c:v>
                </c:pt>
                <c:pt idx="3">
                  <c:v>262.25</c:v>
                </c:pt>
                <c:pt idx="4">
                  <c:v>296.68686868686871</c:v>
                </c:pt>
                <c:pt idx="5">
                  <c:v>349.66666666666663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97B-42C8-B8D3-6D8FCD616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4958927"/>
        <c:axId val="594958095"/>
      </c:scatterChart>
      <c:valAx>
        <c:axId val="5949589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958095"/>
        <c:crosses val="autoZero"/>
        <c:crossBetween val="midCat"/>
      </c:valAx>
      <c:valAx>
        <c:axId val="594958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9589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22</xdr:row>
      <xdr:rowOff>23812</xdr:rowOff>
    </xdr:from>
    <xdr:to>
      <xdr:col>7</xdr:col>
      <xdr:colOff>447675</xdr:colOff>
      <xdr:row>36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234EEB-BF47-4DA5-999D-D0404A9DEE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528637</xdr:colOff>
      <xdr:row>21</xdr:row>
      <xdr:rowOff>185737</xdr:rowOff>
    </xdr:from>
    <xdr:to>
      <xdr:col>15</xdr:col>
      <xdr:colOff>452437</xdr:colOff>
      <xdr:row>36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7F3610-0FC6-4C82-A409-DB42138B47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442912</xdr:colOff>
      <xdr:row>18</xdr:row>
      <xdr:rowOff>66675</xdr:rowOff>
    </xdr:from>
    <xdr:to>
      <xdr:col>7</xdr:col>
      <xdr:colOff>747712</xdr:colOff>
      <xdr:row>32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CEBCD3-66A8-4E9C-B57F-7919602CEF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338137</xdr:colOff>
      <xdr:row>18</xdr:row>
      <xdr:rowOff>76200</xdr:rowOff>
    </xdr:from>
    <xdr:to>
      <xdr:col>14</xdr:col>
      <xdr:colOff>242887</xdr:colOff>
      <xdr:row>32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2D04EA-06FB-4BC8-898F-E5E371E6ED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AE35-2F9B-472C-8827-1E3A35166675}">
  <dimension ref="A9:L60"/>
  <sheetViews>
    <sheetView workbookViewId="0">
      <selection activeCell="D41" sqref="D41"/>
    </sheetView>
  </sheetViews>
  <sheetFormatPr defaultRowHeight="15" x14ac:dyDescent="0.25"/>
  <cols>
    <col min="8" max="8" width="13.7109375" customWidth="1"/>
    <col min="9" max="9" width="12.5703125" customWidth="1"/>
  </cols>
  <sheetData>
    <row r="9" spans="1:12" ht="97.5" x14ac:dyDescent="0.25">
      <c r="A9" s="1" t="s">
        <v>8</v>
      </c>
      <c r="B9" s="1" t="s">
        <v>9</v>
      </c>
      <c r="C9" s="1"/>
      <c r="D9" s="1"/>
      <c r="E9" s="1"/>
      <c r="F9" s="1" t="s">
        <v>10</v>
      </c>
      <c r="G9" s="1" t="s">
        <v>11</v>
      </c>
      <c r="H9" s="1" t="s">
        <v>12</v>
      </c>
      <c r="J9" s="1" t="s">
        <v>13</v>
      </c>
      <c r="K9" s="1" t="s">
        <v>14</v>
      </c>
    </row>
    <row r="10" spans="1:12" x14ac:dyDescent="0.25">
      <c r="A10" t="s">
        <v>0</v>
      </c>
      <c r="B10" t="s">
        <v>1</v>
      </c>
      <c r="E10" t="s">
        <v>2</v>
      </c>
      <c r="F10" t="s">
        <v>3</v>
      </c>
      <c r="G10" t="s">
        <v>1</v>
      </c>
      <c r="H10" t="s">
        <v>4</v>
      </c>
      <c r="I10" t="s">
        <v>5</v>
      </c>
      <c r="J10" t="s">
        <v>6</v>
      </c>
      <c r="K10" t="s">
        <v>7</v>
      </c>
    </row>
    <row r="11" spans="1:12" x14ac:dyDescent="0.25">
      <c r="A11">
        <v>18</v>
      </c>
      <c r="B11">
        <v>275</v>
      </c>
      <c r="E11">
        <v>57</v>
      </c>
      <c r="F11">
        <v>201</v>
      </c>
      <c r="G11">
        <v>273</v>
      </c>
      <c r="H11">
        <v>283</v>
      </c>
      <c r="I11">
        <f>B11/E11*60</f>
        <v>289.47368421052636</v>
      </c>
      <c r="J11">
        <f>F11*E11</f>
        <v>11457</v>
      </c>
      <c r="K11">
        <f>B11/J11</f>
        <v>2.4002793052282447E-2</v>
      </c>
      <c r="L11">
        <f>1/K11*1000</f>
        <v>41661.818181818184</v>
      </c>
    </row>
    <row r="12" spans="1:12" x14ac:dyDescent="0.25">
      <c r="A12">
        <v>18</v>
      </c>
      <c r="B12">
        <v>600</v>
      </c>
      <c r="E12">
        <v>130</v>
      </c>
      <c r="F12">
        <v>200</v>
      </c>
      <c r="G12">
        <v>605</v>
      </c>
      <c r="H12">
        <v>282</v>
      </c>
      <c r="I12">
        <f t="shared" ref="I12:I19" si="0">B12/E12*60</f>
        <v>276.92307692307691</v>
      </c>
      <c r="J12">
        <f t="shared" ref="J12:J19" si="1">F12*E12</f>
        <v>26000</v>
      </c>
      <c r="K12">
        <f t="shared" ref="K12:K19" si="2">B12/J12</f>
        <v>2.3076923076923078E-2</v>
      </c>
      <c r="L12">
        <f t="shared" ref="L12:L19" si="3">1/K12*1000</f>
        <v>43333.333333333328</v>
      </c>
    </row>
    <row r="13" spans="1:12" x14ac:dyDescent="0.25">
      <c r="A13">
        <v>15</v>
      </c>
      <c r="B13">
        <v>500</v>
      </c>
      <c r="E13">
        <v>115</v>
      </c>
      <c r="F13">
        <v>185.5</v>
      </c>
      <c r="G13">
        <v>503</v>
      </c>
      <c r="H13">
        <v>264</v>
      </c>
      <c r="I13">
        <f t="shared" si="0"/>
        <v>260.86956521739131</v>
      </c>
      <c r="J13">
        <f t="shared" si="1"/>
        <v>21332.5</v>
      </c>
      <c r="K13">
        <f t="shared" si="2"/>
        <v>2.3438415563107932E-2</v>
      </c>
      <c r="L13">
        <f t="shared" si="3"/>
        <v>42665</v>
      </c>
    </row>
    <row r="14" spans="1:12" x14ac:dyDescent="0.25">
      <c r="A14">
        <v>12</v>
      </c>
      <c r="B14">
        <v>505</v>
      </c>
      <c r="E14">
        <v>128</v>
      </c>
      <c r="F14">
        <v>164</v>
      </c>
      <c r="G14">
        <v>507</v>
      </c>
      <c r="H14">
        <v>236</v>
      </c>
      <c r="I14">
        <f t="shared" si="0"/>
        <v>236.71875</v>
      </c>
      <c r="J14">
        <f t="shared" si="1"/>
        <v>20992</v>
      </c>
      <c r="K14">
        <f t="shared" si="2"/>
        <v>2.4056783536585365E-2</v>
      </c>
      <c r="L14">
        <f t="shared" si="3"/>
        <v>41568.316831683172</v>
      </c>
    </row>
    <row r="15" spans="1:12" x14ac:dyDescent="0.25">
      <c r="A15">
        <v>9</v>
      </c>
      <c r="B15">
        <v>400</v>
      </c>
      <c r="E15">
        <v>123</v>
      </c>
      <c r="F15">
        <v>134</v>
      </c>
      <c r="G15">
        <v>403</v>
      </c>
      <c r="H15">
        <v>197</v>
      </c>
      <c r="I15">
        <f t="shared" si="0"/>
        <v>195.1219512195122</v>
      </c>
      <c r="J15">
        <f t="shared" si="1"/>
        <v>16482</v>
      </c>
      <c r="K15">
        <f t="shared" si="2"/>
        <v>2.4268899405411964E-2</v>
      </c>
      <c r="L15">
        <f t="shared" si="3"/>
        <v>41205</v>
      </c>
    </row>
    <row r="16" spans="1:12" x14ac:dyDescent="0.25">
      <c r="A16">
        <v>6</v>
      </c>
      <c r="B16">
        <v>300</v>
      </c>
      <c r="E16">
        <v>112</v>
      </c>
      <c r="F16">
        <v>105.7</v>
      </c>
      <c r="G16">
        <v>305</v>
      </c>
      <c r="H16">
        <v>163</v>
      </c>
      <c r="I16">
        <f t="shared" si="0"/>
        <v>160.71428571428569</v>
      </c>
      <c r="J16">
        <f t="shared" si="1"/>
        <v>11838.4</v>
      </c>
      <c r="K16">
        <f t="shared" si="2"/>
        <v>2.534126233274767E-2</v>
      </c>
      <c r="L16">
        <f t="shared" si="3"/>
        <v>39461.333333333328</v>
      </c>
    </row>
    <row r="17" spans="1:12" x14ac:dyDescent="0.25">
      <c r="A17">
        <v>3.5</v>
      </c>
      <c r="B17">
        <v>300</v>
      </c>
      <c r="E17">
        <v>152</v>
      </c>
      <c r="F17">
        <v>74</v>
      </c>
      <c r="G17">
        <v>313</v>
      </c>
      <c r="H17">
        <v>123</v>
      </c>
      <c r="I17">
        <f t="shared" si="0"/>
        <v>118.42105263157895</v>
      </c>
      <c r="J17">
        <f t="shared" si="1"/>
        <v>11248</v>
      </c>
      <c r="K17">
        <f t="shared" si="2"/>
        <v>2.6671408250355619E-2</v>
      </c>
      <c r="L17">
        <f t="shared" si="3"/>
        <v>37493.333333333336</v>
      </c>
    </row>
    <row r="18" spans="1:12" x14ac:dyDescent="0.25">
      <c r="A18">
        <v>2</v>
      </c>
      <c r="B18">
        <v>200</v>
      </c>
      <c r="E18">
        <v>127</v>
      </c>
      <c r="F18">
        <v>55.7</v>
      </c>
      <c r="G18">
        <v>213</v>
      </c>
      <c r="H18">
        <v>98</v>
      </c>
      <c r="I18">
        <f t="shared" si="0"/>
        <v>94.488188976377955</v>
      </c>
      <c r="J18">
        <f t="shared" si="1"/>
        <v>7073.9000000000005</v>
      </c>
      <c r="K18">
        <f t="shared" si="2"/>
        <v>2.8272947030633735E-2</v>
      </c>
      <c r="L18">
        <f t="shared" si="3"/>
        <v>35369.5</v>
      </c>
    </row>
    <row r="19" spans="1:12" x14ac:dyDescent="0.25">
      <c r="A19">
        <v>1.2</v>
      </c>
      <c r="B19">
        <v>200</v>
      </c>
      <c r="E19">
        <v>189</v>
      </c>
      <c r="F19">
        <v>34</v>
      </c>
      <c r="G19">
        <v>230</v>
      </c>
      <c r="H19">
        <v>74</v>
      </c>
      <c r="I19">
        <f t="shared" si="0"/>
        <v>63.492063492063487</v>
      </c>
      <c r="J19">
        <f t="shared" si="1"/>
        <v>6426</v>
      </c>
      <c r="K19">
        <f t="shared" si="2"/>
        <v>3.1123560535325241E-2</v>
      </c>
      <c r="L19">
        <f t="shared" si="3"/>
        <v>32130.000000000004</v>
      </c>
    </row>
    <row r="21" spans="1:12" x14ac:dyDescent="0.25">
      <c r="K21">
        <f>AVERAGE(K11:K19)</f>
        <v>2.5583665864819232E-2</v>
      </c>
    </row>
    <row r="28" spans="1:12" x14ac:dyDescent="0.25">
      <c r="A28">
        <v>0</v>
      </c>
      <c r="B28">
        <v>1000</v>
      </c>
      <c r="C28" t="s">
        <v>15</v>
      </c>
      <c r="D28" t="s">
        <v>17</v>
      </c>
      <c r="E28">
        <f>E60+5</f>
        <v>10100</v>
      </c>
    </row>
    <row r="29" spans="1:12" x14ac:dyDescent="0.25">
      <c r="A29">
        <v>1</v>
      </c>
      <c r="B29">
        <f>B28+5</f>
        <v>1005</v>
      </c>
      <c r="C29" t="s">
        <v>16</v>
      </c>
      <c r="D29" t="s">
        <v>18</v>
      </c>
      <c r="E29">
        <f>E28+5</f>
        <v>10105</v>
      </c>
    </row>
    <row r="30" spans="1:12" x14ac:dyDescent="0.25">
      <c r="A30">
        <v>2</v>
      </c>
      <c r="B30">
        <f t="shared" ref="B30:B60" si="4">B29+5</f>
        <v>1010</v>
      </c>
      <c r="E30">
        <f t="shared" ref="E30:E40" si="5">E29+5</f>
        <v>10110</v>
      </c>
    </row>
    <row r="31" spans="1:12" x14ac:dyDescent="0.25">
      <c r="A31">
        <v>3</v>
      </c>
      <c r="B31">
        <f t="shared" si="4"/>
        <v>1015</v>
      </c>
      <c r="E31">
        <f t="shared" si="5"/>
        <v>10115</v>
      </c>
    </row>
    <row r="32" spans="1:12" x14ac:dyDescent="0.25">
      <c r="A32">
        <v>4</v>
      </c>
      <c r="B32">
        <f t="shared" si="4"/>
        <v>1020</v>
      </c>
      <c r="E32">
        <f t="shared" si="5"/>
        <v>10120</v>
      </c>
    </row>
    <row r="33" spans="1:5" x14ac:dyDescent="0.25">
      <c r="A33">
        <v>5</v>
      </c>
      <c r="B33">
        <f t="shared" si="4"/>
        <v>1025</v>
      </c>
      <c r="E33">
        <f t="shared" si="5"/>
        <v>10125</v>
      </c>
    </row>
    <row r="34" spans="1:5" x14ac:dyDescent="0.25">
      <c r="A34">
        <v>6</v>
      </c>
      <c r="B34">
        <f t="shared" si="4"/>
        <v>1030</v>
      </c>
      <c r="E34">
        <f t="shared" si="5"/>
        <v>10130</v>
      </c>
    </row>
    <row r="35" spans="1:5" x14ac:dyDescent="0.25">
      <c r="A35">
        <v>7</v>
      </c>
      <c r="B35">
        <f t="shared" si="4"/>
        <v>1035</v>
      </c>
      <c r="E35">
        <f t="shared" si="5"/>
        <v>10135</v>
      </c>
    </row>
    <row r="36" spans="1:5" x14ac:dyDescent="0.25">
      <c r="A36">
        <v>8</v>
      </c>
      <c r="B36">
        <f t="shared" si="4"/>
        <v>1040</v>
      </c>
      <c r="E36">
        <f t="shared" si="5"/>
        <v>10140</v>
      </c>
    </row>
    <row r="37" spans="1:5" x14ac:dyDescent="0.25">
      <c r="A37">
        <v>9</v>
      </c>
      <c r="B37">
        <f t="shared" si="4"/>
        <v>1045</v>
      </c>
      <c r="E37">
        <f t="shared" si="5"/>
        <v>10145</v>
      </c>
    </row>
    <row r="38" spans="1:5" x14ac:dyDescent="0.25">
      <c r="A38">
        <v>10</v>
      </c>
      <c r="B38">
        <f t="shared" si="4"/>
        <v>1050</v>
      </c>
      <c r="E38">
        <f t="shared" si="5"/>
        <v>10150</v>
      </c>
    </row>
    <row r="39" spans="1:5" x14ac:dyDescent="0.25">
      <c r="A39">
        <v>11</v>
      </c>
      <c r="B39">
        <f t="shared" si="4"/>
        <v>1055</v>
      </c>
      <c r="E39">
        <f t="shared" si="5"/>
        <v>10155</v>
      </c>
    </row>
    <row r="40" spans="1:5" x14ac:dyDescent="0.25">
      <c r="A40">
        <v>12</v>
      </c>
      <c r="B40">
        <f t="shared" si="4"/>
        <v>1060</v>
      </c>
      <c r="E40">
        <f t="shared" si="5"/>
        <v>10160</v>
      </c>
    </row>
    <row r="41" spans="1:5" x14ac:dyDescent="0.25">
      <c r="A41">
        <v>13</v>
      </c>
      <c r="B41">
        <f t="shared" si="4"/>
        <v>1065</v>
      </c>
      <c r="E41">
        <v>10000</v>
      </c>
    </row>
    <row r="42" spans="1:5" x14ac:dyDescent="0.25">
      <c r="A42">
        <v>14</v>
      </c>
      <c r="B42">
        <f t="shared" si="4"/>
        <v>1070</v>
      </c>
      <c r="E42">
        <f>E41+5</f>
        <v>10005</v>
      </c>
    </row>
    <row r="43" spans="1:5" x14ac:dyDescent="0.25">
      <c r="A43">
        <v>15</v>
      </c>
      <c r="B43">
        <f t="shared" si="4"/>
        <v>1075</v>
      </c>
      <c r="E43">
        <f t="shared" ref="E43:E60" si="6">E42+5</f>
        <v>10010</v>
      </c>
    </row>
    <row r="44" spans="1:5" x14ac:dyDescent="0.25">
      <c r="A44">
        <v>16</v>
      </c>
      <c r="B44">
        <f t="shared" si="4"/>
        <v>1080</v>
      </c>
      <c r="E44">
        <f t="shared" si="6"/>
        <v>10015</v>
      </c>
    </row>
    <row r="45" spans="1:5" x14ac:dyDescent="0.25">
      <c r="A45">
        <v>17</v>
      </c>
      <c r="B45">
        <f t="shared" si="4"/>
        <v>1085</v>
      </c>
      <c r="E45">
        <f t="shared" si="6"/>
        <v>10020</v>
      </c>
    </row>
    <row r="46" spans="1:5" x14ac:dyDescent="0.25">
      <c r="A46">
        <v>18</v>
      </c>
      <c r="B46">
        <f t="shared" si="4"/>
        <v>1090</v>
      </c>
      <c r="E46">
        <f t="shared" si="6"/>
        <v>10025</v>
      </c>
    </row>
    <row r="47" spans="1:5" x14ac:dyDescent="0.25">
      <c r="A47">
        <v>19</v>
      </c>
      <c r="B47">
        <f t="shared" si="4"/>
        <v>1095</v>
      </c>
      <c r="E47">
        <f t="shared" si="6"/>
        <v>10030</v>
      </c>
    </row>
    <row r="48" spans="1:5" x14ac:dyDescent="0.25">
      <c r="A48">
        <v>20</v>
      </c>
      <c r="B48">
        <f t="shared" si="4"/>
        <v>1100</v>
      </c>
      <c r="E48">
        <f t="shared" si="6"/>
        <v>10035</v>
      </c>
    </row>
    <row r="49" spans="1:5" x14ac:dyDescent="0.25">
      <c r="A49">
        <v>21</v>
      </c>
      <c r="B49">
        <f t="shared" si="4"/>
        <v>1105</v>
      </c>
      <c r="E49">
        <f t="shared" si="6"/>
        <v>10040</v>
      </c>
    </row>
    <row r="50" spans="1:5" x14ac:dyDescent="0.25">
      <c r="A50">
        <v>22</v>
      </c>
      <c r="B50">
        <f t="shared" si="4"/>
        <v>1110</v>
      </c>
      <c r="E50">
        <f t="shared" si="6"/>
        <v>10045</v>
      </c>
    </row>
    <row r="51" spans="1:5" x14ac:dyDescent="0.25">
      <c r="A51">
        <v>23</v>
      </c>
      <c r="B51">
        <f t="shared" si="4"/>
        <v>1115</v>
      </c>
      <c r="E51">
        <f t="shared" si="6"/>
        <v>10050</v>
      </c>
    </row>
    <row r="52" spans="1:5" x14ac:dyDescent="0.25">
      <c r="A52">
        <v>24</v>
      </c>
      <c r="B52">
        <f t="shared" si="4"/>
        <v>1120</v>
      </c>
      <c r="E52">
        <f t="shared" si="6"/>
        <v>10055</v>
      </c>
    </row>
    <row r="53" spans="1:5" x14ac:dyDescent="0.25">
      <c r="A53">
        <v>25</v>
      </c>
      <c r="B53">
        <f t="shared" si="4"/>
        <v>1125</v>
      </c>
      <c r="E53">
        <f t="shared" si="6"/>
        <v>10060</v>
      </c>
    </row>
    <row r="54" spans="1:5" x14ac:dyDescent="0.25">
      <c r="A54">
        <v>26</v>
      </c>
      <c r="B54">
        <f t="shared" si="4"/>
        <v>1130</v>
      </c>
      <c r="E54">
        <f t="shared" si="6"/>
        <v>10065</v>
      </c>
    </row>
    <row r="55" spans="1:5" x14ac:dyDescent="0.25">
      <c r="A55">
        <v>27</v>
      </c>
      <c r="B55">
        <f t="shared" si="4"/>
        <v>1135</v>
      </c>
      <c r="E55">
        <f t="shared" si="6"/>
        <v>10070</v>
      </c>
    </row>
    <row r="56" spans="1:5" x14ac:dyDescent="0.25">
      <c r="A56">
        <v>28</v>
      </c>
      <c r="B56">
        <f t="shared" si="4"/>
        <v>1140</v>
      </c>
      <c r="E56">
        <f t="shared" si="6"/>
        <v>10075</v>
      </c>
    </row>
    <row r="57" spans="1:5" x14ac:dyDescent="0.25">
      <c r="A57">
        <v>29</v>
      </c>
      <c r="B57">
        <f t="shared" si="4"/>
        <v>1145</v>
      </c>
      <c r="E57">
        <f t="shared" si="6"/>
        <v>10080</v>
      </c>
    </row>
    <row r="58" spans="1:5" x14ac:dyDescent="0.25">
      <c r="A58">
        <v>30</v>
      </c>
      <c r="B58">
        <f t="shared" si="4"/>
        <v>1150</v>
      </c>
      <c r="E58">
        <f t="shared" si="6"/>
        <v>10085</v>
      </c>
    </row>
    <row r="59" spans="1:5" x14ac:dyDescent="0.25">
      <c r="A59">
        <v>31</v>
      </c>
      <c r="B59">
        <f t="shared" si="4"/>
        <v>1155</v>
      </c>
      <c r="E59">
        <f t="shared" si="6"/>
        <v>10090</v>
      </c>
    </row>
    <row r="60" spans="1:5" x14ac:dyDescent="0.25">
      <c r="A60">
        <v>32</v>
      </c>
      <c r="B60">
        <f t="shared" si="4"/>
        <v>1160</v>
      </c>
      <c r="E60">
        <f t="shared" si="6"/>
        <v>10095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3304-EB0B-46D6-A4E3-C8439AA8B442}">
  <dimension ref="A7:R140"/>
  <sheetViews>
    <sheetView topLeftCell="A7" workbookViewId="0">
      <selection activeCell="Q9" sqref="Q9"/>
    </sheetView>
  </sheetViews>
  <sheetFormatPr defaultRowHeight="15" x14ac:dyDescent="0.25"/>
  <cols>
    <col min="10" max="13" width="12" bestFit="1" customWidth="1"/>
  </cols>
  <sheetData>
    <row r="7" spans="1:18" x14ac:dyDescent="0.25">
      <c r="N7" s="2">
        <v>1000000000</v>
      </c>
    </row>
    <row r="8" spans="1:18" x14ac:dyDescent="0.25">
      <c r="G8" t="s">
        <v>25</v>
      </c>
      <c r="H8">
        <f>SLOPE(G11:G18,C11:C18)</f>
        <v>1.3074005435148362E-3</v>
      </c>
      <c r="I8">
        <f>1/H8</f>
        <v>764.87653685043165</v>
      </c>
      <c r="M8">
        <f>H8/60</f>
        <v>2.1790009058580603E-5</v>
      </c>
      <c r="N8" s="2">
        <f>M8*N7</f>
        <v>21790.009058580603</v>
      </c>
      <c r="Q8" s="2">
        <f>N8</f>
        <v>21790.009058580603</v>
      </c>
    </row>
    <row r="9" spans="1:18" x14ac:dyDescent="0.25">
      <c r="G9" t="s">
        <v>26</v>
      </c>
      <c r="H9">
        <f>INTERCEPT(G11:G18,C11:C18)</f>
        <v>2.0326605482321236E-2</v>
      </c>
      <c r="I9">
        <f>1/H9</f>
        <v>49.196605939429247</v>
      </c>
      <c r="M9">
        <f>H9/60</f>
        <v>3.3877675803868726E-4</v>
      </c>
      <c r="N9" s="2">
        <f>M9*N7</f>
        <v>338776.75803868729</v>
      </c>
      <c r="Q9" s="2">
        <f>N9/1000</f>
        <v>338.77675803868726</v>
      </c>
      <c r="R9" t="s">
        <v>38</v>
      </c>
    </row>
    <row r="10" spans="1:18" x14ac:dyDescent="0.25">
      <c r="A10" t="s">
        <v>0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I10" t="s">
        <v>27</v>
      </c>
      <c r="J10" t="s">
        <v>28</v>
      </c>
      <c r="K10" t="s">
        <v>29</v>
      </c>
      <c r="P10" t="s">
        <v>40</v>
      </c>
    </row>
    <row r="11" spans="1:18" x14ac:dyDescent="0.25">
      <c r="A11">
        <v>1.3</v>
      </c>
      <c r="B11">
        <f>29*60+9</f>
        <v>1749</v>
      </c>
      <c r="C11">
        <v>13</v>
      </c>
      <c r="D11">
        <v>1</v>
      </c>
      <c r="E11">
        <v>47491</v>
      </c>
      <c r="F11">
        <v>1375</v>
      </c>
      <c r="G11">
        <f>D11/B11*60</f>
        <v>3.430531732418525E-2</v>
      </c>
      <c r="H11">
        <f>C11*H$8+H$9</f>
        <v>3.7322812548014103E-2</v>
      </c>
      <c r="I11">
        <f>E11/2</f>
        <v>23745.5</v>
      </c>
      <c r="J11">
        <f>1/I11</f>
        <v>4.2113242509106988E-5</v>
      </c>
      <c r="K11">
        <f>G11/C11/60</f>
        <v>4.398117605664776E-5</v>
      </c>
      <c r="L11">
        <f>(I$9*C11+I$8)/(I$8*I$9*60*C11)</f>
        <v>4.7849759676941161E-5</v>
      </c>
      <c r="M11">
        <f>M$8+M$9/C11</f>
        <v>4.7849759676941161E-5</v>
      </c>
      <c r="N11" s="2">
        <f>N$8+N$9/C11</f>
        <v>47849.759676941161</v>
      </c>
      <c r="P11">
        <f>1/C11*1000</f>
        <v>76.923076923076934</v>
      </c>
      <c r="Q11" s="2">
        <f>Q$9*P11+Q$8</f>
        <v>47849.759676941161</v>
      </c>
    </row>
    <row r="12" spans="1:18" x14ac:dyDescent="0.25">
      <c r="A12">
        <v>2.5</v>
      </c>
      <c r="B12">
        <f>11*60+6</f>
        <v>666</v>
      </c>
      <c r="C12">
        <v>53</v>
      </c>
      <c r="D12">
        <v>1</v>
      </c>
      <c r="E12">
        <v>70898</v>
      </c>
      <c r="F12">
        <v>1083.7</v>
      </c>
      <c r="G12">
        <f t="shared" ref="G12:G18" si="0">D12/B12*60</f>
        <v>9.0090090090090086E-2</v>
      </c>
      <c r="H12">
        <f t="shared" ref="H12:H20" si="1">C12*H$8+H$9</f>
        <v>8.9618834288607563E-2</v>
      </c>
      <c r="I12">
        <f t="shared" ref="I12:I18" si="2">E12/2</f>
        <v>35449</v>
      </c>
      <c r="J12">
        <f t="shared" ref="J12:J18" si="3">1/I12</f>
        <v>2.8209540466585799E-5</v>
      </c>
      <c r="K12">
        <f t="shared" ref="K12:K18" si="4">G12/C12/60</f>
        <v>2.8330217009462292E-5</v>
      </c>
      <c r="L12">
        <f t="shared" ref="L12:L18" si="5">(I$9*C12+I$8)/(I$8*I$9*60*C12)</f>
        <v>2.8182023361197344E-5</v>
      </c>
      <c r="M12">
        <f t="shared" ref="M12:M18" si="6">M$8+M$9/C12</f>
        <v>2.8182023361197344E-5</v>
      </c>
      <c r="N12" s="2">
        <f t="shared" ref="N12:N18" si="7">N$8+N$9/C12</f>
        <v>28182.023361197345</v>
      </c>
      <c r="P12">
        <f t="shared" ref="P12:P19" si="8">1/C12*1000</f>
        <v>18.867924528301884</v>
      </c>
      <c r="Q12" s="2">
        <f t="shared" ref="Q12:Q19" si="9">Q$9*P12+Q$8</f>
        <v>28182.023361197342</v>
      </c>
    </row>
    <row r="13" spans="1:18" x14ac:dyDescent="0.25">
      <c r="A13">
        <v>4.5</v>
      </c>
      <c r="B13">
        <f>7*60+54</f>
        <v>474</v>
      </c>
      <c r="C13">
        <v>80</v>
      </c>
      <c r="D13">
        <v>1</v>
      </c>
      <c r="E13">
        <v>76370</v>
      </c>
      <c r="F13">
        <v>1036</v>
      </c>
      <c r="G13">
        <f t="shared" si="0"/>
        <v>0.12658227848101264</v>
      </c>
      <c r="H13">
        <f t="shared" si="1"/>
        <v>0.12491864896350813</v>
      </c>
      <c r="I13">
        <f t="shared" si="2"/>
        <v>38185</v>
      </c>
      <c r="J13">
        <f t="shared" si="3"/>
        <v>2.6188293832656801E-5</v>
      </c>
      <c r="K13">
        <f t="shared" si="4"/>
        <v>2.6371308016877634E-5</v>
      </c>
      <c r="L13">
        <f t="shared" si="5"/>
        <v>2.6024718534064191E-5</v>
      </c>
      <c r="M13">
        <f t="shared" si="6"/>
        <v>2.6024718534064195E-5</v>
      </c>
      <c r="N13" s="2">
        <f t="shared" si="7"/>
        <v>26024.718534064195</v>
      </c>
      <c r="P13">
        <f t="shared" si="8"/>
        <v>12.5</v>
      </c>
      <c r="Q13" s="2">
        <f t="shared" si="9"/>
        <v>26024.718534064195</v>
      </c>
    </row>
    <row r="14" spans="1:18" x14ac:dyDescent="0.25">
      <c r="A14">
        <v>6.3</v>
      </c>
      <c r="B14">
        <f>6*60+31</f>
        <v>391</v>
      </c>
      <c r="C14">
        <v>101</v>
      </c>
      <c r="D14">
        <v>1</v>
      </c>
      <c r="E14">
        <v>79636</v>
      </c>
      <c r="F14">
        <v>1023.7</v>
      </c>
      <c r="G14">
        <f t="shared" si="0"/>
        <v>0.15345268542199489</v>
      </c>
      <c r="H14">
        <f t="shared" si="1"/>
        <v>0.15237406037731971</v>
      </c>
      <c r="I14">
        <f t="shared" si="2"/>
        <v>39818</v>
      </c>
      <c r="J14">
        <f t="shared" si="3"/>
        <v>2.5114269928173187E-5</v>
      </c>
      <c r="K14">
        <f t="shared" si="4"/>
        <v>2.5322225317160873E-5</v>
      </c>
      <c r="L14">
        <f t="shared" si="5"/>
        <v>2.5144234385696312E-5</v>
      </c>
      <c r="M14">
        <f t="shared" si="6"/>
        <v>2.5144234385696319E-5</v>
      </c>
      <c r="N14" s="2">
        <f t="shared" si="7"/>
        <v>25144.23438569632</v>
      </c>
      <c r="P14">
        <f t="shared" si="8"/>
        <v>9.9009900990099009</v>
      </c>
      <c r="Q14" s="2">
        <f t="shared" si="9"/>
        <v>25144.23438569632</v>
      </c>
    </row>
    <row r="15" spans="1:18" x14ac:dyDescent="0.25">
      <c r="A15">
        <v>9.1</v>
      </c>
      <c r="B15">
        <f>5*60+9</f>
        <v>309</v>
      </c>
      <c r="C15">
        <v>132</v>
      </c>
      <c r="D15">
        <v>1</v>
      </c>
      <c r="E15">
        <v>82334</v>
      </c>
      <c r="F15">
        <v>1006.9</v>
      </c>
      <c r="G15">
        <f t="shared" si="0"/>
        <v>0.1941747572815534</v>
      </c>
      <c r="H15">
        <f t="shared" si="1"/>
        <v>0.19290347722627962</v>
      </c>
      <c r="I15">
        <f t="shared" si="2"/>
        <v>41167</v>
      </c>
      <c r="J15">
        <f t="shared" si="3"/>
        <v>2.4291301285009838E-5</v>
      </c>
      <c r="K15">
        <f t="shared" si="4"/>
        <v>2.4517014808276942E-5</v>
      </c>
      <c r="L15">
        <f t="shared" si="5"/>
        <v>2.4356499649782776E-5</v>
      </c>
      <c r="M15">
        <f t="shared" si="6"/>
        <v>2.4356499649782779E-5</v>
      </c>
      <c r="N15" s="2">
        <f t="shared" si="7"/>
        <v>24356.499649782778</v>
      </c>
      <c r="P15">
        <f t="shared" si="8"/>
        <v>7.5757575757575761</v>
      </c>
      <c r="Q15" s="2">
        <f t="shared" si="9"/>
        <v>24356.499649782778</v>
      </c>
    </row>
    <row r="16" spans="1:18" x14ac:dyDescent="0.25">
      <c r="A16">
        <v>12</v>
      </c>
      <c r="B16">
        <f>4*60+26</f>
        <v>266</v>
      </c>
      <c r="C16">
        <v>155</v>
      </c>
      <c r="D16">
        <v>1</v>
      </c>
      <c r="E16">
        <v>83651</v>
      </c>
      <c r="F16">
        <v>1002.7</v>
      </c>
      <c r="G16">
        <f t="shared" si="0"/>
        <v>0.22556390977443608</v>
      </c>
      <c r="H16">
        <f t="shared" si="1"/>
        <v>0.22297368972712084</v>
      </c>
      <c r="I16">
        <f t="shared" si="2"/>
        <v>41825.5</v>
      </c>
      <c r="J16">
        <f t="shared" si="3"/>
        <v>2.3908859427860992E-5</v>
      </c>
      <c r="K16">
        <f t="shared" si="4"/>
        <v>2.4254183846713557E-5</v>
      </c>
      <c r="L16">
        <f t="shared" si="5"/>
        <v>2.3975665562056002E-5</v>
      </c>
      <c r="M16">
        <f t="shared" si="6"/>
        <v>2.3975665562056006E-5</v>
      </c>
      <c r="N16" s="2">
        <f t="shared" si="7"/>
        <v>23975.665562056005</v>
      </c>
      <c r="P16">
        <f t="shared" si="8"/>
        <v>6.4516129032258061</v>
      </c>
      <c r="Q16" s="2">
        <f t="shared" si="9"/>
        <v>23975.665562056005</v>
      </c>
    </row>
    <row r="17" spans="1:17" x14ac:dyDescent="0.25">
      <c r="A17">
        <v>15.5</v>
      </c>
      <c r="B17">
        <f>3*60+50</f>
        <v>230</v>
      </c>
      <c r="C17">
        <v>185</v>
      </c>
      <c r="D17">
        <v>1</v>
      </c>
      <c r="E17">
        <v>86006</v>
      </c>
      <c r="F17">
        <v>1008.6</v>
      </c>
      <c r="G17">
        <f t="shared" si="0"/>
        <v>0.2608695652173913</v>
      </c>
      <c r="H17">
        <f t="shared" si="1"/>
        <v>0.26219570603256592</v>
      </c>
      <c r="I17">
        <f t="shared" si="2"/>
        <v>43003</v>
      </c>
      <c r="J17">
        <f t="shared" si="3"/>
        <v>2.3254191568030137E-5</v>
      </c>
      <c r="K17">
        <f t="shared" si="4"/>
        <v>2.3501762632197415E-5</v>
      </c>
      <c r="L17">
        <f t="shared" si="5"/>
        <v>2.362123477770864E-5</v>
      </c>
      <c r="M17">
        <f t="shared" si="6"/>
        <v>2.3621234777708643E-5</v>
      </c>
      <c r="N17" s="2">
        <f t="shared" si="7"/>
        <v>23621.234777708643</v>
      </c>
      <c r="P17">
        <f t="shared" si="8"/>
        <v>5.4054054054054053</v>
      </c>
      <c r="Q17" s="2">
        <f t="shared" si="9"/>
        <v>23621.234777708643</v>
      </c>
    </row>
    <row r="18" spans="1:17" x14ac:dyDescent="0.25">
      <c r="A18">
        <v>18.100000000000001</v>
      </c>
      <c r="B18">
        <f>3*60+33</f>
        <v>213</v>
      </c>
      <c r="C18">
        <v>202</v>
      </c>
      <c r="D18">
        <v>1</v>
      </c>
      <c r="E18">
        <v>86793</v>
      </c>
      <c r="F18">
        <v>1001.6</v>
      </c>
      <c r="G18">
        <f t="shared" si="0"/>
        <v>0.28169014084507044</v>
      </c>
      <c r="H18">
        <f t="shared" si="1"/>
        <v>0.28442151527231818</v>
      </c>
      <c r="I18">
        <f t="shared" si="2"/>
        <v>43396.5</v>
      </c>
      <c r="J18">
        <f t="shared" si="3"/>
        <v>2.3043332987683338E-5</v>
      </c>
      <c r="K18">
        <f t="shared" si="4"/>
        <v>2.3241760795797892E-5</v>
      </c>
      <c r="L18">
        <f t="shared" si="5"/>
        <v>2.3467121722138456E-5</v>
      </c>
      <c r="M18">
        <f t="shared" si="6"/>
        <v>2.3467121722138459E-5</v>
      </c>
      <c r="N18" s="2">
        <f t="shared" si="7"/>
        <v>23467.121722138461</v>
      </c>
      <c r="P18">
        <f t="shared" si="8"/>
        <v>4.9504950495049505</v>
      </c>
      <c r="Q18" s="2">
        <f t="shared" si="9"/>
        <v>23467.121722138461</v>
      </c>
    </row>
    <row r="19" spans="1:17" x14ac:dyDescent="0.25">
      <c r="C19">
        <f>(0.03-H9)/H8</f>
        <v>7.3989524982700834</v>
      </c>
      <c r="P19">
        <f t="shared" si="8"/>
        <v>135.15426680111889</v>
      </c>
      <c r="Q19" s="2">
        <f t="shared" si="9"/>
        <v>67577.13340055944</v>
      </c>
    </row>
    <row r="20" spans="1:17" x14ac:dyDescent="0.25">
      <c r="C20">
        <v>40</v>
      </c>
      <c r="H20">
        <f t="shared" si="1"/>
        <v>7.2622627222914682E-2</v>
      </c>
    </row>
    <row r="40" spans="1:3" x14ac:dyDescent="0.25">
      <c r="A40" t="s">
        <v>41</v>
      </c>
      <c r="B40" t="s">
        <v>42</v>
      </c>
      <c r="C40" t="s">
        <v>42</v>
      </c>
    </row>
    <row r="41" spans="1:3" x14ac:dyDescent="0.25">
      <c r="A41">
        <v>0</v>
      </c>
      <c r="B41" s="2">
        <f>Q$9*A41+Q$8</f>
        <v>21790.009058580603</v>
      </c>
      <c r="C41" s="3">
        <f>ROUND(B41,0)</f>
        <v>21790</v>
      </c>
    </row>
    <row r="42" spans="1:3" x14ac:dyDescent="0.25">
      <c r="A42">
        <v>1</v>
      </c>
      <c r="B42" s="2">
        <f t="shared" ref="B42:B105" si="10">Q$9*A42+Q$8</f>
        <v>22128.785816619289</v>
      </c>
      <c r="C42" s="3">
        <f t="shared" ref="C42:C105" si="11">ROUND(B42,0)</f>
        <v>22129</v>
      </c>
    </row>
    <row r="43" spans="1:3" x14ac:dyDescent="0.25">
      <c r="A43">
        <v>2</v>
      </c>
      <c r="B43" s="2">
        <f t="shared" si="10"/>
        <v>22467.562574657979</v>
      </c>
      <c r="C43" s="3">
        <f t="shared" si="11"/>
        <v>22468</v>
      </c>
    </row>
    <row r="44" spans="1:3" x14ac:dyDescent="0.25">
      <c r="A44">
        <v>3</v>
      </c>
      <c r="B44" s="2">
        <f t="shared" si="10"/>
        <v>22806.339332696665</v>
      </c>
      <c r="C44" s="3">
        <f t="shared" si="11"/>
        <v>22806</v>
      </c>
    </row>
    <row r="45" spans="1:3" x14ac:dyDescent="0.25">
      <c r="A45">
        <v>4</v>
      </c>
      <c r="B45" s="2">
        <f t="shared" si="10"/>
        <v>23145.116090735351</v>
      </c>
      <c r="C45" s="3">
        <f t="shared" si="11"/>
        <v>23145</v>
      </c>
    </row>
    <row r="46" spans="1:3" x14ac:dyDescent="0.25">
      <c r="A46">
        <v>5</v>
      </c>
      <c r="B46" s="2">
        <f t="shared" si="10"/>
        <v>23483.892848774038</v>
      </c>
      <c r="C46" s="3">
        <f t="shared" si="11"/>
        <v>23484</v>
      </c>
    </row>
    <row r="47" spans="1:3" x14ac:dyDescent="0.25">
      <c r="A47">
        <v>6</v>
      </c>
      <c r="B47" s="2">
        <f t="shared" si="10"/>
        <v>23822.669606812728</v>
      </c>
      <c r="C47" s="3">
        <f t="shared" si="11"/>
        <v>23823</v>
      </c>
    </row>
    <row r="48" spans="1:3" x14ac:dyDescent="0.25">
      <c r="A48">
        <v>7</v>
      </c>
      <c r="B48" s="2">
        <f t="shared" si="10"/>
        <v>24161.446364851414</v>
      </c>
      <c r="C48" s="3">
        <f t="shared" si="11"/>
        <v>24161</v>
      </c>
    </row>
    <row r="49" spans="1:3" x14ac:dyDescent="0.25">
      <c r="A49">
        <v>8</v>
      </c>
      <c r="B49" s="2">
        <f t="shared" si="10"/>
        <v>24500.2231228901</v>
      </c>
      <c r="C49" s="3">
        <f t="shared" si="11"/>
        <v>24500</v>
      </c>
    </row>
    <row r="50" spans="1:3" x14ac:dyDescent="0.25">
      <c r="A50">
        <v>9</v>
      </c>
      <c r="B50" s="2">
        <f t="shared" si="10"/>
        <v>24838.999880928786</v>
      </c>
      <c r="C50" s="3">
        <f t="shared" si="11"/>
        <v>24839</v>
      </c>
    </row>
    <row r="51" spans="1:3" x14ac:dyDescent="0.25">
      <c r="A51">
        <v>10</v>
      </c>
      <c r="B51" s="2">
        <f t="shared" si="10"/>
        <v>25177.776638967476</v>
      </c>
      <c r="C51" s="3">
        <f t="shared" si="11"/>
        <v>25178</v>
      </c>
    </row>
    <row r="52" spans="1:3" x14ac:dyDescent="0.25">
      <c r="A52">
        <v>11</v>
      </c>
      <c r="B52" s="2">
        <f t="shared" si="10"/>
        <v>25516.553397006162</v>
      </c>
      <c r="C52" s="3">
        <f t="shared" si="11"/>
        <v>25517</v>
      </c>
    </row>
    <row r="53" spans="1:3" x14ac:dyDescent="0.25">
      <c r="A53">
        <v>12</v>
      </c>
      <c r="B53" s="2">
        <f t="shared" si="10"/>
        <v>25855.330155044849</v>
      </c>
      <c r="C53" s="3">
        <f t="shared" si="11"/>
        <v>25855</v>
      </c>
    </row>
    <row r="54" spans="1:3" x14ac:dyDescent="0.25">
      <c r="A54">
        <v>13</v>
      </c>
      <c r="B54" s="2">
        <f t="shared" si="10"/>
        <v>26194.106913083539</v>
      </c>
      <c r="C54" s="3">
        <f t="shared" si="11"/>
        <v>26194</v>
      </c>
    </row>
    <row r="55" spans="1:3" x14ac:dyDescent="0.25">
      <c r="A55">
        <v>14</v>
      </c>
      <c r="B55" s="2">
        <f t="shared" si="10"/>
        <v>26532.883671122225</v>
      </c>
      <c r="C55" s="3">
        <f t="shared" si="11"/>
        <v>26533</v>
      </c>
    </row>
    <row r="56" spans="1:3" x14ac:dyDescent="0.25">
      <c r="A56">
        <v>15</v>
      </c>
      <c r="B56" s="2">
        <f t="shared" si="10"/>
        <v>26871.660429160911</v>
      </c>
      <c r="C56" s="3">
        <f t="shared" si="11"/>
        <v>26872</v>
      </c>
    </row>
    <row r="57" spans="1:3" x14ac:dyDescent="0.25">
      <c r="A57">
        <v>16</v>
      </c>
      <c r="B57" s="2">
        <f t="shared" si="10"/>
        <v>27210.437187199597</v>
      </c>
      <c r="C57" s="3">
        <f t="shared" si="11"/>
        <v>27210</v>
      </c>
    </row>
    <row r="58" spans="1:3" x14ac:dyDescent="0.25">
      <c r="A58">
        <v>17</v>
      </c>
      <c r="B58" s="2">
        <f t="shared" si="10"/>
        <v>27549.213945238287</v>
      </c>
      <c r="C58" s="3">
        <f t="shared" si="11"/>
        <v>27549</v>
      </c>
    </row>
    <row r="59" spans="1:3" x14ac:dyDescent="0.25">
      <c r="A59">
        <v>18</v>
      </c>
      <c r="B59" s="2">
        <f t="shared" si="10"/>
        <v>27887.990703276973</v>
      </c>
      <c r="C59" s="3">
        <f t="shared" si="11"/>
        <v>27888</v>
      </c>
    </row>
    <row r="60" spans="1:3" x14ac:dyDescent="0.25">
      <c r="A60">
        <v>19</v>
      </c>
      <c r="B60" s="2">
        <f t="shared" si="10"/>
        <v>28226.76746131566</v>
      </c>
      <c r="C60" s="3">
        <f t="shared" si="11"/>
        <v>28227</v>
      </c>
    </row>
    <row r="61" spans="1:3" x14ac:dyDescent="0.25">
      <c r="A61">
        <v>20</v>
      </c>
      <c r="B61" s="2">
        <f t="shared" si="10"/>
        <v>28565.544219354349</v>
      </c>
      <c r="C61" s="3">
        <f t="shared" si="11"/>
        <v>28566</v>
      </c>
    </row>
    <row r="62" spans="1:3" x14ac:dyDescent="0.25">
      <c r="A62">
        <v>21</v>
      </c>
      <c r="B62" s="2">
        <f t="shared" si="10"/>
        <v>28904.320977393036</v>
      </c>
      <c r="C62" s="3">
        <f t="shared" si="11"/>
        <v>28904</v>
      </c>
    </row>
    <row r="63" spans="1:3" x14ac:dyDescent="0.25">
      <c r="A63">
        <v>22</v>
      </c>
      <c r="B63" s="2">
        <f t="shared" si="10"/>
        <v>29243.097735431722</v>
      </c>
      <c r="C63" s="3">
        <f t="shared" si="11"/>
        <v>29243</v>
      </c>
    </row>
    <row r="64" spans="1:3" x14ac:dyDescent="0.25">
      <c r="A64">
        <v>23</v>
      </c>
      <c r="B64" s="2">
        <f t="shared" si="10"/>
        <v>29581.874493470408</v>
      </c>
      <c r="C64" s="3">
        <f t="shared" si="11"/>
        <v>29582</v>
      </c>
    </row>
    <row r="65" spans="1:3" x14ac:dyDescent="0.25">
      <c r="A65">
        <v>24</v>
      </c>
      <c r="B65" s="2">
        <f t="shared" si="10"/>
        <v>29920.651251509098</v>
      </c>
      <c r="C65" s="3">
        <f t="shared" si="11"/>
        <v>29921</v>
      </c>
    </row>
    <row r="66" spans="1:3" x14ac:dyDescent="0.25">
      <c r="A66">
        <v>25</v>
      </c>
      <c r="B66" s="2">
        <f t="shared" si="10"/>
        <v>30259.428009547784</v>
      </c>
      <c r="C66" s="3">
        <f t="shared" si="11"/>
        <v>30259</v>
      </c>
    </row>
    <row r="67" spans="1:3" x14ac:dyDescent="0.25">
      <c r="A67">
        <v>26</v>
      </c>
      <c r="B67" s="2">
        <f t="shared" si="10"/>
        <v>30598.204767586474</v>
      </c>
      <c r="C67" s="3">
        <f t="shared" si="11"/>
        <v>30598</v>
      </c>
    </row>
    <row r="68" spans="1:3" x14ac:dyDescent="0.25">
      <c r="A68">
        <v>27</v>
      </c>
      <c r="B68" s="2">
        <f t="shared" si="10"/>
        <v>30936.98152562516</v>
      </c>
      <c r="C68" s="3">
        <f t="shared" si="11"/>
        <v>30937</v>
      </c>
    </row>
    <row r="69" spans="1:3" x14ac:dyDescent="0.25">
      <c r="A69">
        <v>28</v>
      </c>
      <c r="B69" s="2">
        <f t="shared" si="10"/>
        <v>31275.758283663847</v>
      </c>
      <c r="C69" s="3">
        <f t="shared" si="11"/>
        <v>31276</v>
      </c>
    </row>
    <row r="70" spans="1:3" x14ac:dyDescent="0.25">
      <c r="A70">
        <v>29</v>
      </c>
      <c r="B70" s="2">
        <f t="shared" si="10"/>
        <v>31614.535041702533</v>
      </c>
      <c r="C70" s="3">
        <f t="shared" si="11"/>
        <v>31615</v>
      </c>
    </row>
    <row r="71" spans="1:3" x14ac:dyDescent="0.25">
      <c r="A71">
        <v>30</v>
      </c>
      <c r="B71" s="2">
        <f t="shared" si="10"/>
        <v>31953.311799741219</v>
      </c>
      <c r="C71" s="3">
        <f t="shared" si="11"/>
        <v>31953</v>
      </c>
    </row>
    <row r="72" spans="1:3" x14ac:dyDescent="0.25">
      <c r="A72">
        <v>31</v>
      </c>
      <c r="B72" s="2">
        <f t="shared" si="10"/>
        <v>32292.088557779905</v>
      </c>
      <c r="C72" s="3">
        <f t="shared" si="11"/>
        <v>32292</v>
      </c>
    </row>
    <row r="73" spans="1:3" x14ac:dyDescent="0.25">
      <c r="A73">
        <v>32</v>
      </c>
      <c r="B73" s="2">
        <f t="shared" si="10"/>
        <v>32630.865315818595</v>
      </c>
      <c r="C73" s="3">
        <f t="shared" si="11"/>
        <v>32631</v>
      </c>
    </row>
    <row r="74" spans="1:3" x14ac:dyDescent="0.25">
      <c r="A74">
        <v>33</v>
      </c>
      <c r="B74" s="2">
        <f t="shared" si="10"/>
        <v>32969.642073857285</v>
      </c>
      <c r="C74" s="3">
        <f t="shared" si="11"/>
        <v>32970</v>
      </c>
    </row>
    <row r="75" spans="1:3" x14ac:dyDescent="0.25">
      <c r="A75">
        <v>34</v>
      </c>
      <c r="B75" s="2">
        <f t="shared" si="10"/>
        <v>33308.418831895971</v>
      </c>
      <c r="C75" s="3">
        <f t="shared" si="11"/>
        <v>33308</v>
      </c>
    </row>
    <row r="76" spans="1:3" x14ac:dyDescent="0.25">
      <c r="A76">
        <v>35</v>
      </c>
      <c r="B76" s="2">
        <f t="shared" si="10"/>
        <v>33647.195589934658</v>
      </c>
      <c r="C76" s="3">
        <f t="shared" si="11"/>
        <v>33647</v>
      </c>
    </row>
    <row r="77" spans="1:3" x14ac:dyDescent="0.25">
      <c r="A77">
        <v>36</v>
      </c>
      <c r="B77" s="2">
        <f t="shared" si="10"/>
        <v>33985.972347973344</v>
      </c>
      <c r="C77" s="3">
        <f t="shared" si="11"/>
        <v>33986</v>
      </c>
    </row>
    <row r="78" spans="1:3" x14ac:dyDescent="0.25">
      <c r="A78">
        <v>37</v>
      </c>
      <c r="B78" s="2">
        <f t="shared" si="10"/>
        <v>34324.74910601203</v>
      </c>
      <c r="C78" s="3">
        <f t="shared" si="11"/>
        <v>34325</v>
      </c>
    </row>
    <row r="79" spans="1:3" x14ac:dyDescent="0.25">
      <c r="A79">
        <v>38</v>
      </c>
      <c r="B79" s="2">
        <f t="shared" si="10"/>
        <v>34663.525864050716</v>
      </c>
      <c r="C79" s="3">
        <f t="shared" si="11"/>
        <v>34664</v>
      </c>
    </row>
    <row r="80" spans="1:3" x14ac:dyDescent="0.25">
      <c r="A80">
        <v>39</v>
      </c>
      <c r="B80" s="2">
        <f t="shared" si="10"/>
        <v>35002.30262208941</v>
      </c>
      <c r="C80" s="3">
        <f t="shared" si="11"/>
        <v>35002</v>
      </c>
    </row>
    <row r="81" spans="1:3" x14ac:dyDescent="0.25">
      <c r="A81">
        <v>40</v>
      </c>
      <c r="B81" s="2">
        <f t="shared" si="10"/>
        <v>35341.079380128096</v>
      </c>
      <c r="C81" s="3">
        <f t="shared" si="11"/>
        <v>35341</v>
      </c>
    </row>
    <row r="82" spans="1:3" x14ac:dyDescent="0.25">
      <c r="A82">
        <v>41</v>
      </c>
      <c r="B82" s="2">
        <f t="shared" si="10"/>
        <v>35679.856138166782</v>
      </c>
      <c r="C82" s="3">
        <f t="shared" si="11"/>
        <v>35680</v>
      </c>
    </row>
    <row r="83" spans="1:3" x14ac:dyDescent="0.25">
      <c r="A83">
        <v>42</v>
      </c>
      <c r="B83" s="2">
        <f t="shared" si="10"/>
        <v>36018.632896205469</v>
      </c>
      <c r="C83" s="3">
        <f t="shared" si="11"/>
        <v>36019</v>
      </c>
    </row>
    <row r="84" spans="1:3" x14ac:dyDescent="0.25">
      <c r="A84">
        <v>43</v>
      </c>
      <c r="B84" s="2">
        <f t="shared" si="10"/>
        <v>36357.409654244155</v>
      </c>
      <c r="C84" s="3">
        <f t="shared" si="11"/>
        <v>36357</v>
      </c>
    </row>
    <row r="85" spans="1:3" x14ac:dyDescent="0.25">
      <c r="A85">
        <v>44</v>
      </c>
      <c r="B85" s="2">
        <f t="shared" si="10"/>
        <v>36696.186412282841</v>
      </c>
      <c r="C85" s="3">
        <f t="shared" si="11"/>
        <v>36696</v>
      </c>
    </row>
    <row r="86" spans="1:3" x14ac:dyDescent="0.25">
      <c r="A86">
        <v>45</v>
      </c>
      <c r="B86" s="2">
        <f t="shared" si="10"/>
        <v>37034.963170321527</v>
      </c>
      <c r="C86" s="3">
        <f t="shared" si="11"/>
        <v>37035</v>
      </c>
    </row>
    <row r="87" spans="1:3" x14ac:dyDescent="0.25">
      <c r="A87">
        <v>46</v>
      </c>
      <c r="B87" s="2">
        <f t="shared" si="10"/>
        <v>37373.739928360214</v>
      </c>
      <c r="C87" s="3">
        <f t="shared" si="11"/>
        <v>37374</v>
      </c>
    </row>
    <row r="88" spans="1:3" x14ac:dyDescent="0.25">
      <c r="A88">
        <v>47</v>
      </c>
      <c r="B88" s="2">
        <f t="shared" si="10"/>
        <v>37712.5166863989</v>
      </c>
      <c r="C88" s="3">
        <f t="shared" si="11"/>
        <v>37713</v>
      </c>
    </row>
    <row r="89" spans="1:3" x14ac:dyDescent="0.25">
      <c r="A89">
        <v>48</v>
      </c>
      <c r="B89" s="2">
        <f t="shared" si="10"/>
        <v>38051.293444437593</v>
      </c>
      <c r="C89" s="3">
        <f t="shared" si="11"/>
        <v>38051</v>
      </c>
    </row>
    <row r="90" spans="1:3" x14ac:dyDescent="0.25">
      <c r="A90">
        <v>49</v>
      </c>
      <c r="B90" s="2">
        <f t="shared" si="10"/>
        <v>38390.07020247628</v>
      </c>
      <c r="C90" s="3">
        <f t="shared" si="11"/>
        <v>38390</v>
      </c>
    </row>
    <row r="91" spans="1:3" x14ac:dyDescent="0.25">
      <c r="A91">
        <v>50</v>
      </c>
      <c r="B91" s="2">
        <f t="shared" si="10"/>
        <v>38728.846960514966</v>
      </c>
      <c r="C91" s="3">
        <f t="shared" si="11"/>
        <v>38729</v>
      </c>
    </row>
    <row r="92" spans="1:3" x14ac:dyDescent="0.25">
      <c r="A92">
        <v>51</v>
      </c>
      <c r="B92" s="2">
        <f t="shared" si="10"/>
        <v>39067.623718553652</v>
      </c>
      <c r="C92" s="3">
        <f t="shared" si="11"/>
        <v>39068</v>
      </c>
    </row>
    <row r="93" spans="1:3" x14ac:dyDescent="0.25">
      <c r="A93">
        <v>52</v>
      </c>
      <c r="B93" s="2">
        <f t="shared" si="10"/>
        <v>39406.400476592346</v>
      </c>
      <c r="C93" s="3">
        <f t="shared" si="11"/>
        <v>39406</v>
      </c>
    </row>
    <row r="94" spans="1:3" x14ac:dyDescent="0.25">
      <c r="A94">
        <v>53</v>
      </c>
      <c r="B94" s="2">
        <f t="shared" si="10"/>
        <v>39745.177234631032</v>
      </c>
      <c r="C94" s="3">
        <f t="shared" si="11"/>
        <v>39745</v>
      </c>
    </row>
    <row r="95" spans="1:3" x14ac:dyDescent="0.25">
      <c r="A95">
        <v>54</v>
      </c>
      <c r="B95" s="2">
        <f t="shared" si="10"/>
        <v>40083.953992669718</v>
      </c>
      <c r="C95" s="3">
        <f t="shared" si="11"/>
        <v>40084</v>
      </c>
    </row>
    <row r="96" spans="1:3" x14ac:dyDescent="0.25">
      <c r="A96">
        <v>55</v>
      </c>
      <c r="B96" s="2">
        <f t="shared" si="10"/>
        <v>40422.730750708404</v>
      </c>
      <c r="C96" s="3">
        <f t="shared" si="11"/>
        <v>40423</v>
      </c>
    </row>
    <row r="97" spans="1:3" x14ac:dyDescent="0.25">
      <c r="A97">
        <v>56</v>
      </c>
      <c r="B97" s="2">
        <f t="shared" si="10"/>
        <v>40761.50750874709</v>
      </c>
      <c r="C97" s="3">
        <f t="shared" si="11"/>
        <v>40762</v>
      </c>
    </row>
    <row r="98" spans="1:3" x14ac:dyDescent="0.25">
      <c r="A98">
        <v>57</v>
      </c>
      <c r="B98" s="2">
        <f t="shared" si="10"/>
        <v>41100.284266785777</v>
      </c>
      <c r="C98" s="3">
        <f t="shared" si="11"/>
        <v>41100</v>
      </c>
    </row>
    <row r="99" spans="1:3" x14ac:dyDescent="0.25">
      <c r="A99">
        <v>58</v>
      </c>
      <c r="B99" s="2">
        <f t="shared" si="10"/>
        <v>41439.061024824463</v>
      </c>
      <c r="C99" s="3">
        <f t="shared" si="11"/>
        <v>41439</v>
      </c>
    </row>
    <row r="100" spans="1:3" x14ac:dyDescent="0.25">
      <c r="A100">
        <v>59</v>
      </c>
      <c r="B100" s="2">
        <f t="shared" si="10"/>
        <v>41777.837782863149</v>
      </c>
      <c r="C100" s="3">
        <f t="shared" si="11"/>
        <v>41778</v>
      </c>
    </row>
    <row r="101" spans="1:3" x14ac:dyDescent="0.25">
      <c r="A101">
        <v>60</v>
      </c>
      <c r="B101" s="2">
        <f t="shared" si="10"/>
        <v>42116.614540901835</v>
      </c>
      <c r="C101" s="3">
        <f t="shared" si="11"/>
        <v>42117</v>
      </c>
    </row>
    <row r="102" spans="1:3" x14ac:dyDescent="0.25">
      <c r="A102">
        <v>61</v>
      </c>
      <c r="B102" s="2">
        <f t="shared" si="10"/>
        <v>42455.391298940522</v>
      </c>
      <c r="C102" s="3">
        <f t="shared" si="11"/>
        <v>42455</v>
      </c>
    </row>
    <row r="103" spans="1:3" x14ac:dyDescent="0.25">
      <c r="A103">
        <v>62</v>
      </c>
      <c r="B103" s="2">
        <f t="shared" si="10"/>
        <v>42794.168056979208</v>
      </c>
      <c r="C103" s="3">
        <f t="shared" si="11"/>
        <v>42794</v>
      </c>
    </row>
    <row r="104" spans="1:3" x14ac:dyDescent="0.25">
      <c r="A104">
        <v>63</v>
      </c>
      <c r="B104" s="2">
        <f t="shared" si="10"/>
        <v>43132.944815017901</v>
      </c>
      <c r="C104" s="3">
        <f t="shared" si="11"/>
        <v>43133</v>
      </c>
    </row>
    <row r="105" spans="1:3" x14ac:dyDescent="0.25">
      <c r="A105">
        <v>64</v>
      </c>
      <c r="B105" s="2">
        <f t="shared" si="10"/>
        <v>43471.721573056588</v>
      </c>
      <c r="C105" s="3">
        <f t="shared" si="11"/>
        <v>43472</v>
      </c>
    </row>
    <row r="106" spans="1:3" x14ac:dyDescent="0.25">
      <c r="A106">
        <v>65</v>
      </c>
      <c r="B106" s="2">
        <f t="shared" ref="B106:B140" si="12">Q$9*A106+Q$8</f>
        <v>43810.498331095274</v>
      </c>
      <c r="C106" s="3">
        <f t="shared" ref="C106:C140" si="13">ROUND(B106,0)</f>
        <v>43810</v>
      </c>
    </row>
    <row r="107" spans="1:3" x14ac:dyDescent="0.25">
      <c r="A107">
        <v>66</v>
      </c>
      <c r="B107" s="2">
        <f t="shared" si="12"/>
        <v>44149.275089133967</v>
      </c>
      <c r="C107" s="3">
        <f t="shared" si="13"/>
        <v>44149</v>
      </c>
    </row>
    <row r="108" spans="1:3" x14ac:dyDescent="0.25">
      <c r="A108">
        <v>67</v>
      </c>
      <c r="B108" s="2">
        <f t="shared" si="12"/>
        <v>44488.051847172654</v>
      </c>
      <c r="C108" s="3">
        <f t="shared" si="13"/>
        <v>44488</v>
      </c>
    </row>
    <row r="109" spans="1:3" x14ac:dyDescent="0.25">
      <c r="A109">
        <v>68</v>
      </c>
      <c r="B109" s="2">
        <f t="shared" si="12"/>
        <v>44826.82860521134</v>
      </c>
      <c r="C109" s="3">
        <f t="shared" si="13"/>
        <v>44827</v>
      </c>
    </row>
    <row r="110" spans="1:3" x14ac:dyDescent="0.25">
      <c r="A110">
        <v>69</v>
      </c>
      <c r="B110" s="2">
        <f t="shared" si="12"/>
        <v>45165.605363250026</v>
      </c>
      <c r="C110" s="3">
        <f t="shared" si="13"/>
        <v>45166</v>
      </c>
    </row>
    <row r="111" spans="1:3" x14ac:dyDescent="0.25">
      <c r="A111">
        <v>70</v>
      </c>
      <c r="B111" s="2">
        <f t="shared" si="12"/>
        <v>45504.382121288712</v>
      </c>
      <c r="C111" s="3">
        <f t="shared" si="13"/>
        <v>45504</v>
      </c>
    </row>
    <row r="112" spans="1:3" x14ac:dyDescent="0.25">
      <c r="A112">
        <v>71</v>
      </c>
      <c r="B112" s="2">
        <f t="shared" si="12"/>
        <v>45843.158879327399</v>
      </c>
      <c r="C112" s="3">
        <f t="shared" si="13"/>
        <v>45843</v>
      </c>
    </row>
    <row r="113" spans="1:3" x14ac:dyDescent="0.25">
      <c r="A113">
        <v>72</v>
      </c>
      <c r="B113" s="2">
        <f t="shared" si="12"/>
        <v>46181.935637366085</v>
      </c>
      <c r="C113" s="3">
        <f t="shared" si="13"/>
        <v>46182</v>
      </c>
    </row>
    <row r="114" spans="1:3" x14ac:dyDescent="0.25">
      <c r="A114">
        <v>73</v>
      </c>
      <c r="B114" s="2">
        <f t="shared" si="12"/>
        <v>46520.712395404771</v>
      </c>
      <c r="C114" s="3">
        <f t="shared" si="13"/>
        <v>46521</v>
      </c>
    </row>
    <row r="115" spans="1:3" x14ac:dyDescent="0.25">
      <c r="A115">
        <v>74</v>
      </c>
      <c r="B115" s="2">
        <f t="shared" si="12"/>
        <v>46859.489153443457</v>
      </c>
      <c r="C115" s="3">
        <f t="shared" si="13"/>
        <v>46859</v>
      </c>
    </row>
    <row r="116" spans="1:3" x14ac:dyDescent="0.25">
      <c r="A116">
        <v>75</v>
      </c>
      <c r="B116" s="2">
        <f t="shared" si="12"/>
        <v>47198.265911482144</v>
      </c>
      <c r="C116" s="3">
        <f t="shared" si="13"/>
        <v>47198</v>
      </c>
    </row>
    <row r="117" spans="1:3" x14ac:dyDescent="0.25">
      <c r="A117">
        <v>76</v>
      </c>
      <c r="B117" s="2">
        <f t="shared" si="12"/>
        <v>47537.04266952083</v>
      </c>
      <c r="C117" s="3">
        <f t="shared" si="13"/>
        <v>47537</v>
      </c>
    </row>
    <row r="118" spans="1:3" x14ac:dyDescent="0.25">
      <c r="A118">
        <v>77</v>
      </c>
      <c r="B118" s="2">
        <f t="shared" si="12"/>
        <v>47875.819427559523</v>
      </c>
      <c r="C118" s="3">
        <f t="shared" si="13"/>
        <v>47876</v>
      </c>
    </row>
    <row r="119" spans="1:3" x14ac:dyDescent="0.25">
      <c r="A119">
        <v>78</v>
      </c>
      <c r="B119" s="2">
        <f t="shared" si="12"/>
        <v>48214.59618559821</v>
      </c>
      <c r="C119" s="3">
        <f t="shared" si="13"/>
        <v>48215</v>
      </c>
    </row>
    <row r="120" spans="1:3" x14ac:dyDescent="0.25">
      <c r="A120">
        <v>79</v>
      </c>
      <c r="B120" s="2">
        <f t="shared" si="12"/>
        <v>48553.372943636896</v>
      </c>
      <c r="C120" s="3">
        <f t="shared" si="13"/>
        <v>48553</v>
      </c>
    </row>
    <row r="121" spans="1:3" x14ac:dyDescent="0.25">
      <c r="A121">
        <v>80</v>
      </c>
      <c r="B121" s="2">
        <f t="shared" si="12"/>
        <v>48892.149701675582</v>
      </c>
      <c r="C121" s="3">
        <f t="shared" si="13"/>
        <v>48892</v>
      </c>
    </row>
    <row r="122" spans="1:3" x14ac:dyDescent="0.25">
      <c r="A122">
        <v>81</v>
      </c>
      <c r="B122" s="2">
        <f t="shared" si="12"/>
        <v>49230.926459714276</v>
      </c>
      <c r="C122" s="3">
        <f t="shared" si="13"/>
        <v>49231</v>
      </c>
    </row>
    <row r="123" spans="1:3" x14ac:dyDescent="0.25">
      <c r="A123">
        <v>82</v>
      </c>
      <c r="B123" s="2">
        <f t="shared" si="12"/>
        <v>49569.703217752962</v>
      </c>
      <c r="C123" s="3">
        <f t="shared" si="13"/>
        <v>49570</v>
      </c>
    </row>
    <row r="124" spans="1:3" x14ac:dyDescent="0.25">
      <c r="A124">
        <v>83</v>
      </c>
      <c r="B124" s="2">
        <f t="shared" si="12"/>
        <v>49908.479975791648</v>
      </c>
      <c r="C124" s="3">
        <f t="shared" si="13"/>
        <v>49908</v>
      </c>
    </row>
    <row r="125" spans="1:3" x14ac:dyDescent="0.25">
      <c r="A125">
        <v>84</v>
      </c>
      <c r="B125" s="2">
        <f t="shared" si="12"/>
        <v>50247.256733830334</v>
      </c>
      <c r="C125" s="3">
        <f t="shared" si="13"/>
        <v>50247</v>
      </c>
    </row>
    <row r="126" spans="1:3" x14ac:dyDescent="0.25">
      <c r="A126">
        <v>85</v>
      </c>
      <c r="B126" s="2">
        <f t="shared" si="12"/>
        <v>50586.033491869021</v>
      </c>
      <c r="C126" s="3">
        <f t="shared" si="13"/>
        <v>50586</v>
      </c>
    </row>
    <row r="127" spans="1:3" x14ac:dyDescent="0.25">
      <c r="A127">
        <v>86</v>
      </c>
      <c r="B127" s="2">
        <f t="shared" si="12"/>
        <v>50924.810249907707</v>
      </c>
      <c r="C127" s="3">
        <f t="shared" si="13"/>
        <v>50925</v>
      </c>
    </row>
    <row r="128" spans="1:3" x14ac:dyDescent="0.25">
      <c r="A128">
        <v>87</v>
      </c>
      <c r="B128" s="2">
        <f t="shared" si="12"/>
        <v>51263.587007946393</v>
      </c>
      <c r="C128" s="3">
        <f t="shared" si="13"/>
        <v>51264</v>
      </c>
    </row>
    <row r="129" spans="1:3" x14ac:dyDescent="0.25">
      <c r="A129">
        <v>88</v>
      </c>
      <c r="B129" s="2">
        <f t="shared" si="12"/>
        <v>51602.363765985079</v>
      </c>
      <c r="C129" s="3">
        <f t="shared" si="13"/>
        <v>51602</v>
      </c>
    </row>
    <row r="130" spans="1:3" x14ac:dyDescent="0.25">
      <c r="A130">
        <v>89</v>
      </c>
      <c r="B130" s="2">
        <f t="shared" si="12"/>
        <v>51941.140524023765</v>
      </c>
      <c r="C130" s="3">
        <f t="shared" si="13"/>
        <v>51941</v>
      </c>
    </row>
    <row r="131" spans="1:3" x14ac:dyDescent="0.25">
      <c r="A131">
        <v>90</v>
      </c>
      <c r="B131" s="2">
        <f t="shared" si="12"/>
        <v>52279.917282062452</v>
      </c>
      <c r="C131" s="3">
        <f t="shared" si="13"/>
        <v>52280</v>
      </c>
    </row>
    <row r="132" spans="1:3" x14ac:dyDescent="0.25">
      <c r="A132">
        <v>91</v>
      </c>
      <c r="B132" s="2">
        <f t="shared" si="12"/>
        <v>52618.694040101145</v>
      </c>
      <c r="C132" s="3">
        <f t="shared" si="13"/>
        <v>52619</v>
      </c>
    </row>
    <row r="133" spans="1:3" x14ac:dyDescent="0.25">
      <c r="A133">
        <v>92</v>
      </c>
      <c r="B133" s="2">
        <f t="shared" si="12"/>
        <v>52957.470798139831</v>
      </c>
      <c r="C133" s="3">
        <f t="shared" si="13"/>
        <v>52957</v>
      </c>
    </row>
    <row r="134" spans="1:3" x14ac:dyDescent="0.25">
      <c r="A134">
        <v>93</v>
      </c>
      <c r="B134" s="2">
        <f t="shared" si="12"/>
        <v>53296.247556178518</v>
      </c>
      <c r="C134" s="3">
        <f t="shared" si="13"/>
        <v>53296</v>
      </c>
    </row>
    <row r="135" spans="1:3" x14ac:dyDescent="0.25">
      <c r="A135">
        <v>94</v>
      </c>
      <c r="B135" s="2">
        <f t="shared" si="12"/>
        <v>53635.024314217204</v>
      </c>
      <c r="C135" s="3">
        <f t="shared" si="13"/>
        <v>53635</v>
      </c>
    </row>
    <row r="136" spans="1:3" x14ac:dyDescent="0.25">
      <c r="A136">
        <v>95</v>
      </c>
      <c r="B136" s="2">
        <f t="shared" si="12"/>
        <v>53973.801072255897</v>
      </c>
      <c r="C136" s="3">
        <f t="shared" si="13"/>
        <v>53974</v>
      </c>
    </row>
    <row r="137" spans="1:3" x14ac:dyDescent="0.25">
      <c r="A137">
        <v>96</v>
      </c>
      <c r="B137" s="2">
        <f t="shared" si="12"/>
        <v>54312.577830294584</v>
      </c>
      <c r="C137" s="3">
        <f t="shared" si="13"/>
        <v>54313</v>
      </c>
    </row>
    <row r="138" spans="1:3" x14ac:dyDescent="0.25">
      <c r="A138">
        <v>97</v>
      </c>
      <c r="B138" s="2">
        <f t="shared" si="12"/>
        <v>54651.35458833327</v>
      </c>
      <c r="C138" s="3">
        <f t="shared" si="13"/>
        <v>54651</v>
      </c>
    </row>
    <row r="139" spans="1:3" x14ac:dyDescent="0.25">
      <c r="A139">
        <v>98</v>
      </c>
      <c r="B139" s="2">
        <f t="shared" si="12"/>
        <v>54990.131346371956</v>
      </c>
      <c r="C139" s="3">
        <f t="shared" si="13"/>
        <v>54990</v>
      </c>
    </row>
    <row r="140" spans="1:3" x14ac:dyDescent="0.25">
      <c r="A140">
        <v>99</v>
      </c>
      <c r="B140" s="2">
        <f t="shared" si="12"/>
        <v>55328.908104410642</v>
      </c>
      <c r="C140" s="3">
        <f t="shared" si="13"/>
        <v>55329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3A81-BD99-4A52-861E-2736AB57EC2C}">
  <dimension ref="A2:S17"/>
  <sheetViews>
    <sheetView tabSelected="1" workbookViewId="0">
      <selection activeCell="O6" sqref="O6"/>
    </sheetView>
  </sheetViews>
  <sheetFormatPr defaultRowHeight="15" x14ac:dyDescent="0.25"/>
  <cols>
    <col min="4" max="4" width="12" bestFit="1" customWidth="1"/>
    <col min="8" max="8" width="12" bestFit="1" customWidth="1"/>
    <col min="12" max="12" width="12" bestFit="1" customWidth="1"/>
    <col min="13" max="13" width="18.5703125" customWidth="1"/>
    <col min="14" max="14" width="12" customWidth="1"/>
    <col min="15" max="15" width="19.42578125" customWidth="1"/>
    <col min="16" max="16" width="12.7109375" customWidth="1"/>
    <col min="17" max="17" width="14.85546875" customWidth="1"/>
    <col min="19" max="19" width="12.5703125" bestFit="1" customWidth="1"/>
  </cols>
  <sheetData>
    <row r="2" spans="1:19" x14ac:dyDescent="0.25">
      <c r="A2" s="8" t="s">
        <v>49</v>
      </c>
      <c r="B2" s="8"/>
      <c r="C2" s="8"/>
      <c r="D2" s="6">
        <v>1</v>
      </c>
    </row>
    <row r="3" spans="1:19" x14ac:dyDescent="0.25">
      <c r="A3" s="8" t="s">
        <v>50</v>
      </c>
      <c r="B3" s="8"/>
      <c r="C3" s="8"/>
      <c r="D3" s="6">
        <v>1000</v>
      </c>
      <c r="O3" t="s">
        <v>47</v>
      </c>
      <c r="P3" s="2">
        <v>80000000</v>
      </c>
    </row>
    <row r="4" spans="1:19" x14ac:dyDescent="0.25">
      <c r="M4">
        <v>22</v>
      </c>
      <c r="O4" t="s">
        <v>48</v>
      </c>
      <c r="P4" s="4">
        <f>INT(P3/O6+0.5)-1</f>
        <v>5446</v>
      </c>
    </row>
    <row r="5" spans="1:19" x14ac:dyDescent="0.25">
      <c r="A5" s="8" t="s">
        <v>51</v>
      </c>
      <c r="B5" s="8"/>
      <c r="C5" s="8"/>
      <c r="D5" s="7">
        <f>M7</f>
        <v>2.215167745857008E-8</v>
      </c>
      <c r="N5" t="s">
        <v>46</v>
      </c>
      <c r="O5" t="s">
        <v>39</v>
      </c>
      <c r="P5" s="4">
        <f>INT(P3/(P4+1))</f>
        <v>14686</v>
      </c>
    </row>
    <row r="6" spans="1:19" x14ac:dyDescent="0.25">
      <c r="A6" s="8" t="s">
        <v>52</v>
      </c>
      <c r="B6" s="8"/>
      <c r="C6" s="8"/>
      <c r="D6" s="7">
        <f>O8</f>
        <v>999.99999999999989</v>
      </c>
      <c r="M6" t="s">
        <v>44</v>
      </c>
      <c r="N6">
        <v>1</v>
      </c>
      <c r="O6" s="4">
        <f>INT(M9/D2)</f>
        <v>14686</v>
      </c>
    </row>
    <row r="7" spans="1:19" x14ac:dyDescent="0.25">
      <c r="I7" t="s">
        <v>32</v>
      </c>
      <c r="L7" t="s">
        <v>43</v>
      </c>
      <c r="M7">
        <f>L8/D3</f>
        <v>2.215167745857008E-8</v>
      </c>
    </row>
    <row r="8" spans="1:19" x14ac:dyDescent="0.25">
      <c r="H8" t="s">
        <v>34</v>
      </c>
      <c r="I8">
        <f>SLOPE(G11:G16,C11:C16)</f>
        <v>1.3291006475142047E-3</v>
      </c>
      <c r="K8" t="s">
        <v>36</v>
      </c>
      <c r="L8">
        <f>I8/60</f>
        <v>2.2151677458570079E-5</v>
      </c>
      <c r="M8" s="2">
        <f>L8/M$7</f>
        <v>999.99999999999989</v>
      </c>
      <c r="O8">
        <f>M8</f>
        <v>999.99999999999989</v>
      </c>
    </row>
    <row r="9" spans="1:19" x14ac:dyDescent="0.25">
      <c r="H9" t="s">
        <v>35</v>
      </c>
      <c r="I9">
        <f>INTERCEPT(G11:G16,C11:C16)</f>
        <v>1.9520328889400113E-2</v>
      </c>
      <c r="K9" t="s">
        <v>37</v>
      </c>
      <c r="L9">
        <f>I9/60</f>
        <v>3.2533881482333521E-4</v>
      </c>
      <c r="M9" s="2">
        <f>L9/M$7</f>
        <v>14686.870347936903</v>
      </c>
      <c r="O9" s="4">
        <f>M9/P5</f>
        <v>1.000059263784346</v>
      </c>
    </row>
    <row r="10" spans="1:19" x14ac:dyDescent="0.25">
      <c r="A10" t="s">
        <v>0</v>
      </c>
      <c r="B10" t="s">
        <v>19</v>
      </c>
      <c r="C10" t="s">
        <v>20</v>
      </c>
      <c r="D10" t="s">
        <v>21</v>
      </c>
      <c r="E10" t="s">
        <v>30</v>
      </c>
      <c r="F10" t="s">
        <v>31</v>
      </c>
      <c r="G10" t="s">
        <v>32</v>
      </c>
      <c r="H10" t="s">
        <v>33</v>
      </c>
      <c r="N10" t="s">
        <v>40</v>
      </c>
      <c r="O10" t="s">
        <v>45</v>
      </c>
    </row>
    <row r="11" spans="1:19" x14ac:dyDescent="0.25">
      <c r="A11">
        <v>17.5</v>
      </c>
      <c r="B11" s="6">
        <f>7+2/60</f>
        <v>7.0333333333333332</v>
      </c>
      <c r="C11" s="6">
        <v>201</v>
      </c>
      <c r="D11" s="6">
        <v>2</v>
      </c>
      <c r="E11" s="6">
        <v>85465</v>
      </c>
      <c r="F11">
        <v>985</v>
      </c>
      <c r="G11">
        <f t="shared" ref="G11:G16" si="0">D11/B11</f>
        <v>0.28436018957345971</v>
      </c>
      <c r="H11">
        <f>D11/E11</f>
        <v>2.340139238284678E-5</v>
      </c>
      <c r="N11">
        <f>1/C11*O$6</f>
        <v>73.06467661691542</v>
      </c>
      <c r="O11">
        <f t="shared" ref="O11:O16" si="1">N11*O$9+O$8</f>
        <v>1073.0690067061537</v>
      </c>
      <c r="P11" s="2">
        <f>O11*E11</f>
        <v>91709842.658141419</v>
      </c>
      <c r="Q11" s="2">
        <f>P11*M7</f>
        <v>2.0315268543393601</v>
      </c>
      <c r="R11" s="2">
        <f t="shared" ref="R11:R16" si="2">2^31/P11</f>
        <v>23.416065121875551</v>
      </c>
      <c r="S11" s="5">
        <f>(N11*O9+O8)/N11*P5*60*M7</f>
        <v>0.28666955903975527</v>
      </c>
    </row>
    <row r="12" spans="1:19" x14ac:dyDescent="0.25">
      <c r="A12">
        <v>12.3</v>
      </c>
      <c r="B12" s="6">
        <f>8+44/60</f>
        <v>8.7333333333333325</v>
      </c>
      <c r="C12" s="6">
        <v>156</v>
      </c>
      <c r="D12" s="6">
        <v>2</v>
      </c>
      <c r="E12" s="6">
        <v>82535</v>
      </c>
      <c r="F12">
        <v>1260</v>
      </c>
      <c r="G12">
        <f t="shared" si="0"/>
        <v>0.22900763358778628</v>
      </c>
      <c r="H12">
        <f t="shared" ref="H12:H16" si="3">D12/E12</f>
        <v>2.4232143938934998E-5</v>
      </c>
      <c r="N12">
        <f t="shared" ref="N12:N16" si="4">1/C12*O$6</f>
        <v>94.141025641025635</v>
      </c>
      <c r="O12">
        <f t="shared" si="1"/>
        <v>1094.1466047944673</v>
      </c>
      <c r="P12" s="2">
        <f t="shared" ref="P12:P17" si="5">O12*E12</f>
        <v>90305390.02671136</v>
      </c>
      <c r="R12" s="2">
        <f t="shared" si="2"/>
        <v>23.780237783866472</v>
      </c>
    </row>
    <row r="13" spans="1:19" x14ac:dyDescent="0.25">
      <c r="A13">
        <v>6.2</v>
      </c>
      <c r="B13" s="6">
        <f>13+7/60</f>
        <v>13.116666666666667</v>
      </c>
      <c r="C13" s="6">
        <v>98</v>
      </c>
      <c r="D13" s="6">
        <v>2</v>
      </c>
      <c r="E13" s="6">
        <v>77411</v>
      </c>
      <c r="F13">
        <v>2035</v>
      </c>
      <c r="G13">
        <f t="shared" si="0"/>
        <v>0.15247776365946633</v>
      </c>
      <c r="H13">
        <f t="shared" si="3"/>
        <v>2.5836121481443206E-5</v>
      </c>
      <c r="N13">
        <f t="shared" si="4"/>
        <v>149.85714285714283</v>
      </c>
      <c r="O13">
        <f t="shared" si="1"/>
        <v>1149.8660239585397</v>
      </c>
      <c r="P13" s="2">
        <f t="shared" si="5"/>
        <v>89012278.78065452</v>
      </c>
      <c r="R13" s="2">
        <f t="shared" si="2"/>
        <v>24.125701278717553</v>
      </c>
    </row>
    <row r="14" spans="1:19" x14ac:dyDescent="0.25">
      <c r="A14">
        <v>2.1</v>
      </c>
      <c r="B14" s="6">
        <f>21+55/60</f>
        <v>21.916666666666668</v>
      </c>
      <c r="C14" s="6">
        <v>56</v>
      </c>
      <c r="D14" s="6">
        <v>2</v>
      </c>
      <c r="E14" s="6">
        <v>70492</v>
      </c>
      <c r="F14">
        <f>(3620+3800)/2</f>
        <v>3710</v>
      </c>
      <c r="G14">
        <f t="shared" si="0"/>
        <v>9.1254752851711016E-2</v>
      </c>
      <c r="H14">
        <f t="shared" si="3"/>
        <v>2.8372013845542756E-5</v>
      </c>
      <c r="N14">
        <f t="shared" si="4"/>
        <v>262.25</v>
      </c>
      <c r="O14">
        <f t="shared" si="1"/>
        <v>1262.2655419274447</v>
      </c>
      <c r="P14" s="2">
        <f t="shared" si="5"/>
        <v>88979622.581549436</v>
      </c>
      <c r="R14" s="2">
        <f t="shared" si="2"/>
        <v>24.134555594814312</v>
      </c>
    </row>
    <row r="15" spans="1:19" x14ac:dyDescent="0.25">
      <c r="A15">
        <v>1.8</v>
      </c>
      <c r="B15" s="6">
        <f>23+8/60</f>
        <v>23.133333333333333</v>
      </c>
      <c r="C15" s="6">
        <v>49.5</v>
      </c>
      <c r="D15" s="6">
        <v>2</v>
      </c>
      <c r="E15" s="6">
        <v>69354</v>
      </c>
      <c r="F15">
        <f>(3925+4050)/2</f>
        <v>3987.5</v>
      </c>
      <c r="G15">
        <f t="shared" si="0"/>
        <v>8.645533141210375E-2</v>
      </c>
      <c r="H15">
        <f t="shared" si="3"/>
        <v>2.8837558035585546E-5</v>
      </c>
      <c r="N15">
        <f t="shared" si="4"/>
        <v>296.68686868686871</v>
      </c>
      <c r="O15">
        <f t="shared" si="1"/>
        <v>1296.7044514734728</v>
      </c>
      <c r="P15" s="2">
        <f t="shared" si="5"/>
        <v>89931640.527491227</v>
      </c>
      <c r="R15" s="2">
        <f t="shared" si="2"/>
        <v>23.879066760085792</v>
      </c>
    </row>
    <row r="16" spans="1:19" x14ac:dyDescent="0.25">
      <c r="A16">
        <v>1.2</v>
      </c>
      <c r="B16" s="6">
        <f>26+54/60</f>
        <v>26.9</v>
      </c>
      <c r="C16" s="6">
        <v>42</v>
      </c>
      <c r="D16" s="6">
        <v>2</v>
      </c>
      <c r="E16" s="6">
        <v>68421</v>
      </c>
      <c r="F16">
        <f>(4530+4890)/2</f>
        <v>4710</v>
      </c>
      <c r="G16">
        <f t="shared" si="0"/>
        <v>7.434944237918216E-2</v>
      </c>
      <c r="H16">
        <f t="shared" si="3"/>
        <v>2.9230791715993627E-5</v>
      </c>
      <c r="N16">
        <f t="shared" si="4"/>
        <v>349.66666666666663</v>
      </c>
      <c r="O16">
        <f t="shared" si="1"/>
        <v>1349.6873892365929</v>
      </c>
      <c r="P16" s="2">
        <f t="shared" si="5"/>
        <v>92346960.858956918</v>
      </c>
      <c r="R16" s="2">
        <f t="shared" si="2"/>
        <v>23.254513500231894</v>
      </c>
    </row>
    <row r="17" spans="3:16" x14ac:dyDescent="0.25">
      <c r="C17">
        <f>(G17-I9)/I8</f>
        <v>7.8847836920400605</v>
      </c>
      <c r="G17">
        <v>0.03</v>
      </c>
      <c r="N17">
        <f t="shared" ref="N17" si="6">1/C17*O$6</f>
        <v>1862.5748750502801</v>
      </c>
      <c r="O17">
        <f t="shared" ref="O17" si="7">N17*O$9+O$8</f>
        <v>2862.6852582860033</v>
      </c>
      <c r="P17" s="2">
        <f t="shared" si="5"/>
        <v>0</v>
      </c>
    </row>
  </sheetData>
  <sortState xmlns:xlrd2="http://schemas.microsoft.com/office/spreadsheetml/2017/richdata2" ref="A11:O16">
    <sortCondition descending="1" ref="A11:A16"/>
  </sortState>
  <mergeCells count="4">
    <mergeCell ref="A2:C2"/>
    <mergeCell ref="A3:C3"/>
    <mergeCell ref="A5:C5"/>
    <mergeCell ref="A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2024-05-21T22:15:42Z</dcterms:created>
  <dcterms:modified xsi:type="dcterms:W3CDTF">2025-06-16T13:12:06Z</dcterms:modified>
</cp:coreProperties>
</file>