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P\G3-ESP\Project.Drawings\EE.Drawings\"/>
    </mc:Choice>
  </mc:AlternateContent>
  <bookViews>
    <workbookView xWindow="480" yWindow="150" windowWidth="22035" windowHeight="14115" firstSheet="2" activeTab="9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CalibrationOld" sheetId="8" r:id="rId8"/>
    <sheet name="Sheet8" sheetId="9" r:id="rId9"/>
    <sheet name="Calibration" sheetId="10" r:id="rId10"/>
    <sheet name="Design Calc" sheetId="11" r:id="rId11"/>
    <sheet name="E96 calc" sheetId="12" r:id="rId12"/>
    <sheet name="Sheet9" sheetId="13" r:id="rId13"/>
  </sheets>
  <calcPr calcId="162913"/>
</workbook>
</file>

<file path=xl/calcChain.xml><?xml version="1.0" encoding="utf-8"?>
<calcChain xmlns="http://schemas.openxmlformats.org/spreadsheetml/2006/main">
  <c r="B18" i="10" l="1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G33" i="10"/>
  <c r="G25" i="10"/>
  <c r="G24" i="10"/>
  <c r="D112" i="11" l="1"/>
  <c r="C112" i="11"/>
  <c r="B112" i="11"/>
  <c r="L35" i="13"/>
  <c r="L33" i="13"/>
  <c r="L32" i="13"/>
  <c r="L25" i="13"/>
  <c r="L17" i="13"/>
  <c r="E112" i="11"/>
  <c r="D111" i="11"/>
  <c r="C111" i="11"/>
  <c r="B111" i="11"/>
  <c r="E111" i="11"/>
  <c r="B27" i="13"/>
  <c r="B25" i="13"/>
  <c r="B24" i="13"/>
  <c r="B22" i="13"/>
  <c r="B21" i="13"/>
  <c r="B19" i="13"/>
  <c r="B18" i="13"/>
  <c r="A9" i="13"/>
  <c r="A10" i="13"/>
  <c r="A8" i="13"/>
  <c r="A7" i="13"/>
  <c r="D31" i="11"/>
  <c r="C31" i="11"/>
  <c r="B31" i="11"/>
  <c r="E31" i="11"/>
  <c r="Q1" i="12"/>
  <c r="Q2" i="12" s="1"/>
  <c r="Q3" i="12" s="1"/>
  <c r="E21" i="11"/>
  <c r="E54" i="11"/>
  <c r="E29" i="11" s="1"/>
  <c r="E53" i="11"/>
  <c r="E57" i="11" s="1"/>
  <c r="E13" i="11"/>
  <c r="R97" i="12" l="1"/>
  <c r="S97" i="12" s="1"/>
  <c r="P97" i="12" s="1"/>
  <c r="R93" i="12"/>
  <c r="S93" i="12" s="1"/>
  <c r="P93" i="12" s="1"/>
  <c r="R89" i="12"/>
  <c r="S89" i="12" s="1"/>
  <c r="P89" i="12" s="1"/>
  <c r="R81" i="12"/>
  <c r="S81" i="12" s="1"/>
  <c r="P81" i="12" s="1"/>
  <c r="R77" i="12"/>
  <c r="S77" i="12" s="1"/>
  <c r="P77" i="12" s="1"/>
  <c r="R69" i="12"/>
  <c r="S69" i="12" s="1"/>
  <c r="P69" i="12" s="1"/>
  <c r="R65" i="12"/>
  <c r="S65" i="12" s="1"/>
  <c r="P65" i="12" s="1"/>
  <c r="R57" i="12"/>
  <c r="S57" i="12" s="1"/>
  <c r="P57" i="12" s="1"/>
  <c r="R53" i="12"/>
  <c r="S53" i="12" s="1"/>
  <c r="P53" i="12" s="1"/>
  <c r="R45" i="12"/>
  <c r="S45" i="12" s="1"/>
  <c r="P45" i="12" s="1"/>
  <c r="R41" i="12"/>
  <c r="S41" i="12" s="1"/>
  <c r="P41" i="12" s="1"/>
  <c r="R33" i="12"/>
  <c r="S33" i="12" s="1"/>
  <c r="P33" i="12" s="1"/>
  <c r="R29" i="12"/>
  <c r="S29" i="12" s="1"/>
  <c r="P29" i="12" s="1"/>
  <c r="R21" i="12"/>
  <c r="S21" i="12" s="1"/>
  <c r="P21" i="12" s="1"/>
  <c r="R17" i="12"/>
  <c r="S17" i="12" s="1"/>
  <c r="P17" i="12" s="1"/>
  <c r="R9" i="12"/>
  <c r="S9" i="12" s="1"/>
  <c r="P9" i="12" s="1"/>
  <c r="R5" i="12"/>
  <c r="S5" i="12" s="1"/>
  <c r="P5" i="12" s="1"/>
  <c r="R101" i="12"/>
  <c r="S101" i="12" s="1"/>
  <c r="P101" i="12" s="1"/>
  <c r="R85" i="12"/>
  <c r="S85" i="12" s="1"/>
  <c r="P85" i="12" s="1"/>
  <c r="R73" i="12"/>
  <c r="S73" i="12" s="1"/>
  <c r="P73" i="12" s="1"/>
  <c r="R61" i="12"/>
  <c r="S61" i="12" s="1"/>
  <c r="P61" i="12" s="1"/>
  <c r="R49" i="12"/>
  <c r="S49" i="12" s="1"/>
  <c r="P49" i="12" s="1"/>
  <c r="R37" i="12"/>
  <c r="S37" i="12" s="1"/>
  <c r="P37" i="12" s="1"/>
  <c r="R25" i="12"/>
  <c r="S25" i="12" s="1"/>
  <c r="P25" i="12" s="1"/>
  <c r="R13" i="12"/>
  <c r="S13" i="12" s="1"/>
  <c r="P13" i="12" s="1"/>
  <c r="R100" i="12"/>
  <c r="S100" i="12" s="1"/>
  <c r="P100" i="12" s="1"/>
  <c r="R96" i="12"/>
  <c r="S96" i="12" s="1"/>
  <c r="P96" i="12" s="1"/>
  <c r="R92" i="12"/>
  <c r="S92" i="12" s="1"/>
  <c r="P92" i="12" s="1"/>
  <c r="R88" i="12"/>
  <c r="S88" i="12" s="1"/>
  <c r="P88" i="12" s="1"/>
  <c r="R84" i="12"/>
  <c r="S84" i="12" s="1"/>
  <c r="P84" i="12" s="1"/>
  <c r="R80" i="12"/>
  <c r="S80" i="12" s="1"/>
  <c r="P80" i="12" s="1"/>
  <c r="R76" i="12"/>
  <c r="S76" i="12" s="1"/>
  <c r="P76" i="12" s="1"/>
  <c r="R72" i="12"/>
  <c r="S72" i="12" s="1"/>
  <c r="P72" i="12" s="1"/>
  <c r="R68" i="12"/>
  <c r="S68" i="12" s="1"/>
  <c r="P68" i="12" s="1"/>
  <c r="R64" i="12"/>
  <c r="S64" i="12" s="1"/>
  <c r="P64" i="12" s="1"/>
  <c r="R60" i="12"/>
  <c r="S60" i="12" s="1"/>
  <c r="P60" i="12" s="1"/>
  <c r="R56" i="12"/>
  <c r="S56" i="12" s="1"/>
  <c r="P56" i="12" s="1"/>
  <c r="R52" i="12"/>
  <c r="S52" i="12" s="1"/>
  <c r="P52" i="12" s="1"/>
  <c r="R48" i="12"/>
  <c r="S48" i="12" s="1"/>
  <c r="P48" i="12" s="1"/>
  <c r="R44" i="12"/>
  <c r="S44" i="12" s="1"/>
  <c r="P44" i="12" s="1"/>
  <c r="R40" i="12"/>
  <c r="S40" i="12" s="1"/>
  <c r="P40" i="12" s="1"/>
  <c r="R36" i="12"/>
  <c r="S36" i="12" s="1"/>
  <c r="P36" i="12" s="1"/>
  <c r="R32" i="12"/>
  <c r="S32" i="12" s="1"/>
  <c r="P32" i="12" s="1"/>
  <c r="R28" i="12"/>
  <c r="S28" i="12" s="1"/>
  <c r="P28" i="12" s="1"/>
  <c r="R24" i="12"/>
  <c r="S24" i="12" s="1"/>
  <c r="P24" i="12" s="1"/>
  <c r="R20" i="12"/>
  <c r="S20" i="12" s="1"/>
  <c r="P20" i="12" s="1"/>
  <c r="R16" i="12"/>
  <c r="S16" i="12" s="1"/>
  <c r="P16" i="12" s="1"/>
  <c r="R12" i="12"/>
  <c r="S12" i="12" s="1"/>
  <c r="P12" i="12" s="1"/>
  <c r="R8" i="12"/>
  <c r="S8" i="12" s="1"/>
  <c r="P8" i="12" s="1"/>
  <c r="R99" i="12"/>
  <c r="S99" i="12" s="1"/>
  <c r="P99" i="12" s="1"/>
  <c r="R95" i="12"/>
  <c r="S95" i="12" s="1"/>
  <c r="P95" i="12" s="1"/>
  <c r="R91" i="12"/>
  <c r="S91" i="12" s="1"/>
  <c r="P91" i="12" s="1"/>
  <c r="R87" i="12"/>
  <c r="S87" i="12" s="1"/>
  <c r="P87" i="12" s="1"/>
  <c r="R83" i="12"/>
  <c r="S83" i="12" s="1"/>
  <c r="P83" i="12" s="1"/>
  <c r="R79" i="12"/>
  <c r="S79" i="12" s="1"/>
  <c r="P79" i="12" s="1"/>
  <c r="R75" i="12"/>
  <c r="S75" i="12" s="1"/>
  <c r="P75" i="12" s="1"/>
  <c r="R71" i="12"/>
  <c r="S71" i="12" s="1"/>
  <c r="P71" i="12" s="1"/>
  <c r="R67" i="12"/>
  <c r="S67" i="12" s="1"/>
  <c r="P67" i="12" s="1"/>
  <c r="R63" i="12"/>
  <c r="S63" i="12" s="1"/>
  <c r="P63" i="12" s="1"/>
  <c r="R59" i="12"/>
  <c r="S59" i="12" s="1"/>
  <c r="P59" i="12" s="1"/>
  <c r="R55" i="12"/>
  <c r="S55" i="12" s="1"/>
  <c r="P55" i="12" s="1"/>
  <c r="R51" i="12"/>
  <c r="S51" i="12" s="1"/>
  <c r="P51" i="12" s="1"/>
  <c r="R47" i="12"/>
  <c r="S47" i="12" s="1"/>
  <c r="P47" i="12" s="1"/>
  <c r="R43" i="12"/>
  <c r="S43" i="12" s="1"/>
  <c r="P43" i="12" s="1"/>
  <c r="R39" i="12"/>
  <c r="S39" i="12" s="1"/>
  <c r="P39" i="12" s="1"/>
  <c r="R35" i="12"/>
  <c r="S35" i="12" s="1"/>
  <c r="P35" i="12" s="1"/>
  <c r="R31" i="12"/>
  <c r="S31" i="12" s="1"/>
  <c r="P31" i="12" s="1"/>
  <c r="R27" i="12"/>
  <c r="S27" i="12" s="1"/>
  <c r="P27" i="12" s="1"/>
  <c r="R23" i="12"/>
  <c r="S23" i="12" s="1"/>
  <c r="P23" i="12" s="1"/>
  <c r="R19" i="12"/>
  <c r="S19" i="12" s="1"/>
  <c r="P19" i="12" s="1"/>
  <c r="R15" i="12"/>
  <c r="S15" i="12" s="1"/>
  <c r="P15" i="12" s="1"/>
  <c r="R11" i="12"/>
  <c r="S11" i="12" s="1"/>
  <c r="P11" i="12" s="1"/>
  <c r="R7" i="12"/>
  <c r="S7" i="12" s="1"/>
  <c r="P7" i="12" s="1"/>
  <c r="R98" i="12"/>
  <c r="S98" i="12" s="1"/>
  <c r="P98" i="12" s="1"/>
  <c r="R94" i="12"/>
  <c r="S94" i="12" s="1"/>
  <c r="P94" i="12" s="1"/>
  <c r="R90" i="12"/>
  <c r="S90" i="12" s="1"/>
  <c r="P90" i="12" s="1"/>
  <c r="R86" i="12"/>
  <c r="S86" i="12" s="1"/>
  <c r="P86" i="12" s="1"/>
  <c r="R82" i="12"/>
  <c r="S82" i="12" s="1"/>
  <c r="P82" i="12" s="1"/>
  <c r="R78" i="12"/>
  <c r="S78" i="12" s="1"/>
  <c r="P78" i="12" s="1"/>
  <c r="R74" i="12"/>
  <c r="S74" i="12" s="1"/>
  <c r="P74" i="12" s="1"/>
  <c r="R70" i="12"/>
  <c r="S70" i="12" s="1"/>
  <c r="P70" i="12" s="1"/>
  <c r="R66" i="12"/>
  <c r="S66" i="12" s="1"/>
  <c r="P66" i="12" s="1"/>
  <c r="R62" i="12"/>
  <c r="S62" i="12" s="1"/>
  <c r="P62" i="12" s="1"/>
  <c r="R58" i="12"/>
  <c r="S58" i="12" s="1"/>
  <c r="P58" i="12" s="1"/>
  <c r="R54" i="12"/>
  <c r="S54" i="12" s="1"/>
  <c r="P54" i="12" s="1"/>
  <c r="R50" i="12"/>
  <c r="S50" i="12" s="1"/>
  <c r="P50" i="12" s="1"/>
  <c r="R46" i="12"/>
  <c r="S46" i="12" s="1"/>
  <c r="P46" i="12" s="1"/>
  <c r="R42" i="12"/>
  <c r="S42" i="12" s="1"/>
  <c r="P42" i="12" s="1"/>
  <c r="R38" i="12"/>
  <c r="S38" i="12" s="1"/>
  <c r="P38" i="12" s="1"/>
  <c r="R34" i="12"/>
  <c r="S34" i="12" s="1"/>
  <c r="P34" i="12" s="1"/>
  <c r="R30" i="12"/>
  <c r="S30" i="12" s="1"/>
  <c r="P30" i="12" s="1"/>
  <c r="R26" i="12"/>
  <c r="S26" i="12" s="1"/>
  <c r="P26" i="12" s="1"/>
  <c r="R22" i="12"/>
  <c r="S22" i="12" s="1"/>
  <c r="P22" i="12" s="1"/>
  <c r="R18" i="12"/>
  <c r="S18" i="12" s="1"/>
  <c r="P18" i="12" s="1"/>
  <c r="R14" i="12"/>
  <c r="S14" i="12" s="1"/>
  <c r="P14" i="12" s="1"/>
  <c r="R10" i="12"/>
  <c r="S10" i="12" s="1"/>
  <c r="P10" i="12" s="1"/>
  <c r="R6" i="12"/>
  <c r="S6" i="12" s="1"/>
  <c r="P6" i="12" s="1"/>
  <c r="E79" i="11"/>
  <c r="E61" i="11"/>
  <c r="E65" i="11" s="1"/>
  <c r="E69" i="11" s="1"/>
  <c r="E73" i="11" s="1"/>
  <c r="E83" i="11"/>
  <c r="E87" i="11"/>
  <c r="E46" i="11"/>
  <c r="E39" i="11" s="1"/>
  <c r="E55" i="11"/>
  <c r="E59" i="11" s="1"/>
  <c r="E58" i="11"/>
  <c r="E28" i="11"/>
  <c r="E45" i="11" s="1"/>
  <c r="E38" i="11" s="1"/>
  <c r="S1" i="12" l="1"/>
  <c r="S2" i="12" s="1"/>
  <c r="E96" i="11"/>
  <c r="E92" i="11"/>
  <c r="E100" i="11"/>
  <c r="E80" i="11"/>
  <c r="E62" i="11"/>
  <c r="E66" i="11" s="1"/>
  <c r="E70" i="11" s="1"/>
  <c r="E74" i="11" s="1"/>
  <c r="E84" i="11"/>
  <c r="E88" i="11"/>
  <c r="E81" i="11"/>
  <c r="E63" i="11"/>
  <c r="E67" i="11" s="1"/>
  <c r="E71" i="11" s="1"/>
  <c r="E75" i="11" s="1"/>
  <c r="E77" i="11" s="1"/>
  <c r="E34" i="11" s="1"/>
  <c r="E85" i="11"/>
  <c r="E89" i="11"/>
  <c r="S3" i="12" l="1"/>
  <c r="E37" i="11" s="1"/>
  <c r="E35" i="11"/>
  <c r="E102" i="11"/>
  <c r="E42" i="11"/>
  <c r="E33" i="11" s="1"/>
  <c r="E98" i="11"/>
  <c r="E93" i="11"/>
  <c r="E94" i="11"/>
  <c r="E101" i="11"/>
  <c r="E97" i="11"/>
  <c r="E50" i="11" l="1"/>
  <c r="E49" i="11"/>
  <c r="E40" i="10"/>
  <c r="C25" i="10"/>
  <c r="E25" i="10"/>
  <c r="D25" i="10"/>
  <c r="F25" i="10"/>
  <c r="E107" i="11" l="1"/>
  <c r="E108" i="11" s="1"/>
  <c r="E43" i="11" s="1"/>
  <c r="E36" i="11" s="1"/>
  <c r="E44" i="11" l="1"/>
  <c r="E40" i="11" s="1"/>
  <c r="B47" i="10"/>
  <c r="B48" i="10" s="1"/>
  <c r="F24" i="10"/>
  <c r="E24" i="10"/>
  <c r="D24" i="10"/>
  <c r="C24" i="10"/>
  <c r="B50" i="10" l="1"/>
  <c r="B49" i="10"/>
  <c r="B15" i="10" s="1"/>
  <c r="L1" i="12"/>
  <c r="L2" i="12" s="1"/>
  <c r="L3" i="12" s="1"/>
  <c r="G1" i="12"/>
  <c r="G2" i="12" s="1"/>
  <c r="G3" i="12" s="1"/>
  <c r="B1" i="12"/>
  <c r="B2" i="12" s="1"/>
  <c r="B3" i="12" s="1"/>
  <c r="C100" i="12" s="1"/>
  <c r="M85" i="12" l="1"/>
  <c r="N85" i="12" s="1"/>
  <c r="K85" i="12" s="1"/>
  <c r="M77" i="12"/>
  <c r="N77" i="12" s="1"/>
  <c r="K77" i="12" s="1"/>
  <c r="M57" i="12"/>
  <c r="N57" i="12" s="1"/>
  <c r="K57" i="12" s="1"/>
  <c r="M37" i="12"/>
  <c r="N37" i="12" s="1"/>
  <c r="K37" i="12" s="1"/>
  <c r="M13" i="12"/>
  <c r="N13" i="12" s="1"/>
  <c r="K13" i="12" s="1"/>
  <c r="M89" i="12"/>
  <c r="N89" i="12" s="1"/>
  <c r="K89" i="12" s="1"/>
  <c r="M65" i="12"/>
  <c r="N65" i="12" s="1"/>
  <c r="K65" i="12" s="1"/>
  <c r="M41" i="12"/>
  <c r="N41" i="12" s="1"/>
  <c r="K41" i="12" s="1"/>
  <c r="M17" i="12"/>
  <c r="N17" i="12" s="1"/>
  <c r="K17" i="12" s="1"/>
  <c r="M100" i="12"/>
  <c r="N100" i="12" s="1"/>
  <c r="K100" i="12" s="1"/>
  <c r="M96" i="12"/>
  <c r="N96" i="12" s="1"/>
  <c r="K96" i="12" s="1"/>
  <c r="M92" i="12"/>
  <c r="N92" i="12" s="1"/>
  <c r="K92" i="12" s="1"/>
  <c r="M88" i="12"/>
  <c r="N88" i="12" s="1"/>
  <c r="K88" i="12" s="1"/>
  <c r="M84" i="12"/>
  <c r="N84" i="12" s="1"/>
  <c r="K84" i="12" s="1"/>
  <c r="M80" i="12"/>
  <c r="N80" i="12" s="1"/>
  <c r="K80" i="12" s="1"/>
  <c r="M76" i="12"/>
  <c r="N76" i="12" s="1"/>
  <c r="K76" i="12" s="1"/>
  <c r="M72" i="12"/>
  <c r="N72" i="12" s="1"/>
  <c r="K72" i="12" s="1"/>
  <c r="M68" i="12"/>
  <c r="N68" i="12" s="1"/>
  <c r="K68" i="12" s="1"/>
  <c r="M64" i="12"/>
  <c r="N64" i="12" s="1"/>
  <c r="K64" i="12" s="1"/>
  <c r="M60" i="12"/>
  <c r="N60" i="12" s="1"/>
  <c r="K60" i="12" s="1"/>
  <c r="M56" i="12"/>
  <c r="N56" i="12" s="1"/>
  <c r="K56" i="12" s="1"/>
  <c r="M52" i="12"/>
  <c r="N52" i="12" s="1"/>
  <c r="K52" i="12" s="1"/>
  <c r="M48" i="12"/>
  <c r="N48" i="12" s="1"/>
  <c r="K48" i="12" s="1"/>
  <c r="M44" i="12"/>
  <c r="N44" i="12" s="1"/>
  <c r="K44" i="12" s="1"/>
  <c r="M40" i="12"/>
  <c r="N40" i="12" s="1"/>
  <c r="K40" i="12" s="1"/>
  <c r="M36" i="12"/>
  <c r="N36" i="12" s="1"/>
  <c r="K36" i="12" s="1"/>
  <c r="M32" i="12"/>
  <c r="N32" i="12" s="1"/>
  <c r="K32" i="12" s="1"/>
  <c r="M28" i="12"/>
  <c r="N28" i="12" s="1"/>
  <c r="K28" i="12" s="1"/>
  <c r="M24" i="12"/>
  <c r="N24" i="12" s="1"/>
  <c r="K24" i="12" s="1"/>
  <c r="M20" i="12"/>
  <c r="N20" i="12" s="1"/>
  <c r="K20" i="12" s="1"/>
  <c r="M16" i="12"/>
  <c r="N16" i="12" s="1"/>
  <c r="K16" i="12" s="1"/>
  <c r="M12" i="12"/>
  <c r="N12" i="12" s="1"/>
  <c r="K12" i="12" s="1"/>
  <c r="M8" i="12"/>
  <c r="N8" i="12" s="1"/>
  <c r="K8" i="12" s="1"/>
  <c r="M81" i="12"/>
  <c r="N81" i="12" s="1"/>
  <c r="K81" i="12" s="1"/>
  <c r="M53" i="12"/>
  <c r="N53" i="12" s="1"/>
  <c r="K53" i="12" s="1"/>
  <c r="M29" i="12"/>
  <c r="N29" i="12" s="1"/>
  <c r="K29" i="12" s="1"/>
  <c r="M9" i="12"/>
  <c r="N9" i="12" s="1"/>
  <c r="K9" i="12" s="1"/>
  <c r="M99" i="12"/>
  <c r="N99" i="12" s="1"/>
  <c r="K99" i="12" s="1"/>
  <c r="M95" i="12"/>
  <c r="N95" i="12" s="1"/>
  <c r="K95" i="12" s="1"/>
  <c r="M91" i="12"/>
  <c r="N91" i="12" s="1"/>
  <c r="K91" i="12" s="1"/>
  <c r="M87" i="12"/>
  <c r="N87" i="12" s="1"/>
  <c r="K87" i="12" s="1"/>
  <c r="M83" i="12"/>
  <c r="N83" i="12" s="1"/>
  <c r="K83" i="12" s="1"/>
  <c r="M79" i="12"/>
  <c r="N79" i="12" s="1"/>
  <c r="K79" i="12" s="1"/>
  <c r="M75" i="12"/>
  <c r="N75" i="12" s="1"/>
  <c r="K75" i="12" s="1"/>
  <c r="M71" i="12"/>
  <c r="N71" i="12" s="1"/>
  <c r="K71" i="12" s="1"/>
  <c r="M67" i="12"/>
  <c r="N67" i="12" s="1"/>
  <c r="K67" i="12" s="1"/>
  <c r="M63" i="12"/>
  <c r="N63" i="12" s="1"/>
  <c r="K63" i="12" s="1"/>
  <c r="M59" i="12"/>
  <c r="N59" i="12" s="1"/>
  <c r="K59" i="12" s="1"/>
  <c r="M55" i="12"/>
  <c r="N55" i="12" s="1"/>
  <c r="K55" i="12" s="1"/>
  <c r="M51" i="12"/>
  <c r="N51" i="12" s="1"/>
  <c r="K51" i="12" s="1"/>
  <c r="M47" i="12"/>
  <c r="N47" i="12" s="1"/>
  <c r="K47" i="12" s="1"/>
  <c r="M43" i="12"/>
  <c r="N43" i="12" s="1"/>
  <c r="K43" i="12" s="1"/>
  <c r="M39" i="12"/>
  <c r="N39" i="12" s="1"/>
  <c r="K39" i="12" s="1"/>
  <c r="M35" i="12"/>
  <c r="N35" i="12" s="1"/>
  <c r="K35" i="12" s="1"/>
  <c r="M31" i="12"/>
  <c r="N31" i="12" s="1"/>
  <c r="K31" i="12" s="1"/>
  <c r="M27" i="12"/>
  <c r="N27" i="12" s="1"/>
  <c r="K27" i="12" s="1"/>
  <c r="M23" i="12"/>
  <c r="N23" i="12" s="1"/>
  <c r="K23" i="12" s="1"/>
  <c r="M19" i="12"/>
  <c r="N19" i="12" s="1"/>
  <c r="K19" i="12" s="1"/>
  <c r="M15" i="12"/>
  <c r="N15" i="12" s="1"/>
  <c r="K15" i="12" s="1"/>
  <c r="M11" i="12"/>
  <c r="N11" i="12" s="1"/>
  <c r="K11" i="12" s="1"/>
  <c r="M7" i="12"/>
  <c r="N7" i="12" s="1"/>
  <c r="K7" i="12" s="1"/>
  <c r="M66" i="12"/>
  <c r="N66" i="12" s="1"/>
  <c r="K66" i="12" s="1"/>
  <c r="M50" i="12"/>
  <c r="N50" i="12" s="1"/>
  <c r="K50" i="12" s="1"/>
  <c r="M42" i="12"/>
  <c r="N42" i="12" s="1"/>
  <c r="K42" i="12" s="1"/>
  <c r="M34" i="12"/>
  <c r="N34" i="12" s="1"/>
  <c r="K34" i="12" s="1"/>
  <c r="M26" i="12"/>
  <c r="N26" i="12" s="1"/>
  <c r="K26" i="12" s="1"/>
  <c r="M18" i="12"/>
  <c r="N18" i="12" s="1"/>
  <c r="K18" i="12" s="1"/>
  <c r="M10" i="12"/>
  <c r="N10" i="12" s="1"/>
  <c r="K10" i="12" s="1"/>
  <c r="M97" i="12"/>
  <c r="N97" i="12" s="1"/>
  <c r="K97" i="12" s="1"/>
  <c r="M69" i="12"/>
  <c r="N69" i="12" s="1"/>
  <c r="K69" i="12" s="1"/>
  <c r="M45" i="12"/>
  <c r="N45" i="12" s="1"/>
  <c r="K45" i="12" s="1"/>
  <c r="M21" i="12"/>
  <c r="N21" i="12" s="1"/>
  <c r="K21" i="12" s="1"/>
  <c r="M5" i="12"/>
  <c r="N5" i="12" s="1"/>
  <c r="K5" i="12" s="1"/>
  <c r="M101" i="12"/>
  <c r="N101" i="12" s="1"/>
  <c r="K101" i="12" s="1"/>
  <c r="M73" i="12"/>
  <c r="N73" i="12" s="1"/>
  <c r="K73" i="12" s="1"/>
  <c r="M49" i="12"/>
  <c r="N49" i="12" s="1"/>
  <c r="K49" i="12" s="1"/>
  <c r="M25" i="12"/>
  <c r="N25" i="12" s="1"/>
  <c r="K25" i="12" s="1"/>
  <c r="M98" i="12"/>
  <c r="N98" i="12" s="1"/>
  <c r="K98" i="12" s="1"/>
  <c r="M94" i="12"/>
  <c r="N94" i="12" s="1"/>
  <c r="K94" i="12" s="1"/>
  <c r="M90" i="12"/>
  <c r="N90" i="12" s="1"/>
  <c r="K90" i="12" s="1"/>
  <c r="M86" i="12"/>
  <c r="N86" i="12" s="1"/>
  <c r="K86" i="12" s="1"/>
  <c r="M82" i="12"/>
  <c r="N82" i="12" s="1"/>
  <c r="K82" i="12" s="1"/>
  <c r="M78" i="12"/>
  <c r="N78" i="12" s="1"/>
  <c r="K78" i="12" s="1"/>
  <c r="M74" i="12"/>
  <c r="N74" i="12" s="1"/>
  <c r="K74" i="12" s="1"/>
  <c r="M70" i="12"/>
  <c r="N70" i="12" s="1"/>
  <c r="K70" i="12" s="1"/>
  <c r="M62" i="12"/>
  <c r="N62" i="12" s="1"/>
  <c r="K62" i="12" s="1"/>
  <c r="M58" i="12"/>
  <c r="N58" i="12" s="1"/>
  <c r="K58" i="12" s="1"/>
  <c r="M54" i="12"/>
  <c r="N54" i="12" s="1"/>
  <c r="K54" i="12" s="1"/>
  <c r="M46" i="12"/>
  <c r="N46" i="12" s="1"/>
  <c r="K46" i="12" s="1"/>
  <c r="M38" i="12"/>
  <c r="N38" i="12" s="1"/>
  <c r="K38" i="12" s="1"/>
  <c r="M30" i="12"/>
  <c r="N30" i="12" s="1"/>
  <c r="K30" i="12" s="1"/>
  <c r="M22" i="12"/>
  <c r="N22" i="12" s="1"/>
  <c r="K22" i="12" s="1"/>
  <c r="M14" i="12"/>
  <c r="N14" i="12" s="1"/>
  <c r="K14" i="12" s="1"/>
  <c r="M6" i="12"/>
  <c r="N6" i="12" s="1"/>
  <c r="K6" i="12" s="1"/>
  <c r="M93" i="12"/>
  <c r="N93" i="12" s="1"/>
  <c r="K93" i="12" s="1"/>
  <c r="M61" i="12"/>
  <c r="N61" i="12" s="1"/>
  <c r="K61" i="12" s="1"/>
  <c r="M33" i="12"/>
  <c r="N33" i="12" s="1"/>
  <c r="K33" i="12" s="1"/>
  <c r="H101" i="12"/>
  <c r="I101" i="12" s="1"/>
  <c r="F101" i="12" s="1"/>
  <c r="H97" i="12"/>
  <c r="I97" i="12" s="1"/>
  <c r="F97" i="12" s="1"/>
  <c r="H93" i="12"/>
  <c r="I93" i="12" s="1"/>
  <c r="F93" i="12" s="1"/>
  <c r="H89" i="12"/>
  <c r="I89" i="12" s="1"/>
  <c r="F89" i="12" s="1"/>
  <c r="H85" i="12"/>
  <c r="I85" i="12" s="1"/>
  <c r="F85" i="12" s="1"/>
  <c r="H81" i="12"/>
  <c r="I81" i="12" s="1"/>
  <c r="F81" i="12" s="1"/>
  <c r="H77" i="12"/>
  <c r="I77" i="12" s="1"/>
  <c r="F77" i="12" s="1"/>
  <c r="H73" i="12"/>
  <c r="I73" i="12" s="1"/>
  <c r="F73" i="12" s="1"/>
  <c r="H65" i="12"/>
  <c r="I65" i="12" s="1"/>
  <c r="F65" i="12" s="1"/>
  <c r="H61" i="12"/>
  <c r="I61" i="12" s="1"/>
  <c r="F61" i="12" s="1"/>
  <c r="H57" i="12"/>
  <c r="I57" i="12" s="1"/>
  <c r="F57" i="12" s="1"/>
  <c r="H53" i="12"/>
  <c r="I53" i="12" s="1"/>
  <c r="F53" i="12" s="1"/>
  <c r="H49" i="12"/>
  <c r="I49" i="12" s="1"/>
  <c r="F49" i="12" s="1"/>
  <c r="H45" i="12"/>
  <c r="I45" i="12" s="1"/>
  <c r="F45" i="12" s="1"/>
  <c r="H41" i="12"/>
  <c r="I41" i="12" s="1"/>
  <c r="F41" i="12" s="1"/>
  <c r="H37" i="12"/>
  <c r="I37" i="12" s="1"/>
  <c r="F37" i="12" s="1"/>
  <c r="H33" i="12"/>
  <c r="I33" i="12" s="1"/>
  <c r="F33" i="12" s="1"/>
  <c r="H29" i="12"/>
  <c r="I29" i="12" s="1"/>
  <c r="F29" i="12" s="1"/>
  <c r="H25" i="12"/>
  <c r="I25" i="12" s="1"/>
  <c r="F25" i="12" s="1"/>
  <c r="H17" i="12"/>
  <c r="I17" i="12" s="1"/>
  <c r="F17" i="12" s="1"/>
  <c r="H13" i="12"/>
  <c r="I13" i="12" s="1"/>
  <c r="F13" i="12" s="1"/>
  <c r="H9" i="12"/>
  <c r="I9" i="12" s="1"/>
  <c r="F9" i="12" s="1"/>
  <c r="H5" i="12"/>
  <c r="I5" i="12" s="1"/>
  <c r="F5" i="12" s="1"/>
  <c r="H69" i="12"/>
  <c r="I69" i="12" s="1"/>
  <c r="F69" i="12" s="1"/>
  <c r="H21" i="12"/>
  <c r="I21" i="12" s="1"/>
  <c r="F21" i="12" s="1"/>
  <c r="H100" i="12"/>
  <c r="I100" i="12" s="1"/>
  <c r="F100" i="12" s="1"/>
  <c r="H96" i="12"/>
  <c r="I96" i="12" s="1"/>
  <c r="F96" i="12" s="1"/>
  <c r="H92" i="12"/>
  <c r="I92" i="12" s="1"/>
  <c r="F92" i="12" s="1"/>
  <c r="H88" i="12"/>
  <c r="I88" i="12" s="1"/>
  <c r="F88" i="12" s="1"/>
  <c r="H84" i="12"/>
  <c r="I84" i="12" s="1"/>
  <c r="F84" i="12" s="1"/>
  <c r="H80" i="12"/>
  <c r="I80" i="12" s="1"/>
  <c r="F80" i="12" s="1"/>
  <c r="H76" i="12"/>
  <c r="I76" i="12" s="1"/>
  <c r="F76" i="12" s="1"/>
  <c r="H72" i="12"/>
  <c r="I72" i="12" s="1"/>
  <c r="F72" i="12" s="1"/>
  <c r="H68" i="12"/>
  <c r="I68" i="12" s="1"/>
  <c r="F68" i="12" s="1"/>
  <c r="H64" i="12"/>
  <c r="I64" i="12" s="1"/>
  <c r="F64" i="12" s="1"/>
  <c r="H60" i="12"/>
  <c r="I60" i="12" s="1"/>
  <c r="F60" i="12" s="1"/>
  <c r="H56" i="12"/>
  <c r="I56" i="12" s="1"/>
  <c r="F56" i="12" s="1"/>
  <c r="H52" i="12"/>
  <c r="I52" i="12" s="1"/>
  <c r="F52" i="12" s="1"/>
  <c r="H48" i="12"/>
  <c r="I48" i="12" s="1"/>
  <c r="F48" i="12" s="1"/>
  <c r="H44" i="12"/>
  <c r="I44" i="12" s="1"/>
  <c r="F44" i="12" s="1"/>
  <c r="H40" i="12"/>
  <c r="I40" i="12" s="1"/>
  <c r="F40" i="12" s="1"/>
  <c r="H36" i="12"/>
  <c r="I36" i="12" s="1"/>
  <c r="F36" i="12" s="1"/>
  <c r="H32" i="12"/>
  <c r="I32" i="12" s="1"/>
  <c r="F32" i="12" s="1"/>
  <c r="H28" i="12"/>
  <c r="I28" i="12" s="1"/>
  <c r="F28" i="12" s="1"/>
  <c r="H24" i="12"/>
  <c r="I24" i="12" s="1"/>
  <c r="F24" i="12" s="1"/>
  <c r="H20" i="12"/>
  <c r="I20" i="12" s="1"/>
  <c r="F20" i="12" s="1"/>
  <c r="H16" i="12"/>
  <c r="I16" i="12" s="1"/>
  <c r="F16" i="12" s="1"/>
  <c r="H12" i="12"/>
  <c r="I12" i="12" s="1"/>
  <c r="F12" i="12" s="1"/>
  <c r="H8" i="12"/>
  <c r="I8" i="12" s="1"/>
  <c r="F8" i="12" s="1"/>
  <c r="H99" i="12"/>
  <c r="I99" i="12" s="1"/>
  <c r="F99" i="12" s="1"/>
  <c r="H95" i="12"/>
  <c r="I95" i="12" s="1"/>
  <c r="F95" i="12" s="1"/>
  <c r="H91" i="12"/>
  <c r="I91" i="12" s="1"/>
  <c r="F91" i="12" s="1"/>
  <c r="H87" i="12"/>
  <c r="I87" i="12" s="1"/>
  <c r="F87" i="12" s="1"/>
  <c r="H83" i="12"/>
  <c r="I83" i="12" s="1"/>
  <c r="F83" i="12" s="1"/>
  <c r="H79" i="12"/>
  <c r="I79" i="12" s="1"/>
  <c r="F79" i="12" s="1"/>
  <c r="H75" i="12"/>
  <c r="I75" i="12" s="1"/>
  <c r="F75" i="12" s="1"/>
  <c r="H71" i="12"/>
  <c r="I71" i="12" s="1"/>
  <c r="F71" i="12" s="1"/>
  <c r="H67" i="12"/>
  <c r="I67" i="12" s="1"/>
  <c r="F67" i="12" s="1"/>
  <c r="H63" i="12"/>
  <c r="I63" i="12" s="1"/>
  <c r="F63" i="12" s="1"/>
  <c r="H59" i="12"/>
  <c r="I59" i="12" s="1"/>
  <c r="F59" i="12" s="1"/>
  <c r="H55" i="12"/>
  <c r="I55" i="12" s="1"/>
  <c r="F55" i="12" s="1"/>
  <c r="H51" i="12"/>
  <c r="I51" i="12" s="1"/>
  <c r="F51" i="12" s="1"/>
  <c r="H47" i="12"/>
  <c r="I47" i="12" s="1"/>
  <c r="F47" i="12" s="1"/>
  <c r="H43" i="12"/>
  <c r="I43" i="12" s="1"/>
  <c r="F43" i="12" s="1"/>
  <c r="H39" i="12"/>
  <c r="I39" i="12" s="1"/>
  <c r="F39" i="12" s="1"/>
  <c r="H35" i="12"/>
  <c r="I35" i="12" s="1"/>
  <c r="F35" i="12" s="1"/>
  <c r="H31" i="12"/>
  <c r="I31" i="12" s="1"/>
  <c r="F31" i="12" s="1"/>
  <c r="H27" i="12"/>
  <c r="I27" i="12" s="1"/>
  <c r="F27" i="12" s="1"/>
  <c r="H23" i="12"/>
  <c r="I23" i="12" s="1"/>
  <c r="F23" i="12" s="1"/>
  <c r="H19" i="12"/>
  <c r="I19" i="12" s="1"/>
  <c r="F19" i="12" s="1"/>
  <c r="H15" i="12"/>
  <c r="I15" i="12" s="1"/>
  <c r="F15" i="12" s="1"/>
  <c r="H11" i="12"/>
  <c r="I11" i="12" s="1"/>
  <c r="F11" i="12" s="1"/>
  <c r="H7" i="12"/>
  <c r="I7" i="12" s="1"/>
  <c r="F7" i="12" s="1"/>
  <c r="H98" i="12"/>
  <c r="I98" i="12" s="1"/>
  <c r="F98" i="12" s="1"/>
  <c r="H94" i="12"/>
  <c r="I94" i="12" s="1"/>
  <c r="F94" i="12" s="1"/>
  <c r="H90" i="12"/>
  <c r="I90" i="12" s="1"/>
  <c r="F90" i="12" s="1"/>
  <c r="H86" i="12"/>
  <c r="I86" i="12" s="1"/>
  <c r="F86" i="12" s="1"/>
  <c r="H82" i="12"/>
  <c r="I82" i="12" s="1"/>
  <c r="F82" i="12" s="1"/>
  <c r="H78" i="12"/>
  <c r="I78" i="12" s="1"/>
  <c r="F78" i="12" s="1"/>
  <c r="H74" i="12"/>
  <c r="I74" i="12" s="1"/>
  <c r="F74" i="12" s="1"/>
  <c r="H70" i="12"/>
  <c r="I70" i="12" s="1"/>
  <c r="F70" i="12" s="1"/>
  <c r="H66" i="12"/>
  <c r="I66" i="12" s="1"/>
  <c r="F66" i="12" s="1"/>
  <c r="H62" i="12"/>
  <c r="I62" i="12" s="1"/>
  <c r="F62" i="12" s="1"/>
  <c r="H58" i="12"/>
  <c r="I58" i="12" s="1"/>
  <c r="F58" i="12" s="1"/>
  <c r="H54" i="12"/>
  <c r="I54" i="12" s="1"/>
  <c r="F54" i="12" s="1"/>
  <c r="H50" i="12"/>
  <c r="I50" i="12" s="1"/>
  <c r="F50" i="12" s="1"/>
  <c r="H46" i="12"/>
  <c r="I46" i="12" s="1"/>
  <c r="F46" i="12" s="1"/>
  <c r="H42" i="12"/>
  <c r="I42" i="12" s="1"/>
  <c r="F42" i="12" s="1"/>
  <c r="H38" i="12"/>
  <c r="I38" i="12" s="1"/>
  <c r="F38" i="12" s="1"/>
  <c r="H34" i="12"/>
  <c r="I34" i="12" s="1"/>
  <c r="F34" i="12" s="1"/>
  <c r="H30" i="12"/>
  <c r="I30" i="12" s="1"/>
  <c r="F30" i="12" s="1"/>
  <c r="H26" i="12"/>
  <c r="I26" i="12" s="1"/>
  <c r="F26" i="12" s="1"/>
  <c r="H22" i="12"/>
  <c r="I22" i="12" s="1"/>
  <c r="F22" i="12" s="1"/>
  <c r="H18" i="12"/>
  <c r="I18" i="12" s="1"/>
  <c r="F18" i="12" s="1"/>
  <c r="H14" i="12"/>
  <c r="I14" i="12" s="1"/>
  <c r="F14" i="12" s="1"/>
  <c r="H10" i="12"/>
  <c r="I10" i="12" s="1"/>
  <c r="F10" i="12" s="1"/>
  <c r="H6" i="12"/>
  <c r="I6" i="12" s="1"/>
  <c r="F6" i="12" s="1"/>
  <c r="C65" i="12"/>
  <c r="C91" i="12"/>
  <c r="C7" i="12"/>
  <c r="C53" i="12"/>
  <c r="C8" i="12"/>
  <c r="C55" i="12"/>
  <c r="C18" i="12"/>
  <c r="C19" i="12"/>
  <c r="C29" i="12"/>
  <c r="C30" i="12"/>
  <c r="C79" i="12"/>
  <c r="C6" i="12"/>
  <c r="C43" i="12"/>
  <c r="C101" i="12"/>
  <c r="C54" i="12"/>
  <c r="C11" i="12"/>
  <c r="C17" i="12"/>
  <c r="C66" i="12"/>
  <c r="C67" i="12"/>
  <c r="C77" i="12"/>
  <c r="C78" i="12"/>
  <c r="C31" i="12"/>
  <c r="C41" i="12"/>
  <c r="C89" i="12"/>
  <c r="C5" i="12"/>
  <c r="C42" i="12"/>
  <c r="C90" i="12"/>
  <c r="C20" i="12"/>
  <c r="C32" i="12"/>
  <c r="C44" i="12"/>
  <c r="C56" i="12"/>
  <c r="C68" i="12"/>
  <c r="C80" i="12"/>
  <c r="C92" i="12"/>
  <c r="C9" i="12"/>
  <c r="C21" i="12"/>
  <c r="C33" i="12"/>
  <c r="C45" i="12"/>
  <c r="C57" i="12"/>
  <c r="C69" i="12"/>
  <c r="C81" i="12"/>
  <c r="C93" i="12"/>
  <c r="C10" i="12"/>
  <c r="C22" i="12"/>
  <c r="C34" i="12"/>
  <c r="C46" i="12"/>
  <c r="C58" i="12"/>
  <c r="C70" i="12"/>
  <c r="C82" i="12"/>
  <c r="C94" i="12"/>
  <c r="C35" i="12"/>
  <c r="C59" i="12"/>
  <c r="C83" i="12"/>
  <c r="C12" i="12"/>
  <c r="C36" i="12"/>
  <c r="C48" i="12"/>
  <c r="C72" i="12"/>
  <c r="C96" i="12"/>
  <c r="C25" i="12"/>
  <c r="C49" i="12"/>
  <c r="C73" i="12"/>
  <c r="C97" i="12"/>
  <c r="C14" i="12"/>
  <c r="C26" i="12"/>
  <c r="C38" i="12"/>
  <c r="C50" i="12"/>
  <c r="C62" i="12"/>
  <c r="C74" i="12"/>
  <c r="C86" i="12"/>
  <c r="C98" i="12"/>
  <c r="C23" i="12"/>
  <c r="C47" i="12"/>
  <c r="C71" i="12"/>
  <c r="C95" i="12"/>
  <c r="C24" i="12"/>
  <c r="C60" i="12"/>
  <c r="C84" i="12"/>
  <c r="C13" i="12"/>
  <c r="C37" i="12"/>
  <c r="C61" i="12"/>
  <c r="C85" i="12"/>
  <c r="C15" i="12"/>
  <c r="C27" i="12"/>
  <c r="C39" i="12"/>
  <c r="C51" i="12"/>
  <c r="C63" i="12"/>
  <c r="C75" i="12"/>
  <c r="C87" i="12"/>
  <c r="C99" i="12"/>
  <c r="C16" i="12"/>
  <c r="C28" i="12"/>
  <c r="C40" i="12"/>
  <c r="C52" i="12"/>
  <c r="C64" i="12"/>
  <c r="C76" i="12"/>
  <c r="C88" i="12"/>
  <c r="E38" i="10"/>
  <c r="N1" i="12" l="1"/>
  <c r="N2" i="12" s="1"/>
  <c r="D35" i="11" s="1"/>
  <c r="I1" i="12"/>
  <c r="I2" i="12" s="1"/>
  <c r="C35" i="11" s="1"/>
  <c r="D24" i="12"/>
  <c r="A24" i="12" s="1"/>
  <c r="D16" i="12"/>
  <c r="A16" i="12" s="1"/>
  <c r="D8" i="12"/>
  <c r="A8" i="12" s="1"/>
  <c r="D74" i="12"/>
  <c r="A74" i="12" s="1"/>
  <c r="D42" i="12"/>
  <c r="A42" i="12" s="1"/>
  <c r="D26" i="12"/>
  <c r="A26" i="12" s="1"/>
  <c r="D6" i="12"/>
  <c r="A6" i="12" s="1"/>
  <c r="D101" i="12"/>
  <c r="A101" i="12" s="1"/>
  <c r="D97" i="12"/>
  <c r="A97" i="12" s="1"/>
  <c r="D93" i="12"/>
  <c r="A93" i="12" s="1"/>
  <c r="D89" i="12"/>
  <c r="A89" i="12" s="1"/>
  <c r="D85" i="12"/>
  <c r="A85" i="12" s="1"/>
  <c r="D81" i="12"/>
  <c r="A81" i="12" s="1"/>
  <c r="D77" i="12"/>
  <c r="A77" i="12" s="1"/>
  <c r="D73" i="12"/>
  <c r="A73" i="12" s="1"/>
  <c r="D69" i="12"/>
  <c r="A69" i="12" s="1"/>
  <c r="D65" i="12"/>
  <c r="A65" i="12" s="1"/>
  <c r="D61" i="12"/>
  <c r="A61" i="12" s="1"/>
  <c r="D57" i="12"/>
  <c r="A57" i="12" s="1"/>
  <c r="D53" i="12"/>
  <c r="A53" i="12" s="1"/>
  <c r="D49" i="12"/>
  <c r="A49" i="12" s="1"/>
  <c r="D45" i="12"/>
  <c r="A45" i="12" s="1"/>
  <c r="D41" i="12"/>
  <c r="A41" i="12" s="1"/>
  <c r="D37" i="12"/>
  <c r="A37" i="12" s="1"/>
  <c r="D33" i="12"/>
  <c r="A33" i="12" s="1"/>
  <c r="D29" i="12"/>
  <c r="A29" i="12" s="1"/>
  <c r="D25" i="12"/>
  <c r="A25" i="12" s="1"/>
  <c r="D21" i="12"/>
  <c r="A21" i="12" s="1"/>
  <c r="D17" i="12"/>
  <c r="A17" i="12" s="1"/>
  <c r="D13" i="12"/>
  <c r="A13" i="12" s="1"/>
  <c r="D9" i="12"/>
  <c r="A9" i="12" s="1"/>
  <c r="D5" i="12"/>
  <c r="A5" i="12" s="1"/>
  <c r="D100" i="12"/>
  <c r="A100" i="12" s="1"/>
  <c r="D96" i="12"/>
  <c r="A96" i="12" s="1"/>
  <c r="D92" i="12"/>
  <c r="A92" i="12" s="1"/>
  <c r="D88" i="12"/>
  <c r="A88" i="12" s="1"/>
  <c r="D84" i="12"/>
  <c r="A84" i="12" s="1"/>
  <c r="D80" i="12"/>
  <c r="A80" i="12" s="1"/>
  <c r="D76" i="12"/>
  <c r="A76" i="12" s="1"/>
  <c r="D72" i="12"/>
  <c r="A72" i="12" s="1"/>
  <c r="D68" i="12"/>
  <c r="A68" i="12" s="1"/>
  <c r="D64" i="12"/>
  <c r="A64" i="12" s="1"/>
  <c r="D60" i="12"/>
  <c r="A60" i="12" s="1"/>
  <c r="D56" i="12"/>
  <c r="A56" i="12" s="1"/>
  <c r="D52" i="12"/>
  <c r="A52" i="12" s="1"/>
  <c r="D48" i="12"/>
  <c r="A48" i="12" s="1"/>
  <c r="D44" i="12"/>
  <c r="A44" i="12" s="1"/>
  <c r="D40" i="12"/>
  <c r="A40" i="12" s="1"/>
  <c r="D36" i="12"/>
  <c r="A36" i="12" s="1"/>
  <c r="D32" i="12"/>
  <c r="A32" i="12" s="1"/>
  <c r="D28" i="12"/>
  <c r="A28" i="12" s="1"/>
  <c r="D20" i="12"/>
  <c r="A20" i="12" s="1"/>
  <c r="D12" i="12"/>
  <c r="A12" i="12" s="1"/>
  <c r="D50" i="12"/>
  <c r="A50" i="12" s="1"/>
  <c r="D10" i="12"/>
  <c r="A10" i="12" s="1"/>
  <c r="D99" i="12"/>
  <c r="A99" i="12" s="1"/>
  <c r="D95" i="12"/>
  <c r="A95" i="12" s="1"/>
  <c r="D91" i="12"/>
  <c r="A91" i="12" s="1"/>
  <c r="D87" i="12"/>
  <c r="A87" i="12" s="1"/>
  <c r="D83" i="12"/>
  <c r="A83" i="12" s="1"/>
  <c r="D79" i="12"/>
  <c r="A79" i="12" s="1"/>
  <c r="D75" i="12"/>
  <c r="A75" i="12" s="1"/>
  <c r="D71" i="12"/>
  <c r="A71" i="12" s="1"/>
  <c r="D67" i="12"/>
  <c r="A67" i="12" s="1"/>
  <c r="D63" i="12"/>
  <c r="A63" i="12" s="1"/>
  <c r="D59" i="12"/>
  <c r="A59" i="12" s="1"/>
  <c r="D55" i="12"/>
  <c r="A55" i="12" s="1"/>
  <c r="D51" i="12"/>
  <c r="A51" i="12" s="1"/>
  <c r="D47" i="12"/>
  <c r="A47" i="12" s="1"/>
  <c r="D43" i="12"/>
  <c r="A43" i="12" s="1"/>
  <c r="D39" i="12"/>
  <c r="A39" i="12" s="1"/>
  <c r="D35" i="12"/>
  <c r="A35" i="12" s="1"/>
  <c r="D31" i="12"/>
  <c r="A31" i="12" s="1"/>
  <c r="D27" i="12"/>
  <c r="A27" i="12" s="1"/>
  <c r="D23" i="12"/>
  <c r="A23" i="12" s="1"/>
  <c r="D19" i="12"/>
  <c r="A19" i="12" s="1"/>
  <c r="D15" i="12"/>
  <c r="A15" i="12" s="1"/>
  <c r="D11" i="12"/>
  <c r="A11" i="12" s="1"/>
  <c r="D7" i="12"/>
  <c r="A7" i="12" s="1"/>
  <c r="D82" i="12"/>
  <c r="A82" i="12" s="1"/>
  <c r="D54" i="12"/>
  <c r="A54" i="12" s="1"/>
  <c r="D34" i="12"/>
  <c r="A34" i="12" s="1"/>
  <c r="D18" i="12"/>
  <c r="A18" i="12" s="1"/>
  <c r="D94" i="12"/>
  <c r="A94" i="12" s="1"/>
  <c r="D90" i="12"/>
  <c r="A90" i="12" s="1"/>
  <c r="D78" i="12"/>
  <c r="A78" i="12" s="1"/>
  <c r="D66" i="12"/>
  <c r="A66" i="12" s="1"/>
  <c r="D58" i="12"/>
  <c r="A58" i="12" s="1"/>
  <c r="D38" i="12"/>
  <c r="A38" i="12" s="1"/>
  <c r="D22" i="12"/>
  <c r="A22" i="12" s="1"/>
  <c r="D98" i="12"/>
  <c r="A98" i="12" s="1"/>
  <c r="D86" i="12"/>
  <c r="A86" i="12" s="1"/>
  <c r="D70" i="12"/>
  <c r="A70" i="12" s="1"/>
  <c r="D62" i="12"/>
  <c r="A62" i="12" s="1"/>
  <c r="D46" i="12"/>
  <c r="A46" i="12" s="1"/>
  <c r="D30" i="12"/>
  <c r="A30" i="12" s="1"/>
  <c r="D14" i="12"/>
  <c r="A14" i="12" s="1"/>
  <c r="I3" i="12" l="1"/>
  <c r="C37" i="11" s="1"/>
  <c r="N3" i="12"/>
  <c r="D37" i="11" s="1"/>
  <c r="D1" i="12"/>
  <c r="D2" i="12" s="1"/>
  <c r="B35" i="11" s="1"/>
  <c r="D54" i="11"/>
  <c r="D13" i="11"/>
  <c r="C54" i="11"/>
  <c r="C13" i="11"/>
  <c r="B54" i="11"/>
  <c r="B13" i="11"/>
  <c r="O3" i="7"/>
  <c r="F6" i="7"/>
  <c r="B53" i="11" l="1"/>
  <c r="B57" i="11" s="1"/>
  <c r="B29" i="11"/>
  <c r="B28" i="11"/>
  <c r="C29" i="11"/>
  <c r="C28" i="11"/>
  <c r="C45" i="11" s="1"/>
  <c r="C38" i="11" s="1"/>
  <c r="D55" i="11"/>
  <c r="D59" i="11" s="1"/>
  <c r="D89" i="11" s="1"/>
  <c r="D28" i="11"/>
  <c r="D29" i="11"/>
  <c r="D3" i="12"/>
  <c r="B37" i="11" s="1"/>
  <c r="D53" i="11"/>
  <c r="D57" i="11" s="1"/>
  <c r="D58" i="11"/>
  <c r="C58" i="11"/>
  <c r="C80" i="11" s="1"/>
  <c r="C55" i="11"/>
  <c r="C59" i="11" s="1"/>
  <c r="C53" i="11"/>
  <c r="C57" i="11" s="1"/>
  <c r="B55" i="11"/>
  <c r="B59" i="11" s="1"/>
  <c r="B58" i="11"/>
  <c r="O27" i="7"/>
  <c r="O26" i="7"/>
  <c r="O25" i="7"/>
  <c r="D46" i="11" l="1"/>
  <c r="D39" i="11" s="1"/>
  <c r="B46" i="11"/>
  <c r="B39" i="11" s="1"/>
  <c r="C46" i="11"/>
  <c r="C39" i="11" s="1"/>
  <c r="D45" i="11"/>
  <c r="D38" i="11" s="1"/>
  <c r="B45" i="11"/>
  <c r="B38" i="11" s="1"/>
  <c r="D85" i="11"/>
  <c r="D81" i="11"/>
  <c r="D63" i="11"/>
  <c r="D67" i="11" s="1"/>
  <c r="D71" i="11" s="1"/>
  <c r="D75" i="11" s="1"/>
  <c r="C84" i="11"/>
  <c r="C88" i="11"/>
  <c r="D88" i="11"/>
  <c r="D80" i="11"/>
  <c r="D84" i="11"/>
  <c r="D62" i="11"/>
  <c r="D66" i="11" s="1"/>
  <c r="D70" i="11" s="1"/>
  <c r="D74" i="11" s="1"/>
  <c r="D83" i="11"/>
  <c r="D61" i="11"/>
  <c r="D65" i="11" s="1"/>
  <c r="D69" i="11" s="1"/>
  <c r="D73" i="11" s="1"/>
  <c r="D87" i="11"/>
  <c r="D79" i="11"/>
  <c r="C62" i="11"/>
  <c r="C66" i="11" s="1"/>
  <c r="C70" i="11" s="1"/>
  <c r="C74" i="11" s="1"/>
  <c r="C87" i="11"/>
  <c r="C83" i="11"/>
  <c r="C79" i="11"/>
  <c r="C61" i="11"/>
  <c r="C65" i="11" s="1"/>
  <c r="C69" i="11" s="1"/>
  <c r="C73" i="11" s="1"/>
  <c r="C42" i="11" s="1"/>
  <c r="C81" i="11"/>
  <c r="C63" i="11"/>
  <c r="C67" i="11" s="1"/>
  <c r="C71" i="11" s="1"/>
  <c r="C75" i="11" s="1"/>
  <c r="C85" i="11"/>
  <c r="C89" i="11"/>
  <c r="B80" i="11"/>
  <c r="B84" i="11"/>
  <c r="B62" i="11"/>
  <c r="B66" i="11" s="1"/>
  <c r="B70" i="11" s="1"/>
  <c r="B74" i="11" s="1"/>
  <c r="B88" i="11"/>
  <c r="B85" i="11"/>
  <c r="B63" i="11"/>
  <c r="B67" i="11" s="1"/>
  <c r="B71" i="11" s="1"/>
  <c r="B75" i="11" s="1"/>
  <c r="B89" i="11"/>
  <c r="B81" i="11"/>
  <c r="B83" i="11"/>
  <c r="B61" i="11"/>
  <c r="B65" i="11" s="1"/>
  <c r="B69" i="11" s="1"/>
  <c r="B73" i="11" s="1"/>
  <c r="B87" i="11"/>
  <c r="B79" i="11"/>
  <c r="D102" i="11" l="1"/>
  <c r="D94" i="11"/>
  <c r="D98" i="11"/>
  <c r="C98" i="11"/>
  <c r="D93" i="11"/>
  <c r="D101" i="11"/>
  <c r="D97" i="11"/>
  <c r="D77" i="11"/>
  <c r="D34" i="11" s="1"/>
  <c r="D42" i="11"/>
  <c r="D33" i="11" s="1"/>
  <c r="D92" i="11"/>
  <c r="D96" i="11"/>
  <c r="D100" i="11"/>
  <c r="B94" i="11"/>
  <c r="B77" i="11"/>
  <c r="B34" i="11" s="1"/>
  <c r="B42" i="11"/>
  <c r="B33" i="11" s="1"/>
  <c r="B101" i="11"/>
  <c r="C97" i="11"/>
  <c r="C93" i="11"/>
  <c r="C102" i="11"/>
  <c r="C101" i="11"/>
  <c r="C33" i="11"/>
  <c r="C77" i="11"/>
  <c r="C34" i="11" s="1"/>
  <c r="C96" i="11"/>
  <c r="C92" i="11"/>
  <c r="C94" i="11"/>
  <c r="C100" i="11"/>
  <c r="B92" i="11"/>
  <c r="B100" i="11"/>
  <c r="B102" i="11"/>
  <c r="B97" i="11"/>
  <c r="B96" i="11"/>
  <c r="B98" i="11"/>
  <c r="B93" i="11"/>
  <c r="K41" i="10"/>
  <c r="K43" i="10" s="1"/>
  <c r="L43" i="10" s="1"/>
  <c r="O20" i="7"/>
  <c r="O18" i="7"/>
  <c r="O19" i="7" s="1"/>
  <c r="O22" i="7" s="1"/>
  <c r="O28" i="7"/>
  <c r="B54" i="10" l="1"/>
  <c r="D49" i="11"/>
  <c r="D50" i="11"/>
  <c r="C50" i="11"/>
  <c r="C49" i="11"/>
  <c r="B50" i="11"/>
  <c r="B49" i="11"/>
  <c r="O21" i="7"/>
  <c r="O23" i="7" s="1"/>
  <c r="B37" i="10"/>
  <c r="B38" i="10" s="1"/>
  <c r="B39" i="10" s="1"/>
  <c r="B11" i="9"/>
  <c r="B30" i="9"/>
  <c r="B18" i="9"/>
  <c r="B17" i="9"/>
  <c r="B8" i="9"/>
  <c r="B7" i="9"/>
  <c r="B20" i="9" s="1"/>
  <c r="B41" i="10" l="1"/>
  <c r="B40" i="10"/>
  <c r="B19" i="9"/>
  <c r="B21" i="9" s="1"/>
  <c r="B32" i="9"/>
  <c r="D107" i="11"/>
  <c r="D108" i="11" s="1"/>
  <c r="D43" i="11" s="1"/>
  <c r="D36" i="11" s="1"/>
  <c r="C107" i="11"/>
  <c r="C108" i="11" s="1"/>
  <c r="C44" i="11" s="1"/>
  <c r="C40" i="11" s="1"/>
  <c r="B107" i="11"/>
  <c r="B108" i="11" s="1"/>
  <c r="B44" i="11" s="1"/>
  <c r="B40" i="11" s="1"/>
  <c r="P4" i="7"/>
  <c r="O24" i="7"/>
  <c r="B1" i="7"/>
  <c r="B8" i="7" s="1"/>
  <c r="B34" i="9"/>
  <c r="B35" i="9"/>
  <c r="B31" i="9"/>
  <c r="B28" i="8"/>
  <c r="B27" i="8"/>
  <c r="B26" i="8"/>
  <c r="B25" i="8"/>
  <c r="B24" i="8"/>
  <c r="B23" i="8"/>
  <c r="B22" i="8"/>
  <c r="B21" i="8"/>
  <c r="B20" i="8"/>
  <c r="B51" i="10" l="1"/>
  <c r="B52" i="10" s="1"/>
  <c r="B53" i="10" s="1"/>
  <c r="B14" i="10" s="1"/>
  <c r="C43" i="11"/>
  <c r="C36" i="11" s="1"/>
  <c r="D44" i="11"/>
  <c r="D40" i="11" s="1"/>
  <c r="B43" i="11"/>
  <c r="B36" i="11" s="1"/>
  <c r="O33" i="7"/>
  <c r="O36" i="7" s="1"/>
  <c r="O32" i="7"/>
  <c r="O35" i="7" s="1"/>
  <c r="O38" i="7" s="1"/>
  <c r="B45" i="10"/>
  <c r="B46" i="10"/>
  <c r="B23" i="9"/>
  <c r="B22" i="9"/>
  <c r="B28" i="9" s="1"/>
  <c r="B31" i="8"/>
  <c r="B33" i="8" s="1"/>
  <c r="B44" i="8"/>
  <c r="B42" i="8"/>
  <c r="O44" i="7" l="1"/>
  <c r="O39" i="7"/>
  <c r="O41" i="7" s="1"/>
  <c r="O43" i="7"/>
  <c r="E47" i="10"/>
  <c r="B42" i="10"/>
  <c r="B44" i="10" s="1"/>
  <c r="B59" i="10"/>
  <c r="B60" i="10" s="1"/>
  <c r="B63" i="10" s="1"/>
  <c r="C31" i="9"/>
  <c r="D31" i="9" s="1"/>
  <c r="C34" i="9"/>
  <c r="D34" i="9" s="1"/>
  <c r="B26" i="9"/>
  <c r="B27" i="9"/>
  <c r="B40" i="8"/>
  <c r="B34" i="8"/>
  <c r="B35" i="8"/>
  <c r="B39" i="8"/>
  <c r="B32" i="8"/>
  <c r="E21" i="7"/>
  <c r="D21" i="7"/>
  <c r="D12" i="7"/>
  <c r="D14" i="7" s="1"/>
  <c r="B9" i="7"/>
  <c r="B11" i="7"/>
  <c r="B43" i="10" l="1"/>
  <c r="B12" i="10" s="1"/>
  <c r="B13" i="10"/>
  <c r="O46" i="7"/>
  <c r="O47" i="7" s="1"/>
  <c r="O49" i="7" s="1"/>
  <c r="B64" i="10"/>
  <c r="B65" i="10" s="1"/>
  <c r="B66" i="10" s="1"/>
  <c r="B67" i="10" s="1"/>
  <c r="B68" i="10" s="1"/>
  <c r="B49" i="8"/>
  <c r="B50" i="8" s="1"/>
  <c r="B53" i="8" s="1"/>
  <c r="B41" i="8"/>
  <c r="B12" i="7"/>
  <c r="B15" i="7" s="1"/>
  <c r="B17" i="7" s="1"/>
  <c r="D23" i="7"/>
  <c r="D22" i="7"/>
  <c r="E22" i="6"/>
  <c r="D22" i="6"/>
  <c r="D13" i="6"/>
  <c r="D15" i="6" s="1"/>
  <c r="B10" i="6"/>
  <c r="B9" i="6"/>
  <c r="B12" i="6" l="1"/>
  <c r="B13" i="6" s="1"/>
  <c r="O50" i="7"/>
  <c r="B57" i="10"/>
  <c r="B69" i="10"/>
  <c r="B54" i="8"/>
  <c r="B55" i="8" s="1"/>
  <c r="B56" i="8" s="1"/>
  <c r="B57" i="8" s="1"/>
  <c r="B58" i="8" s="1"/>
  <c r="B36" i="8"/>
  <c r="B14" i="7"/>
  <c r="C15" i="7"/>
  <c r="D24" i="7"/>
  <c r="D26" i="7" s="1"/>
  <c r="B18" i="7"/>
  <c r="D24" i="6"/>
  <c r="D23" i="6"/>
  <c r="L15" i="5"/>
  <c r="L14" i="5"/>
  <c r="H15" i="5"/>
  <c r="H14" i="5"/>
  <c r="D15" i="5"/>
  <c r="D14" i="5"/>
  <c r="B15" i="5"/>
  <c r="B14" i="5"/>
  <c r="D25" i="6" l="1"/>
  <c r="C16" i="6"/>
  <c r="B16" i="6"/>
  <c r="B19" i="6" s="1"/>
  <c r="B15" i="6"/>
  <c r="I12" i="5"/>
  <c r="J12" i="5" s="1"/>
  <c r="I11" i="5"/>
  <c r="J11" i="5" s="1"/>
  <c r="E12" i="5"/>
  <c r="F12" i="5" s="1"/>
  <c r="I13" i="5"/>
  <c r="J13" i="5" s="1"/>
  <c r="M11" i="5"/>
  <c r="N11" i="5" s="1"/>
  <c r="M12" i="5"/>
  <c r="N12" i="5" s="1"/>
  <c r="D27" i="6"/>
  <c r="E12" i="6"/>
  <c r="E13" i="6" s="1"/>
  <c r="B59" i="8"/>
  <c r="B37" i="8"/>
  <c r="B38" i="8"/>
  <c r="E11" i="7"/>
  <c r="E12" i="7" s="1"/>
  <c r="E14" i="7" s="1"/>
  <c r="B18" i="6"/>
  <c r="E13" i="5"/>
  <c r="F13" i="5" s="1"/>
  <c r="E11" i="5"/>
  <c r="F11" i="5" s="1"/>
  <c r="B30" i="4"/>
  <c r="B19" i="4"/>
  <c r="B8" i="4"/>
  <c r="B7" i="4"/>
  <c r="B20" i="4" s="1"/>
  <c r="B18" i="4"/>
  <c r="B17" i="4"/>
  <c r="E23" i="6" l="1"/>
  <c r="E15" i="6"/>
  <c r="F22" i="6"/>
  <c r="F23" i="6" s="1"/>
  <c r="B43" i="8"/>
  <c r="F21" i="7"/>
  <c r="F23" i="7" s="1"/>
  <c r="E22" i="7"/>
  <c r="B21" i="4"/>
  <c r="B22" i="4" s="1"/>
  <c r="B31" i="4"/>
  <c r="B32" i="4"/>
  <c r="B34" i="4"/>
  <c r="B35" i="4"/>
  <c r="B9" i="3"/>
  <c r="B7" i="3" s="1"/>
  <c r="F5" i="3"/>
  <c r="D5" i="3"/>
  <c r="E5" i="3"/>
  <c r="F6" i="3"/>
  <c r="D6" i="3"/>
  <c r="E6" i="3"/>
  <c r="F24" i="6" l="1"/>
  <c r="B47" i="8"/>
  <c r="B11" i="8" s="1"/>
  <c r="F22" i="7"/>
  <c r="B23" i="4"/>
  <c r="B28" i="4"/>
  <c r="B26" i="4"/>
  <c r="B10" i="3"/>
  <c r="E8" i="3" s="1"/>
  <c r="F54" i="3"/>
  <c r="H38" i="3"/>
  <c r="B12" i="3"/>
  <c r="D32" i="3"/>
  <c r="H33" i="3"/>
  <c r="H42" i="3"/>
  <c r="B35" i="3"/>
  <c r="M33" i="3"/>
  <c r="L43" i="3"/>
  <c r="J31" i="3"/>
  <c r="D37" i="3"/>
  <c r="B41" i="3"/>
  <c r="I32" i="3"/>
  <c r="H34" i="3"/>
  <c r="L39" i="3"/>
  <c r="C48" i="3"/>
  <c r="E31" i="3"/>
  <c r="N32" i="3"/>
  <c r="L35" i="3"/>
  <c r="D41" i="3"/>
  <c r="G49" i="3"/>
  <c r="K50" i="3"/>
  <c r="N52" i="3"/>
  <c r="J55" i="3"/>
  <c r="B31" i="3"/>
  <c r="B42" i="3"/>
  <c r="L31" i="3"/>
  <c r="J32" i="3"/>
  <c r="I33" i="3"/>
  <c r="K34" i="3"/>
  <c r="C36" i="3"/>
  <c r="G37" i="3"/>
  <c r="K38" i="3"/>
  <c r="C40" i="3"/>
  <c r="G41" i="3"/>
  <c r="K42" i="3"/>
  <c r="B48" i="3"/>
  <c r="F48" i="3"/>
  <c r="J49" i="3"/>
  <c r="N50" i="3"/>
  <c r="J53" i="3"/>
  <c r="F56" i="3"/>
  <c r="B33" i="3"/>
  <c r="B38" i="3"/>
  <c r="B43" i="3"/>
  <c r="H31" i="3"/>
  <c r="M31" i="3"/>
  <c r="F32" i="3"/>
  <c r="L32" i="3"/>
  <c r="E33" i="3"/>
  <c r="J33" i="3"/>
  <c r="D34" i="3"/>
  <c r="D35" i="3"/>
  <c r="H36" i="3"/>
  <c r="L37" i="3"/>
  <c r="D39" i="3"/>
  <c r="H40" i="3"/>
  <c r="L41" i="3"/>
  <c r="D43" i="3"/>
  <c r="B53" i="3"/>
  <c r="K48" i="3"/>
  <c r="C50" i="3"/>
  <c r="J51" i="3"/>
  <c r="M60" i="3"/>
  <c r="N60" i="3"/>
  <c r="F60" i="3"/>
  <c r="J59" i="3"/>
  <c r="N58" i="3"/>
  <c r="F58" i="3"/>
  <c r="J57" i="3"/>
  <c r="N56" i="3"/>
  <c r="K60" i="3"/>
  <c r="C60" i="3"/>
  <c r="G59" i="3"/>
  <c r="K58" i="3"/>
  <c r="C58" i="3"/>
  <c r="G57" i="3"/>
  <c r="K56" i="3"/>
  <c r="C56" i="3"/>
  <c r="G55" i="3"/>
  <c r="K54" i="3"/>
  <c r="C54" i="3"/>
  <c r="G53" i="3"/>
  <c r="K52" i="3"/>
  <c r="C52" i="3"/>
  <c r="G51" i="3"/>
  <c r="J60" i="3"/>
  <c r="N59" i="3"/>
  <c r="F59" i="3"/>
  <c r="J58" i="3"/>
  <c r="N57" i="3"/>
  <c r="F57" i="3"/>
  <c r="J56" i="3"/>
  <c r="N55" i="3"/>
  <c r="F55" i="3"/>
  <c r="J54" i="3"/>
  <c r="N53" i="3"/>
  <c r="F53" i="3"/>
  <c r="J52" i="3"/>
  <c r="N51" i="3"/>
  <c r="F51" i="3"/>
  <c r="J50" i="3"/>
  <c r="N49" i="3"/>
  <c r="F49" i="3"/>
  <c r="J48" i="3"/>
  <c r="B60" i="3"/>
  <c r="B52" i="3"/>
  <c r="K43" i="3"/>
  <c r="C43" i="3"/>
  <c r="G42" i="3"/>
  <c r="K41" i="3"/>
  <c r="C41" i="3"/>
  <c r="G40" i="3"/>
  <c r="K39" i="3"/>
  <c r="C39" i="3"/>
  <c r="G38" i="3"/>
  <c r="K37" i="3"/>
  <c r="C37" i="3"/>
  <c r="G36" i="3"/>
  <c r="K35" i="3"/>
  <c r="C35" i="3"/>
  <c r="G34" i="3"/>
  <c r="C34" i="3"/>
  <c r="K33" i="3"/>
  <c r="G33" i="3"/>
  <c r="C33" i="3"/>
  <c r="K32" i="3"/>
  <c r="G32" i="3"/>
  <c r="C32" i="3"/>
  <c r="K31" i="3"/>
  <c r="G31" i="3"/>
  <c r="C31" i="3"/>
  <c r="B40" i="3"/>
  <c r="B36" i="3"/>
  <c r="B32" i="3"/>
  <c r="G60" i="3"/>
  <c r="K59" i="3"/>
  <c r="C59" i="3"/>
  <c r="G58" i="3"/>
  <c r="K57" i="3"/>
  <c r="C57" i="3"/>
  <c r="G56" i="3"/>
  <c r="K55" i="3"/>
  <c r="C55" i="3"/>
  <c r="G54" i="3"/>
  <c r="K53" i="3"/>
  <c r="C53" i="3"/>
  <c r="G52" i="3"/>
  <c r="K51" i="3"/>
  <c r="C51" i="3"/>
  <c r="G50" i="3"/>
  <c r="K49" i="3"/>
  <c r="C49" i="3"/>
  <c r="G48" i="3"/>
  <c r="B57" i="3"/>
  <c r="B49" i="3"/>
  <c r="H43" i="3"/>
  <c r="L42" i="3"/>
  <c r="D42" i="3"/>
  <c r="H41" i="3"/>
  <c r="L40" i="3"/>
  <c r="D40" i="3"/>
  <c r="H39" i="3"/>
  <c r="L38" i="3"/>
  <c r="D38" i="3"/>
  <c r="H37" i="3"/>
  <c r="L36" i="3"/>
  <c r="D36" i="3"/>
  <c r="H35" i="3"/>
  <c r="L34" i="3"/>
  <c r="F34" i="3"/>
  <c r="B37" i="3"/>
  <c r="F31" i="3"/>
  <c r="E32" i="3"/>
  <c r="D33" i="3"/>
  <c r="N33" i="3"/>
  <c r="B11" i="3"/>
  <c r="B34" i="3"/>
  <c r="B39" i="3"/>
  <c r="D31" i="3"/>
  <c r="I31" i="3"/>
  <c r="N31" i="3"/>
  <c r="H32" i="3"/>
  <c r="M32" i="3"/>
  <c r="F33" i="3"/>
  <c r="L33" i="3"/>
  <c r="E34" i="3"/>
  <c r="G35" i="3"/>
  <c r="K36" i="3"/>
  <c r="C38" i="3"/>
  <c r="G39" i="3"/>
  <c r="K40" i="3"/>
  <c r="C42" i="3"/>
  <c r="G43" i="3"/>
  <c r="B56" i="3"/>
  <c r="N48" i="3"/>
  <c r="F50" i="3"/>
  <c r="F52" i="3"/>
  <c r="N54" i="3"/>
  <c r="I34" i="3"/>
  <c r="M34" i="3"/>
  <c r="E35" i="3"/>
  <c r="I35" i="3"/>
  <c r="M35" i="3"/>
  <c r="E36" i="3"/>
  <c r="I36" i="3"/>
  <c r="M36" i="3"/>
  <c r="E37" i="3"/>
  <c r="I37" i="3"/>
  <c r="M37" i="3"/>
  <c r="E38" i="3"/>
  <c r="I38" i="3"/>
  <c r="M38" i="3"/>
  <c r="E39" i="3"/>
  <c r="I39" i="3"/>
  <c r="M39" i="3"/>
  <c r="E40" i="3"/>
  <c r="I40" i="3"/>
  <c r="M40" i="3"/>
  <c r="E41" i="3"/>
  <c r="I41" i="3"/>
  <c r="M41" i="3"/>
  <c r="E42" i="3"/>
  <c r="I42" i="3"/>
  <c r="M42" i="3"/>
  <c r="E43" i="3"/>
  <c r="I43" i="3"/>
  <c r="M43" i="3"/>
  <c r="B50" i="3"/>
  <c r="B54" i="3"/>
  <c r="B58" i="3"/>
  <c r="D48" i="3"/>
  <c r="H48" i="3"/>
  <c r="L48" i="3"/>
  <c r="D49" i="3"/>
  <c r="H49" i="3"/>
  <c r="L49" i="3"/>
  <c r="D50" i="3"/>
  <c r="H50" i="3"/>
  <c r="L50" i="3"/>
  <c r="D51" i="3"/>
  <c r="H51" i="3"/>
  <c r="L51" i="3"/>
  <c r="D52" i="3"/>
  <c r="H52" i="3"/>
  <c r="L52" i="3"/>
  <c r="D53" i="3"/>
  <c r="H53" i="3"/>
  <c r="L53" i="3"/>
  <c r="D54" i="3"/>
  <c r="H54" i="3"/>
  <c r="L54" i="3"/>
  <c r="D55" i="3"/>
  <c r="H55" i="3"/>
  <c r="L55" i="3"/>
  <c r="D56" i="3"/>
  <c r="H56" i="3"/>
  <c r="L56" i="3"/>
  <c r="D57" i="3"/>
  <c r="H57" i="3"/>
  <c r="L57" i="3"/>
  <c r="D58" i="3"/>
  <c r="H58" i="3"/>
  <c r="L58" i="3"/>
  <c r="D59" i="3"/>
  <c r="H59" i="3"/>
  <c r="L59" i="3"/>
  <c r="D60" i="3"/>
  <c r="H60" i="3"/>
  <c r="L60" i="3"/>
  <c r="J34" i="3"/>
  <c r="N34" i="3"/>
  <c r="F35" i="3"/>
  <c r="J35" i="3"/>
  <c r="N35" i="3"/>
  <c r="F36" i="3"/>
  <c r="J36" i="3"/>
  <c r="N36" i="3"/>
  <c r="F37" i="3"/>
  <c r="J37" i="3"/>
  <c r="N37" i="3"/>
  <c r="F38" i="3"/>
  <c r="J38" i="3"/>
  <c r="N38" i="3"/>
  <c r="F39" i="3"/>
  <c r="J39" i="3"/>
  <c r="N39" i="3"/>
  <c r="F40" i="3"/>
  <c r="J40" i="3"/>
  <c r="N40" i="3"/>
  <c r="F41" i="3"/>
  <c r="J41" i="3"/>
  <c r="N41" i="3"/>
  <c r="F42" i="3"/>
  <c r="J42" i="3"/>
  <c r="N42" i="3"/>
  <c r="F43" i="3"/>
  <c r="J43" i="3"/>
  <c r="N43" i="3"/>
  <c r="B51" i="3"/>
  <c r="B55" i="3"/>
  <c r="B59" i="3"/>
  <c r="E48" i="3"/>
  <c r="I48" i="3"/>
  <c r="M48" i="3"/>
  <c r="E49" i="3"/>
  <c r="I49" i="3"/>
  <c r="M49" i="3"/>
  <c r="E50" i="3"/>
  <c r="I50" i="3"/>
  <c r="M50" i="3"/>
  <c r="E51" i="3"/>
  <c r="I51" i="3"/>
  <c r="M51" i="3"/>
  <c r="E52" i="3"/>
  <c r="I52" i="3"/>
  <c r="M52" i="3"/>
  <c r="E53" i="3"/>
  <c r="I53" i="3"/>
  <c r="M53" i="3"/>
  <c r="E54" i="3"/>
  <c r="I54" i="3"/>
  <c r="M54" i="3"/>
  <c r="E55" i="3"/>
  <c r="I55" i="3"/>
  <c r="M55" i="3"/>
  <c r="E56" i="3"/>
  <c r="I56" i="3"/>
  <c r="M56" i="3"/>
  <c r="E57" i="3"/>
  <c r="I57" i="3"/>
  <c r="M57" i="3"/>
  <c r="E58" i="3"/>
  <c r="I58" i="3"/>
  <c r="M58" i="3"/>
  <c r="E59" i="3"/>
  <c r="I59" i="3"/>
  <c r="M59" i="3"/>
  <c r="E60" i="3"/>
  <c r="I60" i="3"/>
  <c r="C5" i="1"/>
  <c r="C2" i="1" s="1"/>
  <c r="C4" i="1"/>
  <c r="C3" i="1" s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12" i="8" l="1"/>
  <c r="C31" i="4"/>
  <c r="D31" i="4" s="1"/>
  <c r="B27" i="4"/>
  <c r="C34" i="4"/>
  <c r="D34" i="4" s="1"/>
  <c r="F12" i="3"/>
  <c r="F11" i="3" s="1"/>
  <c r="C60" i="1"/>
  <c r="D60" i="1" s="1"/>
  <c r="E60" i="1" s="1"/>
  <c r="C36" i="1"/>
  <c r="D36" i="1" s="1"/>
  <c r="E36" i="1" s="1"/>
  <c r="C68" i="1"/>
  <c r="D68" i="1" s="1"/>
  <c r="E68" i="1" s="1"/>
  <c r="C12" i="1"/>
  <c r="D12" i="1" s="1"/>
  <c r="E12" i="1" s="1"/>
  <c r="C44" i="1"/>
  <c r="D44" i="1" s="1"/>
  <c r="E44" i="1" s="1"/>
  <c r="C76" i="1"/>
  <c r="D76" i="1" s="1"/>
  <c r="E76" i="1" s="1"/>
  <c r="C20" i="1"/>
  <c r="D20" i="1" s="1"/>
  <c r="E20" i="1" s="1"/>
  <c r="C52" i="1"/>
  <c r="D52" i="1" s="1"/>
  <c r="E52" i="1" s="1"/>
  <c r="C84" i="1"/>
  <c r="D84" i="1" s="1"/>
  <c r="E84" i="1" s="1"/>
  <c r="C79" i="1"/>
  <c r="D79" i="1" s="1"/>
  <c r="E79" i="1" s="1"/>
  <c r="C28" i="1"/>
  <c r="D28" i="1" s="1"/>
  <c r="E28" i="1" s="1"/>
  <c r="C15" i="1"/>
  <c r="D15" i="1" s="1"/>
  <c r="E15" i="1" s="1"/>
  <c r="C23" i="1"/>
  <c r="D23" i="1" s="1"/>
  <c r="E23" i="1" s="1"/>
  <c r="C31" i="1"/>
  <c r="D31" i="1" s="1"/>
  <c r="E31" i="1" s="1"/>
  <c r="C39" i="1"/>
  <c r="D39" i="1" s="1"/>
  <c r="E39" i="1" s="1"/>
  <c r="C47" i="1"/>
  <c r="D47" i="1" s="1"/>
  <c r="E47" i="1" s="1"/>
  <c r="C55" i="1"/>
  <c r="D55" i="1" s="1"/>
  <c r="E55" i="1" s="1"/>
  <c r="C63" i="1"/>
  <c r="D63" i="1" s="1"/>
  <c r="E63" i="1" s="1"/>
  <c r="C71" i="1"/>
  <c r="D71" i="1" s="1"/>
  <c r="E71" i="1" s="1"/>
  <c r="C82" i="1"/>
  <c r="D82" i="1" s="1"/>
  <c r="E82" i="1" s="1"/>
  <c r="C78" i="1"/>
  <c r="D78" i="1" s="1"/>
  <c r="E78" i="1" s="1"/>
  <c r="C74" i="1"/>
  <c r="D74" i="1" s="1"/>
  <c r="E74" i="1" s="1"/>
  <c r="C70" i="1"/>
  <c r="D70" i="1" s="1"/>
  <c r="E70" i="1" s="1"/>
  <c r="C66" i="1"/>
  <c r="D66" i="1" s="1"/>
  <c r="E66" i="1" s="1"/>
  <c r="C62" i="1"/>
  <c r="D62" i="1" s="1"/>
  <c r="E62" i="1" s="1"/>
  <c r="C58" i="1"/>
  <c r="D58" i="1" s="1"/>
  <c r="E58" i="1" s="1"/>
  <c r="C54" i="1"/>
  <c r="D54" i="1" s="1"/>
  <c r="E54" i="1" s="1"/>
  <c r="C50" i="1"/>
  <c r="D50" i="1" s="1"/>
  <c r="E50" i="1" s="1"/>
  <c r="C46" i="1"/>
  <c r="D46" i="1" s="1"/>
  <c r="E46" i="1" s="1"/>
  <c r="C42" i="1"/>
  <c r="D42" i="1" s="1"/>
  <c r="E42" i="1" s="1"/>
  <c r="C38" i="1"/>
  <c r="D38" i="1" s="1"/>
  <c r="E38" i="1" s="1"/>
  <c r="C34" i="1"/>
  <c r="D34" i="1" s="1"/>
  <c r="E34" i="1" s="1"/>
  <c r="C30" i="1"/>
  <c r="D30" i="1" s="1"/>
  <c r="E30" i="1" s="1"/>
  <c r="C26" i="1"/>
  <c r="D26" i="1" s="1"/>
  <c r="E26" i="1" s="1"/>
  <c r="C22" i="1"/>
  <c r="D22" i="1" s="1"/>
  <c r="E22" i="1" s="1"/>
  <c r="C18" i="1"/>
  <c r="D18" i="1" s="1"/>
  <c r="E18" i="1" s="1"/>
  <c r="C14" i="1"/>
  <c r="D14" i="1" s="1"/>
  <c r="E14" i="1" s="1"/>
  <c r="C10" i="1"/>
  <c r="D10" i="1" s="1"/>
  <c r="E10" i="1" s="1"/>
  <c r="C85" i="1"/>
  <c r="D85" i="1" s="1"/>
  <c r="E85" i="1" s="1"/>
  <c r="C81" i="1"/>
  <c r="D81" i="1" s="1"/>
  <c r="E81" i="1" s="1"/>
  <c r="C77" i="1"/>
  <c r="D77" i="1" s="1"/>
  <c r="E77" i="1" s="1"/>
  <c r="C73" i="1"/>
  <c r="D73" i="1" s="1"/>
  <c r="E73" i="1" s="1"/>
  <c r="C69" i="1"/>
  <c r="D69" i="1" s="1"/>
  <c r="E69" i="1" s="1"/>
  <c r="C65" i="1"/>
  <c r="D65" i="1" s="1"/>
  <c r="E65" i="1" s="1"/>
  <c r="C61" i="1"/>
  <c r="D61" i="1" s="1"/>
  <c r="E61" i="1" s="1"/>
  <c r="C57" i="1"/>
  <c r="D57" i="1" s="1"/>
  <c r="E57" i="1" s="1"/>
  <c r="C53" i="1"/>
  <c r="D53" i="1" s="1"/>
  <c r="E53" i="1" s="1"/>
  <c r="C49" i="1"/>
  <c r="D49" i="1" s="1"/>
  <c r="E49" i="1" s="1"/>
  <c r="C45" i="1"/>
  <c r="D45" i="1" s="1"/>
  <c r="E45" i="1" s="1"/>
  <c r="C41" i="1"/>
  <c r="D41" i="1" s="1"/>
  <c r="E41" i="1" s="1"/>
  <c r="C37" i="1"/>
  <c r="D37" i="1" s="1"/>
  <c r="E37" i="1" s="1"/>
  <c r="C33" i="1"/>
  <c r="D33" i="1" s="1"/>
  <c r="E33" i="1" s="1"/>
  <c r="C29" i="1"/>
  <c r="D29" i="1" s="1"/>
  <c r="E29" i="1" s="1"/>
  <c r="C25" i="1"/>
  <c r="D25" i="1" s="1"/>
  <c r="E25" i="1" s="1"/>
  <c r="C21" i="1"/>
  <c r="D21" i="1" s="1"/>
  <c r="E21" i="1" s="1"/>
  <c r="C17" i="1"/>
  <c r="D17" i="1" s="1"/>
  <c r="E17" i="1" s="1"/>
  <c r="C13" i="1"/>
  <c r="D13" i="1" s="1"/>
  <c r="E13" i="1" s="1"/>
  <c r="C16" i="1"/>
  <c r="D16" i="1" s="1"/>
  <c r="E16" i="1" s="1"/>
  <c r="C24" i="1"/>
  <c r="D24" i="1" s="1"/>
  <c r="E24" i="1" s="1"/>
  <c r="C32" i="1"/>
  <c r="D32" i="1" s="1"/>
  <c r="E32" i="1" s="1"/>
  <c r="C40" i="1"/>
  <c r="D40" i="1" s="1"/>
  <c r="E40" i="1" s="1"/>
  <c r="C48" i="1"/>
  <c r="D48" i="1" s="1"/>
  <c r="E48" i="1" s="1"/>
  <c r="C56" i="1"/>
  <c r="D56" i="1" s="1"/>
  <c r="E56" i="1" s="1"/>
  <c r="C64" i="1"/>
  <c r="D64" i="1" s="1"/>
  <c r="E64" i="1" s="1"/>
  <c r="C72" i="1"/>
  <c r="D72" i="1" s="1"/>
  <c r="E72" i="1" s="1"/>
  <c r="C80" i="1"/>
  <c r="D80" i="1" s="1"/>
  <c r="E80" i="1" s="1"/>
  <c r="C11" i="1"/>
  <c r="D11" i="1" s="1"/>
  <c r="E11" i="1" s="1"/>
  <c r="C19" i="1"/>
  <c r="D19" i="1" s="1"/>
  <c r="E19" i="1" s="1"/>
  <c r="C27" i="1"/>
  <c r="D27" i="1" s="1"/>
  <c r="E27" i="1" s="1"/>
  <c r="C35" i="1"/>
  <c r="D35" i="1" s="1"/>
  <c r="E35" i="1" s="1"/>
  <c r="C43" i="1"/>
  <c r="D43" i="1" s="1"/>
  <c r="E43" i="1" s="1"/>
  <c r="C51" i="1"/>
  <c r="D51" i="1" s="1"/>
  <c r="E51" i="1" s="1"/>
  <c r="C59" i="1"/>
  <c r="D59" i="1" s="1"/>
  <c r="E59" i="1" s="1"/>
  <c r="C67" i="1"/>
  <c r="D67" i="1" s="1"/>
  <c r="E67" i="1" s="1"/>
  <c r="C75" i="1"/>
  <c r="D75" i="1" s="1"/>
  <c r="E75" i="1" s="1"/>
  <c r="C83" i="1"/>
  <c r="D83" i="1" s="1"/>
  <c r="E83" i="1" s="1"/>
  <c r="D12" i="3" l="1"/>
  <c r="D11" i="3" s="1"/>
  <c r="E12" i="3"/>
  <c r="E11" i="3" s="1"/>
</calcChain>
</file>

<file path=xl/sharedStrings.xml><?xml version="1.0" encoding="utf-8"?>
<sst xmlns="http://schemas.openxmlformats.org/spreadsheetml/2006/main" count="576" uniqueCount="356">
  <si>
    <t>FS</t>
  </si>
  <si>
    <t>Zero</t>
  </si>
  <si>
    <t>Span</t>
  </si>
  <si>
    <t>Zero TC</t>
  </si>
  <si>
    <t>T</t>
  </si>
  <si>
    <t>Span TC</t>
  </si>
  <si>
    <t>Warm up</t>
  </si>
  <si>
    <t>10v excititaion</t>
  </si>
  <si>
    <t>vin+</t>
  </si>
  <si>
    <t>vin-</t>
  </si>
  <si>
    <t>rg</t>
  </si>
  <si>
    <t>Vo2</t>
  </si>
  <si>
    <t xml:space="preserve">Vo </t>
  </si>
  <si>
    <t>Vin+</t>
  </si>
  <si>
    <t>Vin-</t>
  </si>
  <si>
    <t>vr</t>
  </si>
  <si>
    <t xml:space="preserve">Gain </t>
  </si>
  <si>
    <t>Voff</t>
  </si>
  <si>
    <t>Vfs</t>
  </si>
  <si>
    <t>FS+</t>
  </si>
  <si>
    <t>FS-</t>
  </si>
  <si>
    <t>Bias</t>
  </si>
  <si>
    <t>Calc off</t>
  </si>
  <si>
    <t>Sensor Vfs</t>
  </si>
  <si>
    <t>Sensor ZeroP Voff</t>
  </si>
  <si>
    <t>Vout at ZeroP</t>
  </si>
  <si>
    <t>Vout at MaxP</t>
  </si>
  <si>
    <t>Vout at MinP</t>
  </si>
  <si>
    <t>P at MaxP</t>
  </si>
  <si>
    <t>Pat MinP</t>
  </si>
  <si>
    <t>DeltaV</t>
  </si>
  <si>
    <t>DelatP</t>
  </si>
  <si>
    <t>Excitation V</t>
  </si>
  <si>
    <t>Actual Excitation</t>
  </si>
  <si>
    <t>Full Scale P</t>
  </si>
  <si>
    <t>Scale V/P</t>
  </si>
  <si>
    <t>Gain</t>
  </si>
  <si>
    <t>Sesnor V/P</t>
  </si>
  <si>
    <t>Offset</t>
  </si>
  <si>
    <t>At Max 75psi</t>
  </si>
  <si>
    <t>At -15psi</t>
  </si>
  <si>
    <t>At 0psi</t>
  </si>
  <si>
    <t>Vout</t>
  </si>
  <si>
    <t>Vout2</t>
  </si>
  <si>
    <t>Sensor CMV</t>
  </si>
  <si>
    <t>Sensor V+ at 75</t>
  </si>
  <si>
    <t>Sensor V- at 75</t>
  </si>
  <si>
    <t>Rg</t>
  </si>
  <si>
    <t>Sensor V+ at -15</t>
  </si>
  <si>
    <t>sensor V- at -15</t>
  </si>
  <si>
    <t>PCB</t>
  </si>
  <si>
    <t>Sensor</t>
  </si>
  <si>
    <t>Slope</t>
  </si>
  <si>
    <t>Intercept</t>
  </si>
  <si>
    <t>Gf</t>
  </si>
  <si>
    <t>Gd</t>
  </si>
  <si>
    <t>Ri</t>
  </si>
  <si>
    <t>Vos</t>
  </si>
  <si>
    <t>Gt</t>
  </si>
  <si>
    <t>Vfs33</t>
  </si>
  <si>
    <t>Vos33</t>
  </si>
  <si>
    <t>Vdoh</t>
  </si>
  <si>
    <t>Vdol</t>
  </si>
  <si>
    <t>V0</t>
  </si>
  <si>
    <t>Vp0</t>
  </si>
  <si>
    <t>Vref</t>
  </si>
  <si>
    <t>Vp75</t>
  </si>
  <si>
    <t>Ga</t>
  </si>
  <si>
    <t>Vnewp0</t>
  </si>
  <si>
    <t>VnewRef</t>
  </si>
  <si>
    <t>Sensor Common Ratio</t>
  </si>
  <si>
    <t>Gain final stage</t>
  </si>
  <si>
    <t xml:space="preserve">Gain Total </t>
  </si>
  <si>
    <t>Gain Diff</t>
  </si>
  <si>
    <t>Pressure</t>
  </si>
  <si>
    <t>Vo @ Pressure</t>
  </si>
  <si>
    <t>Vi @ Pressure</t>
  </si>
  <si>
    <t>Pmax</t>
  </si>
  <si>
    <t>Pmin</t>
  </si>
  <si>
    <t>Vi @ Pmax</t>
  </si>
  <si>
    <t>Vmax</t>
  </si>
  <si>
    <t>Vmin</t>
  </si>
  <si>
    <t>ideal Vo @Pressure</t>
  </si>
  <si>
    <t>Gain total final</t>
  </si>
  <si>
    <t>Vref need to be @ P=14.7</t>
  </si>
  <si>
    <t>Vo @ P = Pmin</t>
  </si>
  <si>
    <t>Vi @ Pmin</t>
  </si>
  <si>
    <t>Vsens</t>
  </si>
  <si>
    <t>Vo @ P=Pmin</t>
  </si>
  <si>
    <t>@Pressure Adjust G for Vo</t>
  </si>
  <si>
    <t>Low Vout @ Low Vi</t>
  </si>
  <si>
    <t>High Vout @ High Vi</t>
  </si>
  <si>
    <t>LowVi @ Low Vout</t>
  </si>
  <si>
    <t>High Vi @ High Vout</t>
  </si>
  <si>
    <t>@Pressure Adjust O for Vo</t>
  </si>
  <si>
    <t>Low Pressure Settings</t>
  </si>
  <si>
    <t>High Pressure Settings</t>
  </si>
  <si>
    <t>Steps</t>
  </si>
  <si>
    <t>Remove Jumpers, Install Sensor, Record Vo at Pmin</t>
  </si>
  <si>
    <t>Pressurize to Pressure, Record Vo</t>
  </si>
  <si>
    <t>While at Pressure Adjust Offset to obtain Vo</t>
  </si>
  <si>
    <t>While at pressure Adjust Gain to obtain Vo</t>
  </si>
  <si>
    <t>High</t>
  </si>
  <si>
    <t>Low</t>
  </si>
  <si>
    <t>Amplifier Configuration</t>
  </si>
  <si>
    <t>Selecting amplifier configuration</t>
  </si>
  <si>
    <t>Jumpers</t>
  </si>
  <si>
    <t xml:space="preserve">Low Vi 1-2, 5-6, 7-8 </t>
  </si>
  <si>
    <t>High Vi 1-2, 3-5, 7-8</t>
  </si>
  <si>
    <t>Output stage offest</t>
  </si>
  <si>
    <t>Disconnect Sensor, Power with 3.3V (1-8), Measure Vo (4-8)</t>
  </si>
  <si>
    <t>Install jumpers for High Vi, Measure and record Vout High</t>
  </si>
  <si>
    <t>Install jumpers for Low Vi, Measure and record Vout Low</t>
  </si>
  <si>
    <t>Volts</t>
  </si>
  <si>
    <t>Vi with jumper setting</t>
  </si>
  <si>
    <t>Final gain stage value</t>
  </si>
  <si>
    <t>pressure to use as high point claibration</t>
  </si>
  <si>
    <t>I think this is not used</t>
  </si>
  <si>
    <t>pressure to use as low point calibration (ambient)</t>
  </si>
  <si>
    <t>ideal Vout at ambient pressure</t>
  </si>
  <si>
    <t>ideal Vout at maximum pressure</t>
  </si>
  <si>
    <t>V/psi</t>
  </si>
  <si>
    <t xml:space="preserve">delta V </t>
  </si>
  <si>
    <t>V at psi</t>
  </si>
  <si>
    <t>psi</t>
  </si>
  <si>
    <t>Adjusted V at Pmin</t>
  </si>
  <si>
    <t>New offset</t>
  </si>
  <si>
    <t>V full scale</t>
  </si>
  <si>
    <t>final offset</t>
  </si>
  <si>
    <t>Adjust G until Vo at psi</t>
  </si>
  <si>
    <t>Adjust O until Vo at psi</t>
  </si>
  <si>
    <t>Sensor V+ at Pmax</t>
  </si>
  <si>
    <t>Sensor V- at Pmax</t>
  </si>
  <si>
    <t>Vout at Atm</t>
  </si>
  <si>
    <t>Full Scale Pabs</t>
  </si>
  <si>
    <t>P at MaxPabs</t>
  </si>
  <si>
    <t>Pat MinPabs</t>
  </si>
  <si>
    <t>Sensor V+ at Pmin</t>
  </si>
  <si>
    <t>sensor V- at Pmin</t>
  </si>
  <si>
    <t>Super High Pressure Settings</t>
  </si>
  <si>
    <t>Super High</t>
  </si>
  <si>
    <t>Pfs</t>
  </si>
  <si>
    <t>(35 bar abs)</t>
  </si>
  <si>
    <t>Vfs+</t>
  </si>
  <si>
    <t>Vfs-</t>
  </si>
  <si>
    <t>Rg+</t>
  </si>
  <si>
    <t>Rg-</t>
  </si>
  <si>
    <t>Gt+</t>
  </si>
  <si>
    <t>Gt-</t>
  </si>
  <si>
    <t>Gd+</t>
  </si>
  <si>
    <t>Gd-</t>
  </si>
  <si>
    <t>Delta R</t>
  </si>
  <si>
    <t>Vos+</t>
  </si>
  <si>
    <t>Vos-</t>
  </si>
  <si>
    <t>Roff</t>
  </si>
  <si>
    <t>Delta Vos</t>
  </si>
  <si>
    <t>Ios</t>
  </si>
  <si>
    <t>Rlow</t>
  </si>
  <si>
    <t>Rhigh</t>
  </si>
  <si>
    <t>Vhigh</t>
  </si>
  <si>
    <t>Vlow</t>
  </si>
  <si>
    <t>X</t>
  </si>
  <si>
    <t>Phigh</t>
  </si>
  <si>
    <t>Y</t>
  </si>
  <si>
    <t>E</t>
  </si>
  <si>
    <t>a</t>
  </si>
  <si>
    <t>b</t>
  </si>
  <si>
    <t>c</t>
  </si>
  <si>
    <t>Sensor FS error allowable with given Rg</t>
  </si>
  <si>
    <t>current state</t>
  </si>
  <si>
    <t>of</t>
  </si>
  <si>
    <t>amplifier</t>
  </si>
  <si>
    <t>input voltage at pressure</t>
  </si>
  <si>
    <t>sensor full scale rating</t>
  </si>
  <si>
    <t>sensor actual sensitivity (V/P)</t>
  </si>
  <si>
    <t>input V @ Pmax</t>
  </si>
  <si>
    <t>Vi @ Pmax cal</t>
  </si>
  <si>
    <t>Vi @ Pmin cal</t>
  </si>
  <si>
    <t>Vo @ Pmax cal</t>
  </si>
  <si>
    <t>Pmax cal</t>
  </si>
  <si>
    <t>Pmin cal</t>
  </si>
  <si>
    <t>Vo @ Pmin cal</t>
  </si>
  <si>
    <t>Vref need to be @ Pmin cal</t>
  </si>
  <si>
    <t>pressure to use as high point of calibration</t>
  </si>
  <si>
    <t>pressure at the lowest point of calibration</t>
  </si>
  <si>
    <t>sensor actual FS @10V</t>
  </si>
  <si>
    <t>sensor actual Vos @10V</t>
  </si>
  <si>
    <t>The sensitivity tolerance for our non-amplified sensor is -30%/+50%</t>
  </si>
  <si>
    <t>From Danny Uehara at TE</t>
  </si>
  <si>
    <t>V%+</t>
  </si>
  <si>
    <t>V%-</t>
  </si>
  <si>
    <t>Low Vi 1-2, 5-6, 7-8 (1,3,4)</t>
  </si>
  <si>
    <t>High Vi 1-2, 3-5, 7-8 (1,2,4)</t>
  </si>
  <si>
    <t>z</t>
  </si>
  <si>
    <t>Sample Pressure Setting</t>
  </si>
  <si>
    <t>Plow</t>
  </si>
  <si>
    <t>bar</t>
  </si>
  <si>
    <t>PSI</t>
  </si>
  <si>
    <t>Vfsnom</t>
  </si>
  <si>
    <t>Pfs (bar)</t>
  </si>
  <si>
    <t>Vext</t>
  </si>
  <si>
    <t>Sensor specified excitation V</t>
  </si>
  <si>
    <t>Sensor full scale output V</t>
  </si>
  <si>
    <t>Pressure sensor full scale pressure</t>
  </si>
  <si>
    <t>converted to psi</t>
  </si>
  <si>
    <t>vfs + tolerence across devices</t>
  </si>
  <si>
    <t>vfs - tolerance across devices</t>
  </si>
  <si>
    <t xml:space="preserve">sensor offset </t>
  </si>
  <si>
    <t>amplifier offset reference</t>
  </si>
  <si>
    <t>Vaext</t>
  </si>
  <si>
    <t>Amplifier excitation voltage</t>
  </si>
  <si>
    <t>Amplifier output voltage</t>
  </si>
  <si>
    <t>highest pressure</t>
  </si>
  <si>
    <t>lowest pressure</t>
  </si>
  <si>
    <t>Nominal Vfs at amplifier excitation</t>
  </si>
  <si>
    <t>V/psi nom</t>
  </si>
  <si>
    <t>V/psi +</t>
  </si>
  <si>
    <t>V/psi -</t>
  </si>
  <si>
    <t>V range nom</t>
  </si>
  <si>
    <t>Volts/PSI nominal</t>
  </si>
  <si>
    <t>V range from sensor across Phigh-Plow</t>
  </si>
  <si>
    <t>Gt nom</t>
  </si>
  <si>
    <t>+</t>
  </si>
  <si>
    <t>-</t>
  </si>
  <si>
    <t>Total gain to achieve output Vhigh-Vlow</t>
  </si>
  <si>
    <t>Final amplifier gain</t>
  </si>
  <si>
    <t>Gdiff</t>
  </si>
  <si>
    <t>difference amplifer gain based upon Gf</t>
  </si>
  <si>
    <t>dV low+</t>
  </si>
  <si>
    <t>dV low nom</t>
  </si>
  <si>
    <t>dV low-</t>
  </si>
  <si>
    <t xml:space="preserve"> dV low nom -off</t>
  </si>
  <si>
    <t>dV low + -off</t>
  </si>
  <si>
    <t>dV low - -off</t>
  </si>
  <si>
    <t>dV low nom +off</t>
  </si>
  <si>
    <t>dV low + +off</t>
  </si>
  <si>
    <t>dV low - +off</t>
  </si>
  <si>
    <t>Vref low + +off</t>
  </si>
  <si>
    <t>Vref low - +off</t>
  </si>
  <si>
    <t>Vref low nom +off</t>
  </si>
  <si>
    <t xml:space="preserve">Vref low + </t>
  </si>
  <si>
    <t xml:space="preserve">Vref low nom </t>
  </si>
  <si>
    <t xml:space="preserve">Vref low - </t>
  </si>
  <si>
    <t>Vref low + -off</t>
  </si>
  <si>
    <t>Vref low nom -off</t>
  </si>
  <si>
    <t>Vref low - -off</t>
  </si>
  <si>
    <t>Vref low</t>
  </si>
  <si>
    <t>Vref high</t>
  </si>
  <si>
    <t>sensor voltage Plow, Vfs nom and -Voff</t>
  </si>
  <si>
    <t>sensor voltage Plow, Vfs+ and +Voff</t>
  </si>
  <si>
    <t>sensor voltage Plow, Vfs nom and +Voff</t>
  </si>
  <si>
    <t>sensor voltage Plow, Vfs- and +Voff</t>
  </si>
  <si>
    <t>sensor voltage Plow, Vfs+ and 0 off</t>
  </si>
  <si>
    <t>sensor voltage Plow, Vfs nom and 0 off</t>
  </si>
  <si>
    <t>sensor voltage Plow, Vfs- and 0 off</t>
  </si>
  <si>
    <t>sensor voltage Plow, Vfs+ and -Voff</t>
  </si>
  <si>
    <t>sensor voltage Plow, Vfs- and -Voff</t>
  </si>
  <si>
    <t>Vref at Plow, Vfs+ and +Voff</t>
  </si>
  <si>
    <t>Vref at Plow, Vfs nom  and +Voff</t>
  </si>
  <si>
    <t>Vref at Plow, Vfs- and +Voff</t>
  </si>
  <si>
    <t>Vref at Plow, Vfs+ and -Voff</t>
  </si>
  <si>
    <t>Vref at Plow, Vfs nom  and -Voff</t>
  </si>
  <si>
    <t>Vref at Plow, Vfs- and -Voff</t>
  </si>
  <si>
    <t>Vref at Plow, Vfs+ and 0 off</t>
  </si>
  <si>
    <t>Vref at Plow, Vfs nom  and 0 off</t>
  </si>
  <si>
    <t>Vref at Plow, Vfs- and  0 off</t>
  </si>
  <si>
    <t>Highest Vref</t>
  </si>
  <si>
    <t>Lowest Vref</t>
  </si>
  <si>
    <t>R1</t>
  </si>
  <si>
    <t>dVref</t>
  </si>
  <si>
    <t>Iref</t>
  </si>
  <si>
    <t>R6</t>
  </si>
  <si>
    <t>R16</t>
  </si>
  <si>
    <t>dRg</t>
  </si>
  <si>
    <t>R2 range</t>
  </si>
  <si>
    <t>20 bar</t>
  </si>
  <si>
    <t>35 bar</t>
  </si>
  <si>
    <t>R2</t>
  </si>
  <si>
    <t>5 bar</t>
  </si>
  <si>
    <t>Leak</t>
  </si>
  <si>
    <t>Handoff</t>
  </si>
  <si>
    <t>Position</t>
  </si>
  <si>
    <t>Sensor range</t>
  </si>
  <si>
    <t>Gain Trim pot</t>
  </si>
  <si>
    <t>Minimum Gain Resistor</t>
  </si>
  <si>
    <t>Low Vref Resistor</t>
  </si>
  <si>
    <t>Sample</t>
  </si>
  <si>
    <t xml:space="preserve">XPM4-20BG-/Z02 </t>
  </si>
  <si>
    <t>XPM4-35BA-/HA/SI/ZI/ET1</t>
  </si>
  <si>
    <t>XPM4-5BG-/ET1</t>
  </si>
  <si>
    <t>Part number</t>
  </si>
  <si>
    <t>5 Bar Gauge</t>
  </si>
  <si>
    <t>35 Bar Absolute</t>
  </si>
  <si>
    <t>20 Bar Gauge</t>
  </si>
  <si>
    <t>offest adjust potentiometer</t>
  </si>
  <si>
    <t>R10</t>
  </si>
  <si>
    <t>R5</t>
  </si>
  <si>
    <t>A-B</t>
  </si>
  <si>
    <t>Ratio</t>
  </si>
  <si>
    <t>B</t>
  </si>
  <si>
    <t>A</t>
  </si>
  <si>
    <t>min error</t>
  </si>
  <si>
    <t>Rg mag</t>
  </si>
  <si>
    <t>magnitude of gain resistors</t>
  </si>
  <si>
    <t>Final stage feedback resistor</t>
  </si>
  <si>
    <t>Final stage input resistor</t>
  </si>
  <si>
    <t>High Vref Resistor</t>
  </si>
  <si>
    <t>R1      (E96)</t>
  </si>
  <si>
    <t>R6      (E96)</t>
  </si>
  <si>
    <t>R16    (E96)</t>
  </si>
  <si>
    <t>Vcal low</t>
  </si>
  <si>
    <t>Vcal high</t>
  </si>
  <si>
    <t>R7</t>
  </si>
  <si>
    <t>R17</t>
  </si>
  <si>
    <t>R11</t>
  </si>
  <si>
    <t>Two calibration resistor values</t>
  </si>
  <si>
    <t>two calibration voltages</t>
  </si>
  <si>
    <t>R12</t>
  </si>
  <si>
    <t>R11    (E96)</t>
  </si>
  <si>
    <t>R12    (E96)</t>
  </si>
  <si>
    <t>Vfs actual</t>
  </si>
  <si>
    <t>Vos actual</t>
  </si>
  <si>
    <t>mV</t>
  </si>
  <si>
    <t>Vfs max</t>
  </si>
  <si>
    <t>Vfs min</t>
  </si>
  <si>
    <t>Vos Max</t>
  </si>
  <si>
    <t>Vos Min</t>
  </si>
  <si>
    <t>Output stage offestimum</t>
  </si>
  <si>
    <t>Sensor Excitation Voltage</t>
  </si>
  <si>
    <t>Vos Maximum (mV)</t>
  </si>
  <si>
    <t>Vos Minimum  (mV)</t>
  </si>
  <si>
    <t>Maximum sensitivity (mV at FS)</t>
  </si>
  <si>
    <t>Minimum sensitivity (mV at FS)</t>
  </si>
  <si>
    <t>Ideal Vo @ Pmax</t>
  </si>
  <si>
    <t>Ideal M</t>
  </si>
  <si>
    <t>Ideal B</t>
  </si>
  <si>
    <t>Ideal Vref</t>
  </si>
  <si>
    <t>Ideal Vo @ Pmin</t>
  </si>
  <si>
    <t>Offset Final</t>
  </si>
  <si>
    <t>Leak2</t>
  </si>
  <si>
    <t>50 Bar</t>
  </si>
  <si>
    <t>XPM4-50BS-/ET1</t>
  </si>
  <si>
    <t>Vo2 min</t>
  </si>
  <si>
    <t>Vo2 max</t>
  </si>
  <si>
    <t>diff amp interal voltage</t>
  </si>
  <si>
    <t>Vp</t>
  </si>
  <si>
    <t>Vn</t>
  </si>
  <si>
    <t>Vd</t>
  </si>
  <si>
    <t>Vcm</t>
  </si>
  <si>
    <t>g</t>
  </si>
  <si>
    <t>Vo</t>
  </si>
  <si>
    <t>Vcm at Vo2 min</t>
  </si>
  <si>
    <t>Vcmat Vo2 max</t>
  </si>
  <si>
    <t>Extra High Pressure Setting</t>
  </si>
  <si>
    <t>Extra High</t>
  </si>
  <si>
    <t>50 Bar Sealed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</si>
</sst>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00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quotePrefix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  <xf numFmtId="0" fontId="0" fillId="2" borderId="0" xfId="0" applyFill="1" applyAlignment="1">
      <alignment horizontal="right"/>
    </xf>
    <xf numFmtId="164" fontId="0" fillId="3" borderId="0" xfId="0" applyNumberFormat="1" applyFill="1"/>
    <xf numFmtId="0" fontId="0" fillId="0" borderId="0" xfId="0" applyAlignment="1">
      <alignment horizontal="center"/>
    </xf>
    <xf numFmtId="0" fontId="0" fillId="2" borderId="0" xfId="0" applyFill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3" fontId="0" fillId="0" borderId="0" xfId="0" applyNumberFormat="1"/>
    <xf numFmtId="0" fontId="0" fillId="3" borderId="0" xfId="0" applyFill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Sheet2!$A$11:$A$25</c:f>
              <c:numCache>
                <c:formatCode>h:mm</c:formatCode>
                <c:ptCount val="15"/>
                <c:pt idx="0">
                  <c:v>0.3</c:v>
                </c:pt>
                <c:pt idx="1">
                  <c:v>0.30555555555555552</c:v>
                </c:pt>
                <c:pt idx="2">
                  <c:v>0.31527777777777777</c:v>
                </c:pt>
                <c:pt idx="3">
                  <c:v>0.32430555555555557</c:v>
                </c:pt>
                <c:pt idx="4">
                  <c:v>0.33194444444444443</c:v>
                </c:pt>
                <c:pt idx="5">
                  <c:v>0.34791666666666665</c:v>
                </c:pt>
                <c:pt idx="6">
                  <c:v>0.35555555555555557</c:v>
                </c:pt>
                <c:pt idx="7">
                  <c:v>0.36874999999999997</c:v>
                </c:pt>
                <c:pt idx="8">
                  <c:v>0.37916666666666665</c:v>
                </c:pt>
                <c:pt idx="9">
                  <c:v>0.38958333333333334</c:v>
                </c:pt>
                <c:pt idx="10">
                  <c:v>0.42222222222222222</c:v>
                </c:pt>
                <c:pt idx="11">
                  <c:v>0.43333333333333335</c:v>
                </c:pt>
                <c:pt idx="12">
                  <c:v>0.46736111111111112</c:v>
                </c:pt>
                <c:pt idx="13">
                  <c:v>0.48541666666666666</c:v>
                </c:pt>
                <c:pt idx="14">
                  <c:v>0.49583333333333335</c:v>
                </c:pt>
              </c:numCache>
            </c:numRef>
          </c:xVal>
          <c:yVal>
            <c:numRef>
              <c:f>Sheet2!$B$11:$B$25</c:f>
              <c:numCache>
                <c:formatCode>General</c:formatCode>
                <c:ptCount val="15"/>
                <c:pt idx="0">
                  <c:v>22.7</c:v>
                </c:pt>
                <c:pt idx="1">
                  <c:v>22.84</c:v>
                </c:pt>
                <c:pt idx="2">
                  <c:v>23.23</c:v>
                </c:pt>
                <c:pt idx="3">
                  <c:v>23.53</c:v>
                </c:pt>
                <c:pt idx="4">
                  <c:v>23.77</c:v>
                </c:pt>
                <c:pt idx="5">
                  <c:v>24.06</c:v>
                </c:pt>
                <c:pt idx="6">
                  <c:v>24.13</c:v>
                </c:pt>
                <c:pt idx="7">
                  <c:v>24.24</c:v>
                </c:pt>
                <c:pt idx="8">
                  <c:v>24.28</c:v>
                </c:pt>
                <c:pt idx="9">
                  <c:v>24.33</c:v>
                </c:pt>
                <c:pt idx="10">
                  <c:v>24.35</c:v>
                </c:pt>
                <c:pt idx="11">
                  <c:v>24.41</c:v>
                </c:pt>
                <c:pt idx="12">
                  <c:v>24.5</c:v>
                </c:pt>
                <c:pt idx="13">
                  <c:v>24.58</c:v>
                </c:pt>
                <c:pt idx="14">
                  <c:v>24.55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D7-4852-97B8-195FA7CFB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73920"/>
        <c:axId val="59475456"/>
      </c:scatterChart>
      <c:valAx>
        <c:axId val="59473920"/>
        <c:scaling>
          <c:orientation val="minMax"/>
          <c:min val="0.30000000000000004"/>
        </c:scaling>
        <c:delete val="0"/>
        <c:axPos val="b"/>
        <c:numFmt formatCode="h:mm" sourceLinked="1"/>
        <c:majorTickMark val="out"/>
        <c:minorTickMark val="none"/>
        <c:tickLblPos val="nextTo"/>
        <c:crossAx val="59475456"/>
        <c:crosses val="autoZero"/>
        <c:crossBetween val="midCat"/>
      </c:valAx>
      <c:valAx>
        <c:axId val="59475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4739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585787</xdr:colOff>
      <xdr:row>4</xdr:row>
      <xdr:rowOff>104775</xdr:rowOff>
    </xdr:from>
    <xdr:to>
      <xdr:col>15</xdr:col>
      <xdr:colOff>280987</xdr:colOff>
      <xdr:row>30</xdr:row>
      <xdr:rowOff>147637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workbookViewId="0">
      <selection activeCell="A5" sqref="A5"/>
    </sheetView>
  </sheetViews>
  <sheetFormatPr defaultRowHeight="15" x14ac:dyDescent="0.25"/>
  <sheetData>
    <row r="1" spans="1:5" x14ac:dyDescent="0.25">
      <c r="A1" t="s">
        <v>2</v>
      </c>
      <c r="B1">
        <v>75</v>
      </c>
    </row>
    <row r="2" spans="1:5" x14ac:dyDescent="0.25">
      <c r="A2" t="s">
        <v>0</v>
      </c>
      <c r="B2">
        <v>37.61</v>
      </c>
      <c r="C2">
        <f>B2*C5</f>
        <v>37.9861</v>
      </c>
    </row>
    <row r="3" spans="1:5" x14ac:dyDescent="0.25">
      <c r="A3" t="s">
        <v>1</v>
      </c>
      <c r="B3">
        <v>0</v>
      </c>
      <c r="C3">
        <f>C4*B6+B3</f>
        <v>1.3163500000000001</v>
      </c>
    </row>
    <row r="4" spans="1:5" x14ac:dyDescent="0.25">
      <c r="A4" t="s">
        <v>3</v>
      </c>
      <c r="B4">
        <v>7.0000000000000007E-2</v>
      </c>
      <c r="C4">
        <f>B2*B4/50</f>
        <v>5.2654000000000006E-2</v>
      </c>
    </row>
    <row r="5" spans="1:5" x14ac:dyDescent="0.25">
      <c r="A5" t="s">
        <v>5</v>
      </c>
      <c r="B5">
        <v>0.02</v>
      </c>
      <c r="C5">
        <f>B5/50*B6+1</f>
        <v>1.01</v>
      </c>
    </row>
    <row r="6" spans="1:5" x14ac:dyDescent="0.25">
      <c r="A6" t="s">
        <v>4</v>
      </c>
      <c r="B6">
        <v>25</v>
      </c>
    </row>
    <row r="10" spans="1:5" x14ac:dyDescent="0.25">
      <c r="A10">
        <v>0</v>
      </c>
      <c r="B10">
        <f t="shared" ref="B10:B41" si="0">A10/B$1*B$2+B$3</f>
        <v>0</v>
      </c>
      <c r="C10">
        <f>A10/B$1*C$2+C$3</f>
        <v>1.3163500000000001</v>
      </c>
      <c r="D10">
        <f>(C10-B$3)*B$1/B$2</f>
        <v>2.6250000000000004</v>
      </c>
      <c r="E10">
        <f>ABS(D10-A10)</f>
        <v>2.6250000000000004</v>
      </c>
    </row>
    <row r="11" spans="1:5" x14ac:dyDescent="0.25">
      <c r="A11">
        <v>1</v>
      </c>
      <c r="B11">
        <f t="shared" si="0"/>
        <v>0.50146666666666673</v>
      </c>
      <c r="C11">
        <f t="shared" ref="C11:C74" si="1">A11/B$1*C$2+C$3</f>
        <v>1.8228313333333335</v>
      </c>
      <c r="D11">
        <f t="shared" ref="D11:D74" si="2">(C11-B$3)*B$1/B$2</f>
        <v>3.6350000000000002</v>
      </c>
      <c r="E11">
        <f t="shared" ref="E11:E74" si="3">ABS(D11-A11)</f>
        <v>2.6350000000000002</v>
      </c>
    </row>
    <row r="12" spans="1:5" x14ac:dyDescent="0.25">
      <c r="A12">
        <v>2</v>
      </c>
      <c r="B12">
        <f t="shared" si="0"/>
        <v>1.0029333333333335</v>
      </c>
      <c r="C12">
        <f t="shared" si="1"/>
        <v>2.3293126666666666</v>
      </c>
      <c r="D12">
        <f t="shared" si="2"/>
        <v>4.6449999999999996</v>
      </c>
      <c r="E12">
        <f t="shared" si="3"/>
        <v>2.6449999999999996</v>
      </c>
    </row>
    <row r="13" spans="1:5" x14ac:dyDescent="0.25">
      <c r="A13">
        <v>3</v>
      </c>
      <c r="B13">
        <f t="shared" si="0"/>
        <v>1.5044</v>
      </c>
      <c r="C13">
        <f t="shared" si="1"/>
        <v>2.8357939999999999</v>
      </c>
      <c r="D13">
        <f t="shared" si="2"/>
        <v>5.6550000000000002</v>
      </c>
      <c r="E13">
        <f t="shared" si="3"/>
        <v>2.6550000000000002</v>
      </c>
    </row>
    <row r="14" spans="1:5" x14ac:dyDescent="0.25">
      <c r="A14">
        <v>4</v>
      </c>
      <c r="B14">
        <f t="shared" si="0"/>
        <v>2.0058666666666669</v>
      </c>
      <c r="C14">
        <f t="shared" si="1"/>
        <v>3.3422753333333333</v>
      </c>
      <c r="D14">
        <f t="shared" si="2"/>
        <v>6.665</v>
      </c>
      <c r="E14">
        <f t="shared" si="3"/>
        <v>2.665</v>
      </c>
    </row>
    <row r="15" spans="1:5" x14ac:dyDescent="0.25">
      <c r="A15">
        <v>5</v>
      </c>
      <c r="B15">
        <f t="shared" si="0"/>
        <v>2.5073333333333334</v>
      </c>
      <c r="C15">
        <f t="shared" si="1"/>
        <v>3.8487566666666666</v>
      </c>
      <c r="D15">
        <f t="shared" si="2"/>
        <v>7.6749999999999998</v>
      </c>
      <c r="E15">
        <f t="shared" si="3"/>
        <v>2.6749999999999998</v>
      </c>
    </row>
    <row r="16" spans="1:5" x14ac:dyDescent="0.25">
      <c r="A16">
        <v>6</v>
      </c>
      <c r="B16">
        <f t="shared" si="0"/>
        <v>3.0087999999999999</v>
      </c>
      <c r="C16">
        <f t="shared" si="1"/>
        <v>4.3552379999999999</v>
      </c>
      <c r="D16">
        <f t="shared" si="2"/>
        <v>8.6850000000000005</v>
      </c>
      <c r="E16">
        <f t="shared" si="3"/>
        <v>2.6850000000000005</v>
      </c>
    </row>
    <row r="17" spans="1:5" x14ac:dyDescent="0.25">
      <c r="A17">
        <v>7</v>
      </c>
      <c r="B17">
        <f t="shared" si="0"/>
        <v>3.5102666666666669</v>
      </c>
      <c r="C17">
        <f t="shared" si="1"/>
        <v>4.8617193333333333</v>
      </c>
      <c r="D17">
        <f t="shared" si="2"/>
        <v>9.6950000000000003</v>
      </c>
      <c r="E17">
        <f t="shared" si="3"/>
        <v>2.6950000000000003</v>
      </c>
    </row>
    <row r="18" spans="1:5" x14ac:dyDescent="0.25">
      <c r="A18">
        <v>8</v>
      </c>
      <c r="B18">
        <f t="shared" si="0"/>
        <v>4.0117333333333338</v>
      </c>
      <c r="C18">
        <f t="shared" si="1"/>
        <v>5.3682006666666666</v>
      </c>
      <c r="D18">
        <f t="shared" si="2"/>
        <v>10.705</v>
      </c>
      <c r="E18">
        <f t="shared" si="3"/>
        <v>2.7050000000000001</v>
      </c>
    </row>
    <row r="19" spans="1:5" x14ac:dyDescent="0.25">
      <c r="A19">
        <v>9</v>
      </c>
      <c r="B19">
        <f t="shared" si="0"/>
        <v>4.5131999999999994</v>
      </c>
      <c r="C19">
        <f t="shared" si="1"/>
        <v>5.874682</v>
      </c>
      <c r="D19">
        <f t="shared" si="2"/>
        <v>11.715</v>
      </c>
      <c r="E19">
        <f t="shared" si="3"/>
        <v>2.7149999999999999</v>
      </c>
    </row>
    <row r="20" spans="1:5" x14ac:dyDescent="0.25">
      <c r="A20">
        <v>10</v>
      </c>
      <c r="B20">
        <f t="shared" si="0"/>
        <v>5.0146666666666668</v>
      </c>
      <c r="C20">
        <f t="shared" si="1"/>
        <v>6.3811633333333333</v>
      </c>
      <c r="D20">
        <f t="shared" si="2"/>
        <v>12.725</v>
      </c>
      <c r="E20">
        <f t="shared" si="3"/>
        <v>2.7249999999999996</v>
      </c>
    </row>
    <row r="21" spans="1:5" x14ac:dyDescent="0.25">
      <c r="A21">
        <v>11</v>
      </c>
      <c r="B21">
        <f t="shared" si="0"/>
        <v>5.5161333333333333</v>
      </c>
      <c r="C21">
        <f t="shared" si="1"/>
        <v>6.8876446666666666</v>
      </c>
      <c r="D21">
        <f t="shared" si="2"/>
        <v>13.735000000000001</v>
      </c>
      <c r="E21">
        <f t="shared" si="3"/>
        <v>2.7350000000000012</v>
      </c>
    </row>
    <row r="22" spans="1:5" x14ac:dyDescent="0.25">
      <c r="A22">
        <v>12</v>
      </c>
      <c r="B22">
        <f t="shared" si="0"/>
        <v>6.0175999999999998</v>
      </c>
      <c r="C22">
        <f t="shared" si="1"/>
        <v>7.394126</v>
      </c>
      <c r="D22">
        <f t="shared" si="2"/>
        <v>14.744999999999999</v>
      </c>
      <c r="E22">
        <f t="shared" si="3"/>
        <v>2.7449999999999992</v>
      </c>
    </row>
    <row r="23" spans="1:5" x14ac:dyDescent="0.25">
      <c r="A23">
        <v>13</v>
      </c>
      <c r="B23">
        <f t="shared" si="0"/>
        <v>6.5190666666666672</v>
      </c>
      <c r="C23">
        <f t="shared" si="1"/>
        <v>7.9006073333333333</v>
      </c>
      <c r="D23">
        <f t="shared" si="2"/>
        <v>15.755000000000001</v>
      </c>
      <c r="E23">
        <f t="shared" si="3"/>
        <v>2.7550000000000008</v>
      </c>
    </row>
    <row r="24" spans="1:5" x14ac:dyDescent="0.25">
      <c r="A24">
        <v>14</v>
      </c>
      <c r="B24">
        <f t="shared" si="0"/>
        <v>7.0205333333333337</v>
      </c>
      <c r="C24">
        <f t="shared" si="1"/>
        <v>8.4070886666666667</v>
      </c>
      <c r="D24">
        <f t="shared" si="2"/>
        <v>16.765000000000001</v>
      </c>
      <c r="E24">
        <f t="shared" si="3"/>
        <v>2.7650000000000006</v>
      </c>
    </row>
    <row r="25" spans="1:5" x14ac:dyDescent="0.25">
      <c r="A25">
        <v>15</v>
      </c>
      <c r="B25">
        <f t="shared" si="0"/>
        <v>7.5220000000000002</v>
      </c>
      <c r="C25">
        <f t="shared" si="1"/>
        <v>8.91357</v>
      </c>
      <c r="D25">
        <f t="shared" si="2"/>
        <v>17.774999999999999</v>
      </c>
      <c r="E25">
        <f t="shared" si="3"/>
        <v>2.7749999999999986</v>
      </c>
    </row>
    <row r="26" spans="1:5" x14ac:dyDescent="0.25">
      <c r="A26">
        <v>16</v>
      </c>
      <c r="B26">
        <f t="shared" si="0"/>
        <v>8.0234666666666676</v>
      </c>
      <c r="C26">
        <f t="shared" si="1"/>
        <v>9.4200513333333333</v>
      </c>
      <c r="D26">
        <f t="shared" si="2"/>
        <v>18.785</v>
      </c>
      <c r="E26">
        <f t="shared" si="3"/>
        <v>2.7850000000000001</v>
      </c>
    </row>
    <row r="27" spans="1:5" x14ac:dyDescent="0.25">
      <c r="A27">
        <v>17</v>
      </c>
      <c r="B27">
        <f t="shared" si="0"/>
        <v>8.5249333333333333</v>
      </c>
      <c r="C27">
        <f t="shared" si="1"/>
        <v>9.9265326666666667</v>
      </c>
      <c r="D27">
        <f t="shared" si="2"/>
        <v>19.795000000000002</v>
      </c>
      <c r="E27">
        <f t="shared" si="3"/>
        <v>2.7950000000000017</v>
      </c>
    </row>
    <row r="28" spans="1:5" x14ac:dyDescent="0.25">
      <c r="A28">
        <v>18</v>
      </c>
      <c r="B28">
        <f t="shared" si="0"/>
        <v>9.0263999999999989</v>
      </c>
      <c r="C28">
        <f t="shared" si="1"/>
        <v>10.433014</v>
      </c>
      <c r="D28">
        <f t="shared" si="2"/>
        <v>20.805</v>
      </c>
      <c r="E28">
        <f t="shared" si="3"/>
        <v>2.8049999999999997</v>
      </c>
    </row>
    <row r="29" spans="1:5" x14ac:dyDescent="0.25">
      <c r="A29">
        <v>19</v>
      </c>
      <c r="B29">
        <f t="shared" si="0"/>
        <v>9.527866666666668</v>
      </c>
      <c r="C29">
        <f t="shared" si="1"/>
        <v>10.939495333333333</v>
      </c>
      <c r="D29">
        <f t="shared" si="2"/>
        <v>21.814999999999998</v>
      </c>
      <c r="E29">
        <f t="shared" si="3"/>
        <v>2.8149999999999977</v>
      </c>
    </row>
    <row r="30" spans="1:5" x14ac:dyDescent="0.25">
      <c r="A30">
        <v>20</v>
      </c>
      <c r="B30">
        <f t="shared" si="0"/>
        <v>10.029333333333334</v>
      </c>
      <c r="C30">
        <f t="shared" si="1"/>
        <v>11.445976666666667</v>
      </c>
      <c r="D30">
        <f t="shared" si="2"/>
        <v>22.825000000000003</v>
      </c>
      <c r="E30">
        <f t="shared" si="3"/>
        <v>2.8250000000000028</v>
      </c>
    </row>
    <row r="31" spans="1:5" x14ac:dyDescent="0.25">
      <c r="A31">
        <v>21</v>
      </c>
      <c r="B31">
        <f t="shared" si="0"/>
        <v>10.530800000000001</v>
      </c>
      <c r="C31">
        <f t="shared" si="1"/>
        <v>11.952458000000002</v>
      </c>
      <c r="D31">
        <f t="shared" si="2"/>
        <v>23.835000000000004</v>
      </c>
      <c r="E31">
        <f t="shared" si="3"/>
        <v>2.8350000000000044</v>
      </c>
    </row>
    <row r="32" spans="1:5" x14ac:dyDescent="0.25">
      <c r="A32">
        <v>22</v>
      </c>
      <c r="B32">
        <f t="shared" si="0"/>
        <v>11.032266666666667</v>
      </c>
      <c r="C32">
        <f t="shared" si="1"/>
        <v>12.458939333333333</v>
      </c>
      <c r="D32">
        <f t="shared" si="2"/>
        <v>24.844999999999999</v>
      </c>
      <c r="E32">
        <f t="shared" si="3"/>
        <v>2.8449999999999989</v>
      </c>
    </row>
    <row r="33" spans="1:5" x14ac:dyDescent="0.25">
      <c r="A33">
        <v>23</v>
      </c>
      <c r="B33">
        <f t="shared" si="0"/>
        <v>11.533733333333332</v>
      </c>
      <c r="C33">
        <f t="shared" si="1"/>
        <v>12.965420666666665</v>
      </c>
      <c r="D33">
        <f t="shared" si="2"/>
        <v>25.854999999999997</v>
      </c>
      <c r="E33">
        <f t="shared" si="3"/>
        <v>2.8549999999999969</v>
      </c>
    </row>
    <row r="34" spans="1:5" x14ac:dyDescent="0.25">
      <c r="A34">
        <v>24</v>
      </c>
      <c r="B34">
        <f t="shared" si="0"/>
        <v>12.0352</v>
      </c>
      <c r="C34">
        <f t="shared" si="1"/>
        <v>13.471902</v>
      </c>
      <c r="D34">
        <f t="shared" si="2"/>
        <v>26.865000000000002</v>
      </c>
      <c r="E34">
        <f t="shared" si="3"/>
        <v>2.865000000000002</v>
      </c>
    </row>
    <row r="35" spans="1:5" x14ac:dyDescent="0.25">
      <c r="A35">
        <v>25</v>
      </c>
      <c r="B35">
        <f t="shared" si="0"/>
        <v>12.536666666666665</v>
      </c>
      <c r="C35">
        <f t="shared" si="1"/>
        <v>13.978383333333333</v>
      </c>
      <c r="D35">
        <f t="shared" si="2"/>
        <v>27.875000000000004</v>
      </c>
      <c r="E35">
        <f t="shared" si="3"/>
        <v>2.8750000000000036</v>
      </c>
    </row>
    <row r="36" spans="1:5" x14ac:dyDescent="0.25">
      <c r="A36">
        <v>26</v>
      </c>
      <c r="B36">
        <f t="shared" si="0"/>
        <v>13.038133333333334</v>
      </c>
      <c r="C36">
        <f t="shared" si="1"/>
        <v>14.484864666666667</v>
      </c>
      <c r="D36">
        <f t="shared" si="2"/>
        <v>28.884999999999998</v>
      </c>
      <c r="E36">
        <f t="shared" si="3"/>
        <v>2.884999999999998</v>
      </c>
    </row>
    <row r="37" spans="1:5" x14ac:dyDescent="0.25">
      <c r="A37">
        <v>27</v>
      </c>
      <c r="B37">
        <f t="shared" si="0"/>
        <v>13.5396</v>
      </c>
      <c r="C37">
        <f t="shared" si="1"/>
        <v>14.991346</v>
      </c>
      <c r="D37">
        <f t="shared" si="2"/>
        <v>29.895</v>
      </c>
      <c r="E37">
        <f t="shared" si="3"/>
        <v>2.8949999999999996</v>
      </c>
    </row>
    <row r="38" spans="1:5" x14ac:dyDescent="0.25">
      <c r="A38">
        <v>28</v>
      </c>
      <c r="B38">
        <f t="shared" si="0"/>
        <v>14.041066666666667</v>
      </c>
      <c r="C38">
        <f t="shared" si="1"/>
        <v>15.497827333333333</v>
      </c>
      <c r="D38">
        <f t="shared" si="2"/>
        <v>30.905000000000001</v>
      </c>
      <c r="E38">
        <f t="shared" si="3"/>
        <v>2.9050000000000011</v>
      </c>
    </row>
    <row r="39" spans="1:5" x14ac:dyDescent="0.25">
      <c r="A39">
        <v>29</v>
      </c>
      <c r="B39">
        <f t="shared" si="0"/>
        <v>14.542533333333333</v>
      </c>
      <c r="C39">
        <f t="shared" si="1"/>
        <v>16.004308666666667</v>
      </c>
      <c r="D39">
        <f t="shared" si="2"/>
        <v>31.914999999999999</v>
      </c>
      <c r="E39">
        <f t="shared" si="3"/>
        <v>2.9149999999999991</v>
      </c>
    </row>
    <row r="40" spans="1:5" x14ac:dyDescent="0.25">
      <c r="A40">
        <v>30</v>
      </c>
      <c r="B40">
        <f t="shared" si="0"/>
        <v>15.044</v>
      </c>
      <c r="C40">
        <f t="shared" si="1"/>
        <v>16.51079</v>
      </c>
      <c r="D40">
        <f t="shared" si="2"/>
        <v>32.925000000000004</v>
      </c>
      <c r="E40">
        <f t="shared" si="3"/>
        <v>2.9250000000000043</v>
      </c>
    </row>
    <row r="41" spans="1:5" x14ac:dyDescent="0.25">
      <c r="A41">
        <v>31</v>
      </c>
      <c r="B41">
        <f t="shared" si="0"/>
        <v>15.545466666666666</v>
      </c>
      <c r="C41">
        <f t="shared" si="1"/>
        <v>17.017271333333333</v>
      </c>
      <c r="D41">
        <f t="shared" si="2"/>
        <v>33.935000000000002</v>
      </c>
      <c r="E41">
        <f t="shared" si="3"/>
        <v>2.9350000000000023</v>
      </c>
    </row>
    <row r="42" spans="1:5" x14ac:dyDescent="0.25">
      <c r="A42">
        <v>32</v>
      </c>
      <c r="B42">
        <f t="shared" ref="B42:B73" si="4">A42/B$1*B$2+B$3</f>
        <v>16.046933333333335</v>
      </c>
      <c r="C42">
        <f t="shared" si="1"/>
        <v>17.523752666666667</v>
      </c>
      <c r="D42">
        <f t="shared" si="2"/>
        <v>34.945</v>
      </c>
      <c r="E42">
        <f t="shared" si="3"/>
        <v>2.9450000000000003</v>
      </c>
    </row>
    <row r="43" spans="1:5" x14ac:dyDescent="0.25">
      <c r="A43">
        <v>33</v>
      </c>
      <c r="B43">
        <f t="shared" si="4"/>
        <v>16.548400000000001</v>
      </c>
      <c r="C43">
        <f t="shared" si="1"/>
        <v>18.030234</v>
      </c>
      <c r="D43">
        <f t="shared" si="2"/>
        <v>35.954999999999998</v>
      </c>
      <c r="E43">
        <f t="shared" si="3"/>
        <v>2.9549999999999983</v>
      </c>
    </row>
    <row r="44" spans="1:5" x14ac:dyDescent="0.25">
      <c r="A44">
        <v>34</v>
      </c>
      <c r="B44">
        <f t="shared" si="4"/>
        <v>17.049866666666667</v>
      </c>
      <c r="C44">
        <f t="shared" si="1"/>
        <v>18.536715333333333</v>
      </c>
      <c r="D44">
        <f t="shared" si="2"/>
        <v>36.965000000000003</v>
      </c>
      <c r="E44">
        <f t="shared" si="3"/>
        <v>2.9650000000000034</v>
      </c>
    </row>
    <row r="45" spans="1:5" x14ac:dyDescent="0.25">
      <c r="A45">
        <v>35</v>
      </c>
      <c r="B45">
        <f t="shared" si="4"/>
        <v>17.551333333333332</v>
      </c>
      <c r="C45">
        <f t="shared" si="1"/>
        <v>19.043196666666667</v>
      </c>
      <c r="D45">
        <f t="shared" si="2"/>
        <v>37.975000000000001</v>
      </c>
      <c r="E45">
        <f t="shared" si="3"/>
        <v>2.9750000000000014</v>
      </c>
    </row>
    <row r="46" spans="1:5" x14ac:dyDescent="0.25">
      <c r="A46">
        <v>36</v>
      </c>
      <c r="B46">
        <f t="shared" si="4"/>
        <v>18.052799999999998</v>
      </c>
      <c r="C46">
        <f t="shared" si="1"/>
        <v>19.549678</v>
      </c>
      <c r="D46">
        <f t="shared" si="2"/>
        <v>38.984999999999999</v>
      </c>
      <c r="E46">
        <f t="shared" si="3"/>
        <v>2.9849999999999994</v>
      </c>
    </row>
    <row r="47" spans="1:5" x14ac:dyDescent="0.25">
      <c r="A47">
        <v>37</v>
      </c>
      <c r="B47">
        <f t="shared" si="4"/>
        <v>18.554266666666667</v>
      </c>
      <c r="C47">
        <f t="shared" si="1"/>
        <v>20.056159333333333</v>
      </c>
      <c r="D47">
        <f t="shared" si="2"/>
        <v>39.995000000000005</v>
      </c>
      <c r="E47">
        <f t="shared" si="3"/>
        <v>2.9950000000000045</v>
      </c>
    </row>
    <row r="48" spans="1:5" x14ac:dyDescent="0.25">
      <c r="A48">
        <v>38</v>
      </c>
      <c r="B48">
        <f t="shared" si="4"/>
        <v>19.055733333333336</v>
      </c>
      <c r="C48">
        <f t="shared" si="1"/>
        <v>20.562640666666667</v>
      </c>
      <c r="D48">
        <f t="shared" si="2"/>
        <v>41.005000000000003</v>
      </c>
      <c r="E48">
        <f t="shared" si="3"/>
        <v>3.0050000000000026</v>
      </c>
    </row>
    <row r="49" spans="1:5" x14ac:dyDescent="0.25">
      <c r="A49">
        <v>39</v>
      </c>
      <c r="B49">
        <f t="shared" si="4"/>
        <v>19.557200000000002</v>
      </c>
      <c r="C49">
        <f t="shared" si="1"/>
        <v>21.069122</v>
      </c>
      <c r="D49">
        <f t="shared" si="2"/>
        <v>42.015000000000001</v>
      </c>
      <c r="E49">
        <f t="shared" si="3"/>
        <v>3.0150000000000006</v>
      </c>
    </row>
    <row r="50" spans="1:5" x14ac:dyDescent="0.25">
      <c r="A50">
        <v>40</v>
      </c>
      <c r="B50">
        <f t="shared" si="4"/>
        <v>20.058666666666667</v>
      </c>
      <c r="C50">
        <f t="shared" si="1"/>
        <v>21.575603333333333</v>
      </c>
      <c r="D50">
        <f t="shared" si="2"/>
        <v>43.025000000000006</v>
      </c>
      <c r="E50">
        <f t="shared" si="3"/>
        <v>3.0250000000000057</v>
      </c>
    </row>
    <row r="51" spans="1:5" x14ac:dyDescent="0.25">
      <c r="A51">
        <v>41</v>
      </c>
      <c r="B51">
        <f t="shared" si="4"/>
        <v>20.560133333333333</v>
      </c>
      <c r="C51">
        <f t="shared" si="1"/>
        <v>22.082084666666667</v>
      </c>
      <c r="D51">
        <f t="shared" si="2"/>
        <v>44.034999999999997</v>
      </c>
      <c r="E51">
        <f t="shared" si="3"/>
        <v>3.0349999999999966</v>
      </c>
    </row>
    <row r="52" spans="1:5" x14ac:dyDescent="0.25">
      <c r="A52">
        <v>42</v>
      </c>
      <c r="B52">
        <f t="shared" si="4"/>
        <v>21.061600000000002</v>
      </c>
      <c r="C52">
        <f t="shared" si="1"/>
        <v>22.588566000000004</v>
      </c>
      <c r="D52">
        <f t="shared" si="2"/>
        <v>45.045000000000009</v>
      </c>
      <c r="E52">
        <f t="shared" si="3"/>
        <v>3.0450000000000088</v>
      </c>
    </row>
    <row r="53" spans="1:5" x14ac:dyDescent="0.25">
      <c r="A53">
        <v>43</v>
      </c>
      <c r="B53">
        <f t="shared" si="4"/>
        <v>21.563066666666668</v>
      </c>
      <c r="C53">
        <f t="shared" si="1"/>
        <v>23.095047333333333</v>
      </c>
      <c r="D53">
        <f t="shared" si="2"/>
        <v>46.055</v>
      </c>
      <c r="E53">
        <f t="shared" si="3"/>
        <v>3.0549999999999997</v>
      </c>
    </row>
    <row r="54" spans="1:5" x14ac:dyDescent="0.25">
      <c r="A54">
        <v>44</v>
      </c>
      <c r="B54">
        <f t="shared" si="4"/>
        <v>22.064533333333333</v>
      </c>
      <c r="C54">
        <f t="shared" si="1"/>
        <v>23.601528666666667</v>
      </c>
      <c r="D54">
        <f t="shared" si="2"/>
        <v>47.064999999999998</v>
      </c>
      <c r="E54">
        <f t="shared" si="3"/>
        <v>3.0649999999999977</v>
      </c>
    </row>
    <row r="55" spans="1:5" x14ac:dyDescent="0.25">
      <c r="A55">
        <v>45</v>
      </c>
      <c r="B55">
        <f t="shared" si="4"/>
        <v>22.565999999999999</v>
      </c>
      <c r="C55">
        <f t="shared" si="1"/>
        <v>24.10801</v>
      </c>
      <c r="D55">
        <f t="shared" si="2"/>
        <v>48.075000000000003</v>
      </c>
      <c r="E55">
        <f t="shared" si="3"/>
        <v>3.0750000000000028</v>
      </c>
    </row>
    <row r="56" spans="1:5" x14ac:dyDescent="0.25">
      <c r="A56">
        <v>46</v>
      </c>
      <c r="B56">
        <f t="shared" si="4"/>
        <v>23.067466666666665</v>
      </c>
      <c r="C56">
        <f t="shared" si="1"/>
        <v>24.61449133333333</v>
      </c>
      <c r="D56">
        <f t="shared" si="2"/>
        <v>49.084999999999994</v>
      </c>
      <c r="E56">
        <f t="shared" si="3"/>
        <v>3.0849999999999937</v>
      </c>
    </row>
    <row r="57" spans="1:5" x14ac:dyDescent="0.25">
      <c r="A57">
        <v>47</v>
      </c>
      <c r="B57">
        <f t="shared" si="4"/>
        <v>23.568933333333334</v>
      </c>
      <c r="C57">
        <f t="shared" si="1"/>
        <v>25.120972666666667</v>
      </c>
      <c r="D57">
        <f t="shared" si="2"/>
        <v>50.094999999999999</v>
      </c>
      <c r="E57">
        <f t="shared" si="3"/>
        <v>3.0949999999999989</v>
      </c>
    </row>
    <row r="58" spans="1:5" x14ac:dyDescent="0.25">
      <c r="A58">
        <v>48</v>
      </c>
      <c r="B58">
        <f t="shared" si="4"/>
        <v>24.070399999999999</v>
      </c>
      <c r="C58">
        <f t="shared" si="1"/>
        <v>25.627454</v>
      </c>
      <c r="D58">
        <f t="shared" si="2"/>
        <v>51.105000000000004</v>
      </c>
      <c r="E58">
        <f t="shared" si="3"/>
        <v>3.105000000000004</v>
      </c>
    </row>
    <row r="59" spans="1:5" x14ac:dyDescent="0.25">
      <c r="A59">
        <v>49</v>
      </c>
      <c r="B59">
        <f t="shared" si="4"/>
        <v>24.571866666666665</v>
      </c>
      <c r="C59">
        <f t="shared" si="1"/>
        <v>26.133935333333334</v>
      </c>
      <c r="D59">
        <f t="shared" si="2"/>
        <v>52.115000000000002</v>
      </c>
      <c r="E59">
        <f t="shared" si="3"/>
        <v>3.115000000000002</v>
      </c>
    </row>
    <row r="60" spans="1:5" x14ac:dyDescent="0.25">
      <c r="A60">
        <v>50</v>
      </c>
      <c r="B60">
        <f t="shared" si="4"/>
        <v>25.073333333333331</v>
      </c>
      <c r="C60">
        <f t="shared" si="1"/>
        <v>26.640416666666667</v>
      </c>
      <c r="D60">
        <f t="shared" si="2"/>
        <v>53.125</v>
      </c>
      <c r="E60">
        <f t="shared" si="3"/>
        <v>3.125</v>
      </c>
    </row>
    <row r="61" spans="1:5" x14ac:dyDescent="0.25">
      <c r="A61">
        <v>51</v>
      </c>
      <c r="B61">
        <f t="shared" si="4"/>
        <v>25.5748</v>
      </c>
      <c r="C61">
        <f t="shared" si="1"/>
        <v>27.146898000000004</v>
      </c>
      <c r="D61">
        <f t="shared" si="2"/>
        <v>54.135000000000012</v>
      </c>
      <c r="E61">
        <f t="shared" si="3"/>
        <v>3.1350000000000122</v>
      </c>
    </row>
    <row r="62" spans="1:5" x14ac:dyDescent="0.25">
      <c r="A62">
        <v>52</v>
      </c>
      <c r="B62">
        <f t="shared" si="4"/>
        <v>26.076266666666669</v>
      </c>
      <c r="C62">
        <f t="shared" si="1"/>
        <v>27.653379333333334</v>
      </c>
      <c r="D62">
        <f t="shared" si="2"/>
        <v>55.145000000000003</v>
      </c>
      <c r="E62">
        <f t="shared" si="3"/>
        <v>3.1450000000000031</v>
      </c>
    </row>
    <row r="63" spans="1:5" x14ac:dyDescent="0.25">
      <c r="A63">
        <v>53</v>
      </c>
      <c r="B63">
        <f t="shared" si="4"/>
        <v>26.577733333333335</v>
      </c>
      <c r="C63">
        <f t="shared" si="1"/>
        <v>28.159860666666667</v>
      </c>
      <c r="D63">
        <f t="shared" si="2"/>
        <v>56.155000000000008</v>
      </c>
      <c r="E63">
        <f t="shared" si="3"/>
        <v>3.1550000000000082</v>
      </c>
    </row>
    <row r="64" spans="1:5" x14ac:dyDescent="0.25">
      <c r="A64">
        <v>54</v>
      </c>
      <c r="B64">
        <f t="shared" si="4"/>
        <v>27.0792</v>
      </c>
      <c r="C64">
        <f t="shared" si="1"/>
        <v>28.666342</v>
      </c>
      <c r="D64">
        <f t="shared" si="2"/>
        <v>57.164999999999999</v>
      </c>
      <c r="E64">
        <f t="shared" si="3"/>
        <v>3.1649999999999991</v>
      </c>
    </row>
    <row r="65" spans="1:5" x14ac:dyDescent="0.25">
      <c r="A65">
        <v>55</v>
      </c>
      <c r="B65">
        <f t="shared" si="4"/>
        <v>27.580666666666666</v>
      </c>
      <c r="C65">
        <f t="shared" si="1"/>
        <v>29.17282333333333</v>
      </c>
      <c r="D65">
        <f t="shared" si="2"/>
        <v>58.174999999999997</v>
      </c>
      <c r="E65">
        <f t="shared" si="3"/>
        <v>3.1749999999999972</v>
      </c>
    </row>
    <row r="66" spans="1:5" x14ac:dyDescent="0.25">
      <c r="A66">
        <v>56</v>
      </c>
      <c r="B66">
        <f t="shared" si="4"/>
        <v>28.082133333333335</v>
      </c>
      <c r="C66">
        <f t="shared" si="1"/>
        <v>29.679304666666667</v>
      </c>
      <c r="D66">
        <f t="shared" si="2"/>
        <v>59.185000000000002</v>
      </c>
      <c r="E66">
        <f t="shared" si="3"/>
        <v>3.1850000000000023</v>
      </c>
    </row>
    <row r="67" spans="1:5" x14ac:dyDescent="0.25">
      <c r="A67">
        <v>57</v>
      </c>
      <c r="B67">
        <f t="shared" si="4"/>
        <v>28.583600000000001</v>
      </c>
      <c r="C67">
        <f t="shared" si="1"/>
        <v>30.185786</v>
      </c>
      <c r="D67">
        <f t="shared" si="2"/>
        <v>60.195</v>
      </c>
      <c r="E67">
        <f t="shared" si="3"/>
        <v>3.1950000000000003</v>
      </c>
    </row>
    <row r="68" spans="1:5" x14ac:dyDescent="0.25">
      <c r="A68">
        <v>58</v>
      </c>
      <c r="B68">
        <f t="shared" si="4"/>
        <v>29.085066666666666</v>
      </c>
      <c r="C68">
        <f t="shared" si="1"/>
        <v>30.692267333333334</v>
      </c>
      <c r="D68">
        <f t="shared" si="2"/>
        <v>61.205000000000005</v>
      </c>
      <c r="E68">
        <f t="shared" si="3"/>
        <v>3.2050000000000054</v>
      </c>
    </row>
    <row r="69" spans="1:5" x14ac:dyDescent="0.25">
      <c r="A69">
        <v>59</v>
      </c>
      <c r="B69">
        <f t="shared" si="4"/>
        <v>29.586533333333332</v>
      </c>
      <c r="C69">
        <f t="shared" si="1"/>
        <v>31.198748666666667</v>
      </c>
      <c r="D69">
        <f t="shared" si="2"/>
        <v>62.214999999999996</v>
      </c>
      <c r="E69">
        <f t="shared" si="3"/>
        <v>3.2149999999999963</v>
      </c>
    </row>
    <row r="70" spans="1:5" x14ac:dyDescent="0.25">
      <c r="A70">
        <v>60</v>
      </c>
      <c r="B70">
        <f t="shared" si="4"/>
        <v>30.088000000000001</v>
      </c>
      <c r="C70">
        <f t="shared" si="1"/>
        <v>31.70523</v>
      </c>
      <c r="D70">
        <f t="shared" si="2"/>
        <v>63.224999999999994</v>
      </c>
      <c r="E70">
        <f t="shared" si="3"/>
        <v>3.2249999999999943</v>
      </c>
    </row>
    <row r="71" spans="1:5" x14ac:dyDescent="0.25">
      <c r="A71">
        <v>61</v>
      </c>
      <c r="B71">
        <f t="shared" si="4"/>
        <v>30.589466666666667</v>
      </c>
      <c r="C71">
        <f t="shared" si="1"/>
        <v>32.211711333333334</v>
      </c>
      <c r="D71">
        <f t="shared" si="2"/>
        <v>64.234999999999999</v>
      </c>
      <c r="E71">
        <f t="shared" si="3"/>
        <v>3.2349999999999994</v>
      </c>
    </row>
    <row r="72" spans="1:5" x14ac:dyDescent="0.25">
      <c r="A72">
        <v>62</v>
      </c>
      <c r="B72">
        <f t="shared" si="4"/>
        <v>31.090933333333332</v>
      </c>
      <c r="C72">
        <f t="shared" si="1"/>
        <v>32.718192666666667</v>
      </c>
      <c r="D72">
        <f t="shared" si="2"/>
        <v>65.245000000000005</v>
      </c>
      <c r="E72">
        <f t="shared" si="3"/>
        <v>3.2450000000000045</v>
      </c>
    </row>
    <row r="73" spans="1:5" x14ac:dyDescent="0.25">
      <c r="A73">
        <v>63</v>
      </c>
      <c r="B73">
        <f t="shared" si="4"/>
        <v>31.592399999999998</v>
      </c>
      <c r="C73">
        <f t="shared" si="1"/>
        <v>33.224674</v>
      </c>
      <c r="D73">
        <f t="shared" si="2"/>
        <v>66.25500000000001</v>
      </c>
      <c r="E73">
        <f t="shared" si="3"/>
        <v>3.2550000000000097</v>
      </c>
    </row>
    <row r="74" spans="1:5" x14ac:dyDescent="0.25">
      <c r="A74">
        <v>64</v>
      </c>
      <c r="B74">
        <f t="shared" ref="B74:B85" si="5">A74/B$1*B$2+B$3</f>
        <v>32.093866666666671</v>
      </c>
      <c r="C74">
        <f t="shared" si="1"/>
        <v>33.731155333333334</v>
      </c>
      <c r="D74">
        <f t="shared" si="2"/>
        <v>67.265000000000001</v>
      </c>
      <c r="E74">
        <f t="shared" si="3"/>
        <v>3.2650000000000006</v>
      </c>
    </row>
    <row r="75" spans="1:5" x14ac:dyDescent="0.25">
      <c r="A75">
        <v>65</v>
      </c>
      <c r="B75">
        <f t="shared" si="5"/>
        <v>32.595333333333336</v>
      </c>
      <c r="C75">
        <f t="shared" ref="C75:C85" si="6">A75/B$1*C$2+C$3</f>
        <v>34.237636666666667</v>
      </c>
      <c r="D75">
        <f t="shared" ref="D75:D85" si="7">(C75-B$3)*B$1/B$2</f>
        <v>68.274999999999991</v>
      </c>
      <c r="E75">
        <f t="shared" ref="E75:E85" si="8">ABS(D75-A75)</f>
        <v>3.2749999999999915</v>
      </c>
    </row>
    <row r="76" spans="1:5" x14ac:dyDescent="0.25">
      <c r="A76">
        <v>66</v>
      </c>
      <c r="B76">
        <f t="shared" si="5"/>
        <v>33.096800000000002</v>
      </c>
      <c r="C76">
        <f t="shared" si="6"/>
        <v>34.744118</v>
      </c>
      <c r="D76">
        <f t="shared" si="7"/>
        <v>69.284999999999997</v>
      </c>
      <c r="E76">
        <f t="shared" si="8"/>
        <v>3.2849999999999966</v>
      </c>
    </row>
    <row r="77" spans="1:5" x14ac:dyDescent="0.25">
      <c r="A77">
        <v>67</v>
      </c>
      <c r="B77">
        <f t="shared" si="5"/>
        <v>33.598266666666667</v>
      </c>
      <c r="C77">
        <f t="shared" si="6"/>
        <v>35.250599333333334</v>
      </c>
      <c r="D77">
        <f t="shared" si="7"/>
        <v>70.295000000000002</v>
      </c>
      <c r="E77">
        <f t="shared" si="8"/>
        <v>3.2950000000000017</v>
      </c>
    </row>
    <row r="78" spans="1:5" x14ac:dyDescent="0.25">
      <c r="A78">
        <v>68</v>
      </c>
      <c r="B78">
        <f t="shared" si="5"/>
        <v>34.099733333333333</v>
      </c>
      <c r="C78">
        <f t="shared" si="6"/>
        <v>35.757080666666667</v>
      </c>
      <c r="D78">
        <f t="shared" si="7"/>
        <v>71.305000000000007</v>
      </c>
      <c r="E78">
        <f t="shared" si="8"/>
        <v>3.3050000000000068</v>
      </c>
    </row>
    <row r="79" spans="1:5" x14ac:dyDescent="0.25">
      <c r="A79">
        <v>69</v>
      </c>
      <c r="B79">
        <f t="shared" si="5"/>
        <v>34.601199999999999</v>
      </c>
      <c r="C79">
        <f t="shared" si="6"/>
        <v>36.263562</v>
      </c>
      <c r="D79">
        <f t="shared" si="7"/>
        <v>72.314999999999998</v>
      </c>
      <c r="E79">
        <f t="shared" si="8"/>
        <v>3.3149999999999977</v>
      </c>
    </row>
    <row r="80" spans="1:5" x14ac:dyDescent="0.25">
      <c r="A80">
        <v>70</v>
      </c>
      <c r="B80">
        <f t="shared" si="5"/>
        <v>35.102666666666664</v>
      </c>
      <c r="C80">
        <f t="shared" si="6"/>
        <v>36.770043333333334</v>
      </c>
      <c r="D80">
        <f t="shared" si="7"/>
        <v>73.325000000000003</v>
      </c>
      <c r="E80">
        <f t="shared" si="8"/>
        <v>3.3250000000000028</v>
      </c>
    </row>
    <row r="81" spans="1:5" x14ac:dyDescent="0.25">
      <c r="A81">
        <v>71</v>
      </c>
      <c r="B81">
        <f t="shared" si="5"/>
        <v>35.60413333333333</v>
      </c>
      <c r="C81">
        <f t="shared" si="6"/>
        <v>37.276524666666667</v>
      </c>
      <c r="D81">
        <f t="shared" si="7"/>
        <v>74.334999999999994</v>
      </c>
      <c r="E81">
        <f t="shared" si="8"/>
        <v>3.3349999999999937</v>
      </c>
    </row>
    <row r="82" spans="1:5" x14ac:dyDescent="0.25">
      <c r="A82">
        <v>72</v>
      </c>
      <c r="B82">
        <f t="shared" si="5"/>
        <v>36.105599999999995</v>
      </c>
      <c r="C82">
        <f t="shared" si="6"/>
        <v>37.783006</v>
      </c>
      <c r="D82">
        <f t="shared" si="7"/>
        <v>75.344999999999999</v>
      </c>
      <c r="E82">
        <f t="shared" si="8"/>
        <v>3.3449999999999989</v>
      </c>
    </row>
    <row r="83" spans="1:5" x14ac:dyDescent="0.25">
      <c r="A83">
        <v>73</v>
      </c>
      <c r="B83">
        <f t="shared" si="5"/>
        <v>36.607066666666668</v>
      </c>
      <c r="C83">
        <f t="shared" si="6"/>
        <v>38.289487333333334</v>
      </c>
      <c r="D83">
        <f t="shared" si="7"/>
        <v>76.355000000000004</v>
      </c>
      <c r="E83">
        <f t="shared" si="8"/>
        <v>3.355000000000004</v>
      </c>
    </row>
    <row r="84" spans="1:5" x14ac:dyDescent="0.25">
      <c r="A84">
        <v>74</v>
      </c>
      <c r="B84">
        <f t="shared" si="5"/>
        <v>37.108533333333334</v>
      </c>
      <c r="C84">
        <f t="shared" si="6"/>
        <v>38.795968666666667</v>
      </c>
      <c r="D84">
        <f t="shared" si="7"/>
        <v>77.365000000000009</v>
      </c>
      <c r="E84">
        <f t="shared" si="8"/>
        <v>3.3650000000000091</v>
      </c>
    </row>
    <row r="85" spans="1:5" x14ac:dyDescent="0.25">
      <c r="A85">
        <v>75</v>
      </c>
      <c r="B85">
        <f t="shared" si="5"/>
        <v>37.61</v>
      </c>
      <c r="C85">
        <f t="shared" si="6"/>
        <v>39.30245</v>
      </c>
      <c r="D85">
        <f t="shared" si="7"/>
        <v>78.375</v>
      </c>
      <c r="E85">
        <f t="shared" si="8"/>
        <v>3.375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69"/>
  <sheetViews>
    <sheetView tabSelected="1" workbookViewId="0">
      <selection activeCell="B11" sqref="B11"/>
    </sheetView>
  </sheetViews>
  <sheetFormatPr defaultRowHeight="15" x14ac:dyDescent="0.25"/>
  <cols>
    <col min="1" max="1" width="33.85546875" customWidth="1"/>
    <col min="2" max="2" width="14.85546875" customWidth="1"/>
    <col min="3" max="3" width="23.28515625" customWidth="1"/>
    <col min="4" max="4" width="23.7109375" customWidth="1"/>
    <col min="5" max="5" width="26.28515625" customWidth="1"/>
    <col min="6" max="7" width="23.7109375" customWidth="1"/>
    <col min="8" max="8" width="62.28515625" customWidth="1"/>
  </cols>
  <sheetData>
    <row r="3" spans="1:8" x14ac:dyDescent="0.25">
      <c r="D3" s="10" t="s">
        <v>97</v>
      </c>
      <c r="E3" s="10"/>
      <c r="F3" s="14"/>
      <c r="G3" s="20"/>
    </row>
    <row r="4" spans="1:8" x14ac:dyDescent="0.25">
      <c r="A4" t="s">
        <v>104</v>
      </c>
      <c r="B4" s="11" t="s">
        <v>286</v>
      </c>
      <c r="C4" s="10" t="s">
        <v>106</v>
      </c>
      <c r="D4" s="10">
        <v>1</v>
      </c>
      <c r="E4" s="10"/>
      <c r="F4" s="14"/>
      <c r="G4" s="20"/>
      <c r="H4" t="s">
        <v>105</v>
      </c>
    </row>
    <row r="5" spans="1:8" x14ac:dyDescent="0.25">
      <c r="A5" t="s">
        <v>90</v>
      </c>
      <c r="B5" s="6">
        <v>2.395</v>
      </c>
      <c r="C5" s="10" t="s">
        <v>191</v>
      </c>
      <c r="D5" s="10">
        <v>2</v>
      </c>
      <c r="E5" s="10"/>
      <c r="F5" s="14"/>
      <c r="G5" s="20"/>
      <c r="H5" t="s">
        <v>110</v>
      </c>
    </row>
    <row r="6" spans="1:8" x14ac:dyDescent="0.25">
      <c r="A6" t="s">
        <v>91</v>
      </c>
      <c r="B6" s="6">
        <v>2.99</v>
      </c>
      <c r="C6" s="10" t="s">
        <v>192</v>
      </c>
      <c r="D6" s="10">
        <v>3</v>
      </c>
      <c r="E6" s="10"/>
      <c r="F6" s="14"/>
      <c r="G6" s="20"/>
      <c r="H6" t="s">
        <v>112</v>
      </c>
    </row>
    <row r="7" spans="1:8" x14ac:dyDescent="0.25">
      <c r="A7" t="s">
        <v>180</v>
      </c>
      <c r="B7" s="6">
        <v>0</v>
      </c>
      <c r="D7" s="10">
        <v>4</v>
      </c>
      <c r="E7" s="10"/>
      <c r="F7" s="14"/>
      <c r="G7" s="20"/>
      <c r="H7" t="s">
        <v>111</v>
      </c>
    </row>
    <row r="8" spans="1:8" x14ac:dyDescent="0.25">
      <c r="A8" t="s">
        <v>181</v>
      </c>
      <c r="B8" s="6">
        <v>1.911</v>
      </c>
      <c r="C8" s="13" t="s">
        <v>193</v>
      </c>
      <c r="D8" s="10">
        <v>5</v>
      </c>
      <c r="E8" s="10"/>
      <c r="F8" s="14"/>
      <c r="G8" s="20"/>
      <c r="H8" t="s">
        <v>98</v>
      </c>
    </row>
    <row r="9" spans="1:8" x14ac:dyDescent="0.25">
      <c r="A9" t="s">
        <v>179</v>
      </c>
      <c r="B9" s="6">
        <v>248</v>
      </c>
      <c r="D9" s="10">
        <v>6</v>
      </c>
      <c r="E9" s="10"/>
      <c r="F9" s="14"/>
      <c r="G9" s="20"/>
      <c r="H9" t="s">
        <v>99</v>
      </c>
    </row>
    <row r="10" spans="1:8" x14ac:dyDescent="0.25">
      <c r="A10" t="s">
        <v>178</v>
      </c>
      <c r="B10" s="6">
        <v>2.7360000000000002</v>
      </c>
      <c r="D10" s="10">
        <v>7</v>
      </c>
      <c r="E10" s="10"/>
      <c r="F10" s="14"/>
      <c r="G10" s="20"/>
      <c r="H10" t="s">
        <v>100</v>
      </c>
    </row>
    <row r="11" spans="1:8" x14ac:dyDescent="0.25">
      <c r="D11" s="10">
        <v>8</v>
      </c>
      <c r="E11" s="10"/>
      <c r="F11" s="14"/>
      <c r="G11" s="20"/>
      <c r="H11" t="s">
        <v>101</v>
      </c>
    </row>
    <row r="12" spans="1:8" x14ac:dyDescent="0.25">
      <c r="A12" t="s">
        <v>320</v>
      </c>
      <c r="B12">
        <f>ROUND((B43*1000),2)</f>
        <v>81.069999999999993</v>
      </c>
      <c r="C12" t="s">
        <v>322</v>
      </c>
    </row>
    <row r="13" spans="1:8" x14ac:dyDescent="0.25">
      <c r="A13" t="s">
        <v>321</v>
      </c>
      <c r="B13">
        <f>ROUND((B44*1000),2)</f>
        <v>9.33</v>
      </c>
      <c r="C13" t="s">
        <v>322</v>
      </c>
    </row>
    <row r="14" spans="1:8" x14ac:dyDescent="0.25">
      <c r="A14" s="4" t="s">
        <v>94</v>
      </c>
      <c r="B14" s="9">
        <f>(B41*B38+B53)*B23-B34*(B23-1)</f>
        <v>2.4357118495297803</v>
      </c>
      <c r="C14" t="s">
        <v>113</v>
      </c>
    </row>
    <row r="15" spans="1:8" x14ac:dyDescent="0.25">
      <c r="A15" s="4" t="s">
        <v>89</v>
      </c>
      <c r="B15" s="9">
        <f>B49</f>
        <v>2.9356551724137931</v>
      </c>
      <c r="C15" t="s">
        <v>113</v>
      </c>
    </row>
    <row r="16" spans="1:8" x14ac:dyDescent="0.25">
      <c r="A16" s="4"/>
    </row>
    <row r="17" spans="1:8" x14ac:dyDescent="0.25">
      <c r="C17" t="s">
        <v>95</v>
      </c>
      <c r="D17" t="s">
        <v>96</v>
      </c>
      <c r="E17" t="s">
        <v>139</v>
      </c>
      <c r="F17" t="s">
        <v>194</v>
      </c>
      <c r="G17" t="s">
        <v>353</v>
      </c>
    </row>
    <row r="18" spans="1:8" x14ac:dyDescent="0.25">
      <c r="B18" t="str">
        <f>HLOOKUP(B4,C18:G18,1)</f>
        <v>High</v>
      </c>
      <c r="C18" t="s">
        <v>103</v>
      </c>
      <c r="D18" t="s">
        <v>102</v>
      </c>
      <c r="E18" t="s">
        <v>140</v>
      </c>
      <c r="F18" t="s">
        <v>286</v>
      </c>
      <c r="G18" t="s">
        <v>354</v>
      </c>
    </row>
    <row r="19" spans="1:8" x14ac:dyDescent="0.25">
      <c r="A19" t="s">
        <v>51</v>
      </c>
      <c r="B19" t="str">
        <f>IF(B$4="High",D19,IF(B$4="Low",C19,IF(B$4="Super High",E19,IF(B$4="Sample",F19,G19))))</f>
        <v>20 Bar Gauge</v>
      </c>
      <c r="C19" t="s">
        <v>291</v>
      </c>
      <c r="D19" t="s">
        <v>292</v>
      </c>
      <c r="E19" t="s">
        <v>292</v>
      </c>
      <c r="F19" t="s">
        <v>293</v>
      </c>
      <c r="G19" t="s">
        <v>355</v>
      </c>
    </row>
    <row r="20" spans="1:8" x14ac:dyDescent="0.25">
      <c r="A20" t="s">
        <v>92</v>
      </c>
      <c r="B20">
        <f t="shared" ref="B20:B34" si="0">IF(B$4="High",D20,IF(B$4="Low",C20,IF(B$4="Super High",E20,IF(B$4="Sample",F20,G20))))</f>
        <v>1.4999999999999999E-2</v>
      </c>
      <c r="C20">
        <v>5.0000000000000001E-3</v>
      </c>
      <c r="D20">
        <v>0.01</v>
      </c>
      <c r="E20">
        <v>1.4999999999999999E-2</v>
      </c>
      <c r="F20">
        <v>1.4999999999999999E-2</v>
      </c>
      <c r="G20">
        <v>1.4999999999999999E-2</v>
      </c>
      <c r="H20" t="s">
        <v>114</v>
      </c>
    </row>
    <row r="21" spans="1:8" x14ac:dyDescent="0.25">
      <c r="A21" t="s">
        <v>93</v>
      </c>
      <c r="B21">
        <f t="shared" si="0"/>
        <v>0.03</v>
      </c>
      <c r="C21">
        <v>1.4999999999999999E-2</v>
      </c>
      <c r="D21">
        <v>0.02</v>
      </c>
      <c r="E21">
        <v>0.03</v>
      </c>
      <c r="F21">
        <v>0.03</v>
      </c>
      <c r="G21">
        <v>0.03</v>
      </c>
      <c r="H21" t="s">
        <v>114</v>
      </c>
    </row>
    <row r="22" spans="1:8" x14ac:dyDescent="0.25">
      <c r="A22" t="s">
        <v>200</v>
      </c>
      <c r="B22">
        <f t="shared" si="0"/>
        <v>3</v>
      </c>
      <c r="C22">
        <v>3</v>
      </c>
      <c r="D22">
        <v>3.3</v>
      </c>
      <c r="E22">
        <v>3.3</v>
      </c>
      <c r="F22">
        <v>3</v>
      </c>
      <c r="G22">
        <v>3</v>
      </c>
      <c r="H22" t="s">
        <v>328</v>
      </c>
    </row>
    <row r="23" spans="1:8" x14ac:dyDescent="0.25">
      <c r="A23" t="s">
        <v>71</v>
      </c>
      <c r="B23">
        <f t="shared" si="0"/>
        <v>2.5</v>
      </c>
      <c r="C23">
        <v>10</v>
      </c>
      <c r="D23">
        <v>2.5</v>
      </c>
      <c r="E23">
        <v>2.5</v>
      </c>
      <c r="F23">
        <v>2.5</v>
      </c>
      <c r="G23">
        <v>5</v>
      </c>
      <c r="H23" t="s">
        <v>115</v>
      </c>
    </row>
    <row r="24" spans="1:8" x14ac:dyDescent="0.25">
      <c r="A24" t="s">
        <v>323</v>
      </c>
      <c r="B24">
        <f t="shared" si="0"/>
        <v>150</v>
      </c>
      <c r="C24">
        <f>30*1.5</f>
        <v>45</v>
      </c>
      <c r="D24">
        <f>100*1.5</f>
        <v>150</v>
      </c>
      <c r="E24">
        <f t="shared" ref="E24:G24" si="1">100*1.5</f>
        <v>150</v>
      </c>
      <c r="F24">
        <f t="shared" si="1"/>
        <v>150</v>
      </c>
      <c r="G24">
        <f t="shared" si="1"/>
        <v>150</v>
      </c>
      <c r="H24" t="s">
        <v>331</v>
      </c>
    </row>
    <row r="25" spans="1:8" x14ac:dyDescent="0.25">
      <c r="A25" t="s">
        <v>324</v>
      </c>
      <c r="B25">
        <f t="shared" si="0"/>
        <v>70</v>
      </c>
      <c r="C25">
        <f>30*0.7</f>
        <v>21</v>
      </c>
      <c r="D25">
        <f t="shared" ref="D25:E25" si="2">100*0.7</f>
        <v>70</v>
      </c>
      <c r="E25">
        <f t="shared" si="2"/>
        <v>70</v>
      </c>
      <c r="F25">
        <f>100*0.7</f>
        <v>70</v>
      </c>
      <c r="G25">
        <f>100*0.7</f>
        <v>70</v>
      </c>
      <c r="H25" t="s">
        <v>332</v>
      </c>
    </row>
    <row r="26" spans="1:8" x14ac:dyDescent="0.25">
      <c r="A26" t="s">
        <v>325</v>
      </c>
      <c r="B26">
        <f t="shared" si="0"/>
        <v>100</v>
      </c>
      <c r="C26">
        <v>30</v>
      </c>
      <c r="D26">
        <v>100</v>
      </c>
      <c r="E26">
        <v>100</v>
      </c>
      <c r="F26">
        <v>100</v>
      </c>
      <c r="G26">
        <v>100</v>
      </c>
      <c r="H26" t="s">
        <v>329</v>
      </c>
    </row>
    <row r="27" spans="1:8" x14ac:dyDescent="0.25">
      <c r="A27" t="s">
        <v>326</v>
      </c>
      <c r="B27">
        <f t="shared" si="0"/>
        <v>-100</v>
      </c>
      <c r="C27">
        <v>-30</v>
      </c>
      <c r="D27">
        <v>-100</v>
      </c>
      <c r="E27">
        <v>-100</v>
      </c>
      <c r="F27">
        <v>-100</v>
      </c>
      <c r="G27">
        <v>-100</v>
      </c>
      <c r="H27" t="s">
        <v>330</v>
      </c>
    </row>
    <row r="28" spans="1:8" x14ac:dyDescent="0.25">
      <c r="A28" t="s">
        <v>78</v>
      </c>
      <c r="B28">
        <f t="shared" si="0"/>
        <v>-290</v>
      </c>
      <c r="C28">
        <v>0</v>
      </c>
      <c r="D28">
        <v>14.7</v>
      </c>
      <c r="E28">
        <v>15</v>
      </c>
      <c r="F28">
        <v>-290</v>
      </c>
      <c r="G28">
        <v>0</v>
      </c>
      <c r="H28" t="s">
        <v>118</v>
      </c>
    </row>
    <row r="29" spans="1:8" x14ac:dyDescent="0.25">
      <c r="A29" t="s">
        <v>141</v>
      </c>
      <c r="B29">
        <f t="shared" si="0"/>
        <v>290</v>
      </c>
      <c r="C29">
        <v>75</v>
      </c>
      <c r="D29">
        <v>508</v>
      </c>
      <c r="E29">
        <v>508</v>
      </c>
      <c r="F29">
        <v>290</v>
      </c>
      <c r="G29">
        <v>725.18849999999998</v>
      </c>
      <c r="H29" t="s">
        <v>173</v>
      </c>
    </row>
    <row r="30" spans="1:8" x14ac:dyDescent="0.25">
      <c r="A30" t="s">
        <v>77</v>
      </c>
      <c r="B30">
        <f t="shared" si="0"/>
        <v>290</v>
      </c>
      <c r="C30">
        <v>75</v>
      </c>
      <c r="D30">
        <v>600</v>
      </c>
      <c r="E30">
        <v>600</v>
      </c>
      <c r="F30">
        <v>290</v>
      </c>
      <c r="G30">
        <v>725.18849999999998</v>
      </c>
      <c r="H30" t="s">
        <v>183</v>
      </c>
    </row>
    <row r="31" spans="1:8" x14ac:dyDescent="0.25">
      <c r="A31" t="s">
        <v>78</v>
      </c>
      <c r="B31">
        <f t="shared" si="0"/>
        <v>0</v>
      </c>
      <c r="C31">
        <v>0</v>
      </c>
      <c r="D31">
        <v>14.7</v>
      </c>
      <c r="E31">
        <v>0</v>
      </c>
      <c r="F31">
        <v>0</v>
      </c>
      <c r="G31">
        <v>0</v>
      </c>
      <c r="H31" t="s">
        <v>184</v>
      </c>
    </row>
    <row r="32" spans="1:8" x14ac:dyDescent="0.25">
      <c r="A32" t="s">
        <v>80</v>
      </c>
      <c r="B32">
        <f t="shared" si="0"/>
        <v>3.15</v>
      </c>
      <c r="C32">
        <v>3.15</v>
      </c>
      <c r="D32">
        <v>3.15</v>
      </c>
      <c r="E32">
        <v>3</v>
      </c>
      <c r="F32">
        <v>3.15</v>
      </c>
      <c r="G32">
        <v>3.15</v>
      </c>
      <c r="H32" t="s">
        <v>120</v>
      </c>
    </row>
    <row r="33" spans="1:12" x14ac:dyDescent="0.25">
      <c r="A33" t="s">
        <v>81</v>
      </c>
      <c r="B33">
        <f t="shared" si="0"/>
        <v>1.67</v>
      </c>
      <c r="C33">
        <v>0.65</v>
      </c>
      <c r="D33">
        <v>0.2235</v>
      </c>
      <c r="E33">
        <v>0.3</v>
      </c>
      <c r="F33">
        <v>1.67</v>
      </c>
      <c r="G33">
        <f>(3/(G29))*14.7+0.15</f>
        <v>0.21081177514535876</v>
      </c>
      <c r="H33" t="s">
        <v>119</v>
      </c>
    </row>
    <row r="34" spans="1:12" x14ac:dyDescent="0.25">
      <c r="A34" t="s">
        <v>109</v>
      </c>
      <c r="B34">
        <f t="shared" si="0"/>
        <v>1.67</v>
      </c>
      <c r="C34">
        <v>1.67</v>
      </c>
      <c r="D34">
        <v>1.67</v>
      </c>
      <c r="E34">
        <v>1.67</v>
      </c>
      <c r="F34">
        <v>1.67</v>
      </c>
      <c r="G34">
        <v>1.67</v>
      </c>
      <c r="H34" t="s">
        <v>327</v>
      </c>
    </row>
    <row r="37" spans="1:12" x14ac:dyDescent="0.25">
      <c r="A37" t="s">
        <v>72</v>
      </c>
      <c r="B37">
        <f>(B6-B5)/(B21-B20)</f>
        <v>39.666666666666679</v>
      </c>
      <c r="C37" t="s">
        <v>169</v>
      </c>
    </row>
    <row r="38" spans="1:12" x14ac:dyDescent="0.25">
      <c r="A38" t="s">
        <v>73</v>
      </c>
      <c r="B38">
        <f>B37/B23</f>
        <v>15.866666666666671</v>
      </c>
      <c r="C38" t="s">
        <v>170</v>
      </c>
      <c r="E38">
        <f>14.7/600*3+0.15</f>
        <v>0.22349999999999998</v>
      </c>
    </row>
    <row r="39" spans="1:12" x14ac:dyDescent="0.25">
      <c r="A39" t="s">
        <v>65</v>
      </c>
      <c r="B39">
        <f>(B6+B34*(B23-1))/B23-B21*B38</f>
        <v>1.722</v>
      </c>
      <c r="C39" t="s">
        <v>171</v>
      </c>
    </row>
    <row r="40" spans="1:12" x14ac:dyDescent="0.25">
      <c r="A40" t="s">
        <v>177</v>
      </c>
      <c r="B40">
        <f>(B8+B$34*(B$23-1)-B$39*B$23)/B$37</f>
        <v>2.7983193277311079E-3</v>
      </c>
      <c r="C40" t="s">
        <v>172</v>
      </c>
      <c r="E40" t="e">
        <f>(E8+E34*(E23-1)-E39*E23)/E37</f>
        <v>#DIV/0!</v>
      </c>
      <c r="K40">
        <v>-0.01</v>
      </c>
      <c r="L40">
        <v>0.3</v>
      </c>
    </row>
    <row r="41" spans="1:12" x14ac:dyDescent="0.25">
      <c r="A41" t="s">
        <v>176</v>
      </c>
      <c r="B41">
        <f>(B10+B$34*(B$23-1)-B$39*B$23)/B$37</f>
        <v>2.3596638655462177E-2</v>
      </c>
      <c r="C41" t="s">
        <v>172</v>
      </c>
      <c r="K41">
        <f>K40+0.096</f>
        <v>8.6000000000000007E-2</v>
      </c>
      <c r="L41">
        <v>3</v>
      </c>
    </row>
    <row r="42" spans="1:12" x14ac:dyDescent="0.25">
      <c r="A42" t="s">
        <v>87</v>
      </c>
      <c r="B42">
        <f>(B41-B40)/(B9-B7)</f>
        <v>8.3864190837625279E-5</v>
      </c>
      <c r="C42" t="s">
        <v>174</v>
      </c>
    </row>
    <row r="43" spans="1:12" x14ac:dyDescent="0.25">
      <c r="A43" t="s">
        <v>18</v>
      </c>
      <c r="B43">
        <f>B42*B29*10/B22</f>
        <v>8.1068717809704441E-2</v>
      </c>
      <c r="C43" t="s">
        <v>185</v>
      </c>
      <c r="K43">
        <f>(L41-L40)/(K41-K40)</f>
        <v>28.125</v>
      </c>
      <c r="L43">
        <f>L41-K43*K41</f>
        <v>0.58124999999999982</v>
      </c>
    </row>
    <row r="44" spans="1:12" x14ac:dyDescent="0.25">
      <c r="A44" t="s">
        <v>57</v>
      </c>
      <c r="B44">
        <f>(B41-B9*B42)*10/B22</f>
        <v>9.3277310924370221E-3</v>
      </c>
      <c r="C44" t="s">
        <v>186</v>
      </c>
    </row>
    <row r="45" spans="1:12" x14ac:dyDescent="0.25">
      <c r="A45" t="s">
        <v>38</v>
      </c>
      <c r="B45">
        <f>(B8+B34*(B23-1)-B39*B23)/B37</f>
        <v>2.7983193277311079E-3</v>
      </c>
      <c r="C45" t="s">
        <v>172</v>
      </c>
    </row>
    <row r="46" spans="1:12" x14ac:dyDescent="0.25">
      <c r="B46">
        <f>(B10+B34*(B23-1)-B39*B23)/B37</f>
        <v>2.3596638655462177E-2</v>
      </c>
      <c r="C46" t="s">
        <v>172</v>
      </c>
    </row>
    <row r="47" spans="1:12" x14ac:dyDescent="0.25">
      <c r="A47" t="s">
        <v>334</v>
      </c>
      <c r="B47">
        <f>(B32-B33)/(B30-B31)</f>
        <v>5.1034482758620693E-3</v>
      </c>
      <c r="D47" t="s">
        <v>79</v>
      </c>
      <c r="E47">
        <f>(B30/B9)*(B41-B40)</f>
        <v>2.4320615342911335E-2</v>
      </c>
      <c r="F47" t="s">
        <v>175</v>
      </c>
    </row>
    <row r="48" spans="1:12" x14ac:dyDescent="0.25">
      <c r="A48" t="s">
        <v>335</v>
      </c>
      <c r="B48">
        <f>B32-B47*B30</f>
        <v>1.6699999999999997</v>
      </c>
    </row>
    <row r="49" spans="1:3" x14ac:dyDescent="0.25">
      <c r="A49" t="s">
        <v>333</v>
      </c>
      <c r="B49">
        <f>B47*B9+B48</f>
        <v>2.9356551724137931</v>
      </c>
    </row>
    <row r="50" spans="1:3" x14ac:dyDescent="0.25">
      <c r="A50" t="s">
        <v>337</v>
      </c>
      <c r="B50">
        <f>B47*B7+B48</f>
        <v>1.6699999999999997</v>
      </c>
    </row>
    <row r="51" spans="1:3" x14ac:dyDescent="0.25">
      <c r="A51" t="s">
        <v>83</v>
      </c>
      <c r="B51">
        <f>(B49-B50)/(B41-B40)</f>
        <v>60.853723441309725</v>
      </c>
    </row>
    <row r="52" spans="1:3" x14ac:dyDescent="0.25">
      <c r="A52" t="s">
        <v>338</v>
      </c>
      <c r="B52">
        <f>B49-B51*B41</f>
        <v>1.4997118495297792</v>
      </c>
    </row>
    <row r="53" spans="1:3" x14ac:dyDescent="0.25">
      <c r="A53" t="s">
        <v>336</v>
      </c>
      <c r="B53">
        <f>(B52+B34*(B23-1))/B23</f>
        <v>1.6018847398119118</v>
      </c>
    </row>
    <row r="54" spans="1:3" x14ac:dyDescent="0.25">
      <c r="A54" t="s">
        <v>88</v>
      </c>
      <c r="B54">
        <f>(B32-B33)/(B30-B31)*B28+B33</f>
        <v>0.18999999999999972</v>
      </c>
    </row>
    <row r="57" spans="1:3" x14ac:dyDescent="0.25">
      <c r="A57" t="s">
        <v>182</v>
      </c>
      <c r="B57">
        <f>(B54-B40*B51+B34*(B23-1))/B23</f>
        <v>1.0098847398119115</v>
      </c>
    </row>
    <row r="59" spans="1:3" x14ac:dyDescent="0.25">
      <c r="B59">
        <f>(3.15+15.03)/B23-(B40+0.0099)*B38</f>
        <v>7.0705200000000001</v>
      </c>
      <c r="C59" t="s">
        <v>126</v>
      </c>
    </row>
    <row r="60" spans="1:3" x14ac:dyDescent="0.25">
      <c r="B60">
        <f>(B40*B38+B59)*B23-15.03</f>
        <v>2.7573000000000025</v>
      </c>
      <c r="C60" t="s">
        <v>125</v>
      </c>
    </row>
    <row r="61" spans="1:3" x14ac:dyDescent="0.25">
      <c r="B61">
        <v>39</v>
      </c>
      <c r="C61" t="s">
        <v>124</v>
      </c>
    </row>
    <row r="62" spans="1:3" x14ac:dyDescent="0.25">
      <c r="B62">
        <v>2.5950000000000002</v>
      </c>
      <c r="C62" t="s">
        <v>123</v>
      </c>
    </row>
    <row r="63" spans="1:3" x14ac:dyDescent="0.25">
      <c r="B63">
        <f>(B62-B60)/B37</f>
        <v>-4.0915966386555194E-3</v>
      </c>
      <c r="C63" t="s">
        <v>122</v>
      </c>
    </row>
    <row r="64" spans="1:3" x14ac:dyDescent="0.25">
      <c r="B64">
        <f>B63/B61</f>
        <v>-1.049127343245005E-4</v>
      </c>
      <c r="C64" t="s">
        <v>121</v>
      </c>
    </row>
    <row r="65" spans="2:3" x14ac:dyDescent="0.25">
      <c r="B65">
        <f>B64*(B30-B28)</f>
        <v>-6.0849385908210291E-2</v>
      </c>
      <c r="C65" t="s">
        <v>127</v>
      </c>
    </row>
    <row r="66" spans="2:3" x14ac:dyDescent="0.25">
      <c r="B66">
        <f>(B32-B33)/B65/B23</f>
        <v>-9.7289395967449295</v>
      </c>
      <c r="C66" t="s">
        <v>36</v>
      </c>
    </row>
    <row r="67" spans="2:3" x14ac:dyDescent="0.25">
      <c r="B67">
        <f>(B33+15.03)/B23-0.01987*B66</f>
        <v>6.8733140297873216</v>
      </c>
      <c r="C67" t="s">
        <v>128</v>
      </c>
    </row>
    <row r="68" spans="2:3" x14ac:dyDescent="0.25">
      <c r="B68">
        <f>((B63+B40)*B38+B67)*B23-15.03</f>
        <v>2.1019850744683044</v>
      </c>
      <c r="C68" t="s">
        <v>130</v>
      </c>
    </row>
    <row r="69" spans="2:3" x14ac:dyDescent="0.25">
      <c r="B69">
        <f>((B63+B40)*B66+B67)*B23-15.03</f>
        <v>2.1847406165678667</v>
      </c>
      <c r="C69" t="s">
        <v>129</v>
      </c>
    </row>
  </sheetData>
  <conditionalFormatting sqref="B12">
    <cfRule type="expression" dxfId="2" priority="2">
      <formula>IF($B$12&gt;$B$24,1,IF($B$12&lt;$B$25,1,0))</formula>
    </cfRule>
  </conditionalFormatting>
  <conditionalFormatting sqref="B13">
    <cfRule type="expression" dxfId="1" priority="1">
      <formula>IF($B$13&gt;$B$26,1,IF($B$13&lt;$B$27,1,0))</formula>
    </cfRule>
  </conditionalFormatting>
  <dataValidations count="1">
    <dataValidation type="list" allowBlank="1" showInputMessage="1" showErrorMessage="1" promptTitle="Amplifier Configuration" sqref="B4">
      <formula1>$C$18:$G$18</formula1>
    </dataValidation>
  </dataValidation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112"/>
  <sheetViews>
    <sheetView topLeftCell="A4" zoomScale="200" zoomScaleNormal="200" workbookViewId="0">
      <selection activeCell="E37" sqref="E37"/>
    </sheetView>
  </sheetViews>
  <sheetFormatPr defaultRowHeight="15" x14ac:dyDescent="0.25"/>
  <cols>
    <col min="1" max="1" width="18.28515625" customWidth="1"/>
    <col min="2" max="2" width="16.85546875" customWidth="1"/>
    <col min="3" max="3" width="24.7109375" customWidth="1"/>
    <col min="4" max="5" width="18.140625" customWidth="1"/>
    <col min="6" max="6" width="49.85546875" customWidth="1"/>
  </cols>
  <sheetData>
    <row r="7" spans="1:6" x14ac:dyDescent="0.25">
      <c r="A7" t="s">
        <v>281</v>
      </c>
      <c r="B7" t="s">
        <v>286</v>
      </c>
      <c r="C7" t="s">
        <v>279</v>
      </c>
      <c r="D7" t="s">
        <v>280</v>
      </c>
      <c r="E7" t="s">
        <v>339</v>
      </c>
    </row>
    <row r="8" spans="1:6" x14ac:dyDescent="0.25">
      <c r="A8" t="s">
        <v>282</v>
      </c>
      <c r="B8" t="s">
        <v>275</v>
      </c>
      <c r="C8" t="s">
        <v>276</v>
      </c>
      <c r="D8" t="s">
        <v>278</v>
      </c>
      <c r="E8" t="s">
        <v>340</v>
      </c>
    </row>
    <row r="9" spans="1:6" x14ac:dyDescent="0.25">
      <c r="A9" t="s">
        <v>290</v>
      </c>
      <c r="B9" s="15" t="s">
        <v>287</v>
      </c>
      <c r="C9" s="12" t="s">
        <v>288</v>
      </c>
      <c r="D9" t="s">
        <v>289</v>
      </c>
      <c r="E9" t="s">
        <v>341</v>
      </c>
    </row>
    <row r="10" spans="1:6" x14ac:dyDescent="0.25">
      <c r="A10" t="s">
        <v>198</v>
      </c>
      <c r="B10">
        <v>0.1</v>
      </c>
      <c r="C10">
        <v>0.1</v>
      </c>
      <c r="D10">
        <v>0.03</v>
      </c>
      <c r="E10">
        <v>0.1</v>
      </c>
      <c r="F10" t="s">
        <v>202</v>
      </c>
    </row>
    <row r="11" spans="1:6" x14ac:dyDescent="0.25">
      <c r="A11" t="s">
        <v>200</v>
      </c>
      <c r="B11">
        <v>10</v>
      </c>
      <c r="C11">
        <v>10</v>
      </c>
      <c r="D11">
        <v>10</v>
      </c>
      <c r="E11">
        <v>10</v>
      </c>
      <c r="F11" t="s">
        <v>201</v>
      </c>
    </row>
    <row r="12" spans="1:6" x14ac:dyDescent="0.25">
      <c r="A12" t="s">
        <v>199</v>
      </c>
      <c r="B12">
        <v>20</v>
      </c>
      <c r="C12">
        <v>35</v>
      </c>
      <c r="D12">
        <v>5</v>
      </c>
      <c r="E12">
        <v>50</v>
      </c>
      <c r="F12" t="s">
        <v>203</v>
      </c>
    </row>
    <row r="13" spans="1:6" x14ac:dyDescent="0.25">
      <c r="A13" t="s">
        <v>141</v>
      </c>
      <c r="B13">
        <f>B12*14.50377</f>
        <v>290.0754</v>
      </c>
      <c r="C13">
        <f>C12*14.50377</f>
        <v>507.63194999999996</v>
      </c>
      <c r="D13">
        <f>D12*14.50377</f>
        <v>72.51885</v>
      </c>
      <c r="E13">
        <f>E12*14.50377</f>
        <v>725.18849999999998</v>
      </c>
      <c r="F13" t="s">
        <v>204</v>
      </c>
    </row>
    <row r="14" spans="1:6" x14ac:dyDescent="0.25">
      <c r="A14" t="s">
        <v>189</v>
      </c>
      <c r="B14">
        <v>0.5</v>
      </c>
      <c r="C14">
        <v>0.5</v>
      </c>
      <c r="D14">
        <v>0.5</v>
      </c>
      <c r="E14">
        <v>0.5</v>
      </c>
      <c r="F14" t="s">
        <v>205</v>
      </c>
    </row>
    <row r="15" spans="1:6" x14ac:dyDescent="0.25">
      <c r="A15" t="s">
        <v>190</v>
      </c>
      <c r="B15">
        <v>-0.3</v>
      </c>
      <c r="C15">
        <v>-0.3</v>
      </c>
      <c r="D15">
        <v>-0.3</v>
      </c>
      <c r="E15">
        <v>-0.3</v>
      </c>
      <c r="F15" t="s">
        <v>206</v>
      </c>
    </row>
    <row r="16" spans="1:6" x14ac:dyDescent="0.25">
      <c r="A16" t="s">
        <v>57</v>
      </c>
      <c r="B16">
        <v>1.4999999999999999E-2</v>
      </c>
      <c r="C16">
        <v>1.4999999999999999E-2</v>
      </c>
      <c r="D16">
        <v>1.4999999999999999E-2</v>
      </c>
      <c r="E16">
        <v>1.4999999999999999E-2</v>
      </c>
      <c r="F16" t="s">
        <v>207</v>
      </c>
    </row>
    <row r="17" spans="1:6" x14ac:dyDescent="0.25">
      <c r="A17" t="s">
        <v>209</v>
      </c>
      <c r="B17">
        <v>3</v>
      </c>
      <c r="C17">
        <v>3</v>
      </c>
      <c r="D17">
        <v>3</v>
      </c>
      <c r="E17">
        <v>3</v>
      </c>
      <c r="F17" t="s">
        <v>210</v>
      </c>
    </row>
    <row r="18" spans="1:6" x14ac:dyDescent="0.25">
      <c r="A18" t="s">
        <v>65</v>
      </c>
      <c r="B18">
        <v>3</v>
      </c>
      <c r="C18">
        <v>3</v>
      </c>
      <c r="D18">
        <v>3</v>
      </c>
      <c r="E18">
        <v>3</v>
      </c>
      <c r="F18" t="s">
        <v>208</v>
      </c>
    </row>
    <row r="19" spans="1:6" x14ac:dyDescent="0.25">
      <c r="A19" t="s">
        <v>159</v>
      </c>
      <c r="B19">
        <v>3.15</v>
      </c>
      <c r="C19">
        <v>3.15</v>
      </c>
      <c r="D19">
        <v>3.15</v>
      </c>
      <c r="E19">
        <v>3.15</v>
      </c>
      <c r="F19" t="s">
        <v>211</v>
      </c>
    </row>
    <row r="20" spans="1:6" x14ac:dyDescent="0.25">
      <c r="A20" t="s">
        <v>160</v>
      </c>
      <c r="B20">
        <v>0.15</v>
      </c>
      <c r="C20">
        <v>0.15</v>
      </c>
      <c r="D20">
        <v>0.15</v>
      </c>
      <c r="E20">
        <v>0.15</v>
      </c>
    </row>
    <row r="21" spans="1:6" x14ac:dyDescent="0.25">
      <c r="A21" t="s">
        <v>162</v>
      </c>
      <c r="B21">
        <v>290</v>
      </c>
      <c r="C21">
        <v>600</v>
      </c>
      <c r="D21">
        <v>75</v>
      </c>
      <c r="E21">
        <f>40*14.50377</f>
        <v>580.1508</v>
      </c>
      <c r="F21" t="s">
        <v>212</v>
      </c>
    </row>
    <row r="22" spans="1:6" x14ac:dyDescent="0.25">
      <c r="A22" t="s">
        <v>195</v>
      </c>
      <c r="B22">
        <v>-290</v>
      </c>
      <c r="C22">
        <v>0</v>
      </c>
      <c r="D22">
        <v>-15</v>
      </c>
      <c r="E22">
        <v>0</v>
      </c>
      <c r="F22" t="s">
        <v>213</v>
      </c>
    </row>
    <row r="23" spans="1:6" x14ac:dyDescent="0.25">
      <c r="A23" t="s">
        <v>54</v>
      </c>
      <c r="B23">
        <v>2.5</v>
      </c>
      <c r="C23">
        <v>2.5</v>
      </c>
      <c r="D23">
        <v>11</v>
      </c>
      <c r="E23">
        <v>5</v>
      </c>
      <c r="F23" t="s">
        <v>225</v>
      </c>
    </row>
    <row r="24" spans="1:6" x14ac:dyDescent="0.25">
      <c r="A24" t="s">
        <v>302</v>
      </c>
      <c r="B24" s="16">
        <v>100000</v>
      </c>
      <c r="C24" s="16">
        <v>100000</v>
      </c>
      <c r="D24" s="16">
        <v>10000</v>
      </c>
      <c r="E24" s="16">
        <v>10000</v>
      </c>
      <c r="F24" t="s">
        <v>303</v>
      </c>
    </row>
    <row r="25" spans="1:6" x14ac:dyDescent="0.25">
      <c r="A25" t="s">
        <v>154</v>
      </c>
      <c r="B25" s="16">
        <v>10000</v>
      </c>
      <c r="C25" s="16">
        <v>10000</v>
      </c>
      <c r="D25" s="16">
        <v>10000</v>
      </c>
      <c r="E25" s="16">
        <v>10000</v>
      </c>
      <c r="F25" t="s">
        <v>294</v>
      </c>
    </row>
    <row r="26" spans="1:6" x14ac:dyDescent="0.25">
      <c r="A26" t="s">
        <v>312</v>
      </c>
      <c r="B26" s="16">
        <v>13300</v>
      </c>
      <c r="C26" s="16">
        <v>13300</v>
      </c>
      <c r="D26" s="16">
        <v>13300</v>
      </c>
      <c r="E26" s="16">
        <v>13300</v>
      </c>
      <c r="F26" t="s">
        <v>315</v>
      </c>
    </row>
    <row r="27" spans="1:6" x14ac:dyDescent="0.25">
      <c r="A27" t="s">
        <v>313</v>
      </c>
      <c r="B27" s="16">
        <v>16500</v>
      </c>
      <c r="C27" s="16">
        <v>16500</v>
      </c>
      <c r="D27" s="16">
        <v>16500</v>
      </c>
      <c r="E27" s="16">
        <v>16500</v>
      </c>
    </row>
    <row r="28" spans="1:6" x14ac:dyDescent="0.25">
      <c r="A28" t="s">
        <v>310</v>
      </c>
      <c r="B28">
        <f>B54/2</f>
        <v>1.5000000000000003E-2</v>
      </c>
      <c r="C28">
        <f t="shared" ref="C28:D28" si="0">C54/2</f>
        <v>1.5000000000000003E-2</v>
      </c>
      <c r="D28">
        <f t="shared" si="0"/>
        <v>4.4999999999999997E-3</v>
      </c>
      <c r="E28">
        <f t="shared" ref="E28" si="1">E54/2</f>
        <v>1.5000000000000003E-2</v>
      </c>
      <c r="F28" t="s">
        <v>316</v>
      </c>
    </row>
    <row r="29" spans="1:6" x14ac:dyDescent="0.25">
      <c r="A29" t="s">
        <v>311</v>
      </c>
      <c r="B29">
        <f>B54</f>
        <v>3.0000000000000006E-2</v>
      </c>
      <c r="C29">
        <f t="shared" ref="C29:D29" si="2">C54</f>
        <v>3.0000000000000006E-2</v>
      </c>
      <c r="D29">
        <f t="shared" si="2"/>
        <v>8.9999999999999993E-3</v>
      </c>
      <c r="E29">
        <f t="shared" ref="E29" si="3">E54</f>
        <v>3.0000000000000006E-2</v>
      </c>
    </row>
    <row r="30" spans="1:6" x14ac:dyDescent="0.25">
      <c r="A30" t="s">
        <v>342</v>
      </c>
      <c r="B30" s="21">
        <v>0.15</v>
      </c>
      <c r="C30" s="21">
        <v>0.15</v>
      </c>
      <c r="D30" s="21">
        <v>0.15</v>
      </c>
      <c r="E30" s="21">
        <v>0.15</v>
      </c>
      <c r="F30" t="s">
        <v>344</v>
      </c>
    </row>
    <row r="31" spans="1:6" x14ac:dyDescent="0.25">
      <c r="A31" t="s">
        <v>343</v>
      </c>
      <c r="B31">
        <f t="shared" ref="B31:D31" si="4">3.3-0.15</f>
        <v>3.15</v>
      </c>
      <c r="C31">
        <f t="shared" si="4"/>
        <v>3.15</v>
      </c>
      <c r="D31">
        <f t="shared" si="4"/>
        <v>3.15</v>
      </c>
      <c r="E31">
        <f>3.3-0.15</f>
        <v>3.15</v>
      </c>
    </row>
    <row r="33" spans="1:10" x14ac:dyDescent="0.25">
      <c r="A33" t="s">
        <v>307</v>
      </c>
      <c r="B33" s="16">
        <f>ROUND(10^((ROUNDDOWN((LOG(B42)-TRUNC(LOG(B42)))*96,0))/96),2)*10^(TRUNC(LOG(B42)))</f>
        <v>8450</v>
      </c>
      <c r="C33" s="16">
        <f>ROUND(10^((ROUNDDOWN((LOG(C42)-TRUNC(LOG(C42)))*96,0))/96),2)*10^(TRUNC(LOG(C42)))</f>
        <v>9530</v>
      </c>
      <c r="D33" s="16">
        <f>ROUND(10^((ROUNDDOWN((LOG(D42)-TRUNC(LOG(D42)))*96,0))/96),2)*10^(TRUNC(LOG(D42)))</f>
        <v>6650</v>
      </c>
      <c r="E33" s="16">
        <f>ROUND(10^((ROUNDDOWN((LOG(E42)-TRUNC(LOG(E42)))*96,0))/96),2)*10^(TRUNC(LOG(E42)))</f>
        <v>11299.999999999998</v>
      </c>
      <c r="F33" t="s">
        <v>284</v>
      </c>
    </row>
    <row r="34" spans="1:10" x14ac:dyDescent="0.25">
      <c r="A34" t="s">
        <v>277</v>
      </c>
      <c r="B34" s="16">
        <f>IF(LOG10(B77)-TRUNC(LOG10(B77))&lt;=LOG10(2),2,IF(LOG10(B77)-TRUNC(LOG10(B77))&lt;=LOG10(5),5,10))*10^TRUNC(LOG10(B77))</f>
        <v>20000</v>
      </c>
      <c r="C34" s="16">
        <f>IF(LOG10(C77)-TRUNC(LOG10(C77))&lt;=LOG10(2),2,IF(LOG10(C77)-TRUNC(LOG10(C77))&lt;=LOG10(5),5,10))*10^TRUNC(LOG10(C77))</f>
        <v>10000</v>
      </c>
      <c r="D34" s="16">
        <f>IF(LOG10(D77)-TRUNC(LOG10(D77))&lt;=LOG10(2),2,IF(LOG10(D77)-TRUNC(LOG10(D77))&lt;=LOG10(5),5,10))*10^TRUNC(LOG10(D77))</f>
        <v>20000</v>
      </c>
      <c r="E34" s="16">
        <f>IF(LOG10(E77)-TRUNC(LOG10(E77))&lt;=LOG10(2),2,IF(LOG10(E77)-TRUNC(LOG10(E77))&lt;=LOG10(5),5,10))*10^TRUNC(LOG10(E77))</f>
        <v>20000</v>
      </c>
      <c r="F34" t="s">
        <v>283</v>
      </c>
    </row>
    <row r="35" spans="1:10" x14ac:dyDescent="0.25">
      <c r="A35" t="s">
        <v>296</v>
      </c>
      <c r="B35" s="16">
        <f>ROUND(10^('E96 calc'!D2/96),2)*B24</f>
        <v>100000</v>
      </c>
      <c r="C35" s="16">
        <f>ROUND(10^('E96 calc'!I2/96),2)*C24</f>
        <v>100000</v>
      </c>
      <c r="D35" s="16">
        <f>ROUND(10^('E96 calc'!N2/96),2)*D24</f>
        <v>10000</v>
      </c>
      <c r="E35" s="16">
        <f>ROUND(10^('E96 calc'!S2/96),2)*E24</f>
        <v>16200.000000000002</v>
      </c>
      <c r="F35" t="s">
        <v>305</v>
      </c>
    </row>
    <row r="36" spans="1:10" x14ac:dyDescent="0.25">
      <c r="A36" t="s">
        <v>308</v>
      </c>
      <c r="B36" s="16">
        <f>ROUND(10^((ROUND((LOG(B43)-TRUNC(LOG(B43)))*96,0))/96),2)*10^(TRUNC(LOG(B43)))</f>
        <v>14300</v>
      </c>
      <c r="C36" s="16">
        <f>ROUND(10^((ROUND((LOG(C43)-TRUNC(LOG(C43)))*96,0))/96),2)*10^(TRUNC(LOG(C43)))</f>
        <v>2320</v>
      </c>
      <c r="D36" s="16">
        <f>ROUND(10^((ROUND((LOG(D43)-TRUNC(LOG(D43)))*96,0))/96),2)*10^(TRUNC(LOG(D43)))</f>
        <v>10000</v>
      </c>
      <c r="E36" s="16">
        <f>ROUND(10^((ROUND((LOG(E43)-TRUNC(LOG(E43)))*96,0))/96),2)*10^(TRUNC(LOG(E43)))</f>
        <v>7680</v>
      </c>
      <c r="F36" t="s">
        <v>285</v>
      </c>
    </row>
    <row r="37" spans="1:10" x14ac:dyDescent="0.25">
      <c r="A37" t="s">
        <v>295</v>
      </c>
      <c r="B37" s="16">
        <f>ROUND(10^('E96 calc'!D3/96),2)*B24</f>
        <v>150000</v>
      </c>
      <c r="C37" s="16">
        <f>ROUND(10^('E96 calc'!I3/96),2)*C24</f>
        <v>150000</v>
      </c>
      <c r="D37" s="16">
        <f>ROUND(10^('E96 calc'!N3/96),2)*D24</f>
        <v>100000</v>
      </c>
      <c r="E37" s="16">
        <f>ROUND(10^('E96 calc'!S3/96),2)*E24</f>
        <v>64900</v>
      </c>
      <c r="F37" t="s">
        <v>304</v>
      </c>
    </row>
    <row r="38" spans="1:10" x14ac:dyDescent="0.25">
      <c r="A38" t="s">
        <v>318</v>
      </c>
      <c r="B38" s="16">
        <f>ROUND(10^((ROUND((LOG(B45)-TRUNC(LOG(B45)))*96,0))/96),2)*10^(TRUNC(LOG(B45)))</f>
        <v>150</v>
      </c>
      <c r="C38" s="16">
        <f t="shared" ref="C38:D38" si="5">ROUND(10^((ROUND((LOG(C45)-TRUNC(LOG(C45)))*96,0))/96),2)*10^(TRUNC(LOG(C45)))</f>
        <v>150</v>
      </c>
      <c r="D38" s="19">
        <f t="shared" si="5"/>
        <v>45.300000000000004</v>
      </c>
      <c r="E38" s="16">
        <f t="shared" ref="E38" si="6">ROUND(10^((ROUND((LOG(E45)-TRUNC(LOG(E45)))*96,0))/96),2)*10^(TRUNC(LOG(E45)))</f>
        <v>150</v>
      </c>
      <c r="G38" s="16"/>
      <c r="H38" s="18"/>
      <c r="J38" s="18"/>
    </row>
    <row r="39" spans="1:10" x14ac:dyDescent="0.25">
      <c r="A39" t="s">
        <v>319</v>
      </c>
      <c r="B39" s="16">
        <f>ROUND(10^((ROUND((LOG(B46)-TRUNC(LOG(B46)))*96,0))/96),2)*10^(TRUNC(LOG(B46)))</f>
        <v>150</v>
      </c>
      <c r="C39" s="16">
        <f t="shared" ref="C39:D39" si="7">ROUND(10^((ROUND((LOG(C46)-TRUNC(LOG(C46)))*96,0))/96),2)*10^(TRUNC(LOG(C46)))</f>
        <v>150</v>
      </c>
      <c r="D39" s="19">
        <f t="shared" si="7"/>
        <v>45.300000000000004</v>
      </c>
      <c r="E39" s="16">
        <f t="shared" ref="E39" si="8">ROUND(10^((ROUND((LOG(E46)-TRUNC(LOG(E46)))*96,0))/96),2)*10^(TRUNC(LOG(E46)))</f>
        <v>150</v>
      </c>
    </row>
    <row r="40" spans="1:10" x14ac:dyDescent="0.25">
      <c r="A40" t="s">
        <v>309</v>
      </c>
      <c r="B40" s="16">
        <f>ROUND(10^((ROUND((LOG(B44)-TRUNC(LOG(B44)))*96,0))/96),2)*10^(TRUNC(LOG(B44)))</f>
        <v>10500</v>
      </c>
      <c r="C40" s="16">
        <f>ROUND(10^((ROUND((LOG(C44)-TRUNC(LOG(C44)))*96,0))/96),2)*10^(TRUNC(LOG(C44)))</f>
        <v>8450</v>
      </c>
      <c r="D40" s="16">
        <f>ROUND(10^((ROUND((LOG(D44)-TRUNC(LOG(D44)))*96,0))/96),2)*10^(TRUNC(LOG(D44)))</f>
        <v>8660</v>
      </c>
      <c r="E40" s="16">
        <f>ROUND(10^((ROUND((LOG(E44)-TRUNC(LOG(E44)))*96,0))/96),2)*10^(TRUNC(LOG(E44)))</f>
        <v>10200</v>
      </c>
      <c r="F40" t="s">
        <v>306</v>
      </c>
    </row>
    <row r="42" spans="1:10" x14ac:dyDescent="0.25">
      <c r="A42" t="s">
        <v>268</v>
      </c>
      <c r="B42">
        <f>MIN(B73:B75)</f>
        <v>8482.1753144463582</v>
      </c>
      <c r="C42">
        <f>MIN(C73:C75)+5000</f>
        <v>9614.0465418874701</v>
      </c>
      <c r="D42">
        <f>MIN(D73:D75)</f>
        <v>6693.0816425575676</v>
      </c>
      <c r="E42">
        <f>MIN(E73:E75)+5000</f>
        <v>11511.627906976744</v>
      </c>
      <c r="F42" t="s">
        <v>284</v>
      </c>
    </row>
    <row r="43" spans="1:10" x14ac:dyDescent="0.25">
      <c r="A43" t="s">
        <v>271</v>
      </c>
      <c r="B43">
        <f>B50/B108</f>
        <v>14384.9599104233</v>
      </c>
      <c r="C43">
        <f>C50/C108</f>
        <v>2322.2341501554429</v>
      </c>
      <c r="D43">
        <f>D50/D108</f>
        <v>10072.632839599632</v>
      </c>
      <c r="E43">
        <f>E50/E108</f>
        <v>7749.3333333333358</v>
      </c>
      <c r="F43" t="s">
        <v>285</v>
      </c>
    </row>
    <row r="44" spans="1:10" x14ac:dyDescent="0.25">
      <c r="A44" t="s">
        <v>272</v>
      </c>
      <c r="B44">
        <f>(B18-B49)/B108</f>
        <v>10605.94245496172</v>
      </c>
      <c r="C44">
        <f>(C18-C49)/C108</f>
        <v>8362.0431101706672</v>
      </c>
      <c r="D44">
        <f>(D18-D49)/D108</f>
        <v>8595.7754432123511</v>
      </c>
      <c r="E44">
        <f>(E18-E49)/E108</f>
        <v>10250.666666666668</v>
      </c>
      <c r="F44" t="s">
        <v>306</v>
      </c>
    </row>
    <row r="45" spans="1:10" x14ac:dyDescent="0.25">
      <c r="A45" t="s">
        <v>314</v>
      </c>
      <c r="B45">
        <f>B28/((B18-B29)/(B26+B27))</f>
        <v>150.50505050505052</v>
      </c>
      <c r="C45">
        <f t="shared" ref="C45:D45" si="9">C28/((C18-C29)/(C26+C27))</f>
        <v>150.50505050505052</v>
      </c>
      <c r="D45">
        <f t="shared" si="9"/>
        <v>44.83450351053159</v>
      </c>
      <c r="E45">
        <f t="shared" ref="E45" si="10">E28/((E18-E29)/(E26+E27))</f>
        <v>150.50505050505052</v>
      </c>
    </row>
    <row r="46" spans="1:10" x14ac:dyDescent="0.25">
      <c r="A46" t="s">
        <v>317</v>
      </c>
      <c r="B46">
        <f>(B29-B28)/((B18-B29)/(B26+B27))</f>
        <v>150.50505050505052</v>
      </c>
      <c r="C46">
        <f t="shared" ref="C46:D46" si="11">(C29-C28)/((C18-C29)/(C26+C27))</f>
        <v>150.50505050505052</v>
      </c>
      <c r="D46">
        <f t="shared" si="11"/>
        <v>44.83450351053159</v>
      </c>
      <c r="E46">
        <f t="shared" ref="E46" si="12">(E29-E28)/((E18-E29)/(E26+E27))</f>
        <v>150.50505050505052</v>
      </c>
    </row>
    <row r="49" spans="1:6" x14ac:dyDescent="0.25">
      <c r="A49" t="s">
        <v>247</v>
      </c>
      <c r="B49">
        <f>MAX(B92:B102)</f>
        <v>2.0906828571428568</v>
      </c>
      <c r="C49">
        <f>MAX(C92:C102)</f>
        <v>1.7871884999999998</v>
      </c>
      <c r="D49">
        <f>MAX(D92:D102)</f>
        <v>2.1004967532467531</v>
      </c>
      <c r="E49">
        <f>MAX(E92:E102)</f>
        <v>1.9017142857142857</v>
      </c>
      <c r="F49" t="s">
        <v>266</v>
      </c>
    </row>
    <row r="50" spans="1:6" x14ac:dyDescent="0.25">
      <c r="A50" t="s">
        <v>246</v>
      </c>
      <c r="B50">
        <f>MIN(B92:B102)</f>
        <v>1.233317142857143</v>
      </c>
      <c r="C50">
        <f>MIN(C92:C102)</f>
        <v>0.33681150000000004</v>
      </c>
      <c r="D50">
        <f>MIN(D92:D102)</f>
        <v>1.054048701298701</v>
      </c>
      <c r="E50">
        <f>MIN(E92:E102)</f>
        <v>0.8302857142857144</v>
      </c>
      <c r="F50" t="s">
        <v>267</v>
      </c>
    </row>
    <row r="53" spans="1:6" x14ac:dyDescent="0.25">
      <c r="A53" t="s">
        <v>143</v>
      </c>
      <c r="B53">
        <f>B54*(1+B14)</f>
        <v>4.5000000000000012E-2</v>
      </c>
      <c r="C53">
        <f>C54*(1+C14)</f>
        <v>4.5000000000000012E-2</v>
      </c>
      <c r="D53">
        <f>D54*(1+D14)</f>
        <v>1.3499999999999998E-2</v>
      </c>
      <c r="E53">
        <f>E54*(1+E14)</f>
        <v>4.5000000000000012E-2</v>
      </c>
    </row>
    <row r="54" spans="1:6" x14ac:dyDescent="0.25">
      <c r="A54" t="s">
        <v>198</v>
      </c>
      <c r="B54">
        <f>B10*B17/B11</f>
        <v>3.0000000000000006E-2</v>
      </c>
      <c r="C54">
        <f>C10*C17/C11</f>
        <v>3.0000000000000006E-2</v>
      </c>
      <c r="D54">
        <f>D10*D17/D11</f>
        <v>8.9999999999999993E-3</v>
      </c>
      <c r="E54">
        <f>E10*E17/E11</f>
        <v>3.0000000000000006E-2</v>
      </c>
      <c r="F54" t="s">
        <v>214</v>
      </c>
    </row>
    <row r="55" spans="1:6" x14ac:dyDescent="0.25">
      <c r="A55" t="s">
        <v>144</v>
      </c>
      <c r="B55">
        <f>B54*(1+B15)</f>
        <v>2.1000000000000001E-2</v>
      </c>
      <c r="C55">
        <f>C54*(1+C15)</f>
        <v>2.1000000000000001E-2</v>
      </c>
      <c r="D55">
        <f>D54*(1+D15)</f>
        <v>6.2999999999999992E-3</v>
      </c>
      <c r="E55">
        <f>E54*(1+E15)</f>
        <v>2.1000000000000001E-2</v>
      </c>
    </row>
    <row r="57" spans="1:6" x14ac:dyDescent="0.25">
      <c r="A57" t="s">
        <v>216</v>
      </c>
      <c r="B57">
        <f t="shared" ref="B57:D59" si="13">B53/B$13</f>
        <v>1.5513207945244586E-4</v>
      </c>
      <c r="C57">
        <f t="shared" si="13"/>
        <v>8.8646902544254778E-5</v>
      </c>
      <c r="D57">
        <f t="shared" si="13"/>
        <v>1.8615849534293495E-4</v>
      </c>
      <c r="E57">
        <f t="shared" ref="E57" si="14">E53/E$13</f>
        <v>6.2052831780978345E-5</v>
      </c>
    </row>
    <row r="58" spans="1:6" x14ac:dyDescent="0.25">
      <c r="A58" t="s">
        <v>215</v>
      </c>
      <c r="B58">
        <f t="shared" si="13"/>
        <v>1.0342138630163056E-4</v>
      </c>
      <c r="C58">
        <f t="shared" si="13"/>
        <v>5.9097935029503185E-5</v>
      </c>
      <c r="D58">
        <f t="shared" si="13"/>
        <v>1.2410566356195664E-4</v>
      </c>
      <c r="E58">
        <f t="shared" ref="E58" si="15">E54/E$13</f>
        <v>4.1368554520652223E-5</v>
      </c>
      <c r="F58" t="s">
        <v>219</v>
      </c>
    </row>
    <row r="59" spans="1:6" x14ac:dyDescent="0.25">
      <c r="A59" t="s">
        <v>217</v>
      </c>
      <c r="B59">
        <f t="shared" si="13"/>
        <v>7.2394970411141389E-5</v>
      </c>
      <c r="C59">
        <f t="shared" si="13"/>
        <v>4.1368554520652223E-5</v>
      </c>
      <c r="D59">
        <f t="shared" si="13"/>
        <v>8.6873964493369645E-5</v>
      </c>
      <c r="E59">
        <f t="shared" ref="E59" si="16">E55/E$13</f>
        <v>2.8957988164456553E-5</v>
      </c>
    </row>
    <row r="61" spans="1:6" x14ac:dyDescent="0.25">
      <c r="B61">
        <f t="shared" ref="B61:D63" si="17">B57*(B$21-B$22)</f>
        <v>8.99766060824186E-2</v>
      </c>
      <c r="C61">
        <f t="shared" si="17"/>
        <v>5.3188141526552865E-2</v>
      </c>
      <c r="D61">
        <f t="shared" si="17"/>
        <v>1.6754264580864146E-2</v>
      </c>
      <c r="E61">
        <f t="shared" ref="E61" si="18">E57*(E$21-E$22)</f>
        <v>3.6000000000000011E-2</v>
      </c>
    </row>
    <row r="62" spans="1:6" x14ac:dyDescent="0.25">
      <c r="A62" t="s">
        <v>218</v>
      </c>
      <c r="B62">
        <f t="shared" si="17"/>
        <v>5.9984404054945727E-2</v>
      </c>
      <c r="C62">
        <f t="shared" si="17"/>
        <v>3.5458761017701915E-2</v>
      </c>
      <c r="D62">
        <f t="shared" si="17"/>
        <v>1.1169509720576096E-2</v>
      </c>
      <c r="E62">
        <f t="shared" ref="E62" si="19">E58*(E$21-E$22)</f>
        <v>2.4000000000000004E-2</v>
      </c>
      <c r="F62" t="s">
        <v>220</v>
      </c>
    </row>
    <row r="63" spans="1:6" x14ac:dyDescent="0.25">
      <c r="B63">
        <f t="shared" si="17"/>
        <v>4.1989082838462005E-2</v>
      </c>
      <c r="C63">
        <f t="shared" si="17"/>
        <v>2.4821132712391333E-2</v>
      </c>
      <c r="D63">
        <f t="shared" si="17"/>
        <v>7.8186568044032682E-3</v>
      </c>
      <c r="E63">
        <f t="shared" ref="E63" si="20">E59*(E$21-E$22)</f>
        <v>1.6800000000000002E-2</v>
      </c>
    </row>
    <row r="65" spans="1:6" x14ac:dyDescent="0.25">
      <c r="A65" t="s">
        <v>222</v>
      </c>
      <c r="B65">
        <f t="shared" ref="B65:D67" si="21">(B$19-B$20)/B61</f>
        <v>33.341999999999992</v>
      </c>
      <c r="C65">
        <f t="shared" si="21"/>
        <v>56.403549999999981</v>
      </c>
      <c r="D65">
        <f t="shared" si="21"/>
        <v>179.0588888888889</v>
      </c>
      <c r="E65">
        <f t="shared" ref="E65" si="22">(E$19-E$20)/E61</f>
        <v>83.333333333333314</v>
      </c>
    </row>
    <row r="66" spans="1:6" x14ac:dyDescent="0.25">
      <c r="A66" t="s">
        <v>221</v>
      </c>
      <c r="B66">
        <f t="shared" si="21"/>
        <v>50.012999999999991</v>
      </c>
      <c r="C66">
        <f t="shared" si="21"/>
        <v>84.605324999999965</v>
      </c>
      <c r="D66">
        <f t="shared" si="21"/>
        <v>268.58833333333337</v>
      </c>
      <c r="E66">
        <f t="shared" ref="E66" si="23">(E$19-E$20)/E62</f>
        <v>124.99999999999999</v>
      </c>
      <c r="F66" t="s">
        <v>224</v>
      </c>
    </row>
    <row r="67" spans="1:6" x14ac:dyDescent="0.25">
      <c r="A67" t="s">
        <v>223</v>
      </c>
      <c r="B67">
        <f t="shared" si="21"/>
        <v>71.44714285714285</v>
      </c>
      <c r="C67">
        <f t="shared" si="21"/>
        <v>120.86474999999999</v>
      </c>
      <c r="D67">
        <f t="shared" si="21"/>
        <v>383.69761904761907</v>
      </c>
      <c r="E67">
        <f t="shared" ref="E67" si="24">(E$19-E$20)/E63</f>
        <v>178.57142857142856</v>
      </c>
    </row>
    <row r="69" spans="1:6" x14ac:dyDescent="0.25">
      <c r="B69">
        <f t="shared" ref="B69:D71" si="25">B65/B$23</f>
        <v>13.336799999999997</v>
      </c>
      <c r="C69">
        <f t="shared" si="25"/>
        <v>22.561419999999991</v>
      </c>
      <c r="D69">
        <f t="shared" si="25"/>
        <v>16.278080808080809</v>
      </c>
      <c r="E69">
        <f t="shared" ref="E69" si="26">E65/E$23</f>
        <v>16.666666666666664</v>
      </c>
    </row>
    <row r="70" spans="1:6" x14ac:dyDescent="0.25">
      <c r="A70" t="s">
        <v>226</v>
      </c>
      <c r="B70">
        <f t="shared" si="25"/>
        <v>20.005199999999995</v>
      </c>
      <c r="C70">
        <f t="shared" si="25"/>
        <v>33.842129999999983</v>
      </c>
      <c r="D70">
        <f t="shared" si="25"/>
        <v>24.417121212121216</v>
      </c>
      <c r="E70">
        <f t="shared" ref="E70" si="27">E66/E$23</f>
        <v>24.999999999999996</v>
      </c>
      <c r="F70" t="s">
        <v>227</v>
      </c>
    </row>
    <row r="71" spans="1:6" x14ac:dyDescent="0.25">
      <c r="B71">
        <f t="shared" si="25"/>
        <v>28.578857142857139</v>
      </c>
      <c r="C71">
        <f t="shared" si="25"/>
        <v>48.345899999999993</v>
      </c>
      <c r="D71">
        <f t="shared" si="25"/>
        <v>34.881601731601734</v>
      </c>
      <c r="E71">
        <f t="shared" ref="E71" si="28">E67/E$23</f>
        <v>35.714285714285708</v>
      </c>
    </row>
    <row r="73" spans="1:6" x14ac:dyDescent="0.25">
      <c r="A73" t="s">
        <v>222</v>
      </c>
      <c r="B73">
        <f t="shared" ref="B73:D75" si="29">200000/(B69-5)</f>
        <v>23990.020151616936</v>
      </c>
      <c r="C73">
        <f t="shared" si="29"/>
        <v>11388.600694021332</v>
      </c>
      <c r="D73">
        <f t="shared" si="29"/>
        <v>17733.513653909882</v>
      </c>
      <c r="E73">
        <f t="shared" ref="E73" si="30">200000/(E69-5)</f>
        <v>17142.857142857145</v>
      </c>
    </row>
    <row r="74" spans="1:6" x14ac:dyDescent="0.25">
      <c r="A74" t="s">
        <v>47</v>
      </c>
      <c r="B74">
        <f t="shared" si="29"/>
        <v>13328.71271292619</v>
      </c>
      <c r="C74">
        <f t="shared" si="29"/>
        <v>6934.3006220414418</v>
      </c>
      <c r="D74">
        <f t="shared" si="29"/>
        <v>10300.188056463756</v>
      </c>
      <c r="E74">
        <f t="shared" ref="E74" si="31">200000/(E70-5)</f>
        <v>10000.000000000002</v>
      </c>
    </row>
    <row r="75" spans="1:6" x14ac:dyDescent="0.25">
      <c r="A75" t="s">
        <v>223</v>
      </c>
      <c r="B75">
        <f t="shared" si="29"/>
        <v>8482.1753144463582</v>
      </c>
      <c r="C75">
        <f t="shared" si="29"/>
        <v>4614.0465418874692</v>
      </c>
      <c r="D75">
        <f t="shared" si="29"/>
        <v>6693.0816425575676</v>
      </c>
      <c r="E75">
        <f t="shared" ref="E75" si="32">200000/(E71-5)</f>
        <v>6511.6279069767452</v>
      </c>
    </row>
    <row r="77" spans="1:6" x14ac:dyDescent="0.25">
      <c r="A77" t="s">
        <v>273</v>
      </c>
      <c r="B77">
        <f>B73-B75</f>
        <v>15507.844837170578</v>
      </c>
      <c r="C77">
        <f>C73-C75</f>
        <v>6774.5541521338628</v>
      </c>
      <c r="D77">
        <f>D73-D75</f>
        <v>11040.432011352314</v>
      </c>
      <c r="E77">
        <f>E73-E75</f>
        <v>10631.229235880401</v>
      </c>
      <c r="F77" t="s">
        <v>274</v>
      </c>
    </row>
    <row r="79" spans="1:6" x14ac:dyDescent="0.25">
      <c r="A79" t="s">
        <v>235</v>
      </c>
      <c r="B79">
        <f t="shared" ref="B79:D81" si="33">B$22*B57+B$16</f>
        <v>-2.9988303041209301E-2</v>
      </c>
      <c r="C79">
        <f t="shared" si="33"/>
        <v>1.4999999999999999E-2</v>
      </c>
      <c r="D79">
        <f t="shared" si="33"/>
        <v>1.2207622569855976E-2</v>
      </c>
      <c r="E79">
        <f t="shared" ref="E79" si="34">E$22*E57+E$16</f>
        <v>1.4999999999999999E-2</v>
      </c>
      <c r="F79" t="s">
        <v>249</v>
      </c>
    </row>
    <row r="80" spans="1:6" x14ac:dyDescent="0.25">
      <c r="A80" t="s">
        <v>234</v>
      </c>
      <c r="B80">
        <f t="shared" si="33"/>
        <v>-1.4992202027472864E-2</v>
      </c>
      <c r="C80">
        <f t="shared" si="33"/>
        <v>1.4999999999999999E-2</v>
      </c>
      <c r="D80">
        <f t="shared" si="33"/>
        <v>1.3138415046570651E-2</v>
      </c>
      <c r="E80">
        <f t="shared" ref="E80" si="35">E$22*E58+E$16</f>
        <v>1.4999999999999999E-2</v>
      </c>
      <c r="F80" t="s">
        <v>250</v>
      </c>
    </row>
    <row r="81" spans="1:6" x14ac:dyDescent="0.25">
      <c r="A81" t="s">
        <v>236</v>
      </c>
      <c r="B81">
        <f t="shared" si="33"/>
        <v>-5.9945414192310031E-3</v>
      </c>
      <c r="C81">
        <f t="shared" si="33"/>
        <v>1.4999999999999999E-2</v>
      </c>
      <c r="D81">
        <f t="shared" si="33"/>
        <v>1.3696890532599454E-2</v>
      </c>
      <c r="E81">
        <f t="shared" ref="E81" si="36">E$22*E59+E$16</f>
        <v>1.4999999999999999E-2</v>
      </c>
      <c r="F81" t="s">
        <v>251</v>
      </c>
    </row>
    <row r="83" spans="1:6" x14ac:dyDescent="0.25">
      <c r="A83" t="s">
        <v>228</v>
      </c>
      <c r="B83">
        <f t="shared" ref="B83:D85" si="37">B57*B$22</f>
        <v>-4.49883030412093E-2</v>
      </c>
      <c r="C83">
        <f t="shared" si="37"/>
        <v>0</v>
      </c>
      <c r="D83">
        <f t="shared" si="37"/>
        <v>-2.7923774301440241E-3</v>
      </c>
      <c r="E83">
        <f t="shared" ref="E83" si="38">E57*E$22</f>
        <v>0</v>
      </c>
      <c r="F83" t="s">
        <v>252</v>
      </c>
    </row>
    <row r="84" spans="1:6" x14ac:dyDescent="0.25">
      <c r="A84" t="s">
        <v>229</v>
      </c>
      <c r="B84">
        <f t="shared" si="37"/>
        <v>-2.9992202027472863E-2</v>
      </c>
      <c r="C84">
        <f t="shared" si="37"/>
        <v>0</v>
      </c>
      <c r="D84">
        <f t="shared" si="37"/>
        <v>-1.8615849534293495E-3</v>
      </c>
      <c r="E84">
        <f t="shared" ref="E84" si="39">E58*E$22</f>
        <v>0</v>
      </c>
      <c r="F84" t="s">
        <v>253</v>
      </c>
    </row>
    <row r="85" spans="1:6" x14ac:dyDescent="0.25">
      <c r="A85" t="s">
        <v>230</v>
      </c>
      <c r="B85">
        <f t="shared" si="37"/>
        <v>-2.0994541419231003E-2</v>
      </c>
      <c r="C85">
        <f t="shared" si="37"/>
        <v>0</v>
      </c>
      <c r="D85">
        <f t="shared" si="37"/>
        <v>-1.3031094674005447E-3</v>
      </c>
      <c r="E85">
        <f t="shared" ref="E85" si="40">E59*E$22</f>
        <v>0</v>
      </c>
      <c r="F85" t="s">
        <v>254</v>
      </c>
    </row>
    <row r="87" spans="1:6" x14ac:dyDescent="0.25">
      <c r="A87" t="s">
        <v>232</v>
      </c>
      <c r="B87">
        <f t="shared" ref="B87:D89" si="41">B$22*B57-B$16</f>
        <v>-5.99883030412093E-2</v>
      </c>
      <c r="C87">
        <f t="shared" si="41"/>
        <v>-1.4999999999999999E-2</v>
      </c>
      <c r="D87">
        <f t="shared" si="41"/>
        <v>-1.7792377430144023E-2</v>
      </c>
      <c r="E87">
        <f t="shared" ref="E87" si="42">E$22*E57-E$16</f>
        <v>-1.4999999999999999E-2</v>
      </c>
      <c r="F87" t="s">
        <v>255</v>
      </c>
    </row>
    <row r="88" spans="1:6" x14ac:dyDescent="0.25">
      <c r="A88" t="s">
        <v>231</v>
      </c>
      <c r="B88">
        <f t="shared" si="41"/>
        <v>-4.4992202027472866E-2</v>
      </c>
      <c r="C88">
        <f t="shared" si="41"/>
        <v>-1.4999999999999999E-2</v>
      </c>
      <c r="D88">
        <f t="shared" si="41"/>
        <v>-1.6861584953429348E-2</v>
      </c>
      <c r="E88">
        <f t="shared" ref="E88" si="43">E$22*E58-E$16</f>
        <v>-1.4999999999999999E-2</v>
      </c>
      <c r="F88" t="s">
        <v>248</v>
      </c>
    </row>
    <row r="89" spans="1:6" x14ac:dyDescent="0.25">
      <c r="A89" t="s">
        <v>233</v>
      </c>
      <c r="B89">
        <f t="shared" si="41"/>
        <v>-3.5994541419231002E-2</v>
      </c>
      <c r="C89">
        <f t="shared" si="41"/>
        <v>-1.4999999999999999E-2</v>
      </c>
      <c r="D89">
        <f t="shared" si="41"/>
        <v>-1.6303109467400545E-2</v>
      </c>
      <c r="E89">
        <f t="shared" ref="E89" si="44">E$22*E59-E$16</f>
        <v>-1.4999999999999999E-2</v>
      </c>
      <c r="F89" t="s">
        <v>256</v>
      </c>
    </row>
    <row r="92" spans="1:6" x14ac:dyDescent="0.25">
      <c r="A92" t="s">
        <v>237</v>
      </c>
      <c r="B92">
        <f t="shared" ref="B92:D94" si="45">(B$20+1.67*(B$23-1)-B79*B69*B$23)/B$23</f>
        <v>1.461948</v>
      </c>
      <c r="C92">
        <f t="shared" si="45"/>
        <v>0.72357870000000002</v>
      </c>
      <c r="D92">
        <f t="shared" si="45"/>
        <v>1.3331015151515151</v>
      </c>
      <c r="E92">
        <f t="shared" ref="E92" si="46">(E$20+1.67*(E$23-1)-E79*E69*E$23)/E$23</f>
        <v>1.1160000000000001</v>
      </c>
      <c r="F92" t="s">
        <v>257</v>
      </c>
    </row>
    <row r="93" spans="1:6" x14ac:dyDescent="0.25">
      <c r="A93" t="s">
        <v>239</v>
      </c>
      <c r="B93">
        <f t="shared" si="45"/>
        <v>1.3619220000000001</v>
      </c>
      <c r="C93">
        <f t="shared" si="45"/>
        <v>0.55436805000000022</v>
      </c>
      <c r="D93">
        <f t="shared" si="45"/>
        <v>1.2110159090909087</v>
      </c>
      <c r="E93">
        <f t="shared" ref="E93" si="47">(E$20+1.67*(E$23-1)-E80*E70*E$23)/E$23</f>
        <v>0.99099999999999999</v>
      </c>
      <c r="F93" t="s">
        <v>258</v>
      </c>
    </row>
    <row r="94" spans="1:6" x14ac:dyDescent="0.25">
      <c r="A94" t="s">
        <v>238</v>
      </c>
      <c r="B94">
        <f t="shared" si="45"/>
        <v>1.233317142857143</v>
      </c>
      <c r="C94">
        <f t="shared" si="45"/>
        <v>0.33681150000000004</v>
      </c>
      <c r="D94">
        <f t="shared" si="45"/>
        <v>1.054048701298701</v>
      </c>
      <c r="E94">
        <f t="shared" ref="E94" si="48">(E$20+1.67*(E$23-1)-E81*E71*E$23)/E$23</f>
        <v>0.8302857142857144</v>
      </c>
      <c r="F94" t="s">
        <v>259</v>
      </c>
    </row>
    <row r="96" spans="1:6" x14ac:dyDescent="0.25">
      <c r="A96" t="s">
        <v>240</v>
      </c>
      <c r="B96">
        <f t="shared" ref="B96:D98" si="49">(B$20+1.67*(B$23-1)-B83*B69*B$23)/B$23</f>
        <v>1.6620000000000001</v>
      </c>
      <c r="C96">
        <f t="shared" si="49"/>
        <v>1.0619999999999998</v>
      </c>
      <c r="D96">
        <f t="shared" si="49"/>
        <v>1.5772727272727272</v>
      </c>
      <c r="E96">
        <f t="shared" ref="E96" si="50">(E$20+1.67*(E$23-1)-E83*E69*E$23)/E$23</f>
        <v>1.3660000000000001</v>
      </c>
      <c r="F96" t="s">
        <v>263</v>
      </c>
    </row>
    <row r="97" spans="1:6" x14ac:dyDescent="0.25">
      <c r="A97" t="s">
        <v>241</v>
      </c>
      <c r="B97">
        <f t="shared" si="49"/>
        <v>1.6619999999999997</v>
      </c>
      <c r="C97">
        <f t="shared" si="49"/>
        <v>1.0619999999999998</v>
      </c>
      <c r="D97">
        <f t="shared" si="49"/>
        <v>1.5772727272727272</v>
      </c>
      <c r="E97">
        <f t="shared" ref="E97" si="51">(E$20+1.67*(E$23-1)-E84*E70*E$23)/E$23</f>
        <v>1.3660000000000001</v>
      </c>
      <c r="F97" t="s">
        <v>264</v>
      </c>
    </row>
    <row r="98" spans="1:6" x14ac:dyDescent="0.25">
      <c r="A98" t="s">
        <v>242</v>
      </c>
      <c r="B98">
        <f t="shared" si="49"/>
        <v>1.6619999999999997</v>
      </c>
      <c r="C98">
        <f t="shared" si="49"/>
        <v>1.0619999999999998</v>
      </c>
      <c r="D98">
        <f t="shared" si="49"/>
        <v>1.5772727272727272</v>
      </c>
      <c r="E98">
        <f t="shared" ref="E98" si="52">(E$20+1.67*(E$23-1)-E85*E71*E$23)/E$23</f>
        <v>1.3660000000000001</v>
      </c>
      <c r="F98" t="s">
        <v>265</v>
      </c>
    </row>
    <row r="100" spans="1:6" x14ac:dyDescent="0.25">
      <c r="A100" t="s">
        <v>243</v>
      </c>
      <c r="B100">
        <f t="shared" ref="B100:D102" si="53">(B$20+1.67*(B$23-1)-B87*B69*B$23)/B$23</f>
        <v>1.8620519999999998</v>
      </c>
      <c r="C100">
        <f t="shared" si="53"/>
        <v>1.4004212999999999</v>
      </c>
      <c r="D100">
        <f t="shared" si="53"/>
        <v>1.8214439393939392</v>
      </c>
      <c r="E100">
        <f t="shared" ref="E100" si="54">(E$20+1.67*(E$23-1)-E87*E69*E$23)/E$23</f>
        <v>1.6160000000000001</v>
      </c>
      <c r="F100" t="s">
        <v>260</v>
      </c>
    </row>
    <row r="101" spans="1:6" x14ac:dyDescent="0.25">
      <c r="A101" t="s">
        <v>244</v>
      </c>
      <c r="B101">
        <f t="shared" si="53"/>
        <v>1.9620779999999995</v>
      </c>
      <c r="C101">
        <f t="shared" si="53"/>
        <v>1.5696319499999996</v>
      </c>
      <c r="D101">
        <f t="shared" si="53"/>
        <v>1.9435295454545454</v>
      </c>
      <c r="E101">
        <f t="shared" ref="E101" si="55">(E$20+1.67*(E$23-1)-E88*E70*E$23)/E$23</f>
        <v>1.7410000000000001</v>
      </c>
      <c r="F101" t="s">
        <v>261</v>
      </c>
    </row>
    <row r="102" spans="1:6" x14ac:dyDescent="0.25">
      <c r="A102" t="s">
        <v>245</v>
      </c>
      <c r="B102">
        <f t="shared" si="53"/>
        <v>2.0906828571428568</v>
      </c>
      <c r="C102">
        <f t="shared" si="53"/>
        <v>1.7871884999999998</v>
      </c>
      <c r="D102">
        <f t="shared" si="53"/>
        <v>2.1004967532467531</v>
      </c>
      <c r="E102">
        <f t="shared" ref="E102" si="56">(E$20+1.67*(E$23-1)-E89*E71*E$23)/E$23</f>
        <v>1.9017142857142857</v>
      </c>
      <c r="F102" t="s">
        <v>262</v>
      </c>
    </row>
    <row r="107" spans="1:6" x14ac:dyDescent="0.25">
      <c r="A107" t="s">
        <v>269</v>
      </c>
      <c r="B107">
        <f>B49-B50</f>
        <v>0.85736571428571384</v>
      </c>
      <c r="C107">
        <f>C49-C50</f>
        <v>1.4503769999999998</v>
      </c>
      <c r="D107">
        <f>D49-D50</f>
        <v>1.0464480519480521</v>
      </c>
      <c r="E107">
        <f>E49-E50</f>
        <v>1.0714285714285712</v>
      </c>
    </row>
    <row r="108" spans="1:6" x14ac:dyDescent="0.25">
      <c r="A108" t="s">
        <v>270</v>
      </c>
      <c r="B108">
        <f>B107/B25</f>
        <v>8.5736571428571379E-5</v>
      </c>
      <c r="C108">
        <f>C107/C25</f>
        <v>1.4503769999999998E-4</v>
      </c>
      <c r="D108">
        <f>D107/D25</f>
        <v>1.0464480519480521E-4</v>
      </c>
      <c r="E108">
        <f>E107/E25</f>
        <v>1.0714285714285712E-4</v>
      </c>
    </row>
    <row r="111" spans="1:6" x14ac:dyDescent="0.25">
      <c r="A111" t="s">
        <v>351</v>
      </c>
      <c r="B111">
        <f t="shared" ref="B111:D111" si="57">(4/5*(B30+B50/4-0.5*(5/4)+B54*(25000/B74+5/8)))</f>
        <v>-7.3320971428571399E-2</v>
      </c>
      <c r="C111">
        <f t="shared" si="57"/>
        <v>-0.21111131</v>
      </c>
      <c r="D111">
        <f t="shared" si="57"/>
        <v>-0.14721485064935075</v>
      </c>
      <c r="E111">
        <f>(4/5*(E30+E50/4-0.5*(5/4)+E54*(25000/E74+5/8)))</f>
        <v>-0.13894285714285712</v>
      </c>
    </row>
    <row r="112" spans="1:6" x14ac:dyDescent="0.25">
      <c r="A112" t="s">
        <v>352</v>
      </c>
      <c r="B112">
        <f t="shared" ref="B112:D112" si="58">(4/5*(B31+B49/4-0.5*(5/4)+B54*(25000/B74+5/8)))</f>
        <v>2.4981521714285715</v>
      </c>
      <c r="C112">
        <f t="shared" si="58"/>
        <v>2.4789640899999998</v>
      </c>
      <c r="D112">
        <f t="shared" si="58"/>
        <v>2.4620747597402599</v>
      </c>
      <c r="E112">
        <f>(4/5*(E31+E49/4-0.5*(5/4)+E54*(25000/E74+5/8)))</f>
        <v>2.4753428571428575</v>
      </c>
    </row>
  </sheetData>
  <conditionalFormatting sqref="F188:F208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topLeftCell="A22" workbookViewId="0">
      <selection activeCell="S2" sqref="S2"/>
    </sheetView>
  </sheetViews>
  <sheetFormatPr defaultRowHeight="15" x14ac:dyDescent="0.25"/>
  <sheetData>
    <row r="1" spans="1:19" x14ac:dyDescent="0.25">
      <c r="A1" t="s">
        <v>54</v>
      </c>
      <c r="B1" s="6">
        <f>'Design Calc'!B23</f>
        <v>2.5</v>
      </c>
      <c r="C1" t="s">
        <v>301</v>
      </c>
      <c r="D1">
        <f>MIN(A5:A101)</f>
        <v>0</v>
      </c>
      <c r="F1" t="s">
        <v>54</v>
      </c>
      <c r="G1" s="6">
        <f>'Design Calc'!C23</f>
        <v>2.5</v>
      </c>
      <c r="H1" t="s">
        <v>301</v>
      </c>
      <c r="I1">
        <f>MIN(F5:F101)</f>
        <v>0</v>
      </c>
      <c r="K1" t="s">
        <v>54</v>
      </c>
      <c r="L1" s="6">
        <f>'Design Calc'!D23</f>
        <v>11</v>
      </c>
      <c r="M1" t="s">
        <v>301</v>
      </c>
      <c r="N1">
        <f>MIN(K5:K101)</f>
        <v>0</v>
      </c>
      <c r="P1" t="s">
        <v>54</v>
      </c>
      <c r="Q1" s="6">
        <f>'Design Calc'!E23</f>
        <v>5</v>
      </c>
      <c r="R1" t="s">
        <v>301</v>
      </c>
      <c r="S1">
        <f>MIN(P5:P101)</f>
        <v>1.5432098765431057E-3</v>
      </c>
    </row>
    <row r="2" spans="1:19" x14ac:dyDescent="0.25">
      <c r="A2" t="s">
        <v>298</v>
      </c>
      <c r="B2">
        <f>B1-1</f>
        <v>1.5</v>
      </c>
      <c r="C2" t="s">
        <v>296</v>
      </c>
      <c r="D2" s="17">
        <f>VLOOKUP(D1,A5:D101,2,0)</f>
        <v>0</v>
      </c>
      <c r="F2" t="s">
        <v>298</v>
      </c>
      <c r="G2">
        <f>G1-1</f>
        <v>1.5</v>
      </c>
      <c r="H2" s="7" t="s">
        <v>296</v>
      </c>
      <c r="I2" s="17">
        <f>VLOOKUP(I1,F5:I101,2,0)</f>
        <v>0</v>
      </c>
      <c r="K2" t="s">
        <v>298</v>
      </c>
      <c r="L2">
        <f>L1-1</f>
        <v>10</v>
      </c>
      <c r="M2" t="s">
        <v>296</v>
      </c>
      <c r="N2" s="17">
        <f>VLOOKUP(N1,K5:N101,2,0)</f>
        <v>0</v>
      </c>
      <c r="P2" t="s">
        <v>298</v>
      </c>
      <c r="Q2">
        <f>Q1-1</f>
        <v>4</v>
      </c>
      <c r="R2" t="s">
        <v>296</v>
      </c>
      <c r="S2" s="17">
        <f>VLOOKUP(S1,P5:S101,2,0)</f>
        <v>20</v>
      </c>
    </row>
    <row r="3" spans="1:19" x14ac:dyDescent="0.25">
      <c r="A3" t="s">
        <v>297</v>
      </c>
      <c r="B3">
        <f>ROUND(96*LOG(B2),0)</f>
        <v>17</v>
      </c>
      <c r="C3" t="s">
        <v>295</v>
      </c>
      <c r="D3" s="17">
        <f>D2+B3</f>
        <v>17</v>
      </c>
      <c r="F3" t="s">
        <v>297</v>
      </c>
      <c r="G3">
        <f>ROUND(96*LOG(G2),0)</f>
        <v>17</v>
      </c>
      <c r="H3" s="7" t="s">
        <v>295</v>
      </c>
      <c r="I3" s="17">
        <f>I2+G3</f>
        <v>17</v>
      </c>
      <c r="K3" t="s">
        <v>297</v>
      </c>
      <c r="L3">
        <f>ROUND(96*LOG(L2),0)</f>
        <v>96</v>
      </c>
      <c r="M3" t="s">
        <v>295</v>
      </c>
      <c r="N3" s="17">
        <f>N2+L3</f>
        <v>96</v>
      </c>
      <c r="P3" t="s">
        <v>297</v>
      </c>
      <c r="Q3">
        <f>ROUND(96*LOG(Q2),0)</f>
        <v>58</v>
      </c>
      <c r="R3" t="s">
        <v>295</v>
      </c>
      <c r="S3" s="17">
        <f>S2+Q3</f>
        <v>78</v>
      </c>
    </row>
    <row r="4" spans="1:19" x14ac:dyDescent="0.25">
      <c r="B4" t="s">
        <v>299</v>
      </c>
      <c r="C4" t="s">
        <v>300</v>
      </c>
      <c r="G4" t="s">
        <v>299</v>
      </c>
      <c r="H4" t="s">
        <v>300</v>
      </c>
      <c r="L4" t="s">
        <v>299</v>
      </c>
      <c r="M4" t="s">
        <v>300</v>
      </c>
      <c r="Q4" t="s">
        <v>299</v>
      </c>
      <c r="R4" t="s">
        <v>300</v>
      </c>
    </row>
    <row r="5" spans="1:19" x14ac:dyDescent="0.25">
      <c r="A5">
        <f t="shared" ref="A5:A36" si="0">ABS((D5-B$2)/B$2)</f>
        <v>0</v>
      </c>
      <c r="B5">
        <v>0</v>
      </c>
      <c r="C5">
        <f t="shared" ref="C5:C36" si="1">B$3+B5</f>
        <v>17</v>
      </c>
      <c r="D5">
        <f t="shared" ref="D5:D36" si="2">(ROUND(10^(C5/96),2))/ROUND(10^(B5/96),2)</f>
        <v>1.5</v>
      </c>
      <c r="F5">
        <f t="shared" ref="F5:F36" si="3">ABS((I5-G$2)/G$2)</f>
        <v>0</v>
      </c>
      <c r="G5">
        <v>0</v>
      </c>
      <c r="H5">
        <f t="shared" ref="H5:H36" si="4">G$3+G5</f>
        <v>17</v>
      </c>
      <c r="I5">
        <f t="shared" ref="I5:I36" si="5">(ROUND(10^(H5/96),2))/ROUND(10^(G5/96),2)</f>
        <v>1.5</v>
      </c>
      <c r="K5">
        <f t="shared" ref="K5:K36" si="6">ABS((N5-L$2)/L$2)</f>
        <v>0</v>
      </c>
      <c r="L5">
        <v>0</v>
      </c>
      <c r="M5">
        <f t="shared" ref="M5:M36" si="7">L$3+L5</f>
        <v>96</v>
      </c>
      <c r="N5">
        <f t="shared" ref="N5:N36" si="8">(ROUND(10^(M5/96),2))/ROUND(10^(L5/96),2)</f>
        <v>10</v>
      </c>
      <c r="P5">
        <f t="shared" ref="P5:P68" si="9">ABS((S5-Q$2)/Q$2)</f>
        <v>4.9999999999998934E-3</v>
      </c>
      <c r="Q5">
        <v>0</v>
      </c>
      <c r="R5">
        <f t="shared" ref="R5:R68" si="10">Q$3+Q5</f>
        <v>58</v>
      </c>
      <c r="S5">
        <f t="shared" ref="S5:S68" si="11">(ROUND(10^(R5/96),2))/ROUND(10^(Q5/96),2)</f>
        <v>4.0199999999999996</v>
      </c>
    </row>
    <row r="6" spans="1:19" x14ac:dyDescent="0.25">
      <c r="A6">
        <f t="shared" si="0"/>
        <v>6.5359477124182774E-3</v>
      </c>
      <c r="B6">
        <v>1</v>
      </c>
      <c r="C6">
        <f t="shared" si="1"/>
        <v>18</v>
      </c>
      <c r="D6">
        <f t="shared" si="2"/>
        <v>1.5098039215686274</v>
      </c>
      <c r="F6">
        <f t="shared" si="3"/>
        <v>6.5359477124182774E-3</v>
      </c>
      <c r="G6">
        <v>1</v>
      </c>
      <c r="H6">
        <f t="shared" si="4"/>
        <v>18</v>
      </c>
      <c r="I6">
        <f t="shared" si="5"/>
        <v>1.5098039215686274</v>
      </c>
      <c r="K6">
        <f t="shared" si="6"/>
        <v>3.9215686274509665E-3</v>
      </c>
      <c r="L6">
        <v>1</v>
      </c>
      <c r="M6">
        <f t="shared" si="7"/>
        <v>97</v>
      </c>
      <c r="N6">
        <f t="shared" si="8"/>
        <v>10.03921568627451</v>
      </c>
      <c r="P6">
        <f t="shared" si="9"/>
        <v>9.8039215686274161E-3</v>
      </c>
      <c r="Q6">
        <v>1</v>
      </c>
      <c r="R6">
        <f t="shared" si="10"/>
        <v>59</v>
      </c>
      <c r="S6">
        <f t="shared" si="11"/>
        <v>4.0392156862745097</v>
      </c>
    </row>
    <row r="7" spans="1:19" x14ac:dyDescent="0.25">
      <c r="A7">
        <f t="shared" si="0"/>
        <v>3.1746031746031633E-3</v>
      </c>
      <c r="B7">
        <v>2</v>
      </c>
      <c r="C7">
        <f t="shared" si="1"/>
        <v>19</v>
      </c>
      <c r="D7">
        <f t="shared" si="2"/>
        <v>1.5047619047619047</v>
      </c>
      <c r="F7">
        <f t="shared" si="3"/>
        <v>3.1746031746031633E-3</v>
      </c>
      <c r="G7">
        <v>2</v>
      </c>
      <c r="H7">
        <f t="shared" si="4"/>
        <v>19</v>
      </c>
      <c r="I7">
        <f t="shared" si="5"/>
        <v>1.5047619047619047</v>
      </c>
      <c r="K7">
        <f t="shared" si="6"/>
        <v>9.5238095238094902E-4</v>
      </c>
      <c r="L7">
        <v>2</v>
      </c>
      <c r="M7">
        <f t="shared" si="7"/>
        <v>98</v>
      </c>
      <c r="N7">
        <f t="shared" si="8"/>
        <v>9.9904761904761905</v>
      </c>
      <c r="P7">
        <f t="shared" si="9"/>
        <v>4.761904761904745E-3</v>
      </c>
      <c r="Q7">
        <v>2</v>
      </c>
      <c r="R7">
        <f t="shared" si="10"/>
        <v>60</v>
      </c>
      <c r="S7">
        <f t="shared" si="11"/>
        <v>4.019047619047619</v>
      </c>
    </row>
    <row r="8" spans="1:19" x14ac:dyDescent="0.25">
      <c r="A8">
        <f t="shared" si="0"/>
        <v>9.3457943925233291E-3</v>
      </c>
      <c r="B8">
        <v>3</v>
      </c>
      <c r="C8">
        <f t="shared" si="1"/>
        <v>20</v>
      </c>
      <c r="D8">
        <f t="shared" si="2"/>
        <v>1.514018691588785</v>
      </c>
      <c r="F8">
        <f t="shared" si="3"/>
        <v>9.3457943925233291E-3</v>
      </c>
      <c r="G8">
        <v>3</v>
      </c>
      <c r="H8">
        <f t="shared" si="4"/>
        <v>20</v>
      </c>
      <c r="I8">
        <f t="shared" si="5"/>
        <v>1.514018691588785</v>
      </c>
      <c r="K8">
        <f t="shared" si="6"/>
        <v>4.672897196261694E-3</v>
      </c>
      <c r="L8">
        <v>3</v>
      </c>
      <c r="M8">
        <f t="shared" si="7"/>
        <v>99</v>
      </c>
      <c r="N8">
        <f t="shared" si="8"/>
        <v>10.046728971962617</v>
      </c>
      <c r="P8">
        <f t="shared" si="9"/>
        <v>9.3457943925234765E-3</v>
      </c>
      <c r="Q8">
        <v>3</v>
      </c>
      <c r="R8">
        <f t="shared" si="10"/>
        <v>61</v>
      </c>
      <c r="S8">
        <f t="shared" si="11"/>
        <v>4.0373831775700939</v>
      </c>
    </row>
    <row r="9" spans="1:19" x14ac:dyDescent="0.25">
      <c r="A9">
        <f t="shared" si="0"/>
        <v>1.4802973661668753E-16</v>
      </c>
      <c r="B9">
        <v>4</v>
      </c>
      <c r="C9">
        <f t="shared" si="1"/>
        <v>21</v>
      </c>
      <c r="D9">
        <f t="shared" si="2"/>
        <v>1.4999999999999998</v>
      </c>
      <c r="F9">
        <f t="shared" si="3"/>
        <v>1.4802973661668753E-16</v>
      </c>
      <c r="G9">
        <v>4</v>
      </c>
      <c r="H9">
        <f t="shared" si="4"/>
        <v>21</v>
      </c>
      <c r="I9">
        <f t="shared" si="5"/>
        <v>1.4999999999999998</v>
      </c>
      <c r="K9">
        <f t="shared" si="6"/>
        <v>9.0909090909079286E-4</v>
      </c>
      <c r="L9">
        <v>4</v>
      </c>
      <c r="M9">
        <f t="shared" si="7"/>
        <v>100</v>
      </c>
      <c r="N9">
        <f t="shared" si="8"/>
        <v>10.009090909090908</v>
      </c>
      <c r="P9">
        <f t="shared" si="9"/>
        <v>4.5454545454544082E-3</v>
      </c>
      <c r="Q9">
        <v>4</v>
      </c>
      <c r="R9">
        <f t="shared" si="10"/>
        <v>62</v>
      </c>
      <c r="S9">
        <f t="shared" si="11"/>
        <v>4.0181818181818176</v>
      </c>
    </row>
    <row r="10" spans="1:19" x14ac:dyDescent="0.25">
      <c r="A10">
        <f t="shared" si="0"/>
        <v>2.9498525073745618E-3</v>
      </c>
      <c r="B10">
        <v>5</v>
      </c>
      <c r="C10">
        <f t="shared" si="1"/>
        <v>22</v>
      </c>
      <c r="D10">
        <f t="shared" si="2"/>
        <v>1.4955752212389382</v>
      </c>
      <c r="F10">
        <f t="shared" si="3"/>
        <v>2.9498525073745618E-3</v>
      </c>
      <c r="G10">
        <v>5</v>
      </c>
      <c r="H10">
        <f t="shared" si="4"/>
        <v>22</v>
      </c>
      <c r="I10">
        <f t="shared" si="5"/>
        <v>1.4955752212389382</v>
      </c>
      <c r="K10">
        <f t="shared" si="6"/>
        <v>2.6548672566370614E-3</v>
      </c>
      <c r="L10">
        <v>5</v>
      </c>
      <c r="M10">
        <f t="shared" si="7"/>
        <v>101</v>
      </c>
      <c r="N10">
        <f t="shared" si="8"/>
        <v>9.9734513274336294</v>
      </c>
      <c r="P10">
        <f t="shared" si="9"/>
        <v>2.2123893805310324E-3</v>
      </c>
      <c r="Q10">
        <v>5</v>
      </c>
      <c r="R10">
        <f t="shared" si="10"/>
        <v>63</v>
      </c>
      <c r="S10">
        <f t="shared" si="11"/>
        <v>4.0088495575221241</v>
      </c>
    </row>
    <row r="11" spans="1:19" x14ac:dyDescent="0.25">
      <c r="A11">
        <f t="shared" si="0"/>
        <v>8.6956521739131407E-3</v>
      </c>
      <c r="B11">
        <v>6</v>
      </c>
      <c r="C11">
        <f t="shared" si="1"/>
        <v>23</v>
      </c>
      <c r="D11">
        <f t="shared" si="2"/>
        <v>1.5130434782608697</v>
      </c>
      <c r="F11">
        <f t="shared" si="3"/>
        <v>8.6956521739131407E-3</v>
      </c>
      <c r="G11">
        <v>6</v>
      </c>
      <c r="H11">
        <f t="shared" si="4"/>
        <v>23</v>
      </c>
      <c r="I11">
        <f t="shared" si="5"/>
        <v>1.5130434782608697</v>
      </c>
      <c r="K11">
        <f t="shared" si="6"/>
        <v>4.3478260869566302E-3</v>
      </c>
      <c r="L11">
        <v>6</v>
      </c>
      <c r="M11">
        <f t="shared" si="7"/>
        <v>102</v>
      </c>
      <c r="N11">
        <f t="shared" si="8"/>
        <v>10.043478260869566</v>
      </c>
      <c r="P11">
        <f t="shared" si="9"/>
        <v>8.6956521739129933E-3</v>
      </c>
      <c r="Q11">
        <v>6</v>
      </c>
      <c r="R11">
        <f t="shared" si="10"/>
        <v>64</v>
      </c>
      <c r="S11">
        <f t="shared" si="11"/>
        <v>4.034782608695652</v>
      </c>
    </row>
    <row r="12" spans="1:19" x14ac:dyDescent="0.25">
      <c r="A12">
        <f t="shared" si="0"/>
        <v>5.6497175141244265E-3</v>
      </c>
      <c r="B12">
        <v>7</v>
      </c>
      <c r="C12">
        <f t="shared" si="1"/>
        <v>24</v>
      </c>
      <c r="D12">
        <f t="shared" si="2"/>
        <v>1.5084745762711866</v>
      </c>
      <c r="F12">
        <f t="shared" si="3"/>
        <v>5.6497175141244265E-3</v>
      </c>
      <c r="G12">
        <v>7</v>
      </c>
      <c r="H12">
        <f t="shared" si="4"/>
        <v>24</v>
      </c>
      <c r="I12">
        <f t="shared" si="5"/>
        <v>1.5084745762711866</v>
      </c>
      <c r="K12">
        <f t="shared" si="6"/>
        <v>2.5423728813560587E-3</v>
      </c>
      <c r="L12">
        <v>7</v>
      </c>
      <c r="M12">
        <f t="shared" si="7"/>
        <v>103</v>
      </c>
      <c r="N12">
        <f t="shared" si="8"/>
        <v>10.025423728813561</v>
      </c>
      <c r="P12">
        <f t="shared" si="9"/>
        <v>6.3559322033899246E-3</v>
      </c>
      <c r="Q12">
        <v>7</v>
      </c>
      <c r="R12">
        <f t="shared" si="10"/>
        <v>65</v>
      </c>
      <c r="S12">
        <f t="shared" si="11"/>
        <v>4.0254237288135597</v>
      </c>
    </row>
    <row r="13" spans="1:19" x14ac:dyDescent="0.25">
      <c r="A13">
        <f t="shared" si="0"/>
        <v>2.7548209366391832E-3</v>
      </c>
      <c r="B13">
        <v>8</v>
      </c>
      <c r="C13">
        <f t="shared" si="1"/>
        <v>25</v>
      </c>
      <c r="D13">
        <f t="shared" si="2"/>
        <v>1.5041322314049588</v>
      </c>
      <c r="F13">
        <f t="shared" si="3"/>
        <v>2.7548209366391832E-3</v>
      </c>
      <c r="G13">
        <v>8</v>
      </c>
      <c r="H13">
        <f t="shared" si="4"/>
        <v>25</v>
      </c>
      <c r="I13">
        <f t="shared" si="5"/>
        <v>1.5041322314049588</v>
      </c>
      <c r="K13">
        <f t="shared" si="6"/>
        <v>1.6528925619834212E-3</v>
      </c>
      <c r="L13">
        <v>8</v>
      </c>
      <c r="M13">
        <f t="shared" si="7"/>
        <v>104</v>
      </c>
      <c r="N13">
        <f t="shared" si="8"/>
        <v>10.016528925619834</v>
      </c>
      <c r="P13">
        <f t="shared" si="9"/>
        <v>6.1983471074380514E-3</v>
      </c>
      <c r="Q13">
        <v>8</v>
      </c>
      <c r="R13">
        <f t="shared" si="10"/>
        <v>66</v>
      </c>
      <c r="S13">
        <f t="shared" si="11"/>
        <v>4.0247933884297522</v>
      </c>
    </row>
    <row r="14" spans="1:19" x14ac:dyDescent="0.25">
      <c r="A14">
        <f t="shared" si="0"/>
        <v>5.3763440860215006E-3</v>
      </c>
      <c r="B14">
        <v>9</v>
      </c>
      <c r="C14">
        <f t="shared" si="1"/>
        <v>26</v>
      </c>
      <c r="D14">
        <f t="shared" si="2"/>
        <v>1.5080645161290323</v>
      </c>
      <c r="F14">
        <f t="shared" si="3"/>
        <v>5.3763440860215006E-3</v>
      </c>
      <c r="G14">
        <v>9</v>
      </c>
      <c r="H14">
        <f t="shared" si="4"/>
        <v>26</v>
      </c>
      <c r="I14">
        <f t="shared" si="5"/>
        <v>1.5080645161290323</v>
      </c>
      <c r="K14">
        <f t="shared" si="6"/>
        <v>8.0645161290320293E-4</v>
      </c>
      <c r="L14">
        <v>9</v>
      </c>
      <c r="M14">
        <f t="shared" si="7"/>
        <v>105</v>
      </c>
      <c r="N14">
        <f t="shared" si="8"/>
        <v>10.008064516129032</v>
      </c>
      <c r="P14">
        <f t="shared" si="9"/>
        <v>6.0483870967742437E-3</v>
      </c>
      <c r="Q14">
        <v>9</v>
      </c>
      <c r="R14">
        <f t="shared" si="10"/>
        <v>67</v>
      </c>
      <c r="S14">
        <f t="shared" si="11"/>
        <v>4.024193548387097</v>
      </c>
    </row>
    <row r="15" spans="1:19" x14ac:dyDescent="0.25">
      <c r="A15">
        <f t="shared" si="0"/>
        <v>2.6246719160104939E-3</v>
      </c>
      <c r="B15">
        <v>10</v>
      </c>
      <c r="C15">
        <f t="shared" si="1"/>
        <v>27</v>
      </c>
      <c r="D15">
        <f t="shared" si="2"/>
        <v>1.5039370078740157</v>
      </c>
      <c r="F15">
        <f t="shared" si="3"/>
        <v>2.6246719160104939E-3</v>
      </c>
      <c r="G15">
        <v>10</v>
      </c>
      <c r="H15">
        <f t="shared" si="4"/>
        <v>27</v>
      </c>
      <c r="I15">
        <f t="shared" si="5"/>
        <v>1.5039370078740157</v>
      </c>
      <c r="K15">
        <f t="shared" si="6"/>
        <v>7.8740157480314819E-4</v>
      </c>
      <c r="L15">
        <v>10</v>
      </c>
      <c r="M15">
        <f t="shared" si="7"/>
        <v>106</v>
      </c>
      <c r="N15">
        <f t="shared" si="8"/>
        <v>10.007874015748031</v>
      </c>
      <c r="P15">
        <f t="shared" si="9"/>
        <v>5.9055118110236116E-3</v>
      </c>
      <c r="Q15">
        <v>10</v>
      </c>
      <c r="R15">
        <f t="shared" si="10"/>
        <v>68</v>
      </c>
      <c r="S15">
        <f t="shared" si="11"/>
        <v>4.0236220472440944</v>
      </c>
    </row>
    <row r="16" spans="1:19" x14ac:dyDescent="0.25">
      <c r="A16">
        <f t="shared" si="0"/>
        <v>5.12820512820511E-3</v>
      </c>
      <c r="B16">
        <v>11</v>
      </c>
      <c r="C16">
        <f t="shared" si="1"/>
        <v>28</v>
      </c>
      <c r="D16">
        <f t="shared" si="2"/>
        <v>1.5076923076923077</v>
      </c>
      <c r="F16">
        <f t="shared" si="3"/>
        <v>5.12820512820511E-3</v>
      </c>
      <c r="G16">
        <v>11</v>
      </c>
      <c r="H16">
        <f t="shared" si="4"/>
        <v>28</v>
      </c>
      <c r="I16">
        <f t="shared" si="5"/>
        <v>1.5076923076923077</v>
      </c>
      <c r="K16">
        <f t="shared" si="6"/>
        <v>1.538461538461533E-3</v>
      </c>
      <c r="L16">
        <v>11</v>
      </c>
      <c r="M16">
        <f t="shared" si="7"/>
        <v>107</v>
      </c>
      <c r="N16">
        <f t="shared" si="8"/>
        <v>10.015384615384615</v>
      </c>
      <c r="P16">
        <f t="shared" si="9"/>
        <v>5.7692307692307487E-3</v>
      </c>
      <c r="Q16">
        <v>11</v>
      </c>
      <c r="R16">
        <f t="shared" si="10"/>
        <v>69</v>
      </c>
      <c r="S16">
        <f t="shared" si="11"/>
        <v>4.023076923076923</v>
      </c>
    </row>
    <row r="17" spans="1:19" x14ac:dyDescent="0.25">
      <c r="A17">
        <f t="shared" si="0"/>
        <v>2.5062656641603454E-3</v>
      </c>
      <c r="B17">
        <v>12</v>
      </c>
      <c r="C17">
        <f t="shared" si="1"/>
        <v>29</v>
      </c>
      <c r="D17">
        <f t="shared" si="2"/>
        <v>1.5037593984962405</v>
      </c>
      <c r="F17">
        <f t="shared" si="3"/>
        <v>2.5062656641603454E-3</v>
      </c>
      <c r="G17">
        <v>12</v>
      </c>
      <c r="H17">
        <f t="shared" si="4"/>
        <v>29</v>
      </c>
      <c r="I17">
        <f t="shared" si="5"/>
        <v>1.5037593984962405</v>
      </c>
      <c r="K17">
        <f t="shared" si="6"/>
        <v>3.0075187969924146E-3</v>
      </c>
      <c r="L17">
        <v>12</v>
      </c>
      <c r="M17">
        <f t="shared" si="7"/>
        <v>108</v>
      </c>
      <c r="N17">
        <f t="shared" si="8"/>
        <v>10.030075187969924</v>
      </c>
      <c r="P17">
        <f t="shared" si="9"/>
        <v>7.5187969924812581E-3</v>
      </c>
      <c r="Q17">
        <v>12</v>
      </c>
      <c r="R17">
        <f t="shared" si="10"/>
        <v>70</v>
      </c>
      <c r="S17">
        <f t="shared" si="11"/>
        <v>4.030075187969925</v>
      </c>
    </row>
    <row r="18" spans="1:19" x14ac:dyDescent="0.25">
      <c r="A18">
        <f t="shared" si="0"/>
        <v>2.4330900243310083E-3</v>
      </c>
      <c r="B18">
        <v>13</v>
      </c>
      <c r="C18">
        <f t="shared" si="1"/>
        <v>30</v>
      </c>
      <c r="D18">
        <f t="shared" si="2"/>
        <v>1.4963503649635035</v>
      </c>
      <c r="F18">
        <f t="shared" si="3"/>
        <v>2.4330900243310083E-3</v>
      </c>
      <c r="G18">
        <v>13</v>
      </c>
      <c r="H18">
        <f t="shared" si="4"/>
        <v>30</v>
      </c>
      <c r="I18">
        <f t="shared" si="5"/>
        <v>1.4963503649635035</v>
      </c>
      <c r="K18">
        <f t="shared" si="6"/>
        <v>2.9197080291972098E-3</v>
      </c>
      <c r="L18">
        <v>13</v>
      </c>
      <c r="M18">
        <f t="shared" si="7"/>
        <v>109</v>
      </c>
      <c r="N18">
        <f t="shared" si="8"/>
        <v>9.9708029197080279</v>
      </c>
      <c r="P18">
        <f t="shared" si="9"/>
        <v>1.8248175182480342E-3</v>
      </c>
      <c r="Q18">
        <v>13</v>
      </c>
      <c r="R18">
        <f t="shared" si="10"/>
        <v>71</v>
      </c>
      <c r="S18">
        <f t="shared" si="11"/>
        <v>4.0072992700729921</v>
      </c>
    </row>
    <row r="19" spans="1:19" x14ac:dyDescent="0.25">
      <c r="A19">
        <f t="shared" si="0"/>
        <v>1.4802973661668753E-16</v>
      </c>
      <c r="B19">
        <v>14</v>
      </c>
      <c r="C19">
        <f t="shared" si="1"/>
        <v>31</v>
      </c>
      <c r="D19">
        <f t="shared" si="2"/>
        <v>1.5000000000000002</v>
      </c>
      <c r="F19">
        <f t="shared" si="3"/>
        <v>1.4802973661668753E-16</v>
      </c>
      <c r="G19">
        <v>14</v>
      </c>
      <c r="H19">
        <f t="shared" si="4"/>
        <v>31</v>
      </c>
      <c r="I19">
        <f t="shared" si="5"/>
        <v>1.5000000000000002</v>
      </c>
      <c r="K19">
        <f t="shared" si="6"/>
        <v>7.1428571428562289E-4</v>
      </c>
      <c r="L19">
        <v>14</v>
      </c>
      <c r="M19">
        <f t="shared" si="7"/>
        <v>110</v>
      </c>
      <c r="N19">
        <f t="shared" si="8"/>
        <v>9.9928571428571438</v>
      </c>
      <c r="P19">
        <f t="shared" si="9"/>
        <v>3.5714285714285587E-3</v>
      </c>
      <c r="Q19">
        <v>14</v>
      </c>
      <c r="R19">
        <f t="shared" si="10"/>
        <v>72</v>
      </c>
      <c r="S19">
        <f t="shared" si="11"/>
        <v>4.0142857142857142</v>
      </c>
    </row>
    <row r="20" spans="1:19" x14ac:dyDescent="0.25">
      <c r="A20">
        <f t="shared" si="0"/>
        <v>2.3310023310023631E-3</v>
      </c>
      <c r="B20">
        <v>15</v>
      </c>
      <c r="C20">
        <f t="shared" si="1"/>
        <v>32</v>
      </c>
      <c r="D20">
        <f t="shared" si="2"/>
        <v>1.5034965034965035</v>
      </c>
      <c r="F20">
        <f t="shared" si="3"/>
        <v>2.3310023310023631E-3</v>
      </c>
      <c r="G20">
        <v>15</v>
      </c>
      <c r="H20">
        <f t="shared" si="4"/>
        <v>32</v>
      </c>
      <c r="I20">
        <f t="shared" si="5"/>
        <v>1.5034965034965035</v>
      </c>
      <c r="K20">
        <f t="shared" si="6"/>
        <v>2.0979020979021712E-3</v>
      </c>
      <c r="L20">
        <v>15</v>
      </c>
      <c r="M20">
        <f t="shared" si="7"/>
        <v>111</v>
      </c>
      <c r="N20">
        <f t="shared" si="8"/>
        <v>10.020979020979022</v>
      </c>
      <c r="P20">
        <f t="shared" si="9"/>
        <v>6.9930069930070893E-3</v>
      </c>
      <c r="Q20">
        <v>15</v>
      </c>
      <c r="R20">
        <f t="shared" si="10"/>
        <v>73</v>
      </c>
      <c r="S20">
        <f t="shared" si="11"/>
        <v>4.0279720279720284</v>
      </c>
    </row>
    <row r="21" spans="1:19" x14ac:dyDescent="0.25">
      <c r="A21">
        <f t="shared" si="0"/>
        <v>2.2675736961450532E-3</v>
      </c>
      <c r="B21">
        <v>16</v>
      </c>
      <c r="C21">
        <f t="shared" si="1"/>
        <v>33</v>
      </c>
      <c r="D21">
        <f t="shared" si="2"/>
        <v>1.5034013605442176</v>
      </c>
      <c r="F21">
        <f t="shared" si="3"/>
        <v>2.2675736961450532E-3</v>
      </c>
      <c r="G21">
        <v>16</v>
      </c>
      <c r="H21">
        <f t="shared" si="4"/>
        <v>33</v>
      </c>
      <c r="I21">
        <f t="shared" si="5"/>
        <v>1.5034013605442176</v>
      </c>
      <c r="K21">
        <f t="shared" si="6"/>
        <v>1.3605442176871207E-3</v>
      </c>
      <c r="L21">
        <v>16</v>
      </c>
      <c r="M21">
        <f t="shared" si="7"/>
        <v>112</v>
      </c>
      <c r="N21">
        <f t="shared" si="8"/>
        <v>9.9863945578231288</v>
      </c>
      <c r="P21">
        <f t="shared" si="9"/>
        <v>3.4013605442178019E-3</v>
      </c>
      <c r="Q21">
        <v>16</v>
      </c>
      <c r="R21">
        <f t="shared" si="10"/>
        <v>74</v>
      </c>
      <c r="S21">
        <f t="shared" si="11"/>
        <v>4.0136054421768712</v>
      </c>
    </row>
    <row r="22" spans="1:19" x14ac:dyDescent="0.25">
      <c r="A22">
        <f t="shared" si="0"/>
        <v>4.4444444444443993E-3</v>
      </c>
      <c r="B22">
        <v>17</v>
      </c>
      <c r="C22">
        <f t="shared" si="1"/>
        <v>34</v>
      </c>
      <c r="D22">
        <f t="shared" si="2"/>
        <v>1.5066666666666666</v>
      </c>
      <c r="F22">
        <f t="shared" si="3"/>
        <v>4.4444444444443993E-3</v>
      </c>
      <c r="G22">
        <v>17</v>
      </c>
      <c r="H22">
        <f t="shared" si="4"/>
        <v>34</v>
      </c>
      <c r="I22">
        <f t="shared" si="5"/>
        <v>1.5066666666666666</v>
      </c>
      <c r="K22">
        <f t="shared" si="6"/>
        <v>1.9999999999999575E-3</v>
      </c>
      <c r="L22">
        <v>17</v>
      </c>
      <c r="M22">
        <f t="shared" si="7"/>
        <v>113</v>
      </c>
      <c r="N22">
        <f t="shared" si="8"/>
        <v>10.02</v>
      </c>
      <c r="P22">
        <f t="shared" si="9"/>
        <v>6.6666666666665986E-3</v>
      </c>
      <c r="Q22">
        <v>17</v>
      </c>
      <c r="R22">
        <f t="shared" si="10"/>
        <v>75</v>
      </c>
      <c r="S22">
        <f t="shared" si="11"/>
        <v>4.0266666666666664</v>
      </c>
    </row>
    <row r="23" spans="1:19" x14ac:dyDescent="0.25">
      <c r="A23">
        <f t="shared" si="0"/>
        <v>4.3290043290042197E-3</v>
      </c>
      <c r="B23">
        <v>18</v>
      </c>
      <c r="C23">
        <f t="shared" si="1"/>
        <v>35</v>
      </c>
      <c r="D23">
        <f t="shared" si="2"/>
        <v>1.5064935064935063</v>
      </c>
      <c r="F23">
        <f t="shared" si="3"/>
        <v>4.3290043290042197E-3</v>
      </c>
      <c r="G23">
        <v>18</v>
      </c>
      <c r="H23">
        <f t="shared" si="4"/>
        <v>35</v>
      </c>
      <c r="I23">
        <f t="shared" si="5"/>
        <v>1.5064935064935063</v>
      </c>
      <c r="K23">
        <f t="shared" si="6"/>
        <v>0</v>
      </c>
      <c r="L23">
        <v>18</v>
      </c>
      <c r="M23">
        <f t="shared" si="7"/>
        <v>114</v>
      </c>
      <c r="N23">
        <f t="shared" si="8"/>
        <v>10</v>
      </c>
      <c r="P23">
        <f t="shared" si="9"/>
        <v>4.8701298701299134E-3</v>
      </c>
      <c r="Q23">
        <v>18</v>
      </c>
      <c r="R23">
        <f t="shared" si="10"/>
        <v>76</v>
      </c>
      <c r="S23">
        <f t="shared" si="11"/>
        <v>4.0194805194805197</v>
      </c>
    </row>
    <row r="24" spans="1:19" x14ac:dyDescent="0.25">
      <c r="A24">
        <f t="shared" si="0"/>
        <v>0</v>
      </c>
      <c r="B24">
        <v>19</v>
      </c>
      <c r="C24">
        <f t="shared" si="1"/>
        <v>36</v>
      </c>
      <c r="D24">
        <f t="shared" si="2"/>
        <v>1.5</v>
      </c>
      <c r="F24">
        <f t="shared" si="3"/>
        <v>0</v>
      </c>
      <c r="G24">
        <v>19</v>
      </c>
      <c r="H24">
        <f t="shared" si="4"/>
        <v>36</v>
      </c>
      <c r="I24">
        <f t="shared" si="5"/>
        <v>1.5</v>
      </c>
      <c r="K24">
        <f t="shared" si="6"/>
        <v>1.8987341772152889E-3</v>
      </c>
      <c r="L24">
        <v>19</v>
      </c>
      <c r="M24">
        <f t="shared" si="7"/>
        <v>115</v>
      </c>
      <c r="N24">
        <f t="shared" si="8"/>
        <v>9.9810126582278471</v>
      </c>
      <c r="P24">
        <f t="shared" si="9"/>
        <v>3.1645569620253333E-3</v>
      </c>
      <c r="Q24">
        <v>19</v>
      </c>
      <c r="R24">
        <f t="shared" si="10"/>
        <v>77</v>
      </c>
      <c r="S24">
        <f t="shared" si="11"/>
        <v>4.0126582278481013</v>
      </c>
    </row>
    <row r="25" spans="1:19" x14ac:dyDescent="0.25">
      <c r="A25">
        <f t="shared" si="0"/>
        <v>0</v>
      </c>
      <c r="B25">
        <v>20</v>
      </c>
      <c r="C25">
        <f t="shared" si="1"/>
        <v>37</v>
      </c>
      <c r="D25">
        <f t="shared" si="2"/>
        <v>1.5</v>
      </c>
      <c r="F25">
        <f t="shared" si="3"/>
        <v>0</v>
      </c>
      <c r="G25">
        <v>20</v>
      </c>
      <c r="H25">
        <f t="shared" si="4"/>
        <v>37</v>
      </c>
      <c r="I25">
        <f t="shared" si="5"/>
        <v>1.5</v>
      </c>
      <c r="K25">
        <f t="shared" si="6"/>
        <v>2.4691358024691466E-3</v>
      </c>
      <c r="L25">
        <v>20</v>
      </c>
      <c r="M25">
        <f t="shared" si="7"/>
        <v>116</v>
      </c>
      <c r="N25">
        <f t="shared" si="8"/>
        <v>9.9753086419753085</v>
      </c>
      <c r="P25">
        <f t="shared" si="9"/>
        <v>1.5432098765431057E-3</v>
      </c>
      <c r="Q25">
        <v>20</v>
      </c>
      <c r="R25">
        <f t="shared" si="10"/>
        <v>78</v>
      </c>
      <c r="S25">
        <f t="shared" si="11"/>
        <v>4.0061728395061724</v>
      </c>
    </row>
    <row r="26" spans="1:19" x14ac:dyDescent="0.25">
      <c r="A26">
        <f t="shared" si="0"/>
        <v>6.0606060606061734E-3</v>
      </c>
      <c r="B26">
        <v>21</v>
      </c>
      <c r="C26">
        <f t="shared" si="1"/>
        <v>38</v>
      </c>
      <c r="D26">
        <f t="shared" si="2"/>
        <v>1.5090909090909093</v>
      </c>
      <c r="F26">
        <f t="shared" si="3"/>
        <v>6.0606060606061734E-3</v>
      </c>
      <c r="G26">
        <v>21</v>
      </c>
      <c r="H26">
        <f t="shared" si="4"/>
        <v>38</v>
      </c>
      <c r="I26">
        <f t="shared" si="5"/>
        <v>1.5090909090909093</v>
      </c>
      <c r="K26">
        <f t="shared" si="6"/>
        <v>3.0303030303031166E-3</v>
      </c>
      <c r="L26">
        <v>21</v>
      </c>
      <c r="M26">
        <f t="shared" si="7"/>
        <v>117</v>
      </c>
      <c r="N26">
        <f t="shared" si="8"/>
        <v>10.030303030303031</v>
      </c>
      <c r="P26">
        <f t="shared" si="9"/>
        <v>7.5757575757577911E-3</v>
      </c>
      <c r="Q26">
        <v>21</v>
      </c>
      <c r="R26">
        <f t="shared" si="10"/>
        <v>79</v>
      </c>
      <c r="S26">
        <f t="shared" si="11"/>
        <v>4.0303030303030312</v>
      </c>
    </row>
    <row r="27" spans="1:19" x14ac:dyDescent="0.25">
      <c r="A27">
        <f t="shared" si="0"/>
        <v>5.917159763313566E-3</v>
      </c>
      <c r="B27">
        <v>22</v>
      </c>
      <c r="C27">
        <f t="shared" si="1"/>
        <v>39</v>
      </c>
      <c r="D27">
        <f t="shared" si="2"/>
        <v>1.5088757396449703</v>
      </c>
      <c r="F27">
        <f t="shared" si="3"/>
        <v>5.917159763313566E-3</v>
      </c>
      <c r="G27">
        <v>22</v>
      </c>
      <c r="H27">
        <f t="shared" si="4"/>
        <v>39</v>
      </c>
      <c r="I27">
        <f t="shared" si="5"/>
        <v>1.5088757396449703</v>
      </c>
      <c r="K27">
        <f t="shared" si="6"/>
        <v>2.9585798816567531E-3</v>
      </c>
      <c r="L27">
        <v>22</v>
      </c>
      <c r="M27">
        <f t="shared" si="7"/>
        <v>118</v>
      </c>
      <c r="N27">
        <f t="shared" si="8"/>
        <v>10.029585798816568</v>
      </c>
      <c r="P27">
        <f t="shared" si="9"/>
        <v>7.3964497041418831E-3</v>
      </c>
      <c r="Q27">
        <v>22</v>
      </c>
      <c r="R27">
        <f t="shared" si="10"/>
        <v>80</v>
      </c>
      <c r="S27">
        <f t="shared" si="11"/>
        <v>4.0295857988165675</v>
      </c>
    </row>
    <row r="28" spans="1:19" x14ac:dyDescent="0.25">
      <c r="A28">
        <f t="shared" si="0"/>
        <v>0</v>
      </c>
      <c r="B28">
        <v>23</v>
      </c>
      <c r="C28">
        <f t="shared" si="1"/>
        <v>40</v>
      </c>
      <c r="D28">
        <f t="shared" si="2"/>
        <v>1.5</v>
      </c>
      <c r="F28">
        <f t="shared" si="3"/>
        <v>0</v>
      </c>
      <c r="G28">
        <v>23</v>
      </c>
      <c r="H28">
        <f t="shared" si="4"/>
        <v>40</v>
      </c>
      <c r="I28">
        <f t="shared" si="5"/>
        <v>1.5</v>
      </c>
      <c r="K28">
        <f t="shared" si="6"/>
        <v>2.2988505747127521E-3</v>
      </c>
      <c r="L28">
        <v>23</v>
      </c>
      <c r="M28">
        <f t="shared" si="7"/>
        <v>119</v>
      </c>
      <c r="N28">
        <f t="shared" si="8"/>
        <v>9.9770114942528725</v>
      </c>
      <c r="P28">
        <f t="shared" si="9"/>
        <v>2.8735632183909399E-3</v>
      </c>
      <c r="Q28">
        <v>23</v>
      </c>
      <c r="R28">
        <f t="shared" si="10"/>
        <v>81</v>
      </c>
      <c r="S28">
        <f t="shared" si="11"/>
        <v>4.0114942528735638</v>
      </c>
    </row>
    <row r="29" spans="1:19" x14ac:dyDescent="0.25">
      <c r="A29">
        <f t="shared" si="0"/>
        <v>0</v>
      </c>
      <c r="B29">
        <v>24</v>
      </c>
      <c r="C29">
        <f t="shared" si="1"/>
        <v>41</v>
      </c>
      <c r="D29">
        <f t="shared" si="2"/>
        <v>1.5</v>
      </c>
      <c r="F29">
        <f t="shared" si="3"/>
        <v>0</v>
      </c>
      <c r="G29">
        <v>24</v>
      </c>
      <c r="H29">
        <f t="shared" si="4"/>
        <v>41</v>
      </c>
      <c r="I29">
        <f t="shared" si="5"/>
        <v>1.5</v>
      </c>
      <c r="K29">
        <f t="shared" si="6"/>
        <v>1.1235955056179137E-3</v>
      </c>
      <c r="L29">
        <v>24</v>
      </c>
      <c r="M29">
        <f t="shared" si="7"/>
        <v>120</v>
      </c>
      <c r="N29">
        <f t="shared" si="8"/>
        <v>9.9887640449438209</v>
      </c>
      <c r="P29">
        <f t="shared" si="9"/>
        <v>4.2134831460673983E-3</v>
      </c>
      <c r="Q29">
        <v>24</v>
      </c>
      <c r="R29">
        <f t="shared" si="10"/>
        <v>82</v>
      </c>
      <c r="S29">
        <f t="shared" si="11"/>
        <v>4.0168539325842696</v>
      </c>
    </row>
    <row r="30" spans="1:19" x14ac:dyDescent="0.25">
      <c r="A30">
        <f t="shared" si="0"/>
        <v>3.66300366300365E-3</v>
      </c>
      <c r="B30">
        <v>25</v>
      </c>
      <c r="C30">
        <f t="shared" si="1"/>
        <v>42</v>
      </c>
      <c r="D30">
        <f t="shared" si="2"/>
        <v>1.5054945054945055</v>
      </c>
      <c r="F30">
        <f t="shared" si="3"/>
        <v>3.66300366300365E-3</v>
      </c>
      <c r="G30">
        <v>25</v>
      </c>
      <c r="H30">
        <f t="shared" si="4"/>
        <v>42</v>
      </c>
      <c r="I30">
        <f t="shared" si="5"/>
        <v>1.5054945054945055</v>
      </c>
      <c r="K30">
        <f t="shared" si="6"/>
        <v>5.494505494505475E-4</v>
      </c>
      <c r="L30">
        <v>25</v>
      </c>
      <c r="M30">
        <f t="shared" si="7"/>
        <v>121</v>
      </c>
      <c r="N30">
        <f t="shared" si="8"/>
        <v>10.005494505494505</v>
      </c>
      <c r="P30">
        <f t="shared" si="9"/>
        <v>5.494505494505475E-3</v>
      </c>
      <c r="Q30">
        <v>25</v>
      </c>
      <c r="R30">
        <f t="shared" si="10"/>
        <v>83</v>
      </c>
      <c r="S30">
        <f t="shared" si="11"/>
        <v>4.0219780219780219</v>
      </c>
    </row>
    <row r="31" spans="1:19" x14ac:dyDescent="0.25">
      <c r="A31">
        <f t="shared" si="0"/>
        <v>1.7825311942960553E-3</v>
      </c>
      <c r="B31">
        <v>26</v>
      </c>
      <c r="C31">
        <f t="shared" si="1"/>
        <v>43</v>
      </c>
      <c r="D31">
        <f t="shared" si="2"/>
        <v>1.4973262032085559</v>
      </c>
      <c r="F31">
        <f t="shared" si="3"/>
        <v>1.7825311942960553E-3</v>
      </c>
      <c r="G31">
        <v>26</v>
      </c>
      <c r="H31">
        <f t="shared" si="4"/>
        <v>43</v>
      </c>
      <c r="I31">
        <f t="shared" si="5"/>
        <v>1.4973262032085559</v>
      </c>
      <c r="K31">
        <f t="shared" si="6"/>
        <v>2.1390374331550889E-3</v>
      </c>
      <c r="L31">
        <v>26</v>
      </c>
      <c r="M31">
        <f t="shared" si="7"/>
        <v>122</v>
      </c>
      <c r="N31">
        <f t="shared" si="8"/>
        <v>9.9786096256684491</v>
      </c>
      <c r="P31">
        <f t="shared" si="9"/>
        <v>2.673796791443861E-3</v>
      </c>
      <c r="Q31">
        <v>26</v>
      </c>
      <c r="R31">
        <f t="shared" si="10"/>
        <v>84</v>
      </c>
      <c r="S31">
        <f t="shared" si="11"/>
        <v>4.0106951871657754</v>
      </c>
    </row>
    <row r="32" spans="1:19" x14ac:dyDescent="0.25">
      <c r="A32">
        <f t="shared" si="0"/>
        <v>1.7452006980803365E-3</v>
      </c>
      <c r="B32">
        <v>27</v>
      </c>
      <c r="C32">
        <f t="shared" si="1"/>
        <v>44</v>
      </c>
      <c r="D32">
        <f t="shared" si="2"/>
        <v>1.5026178010471205</v>
      </c>
      <c r="F32">
        <f t="shared" si="3"/>
        <v>1.7452006980803365E-3</v>
      </c>
      <c r="G32">
        <v>27</v>
      </c>
      <c r="H32">
        <f t="shared" si="4"/>
        <v>44</v>
      </c>
      <c r="I32">
        <f t="shared" si="5"/>
        <v>1.5026178010471205</v>
      </c>
      <c r="K32">
        <f t="shared" si="6"/>
        <v>5.2356020942401216E-4</v>
      </c>
      <c r="L32">
        <v>27</v>
      </c>
      <c r="M32">
        <f t="shared" si="7"/>
        <v>123</v>
      </c>
      <c r="N32">
        <f t="shared" si="8"/>
        <v>10.00523560209424</v>
      </c>
      <c r="P32">
        <f t="shared" si="9"/>
        <v>5.2356020942407877E-3</v>
      </c>
      <c r="Q32">
        <v>27</v>
      </c>
      <c r="R32">
        <f t="shared" si="10"/>
        <v>85</v>
      </c>
      <c r="S32">
        <f t="shared" si="11"/>
        <v>4.0209424083769632</v>
      </c>
    </row>
    <row r="33" spans="1:19" x14ac:dyDescent="0.25">
      <c r="A33">
        <f t="shared" si="0"/>
        <v>0</v>
      </c>
      <c r="B33">
        <v>28</v>
      </c>
      <c r="C33">
        <f t="shared" si="1"/>
        <v>45</v>
      </c>
      <c r="D33">
        <f t="shared" si="2"/>
        <v>1.5</v>
      </c>
      <c r="F33">
        <f t="shared" si="3"/>
        <v>0</v>
      </c>
      <c r="G33">
        <v>28</v>
      </c>
      <c r="H33">
        <f t="shared" si="4"/>
        <v>45</v>
      </c>
      <c r="I33">
        <f t="shared" si="5"/>
        <v>1.5</v>
      </c>
      <c r="K33">
        <f t="shared" si="6"/>
        <v>1.5306122448979665E-3</v>
      </c>
      <c r="L33">
        <v>28</v>
      </c>
      <c r="M33">
        <f t="shared" si="7"/>
        <v>124</v>
      </c>
      <c r="N33">
        <f t="shared" si="8"/>
        <v>9.9846938775510203</v>
      </c>
      <c r="P33">
        <f t="shared" si="9"/>
        <v>3.8265306122449161E-3</v>
      </c>
      <c r="Q33">
        <v>28</v>
      </c>
      <c r="R33">
        <f t="shared" si="10"/>
        <v>86</v>
      </c>
      <c r="S33">
        <f t="shared" si="11"/>
        <v>4.0153061224489797</v>
      </c>
    </row>
    <row r="34" spans="1:19" x14ac:dyDescent="0.25">
      <c r="A34">
        <f t="shared" si="0"/>
        <v>3.3333333333332624E-3</v>
      </c>
      <c r="B34">
        <v>29</v>
      </c>
      <c r="C34">
        <f t="shared" si="1"/>
        <v>46</v>
      </c>
      <c r="D34">
        <f t="shared" si="2"/>
        <v>1.5049999999999999</v>
      </c>
      <c r="F34">
        <f t="shared" si="3"/>
        <v>3.3333333333332624E-3</v>
      </c>
      <c r="G34">
        <v>29</v>
      </c>
      <c r="H34">
        <f t="shared" si="4"/>
        <v>46</v>
      </c>
      <c r="I34">
        <f t="shared" si="5"/>
        <v>1.5049999999999999</v>
      </c>
      <c r="K34">
        <f t="shared" si="6"/>
        <v>2.5000000000000356E-3</v>
      </c>
      <c r="L34">
        <v>29</v>
      </c>
      <c r="M34">
        <f t="shared" si="7"/>
        <v>125</v>
      </c>
      <c r="N34">
        <f t="shared" si="8"/>
        <v>10.025</v>
      </c>
      <c r="P34">
        <f t="shared" si="9"/>
        <v>7.5000000000000622E-3</v>
      </c>
      <c r="Q34">
        <v>29</v>
      </c>
      <c r="R34">
        <f t="shared" si="10"/>
        <v>87</v>
      </c>
      <c r="S34">
        <f t="shared" si="11"/>
        <v>4.03</v>
      </c>
    </row>
    <row r="35" spans="1:19" x14ac:dyDescent="0.25">
      <c r="A35">
        <f t="shared" si="0"/>
        <v>4.8780487804878092E-3</v>
      </c>
      <c r="B35">
        <v>30</v>
      </c>
      <c r="C35">
        <f t="shared" si="1"/>
        <v>47</v>
      </c>
      <c r="D35">
        <f t="shared" si="2"/>
        <v>1.5073170731707317</v>
      </c>
      <c r="F35">
        <f t="shared" si="3"/>
        <v>4.8780487804878092E-3</v>
      </c>
      <c r="G35">
        <v>30</v>
      </c>
      <c r="H35">
        <f t="shared" si="4"/>
        <v>47</v>
      </c>
      <c r="I35">
        <f t="shared" si="5"/>
        <v>1.5073170731707317</v>
      </c>
      <c r="K35">
        <f t="shared" si="6"/>
        <v>1.9512195121951237E-3</v>
      </c>
      <c r="L35">
        <v>30</v>
      </c>
      <c r="M35">
        <f t="shared" si="7"/>
        <v>126</v>
      </c>
      <c r="N35">
        <f t="shared" si="8"/>
        <v>10.019512195121951</v>
      </c>
      <c r="P35">
        <f t="shared" si="9"/>
        <v>6.0975609756097615E-3</v>
      </c>
      <c r="Q35">
        <v>30</v>
      </c>
      <c r="R35">
        <f t="shared" si="10"/>
        <v>88</v>
      </c>
      <c r="S35">
        <f t="shared" si="11"/>
        <v>4.024390243902439</v>
      </c>
    </row>
    <row r="36" spans="1:19" x14ac:dyDescent="0.25">
      <c r="A36">
        <f t="shared" si="0"/>
        <v>3.1746031746031633E-3</v>
      </c>
      <c r="B36">
        <v>31</v>
      </c>
      <c r="C36">
        <f t="shared" si="1"/>
        <v>48</v>
      </c>
      <c r="D36">
        <f t="shared" si="2"/>
        <v>1.5047619047619047</v>
      </c>
      <c r="F36">
        <f t="shared" si="3"/>
        <v>3.1746031746031633E-3</v>
      </c>
      <c r="G36">
        <v>31</v>
      </c>
      <c r="H36">
        <f t="shared" si="4"/>
        <v>48</v>
      </c>
      <c r="I36">
        <f t="shared" si="5"/>
        <v>1.5047619047619047</v>
      </c>
      <c r="K36">
        <f t="shared" si="6"/>
        <v>1.4285714285714236E-3</v>
      </c>
      <c r="L36">
        <v>31</v>
      </c>
      <c r="M36">
        <f t="shared" si="7"/>
        <v>127</v>
      </c>
      <c r="N36">
        <f t="shared" si="8"/>
        <v>10.014285714285714</v>
      </c>
      <c r="P36">
        <f t="shared" si="9"/>
        <v>5.9523809523809312E-3</v>
      </c>
      <c r="Q36">
        <v>31</v>
      </c>
      <c r="R36">
        <f t="shared" si="10"/>
        <v>89</v>
      </c>
      <c r="S36">
        <f t="shared" si="11"/>
        <v>4.0238095238095237</v>
      </c>
    </row>
    <row r="37" spans="1:19" x14ac:dyDescent="0.25">
      <c r="A37">
        <f t="shared" ref="A37:A68" si="12">ABS((D37-B$2)/B$2)</f>
        <v>4.6511627906977715E-3</v>
      </c>
      <c r="B37">
        <v>32</v>
      </c>
      <c r="C37">
        <f t="shared" ref="C37:C68" si="13">B$3+B37</f>
        <v>49</v>
      </c>
      <c r="D37">
        <f t="shared" ref="D37:D68" si="14">(ROUND(10^(C37/96),2))/ROUND(10^(B37/96),2)</f>
        <v>1.5069767441860467</v>
      </c>
      <c r="F37">
        <f t="shared" ref="F37:F68" si="15">ABS((I37-G$2)/G$2)</f>
        <v>4.6511627906977715E-3</v>
      </c>
      <c r="G37">
        <v>32</v>
      </c>
      <c r="H37">
        <f t="shared" ref="H37:H68" si="16">G$3+G37</f>
        <v>49</v>
      </c>
      <c r="I37">
        <f t="shared" ref="I37:I68" si="17">(ROUND(10^(H37/96),2))/ROUND(10^(G37/96),2)</f>
        <v>1.5069767441860467</v>
      </c>
      <c r="K37">
        <f t="shared" ref="K37:K68" si="18">ABS((N37-L$2)/L$2)</f>
        <v>1.8604651162791087E-3</v>
      </c>
      <c r="L37">
        <v>32</v>
      </c>
      <c r="M37">
        <f t="shared" ref="M37:M68" si="19">L$3+L37</f>
        <v>128</v>
      </c>
      <c r="N37">
        <f t="shared" ref="N37:N68" si="20">(ROUND(10^(M37/96),2))/ROUND(10^(L37/96),2)</f>
        <v>10.018604651162791</v>
      </c>
      <c r="P37">
        <f t="shared" si="9"/>
        <v>6.9767441860466572E-3</v>
      </c>
      <c r="Q37">
        <v>32</v>
      </c>
      <c r="R37">
        <f t="shared" si="10"/>
        <v>90</v>
      </c>
      <c r="S37">
        <f t="shared" si="11"/>
        <v>4.0279069767441866</v>
      </c>
    </row>
    <row r="38" spans="1:19" x14ac:dyDescent="0.25">
      <c r="A38">
        <f t="shared" si="12"/>
        <v>1.5082956259426794E-3</v>
      </c>
      <c r="B38">
        <v>33</v>
      </c>
      <c r="C38">
        <f t="shared" si="13"/>
        <v>50</v>
      </c>
      <c r="D38">
        <f t="shared" si="14"/>
        <v>1.502262443438914</v>
      </c>
      <c r="F38">
        <f t="shared" si="15"/>
        <v>1.5082956259426794E-3</v>
      </c>
      <c r="G38">
        <v>33</v>
      </c>
      <c r="H38">
        <f t="shared" si="16"/>
        <v>50</v>
      </c>
      <c r="I38">
        <f t="shared" si="17"/>
        <v>1.502262443438914</v>
      </c>
      <c r="K38">
        <f t="shared" si="18"/>
        <v>1.3574660633484115E-3</v>
      </c>
      <c r="L38">
        <v>33</v>
      </c>
      <c r="M38">
        <f t="shared" si="19"/>
        <v>129</v>
      </c>
      <c r="N38">
        <f t="shared" si="20"/>
        <v>9.9864253393665159</v>
      </c>
      <c r="P38">
        <f t="shared" si="9"/>
        <v>3.3936651583710287E-3</v>
      </c>
      <c r="Q38">
        <v>33</v>
      </c>
      <c r="R38">
        <f t="shared" si="10"/>
        <v>91</v>
      </c>
      <c r="S38">
        <f t="shared" si="11"/>
        <v>4.0135746606334841</v>
      </c>
    </row>
    <row r="39" spans="1:19" x14ac:dyDescent="0.25">
      <c r="A39">
        <f t="shared" si="12"/>
        <v>2.9498525073747097E-3</v>
      </c>
      <c r="B39">
        <v>34</v>
      </c>
      <c r="C39">
        <f t="shared" si="13"/>
        <v>51</v>
      </c>
      <c r="D39">
        <f t="shared" si="14"/>
        <v>1.5044247787610621</v>
      </c>
      <c r="F39">
        <f t="shared" si="15"/>
        <v>2.9498525073747097E-3</v>
      </c>
      <c r="G39">
        <v>34</v>
      </c>
      <c r="H39">
        <f t="shared" si="16"/>
        <v>51</v>
      </c>
      <c r="I39">
        <f t="shared" si="17"/>
        <v>1.5044247787610621</v>
      </c>
      <c r="K39">
        <f t="shared" si="18"/>
        <v>1.7763568394002506E-16</v>
      </c>
      <c r="L39">
        <v>34</v>
      </c>
      <c r="M39">
        <f t="shared" si="19"/>
        <v>130</v>
      </c>
      <c r="N39">
        <f t="shared" si="20"/>
        <v>10.000000000000002</v>
      </c>
      <c r="P39">
        <f t="shared" si="9"/>
        <v>5.530973451327581E-3</v>
      </c>
      <c r="Q39">
        <v>34</v>
      </c>
      <c r="R39">
        <f t="shared" si="10"/>
        <v>92</v>
      </c>
      <c r="S39">
        <f t="shared" si="11"/>
        <v>4.0221238938053103</v>
      </c>
    </row>
    <row r="40" spans="1:19" x14ac:dyDescent="0.25">
      <c r="A40">
        <f t="shared" si="12"/>
        <v>0</v>
      </c>
      <c r="B40">
        <v>35</v>
      </c>
      <c r="C40">
        <f t="shared" si="13"/>
        <v>52</v>
      </c>
      <c r="D40">
        <f t="shared" si="14"/>
        <v>1.5</v>
      </c>
      <c r="F40">
        <f t="shared" si="15"/>
        <v>0</v>
      </c>
      <c r="G40">
        <v>35</v>
      </c>
      <c r="H40">
        <f t="shared" si="16"/>
        <v>52</v>
      </c>
      <c r="I40">
        <f t="shared" si="17"/>
        <v>1.5</v>
      </c>
      <c r="K40">
        <f t="shared" si="18"/>
        <v>2.1551724137930605E-3</v>
      </c>
      <c r="L40">
        <v>35</v>
      </c>
      <c r="M40">
        <f t="shared" si="19"/>
        <v>131</v>
      </c>
      <c r="N40">
        <f t="shared" si="20"/>
        <v>9.9784482758620694</v>
      </c>
      <c r="P40">
        <f t="shared" si="9"/>
        <v>3.2327586206897241E-3</v>
      </c>
      <c r="Q40">
        <v>35</v>
      </c>
      <c r="R40">
        <f t="shared" si="10"/>
        <v>93</v>
      </c>
      <c r="S40">
        <f t="shared" si="11"/>
        <v>4.0129310344827589</v>
      </c>
    </row>
    <row r="41" spans="1:19" x14ac:dyDescent="0.25">
      <c r="A41">
        <f t="shared" si="12"/>
        <v>4.2194092827002967E-3</v>
      </c>
      <c r="B41">
        <v>36</v>
      </c>
      <c r="C41">
        <f t="shared" si="13"/>
        <v>53</v>
      </c>
      <c r="D41">
        <f t="shared" si="14"/>
        <v>1.5063291139240504</v>
      </c>
      <c r="F41">
        <f t="shared" si="15"/>
        <v>4.2194092827002967E-3</v>
      </c>
      <c r="G41">
        <v>36</v>
      </c>
      <c r="H41">
        <f t="shared" si="16"/>
        <v>53</v>
      </c>
      <c r="I41">
        <f t="shared" si="17"/>
        <v>1.5063291139240504</v>
      </c>
      <c r="K41">
        <f t="shared" si="18"/>
        <v>4.2194092827010368E-4</v>
      </c>
      <c r="L41">
        <v>36</v>
      </c>
      <c r="M41">
        <f t="shared" si="19"/>
        <v>132</v>
      </c>
      <c r="N41">
        <f t="shared" si="20"/>
        <v>10.004219409282701</v>
      </c>
      <c r="P41">
        <f t="shared" si="9"/>
        <v>5.2742616033754075E-3</v>
      </c>
      <c r="Q41">
        <v>36</v>
      </c>
      <c r="R41">
        <f t="shared" si="10"/>
        <v>94</v>
      </c>
      <c r="S41">
        <f t="shared" si="11"/>
        <v>4.0210970464135016</v>
      </c>
    </row>
    <row r="42" spans="1:19" x14ac:dyDescent="0.25">
      <c r="A42">
        <f t="shared" si="12"/>
        <v>1.37174211248281E-3</v>
      </c>
      <c r="B42">
        <v>37</v>
      </c>
      <c r="C42">
        <f t="shared" si="13"/>
        <v>54</v>
      </c>
      <c r="D42">
        <f t="shared" si="14"/>
        <v>1.5020576131687242</v>
      </c>
      <c r="F42">
        <f t="shared" si="15"/>
        <v>1.37174211248281E-3</v>
      </c>
      <c r="G42">
        <v>37</v>
      </c>
      <c r="H42">
        <f t="shared" si="16"/>
        <v>54</v>
      </c>
      <c r="I42">
        <f t="shared" si="17"/>
        <v>1.5020576131687242</v>
      </c>
      <c r="K42">
        <f t="shared" si="18"/>
        <v>4.115226337448874E-4</v>
      </c>
      <c r="L42">
        <v>37</v>
      </c>
      <c r="M42">
        <f t="shared" si="19"/>
        <v>133</v>
      </c>
      <c r="N42">
        <f t="shared" si="20"/>
        <v>9.9958847736625511</v>
      </c>
      <c r="P42">
        <f t="shared" si="9"/>
        <v>4.1152263374484299E-3</v>
      </c>
      <c r="Q42">
        <v>37</v>
      </c>
      <c r="R42">
        <f t="shared" si="10"/>
        <v>95</v>
      </c>
      <c r="S42">
        <f t="shared" si="11"/>
        <v>4.0164609053497937</v>
      </c>
    </row>
    <row r="43" spans="1:19" x14ac:dyDescent="0.25">
      <c r="A43">
        <f t="shared" si="12"/>
        <v>1.3386880856760541E-3</v>
      </c>
      <c r="B43">
        <v>38</v>
      </c>
      <c r="C43">
        <f t="shared" si="13"/>
        <v>55</v>
      </c>
      <c r="D43">
        <f t="shared" si="14"/>
        <v>1.5020080321285141</v>
      </c>
      <c r="F43">
        <f t="shared" si="15"/>
        <v>1.3386880856760541E-3</v>
      </c>
      <c r="G43">
        <v>38</v>
      </c>
      <c r="H43">
        <f t="shared" si="16"/>
        <v>55</v>
      </c>
      <c r="I43">
        <f t="shared" si="17"/>
        <v>1.5020080321285141</v>
      </c>
      <c r="K43">
        <f t="shared" si="18"/>
        <v>8.0321285140581009E-4</v>
      </c>
      <c r="L43">
        <v>38</v>
      </c>
      <c r="M43">
        <f t="shared" si="19"/>
        <v>134</v>
      </c>
      <c r="N43">
        <f t="shared" si="20"/>
        <v>9.9919678714859419</v>
      </c>
      <c r="P43">
        <f t="shared" si="9"/>
        <v>4.0160642570279403E-3</v>
      </c>
      <c r="Q43">
        <v>38</v>
      </c>
      <c r="R43">
        <f t="shared" si="10"/>
        <v>96</v>
      </c>
      <c r="S43">
        <f t="shared" si="11"/>
        <v>4.0160642570281118</v>
      </c>
    </row>
    <row r="44" spans="1:19" x14ac:dyDescent="0.25">
      <c r="A44">
        <f t="shared" si="12"/>
        <v>1.3071895424838036E-3</v>
      </c>
      <c r="B44">
        <v>39</v>
      </c>
      <c r="C44">
        <f t="shared" si="13"/>
        <v>56</v>
      </c>
      <c r="D44">
        <f t="shared" si="14"/>
        <v>1.5019607843137257</v>
      </c>
      <c r="F44">
        <f t="shared" si="15"/>
        <v>1.3071895424838036E-3</v>
      </c>
      <c r="G44">
        <v>39</v>
      </c>
      <c r="H44">
        <f t="shared" si="16"/>
        <v>56</v>
      </c>
      <c r="I44">
        <f t="shared" si="17"/>
        <v>1.5019607843137257</v>
      </c>
      <c r="K44">
        <f t="shared" si="18"/>
        <v>7.8431372549019334E-4</v>
      </c>
      <c r="L44">
        <v>39</v>
      </c>
      <c r="M44">
        <f t="shared" si="19"/>
        <v>135</v>
      </c>
      <c r="N44">
        <f t="shared" si="20"/>
        <v>9.9921568627450981</v>
      </c>
      <c r="P44">
        <f t="shared" si="9"/>
        <v>3.9215686274509665E-3</v>
      </c>
      <c r="Q44">
        <v>39</v>
      </c>
      <c r="R44">
        <f t="shared" si="10"/>
        <v>97</v>
      </c>
      <c r="S44">
        <f t="shared" si="11"/>
        <v>4.0156862745098039</v>
      </c>
    </row>
    <row r="45" spans="1:19" x14ac:dyDescent="0.25">
      <c r="A45">
        <f t="shared" si="12"/>
        <v>1.2771392081737016E-3</v>
      </c>
      <c r="B45">
        <v>40</v>
      </c>
      <c r="C45">
        <f t="shared" si="13"/>
        <v>57</v>
      </c>
      <c r="D45">
        <f t="shared" si="14"/>
        <v>1.5019157088122606</v>
      </c>
      <c r="F45">
        <f t="shared" si="15"/>
        <v>1.2771392081737016E-3</v>
      </c>
      <c r="G45">
        <v>40</v>
      </c>
      <c r="H45">
        <f t="shared" si="16"/>
        <v>57</v>
      </c>
      <c r="I45">
        <f t="shared" si="17"/>
        <v>1.5019157088122606</v>
      </c>
      <c r="K45">
        <f t="shared" si="18"/>
        <v>1.7763568394002506E-16</v>
      </c>
      <c r="L45">
        <v>40</v>
      </c>
      <c r="M45">
        <f t="shared" si="19"/>
        <v>136</v>
      </c>
      <c r="N45">
        <f t="shared" si="20"/>
        <v>10.000000000000002</v>
      </c>
      <c r="P45">
        <f t="shared" si="9"/>
        <v>4.7892720306514924E-3</v>
      </c>
      <c r="Q45">
        <v>40</v>
      </c>
      <c r="R45">
        <f t="shared" si="10"/>
        <v>98</v>
      </c>
      <c r="S45">
        <f t="shared" si="11"/>
        <v>4.019157088122606</v>
      </c>
    </row>
    <row r="46" spans="1:19" x14ac:dyDescent="0.25">
      <c r="A46">
        <f t="shared" si="12"/>
        <v>3.7453183520598601E-3</v>
      </c>
      <c r="B46">
        <v>41</v>
      </c>
      <c r="C46">
        <f t="shared" si="13"/>
        <v>58</v>
      </c>
      <c r="D46">
        <f t="shared" si="14"/>
        <v>1.5056179775280898</v>
      </c>
      <c r="F46">
        <f t="shared" si="15"/>
        <v>3.7453183520598601E-3</v>
      </c>
      <c r="G46">
        <v>41</v>
      </c>
      <c r="H46">
        <f t="shared" si="16"/>
        <v>58</v>
      </c>
      <c r="I46">
        <f t="shared" si="17"/>
        <v>1.5056179775280898</v>
      </c>
      <c r="K46">
        <f t="shared" si="18"/>
        <v>1.4981273408238849E-3</v>
      </c>
      <c r="L46">
        <v>41</v>
      </c>
      <c r="M46">
        <f t="shared" si="19"/>
        <v>137</v>
      </c>
      <c r="N46">
        <f t="shared" si="20"/>
        <v>10.014981273408239</v>
      </c>
      <c r="P46">
        <f t="shared" si="9"/>
        <v>6.5543071161049404E-3</v>
      </c>
      <c r="Q46">
        <v>41</v>
      </c>
      <c r="R46">
        <f t="shared" si="10"/>
        <v>99</v>
      </c>
      <c r="S46">
        <f t="shared" si="11"/>
        <v>4.0262172284644198</v>
      </c>
    </row>
    <row r="47" spans="1:19" x14ac:dyDescent="0.25">
      <c r="A47">
        <f t="shared" si="12"/>
        <v>2.4330900243308604E-3</v>
      </c>
      <c r="B47">
        <v>42</v>
      </c>
      <c r="C47">
        <f t="shared" si="13"/>
        <v>59</v>
      </c>
      <c r="D47">
        <f t="shared" si="14"/>
        <v>1.5036496350364963</v>
      </c>
      <c r="F47">
        <f t="shared" si="15"/>
        <v>2.4330900243308604E-3</v>
      </c>
      <c r="G47">
        <v>42</v>
      </c>
      <c r="H47">
        <f t="shared" si="16"/>
        <v>59</v>
      </c>
      <c r="I47">
        <f t="shared" si="17"/>
        <v>1.5036496350364963</v>
      </c>
      <c r="K47">
        <f t="shared" si="18"/>
        <v>7.2992700729930244E-4</v>
      </c>
      <c r="L47">
        <v>42</v>
      </c>
      <c r="M47">
        <f t="shared" si="19"/>
        <v>138</v>
      </c>
      <c r="N47">
        <f t="shared" si="20"/>
        <v>9.992700729927007</v>
      </c>
      <c r="P47">
        <f t="shared" si="9"/>
        <v>4.5620437956204185E-3</v>
      </c>
      <c r="Q47">
        <v>42</v>
      </c>
      <c r="R47">
        <f t="shared" si="10"/>
        <v>100</v>
      </c>
      <c r="S47">
        <f t="shared" si="11"/>
        <v>4.0182481751824817</v>
      </c>
    </row>
    <row r="48" spans="1:19" x14ac:dyDescent="0.25">
      <c r="A48">
        <f t="shared" si="12"/>
        <v>4.761904761904745E-3</v>
      </c>
      <c r="B48">
        <v>43</v>
      </c>
      <c r="C48">
        <f t="shared" si="13"/>
        <v>60</v>
      </c>
      <c r="D48">
        <f t="shared" si="14"/>
        <v>1.5071428571428571</v>
      </c>
      <c r="F48">
        <f t="shared" si="15"/>
        <v>4.761904761904745E-3</v>
      </c>
      <c r="G48">
        <v>43</v>
      </c>
      <c r="H48">
        <f t="shared" si="16"/>
        <v>60</v>
      </c>
      <c r="I48">
        <f t="shared" si="17"/>
        <v>1.5071428571428571</v>
      </c>
      <c r="K48">
        <f t="shared" si="18"/>
        <v>1.7857142857144125E-3</v>
      </c>
      <c r="L48">
        <v>43</v>
      </c>
      <c r="M48">
        <f t="shared" si="19"/>
        <v>139</v>
      </c>
      <c r="N48">
        <f t="shared" si="20"/>
        <v>10.017857142857144</v>
      </c>
      <c r="P48">
        <f t="shared" si="9"/>
        <v>6.2500000000000888E-3</v>
      </c>
      <c r="Q48">
        <v>43</v>
      </c>
      <c r="R48">
        <f t="shared" si="10"/>
        <v>101</v>
      </c>
      <c r="S48">
        <f t="shared" si="11"/>
        <v>4.0250000000000004</v>
      </c>
    </row>
    <row r="49" spans="1:19" x14ac:dyDescent="0.25">
      <c r="A49">
        <f t="shared" si="12"/>
        <v>3.4843205574913347E-3</v>
      </c>
      <c r="B49">
        <v>44</v>
      </c>
      <c r="C49">
        <f t="shared" si="13"/>
        <v>61</v>
      </c>
      <c r="D49">
        <f t="shared" si="14"/>
        <v>1.505226480836237</v>
      </c>
      <c r="F49">
        <f t="shared" si="15"/>
        <v>3.4843205574913347E-3</v>
      </c>
      <c r="G49">
        <v>44</v>
      </c>
      <c r="H49">
        <f t="shared" si="16"/>
        <v>61</v>
      </c>
      <c r="I49">
        <f t="shared" si="17"/>
        <v>1.505226480836237</v>
      </c>
      <c r="K49">
        <f t="shared" si="18"/>
        <v>1.0452961672474004E-3</v>
      </c>
      <c r="L49">
        <v>44</v>
      </c>
      <c r="M49">
        <f t="shared" si="19"/>
        <v>140</v>
      </c>
      <c r="N49">
        <f t="shared" si="20"/>
        <v>10.010452961672474</v>
      </c>
      <c r="P49">
        <f t="shared" si="9"/>
        <v>6.0975609756097615E-3</v>
      </c>
      <c r="Q49">
        <v>44</v>
      </c>
      <c r="R49">
        <f t="shared" si="10"/>
        <v>102</v>
      </c>
      <c r="S49">
        <f t="shared" si="11"/>
        <v>4.024390243902439</v>
      </c>
    </row>
    <row r="50" spans="1:19" x14ac:dyDescent="0.25">
      <c r="A50">
        <f t="shared" si="12"/>
        <v>2.2675736961450532E-3</v>
      </c>
      <c r="B50">
        <v>45</v>
      </c>
      <c r="C50">
        <f t="shared" si="13"/>
        <v>62</v>
      </c>
      <c r="D50">
        <f t="shared" si="14"/>
        <v>1.5034013605442176</v>
      </c>
      <c r="F50">
        <f t="shared" si="15"/>
        <v>2.2675736961450532E-3</v>
      </c>
      <c r="G50">
        <v>45</v>
      </c>
      <c r="H50">
        <f t="shared" si="16"/>
        <v>62</v>
      </c>
      <c r="I50">
        <f t="shared" si="17"/>
        <v>1.5034013605442176</v>
      </c>
      <c r="K50">
        <f t="shared" si="18"/>
        <v>1.0204081632652518E-3</v>
      </c>
      <c r="L50">
        <v>45</v>
      </c>
      <c r="M50">
        <f t="shared" si="19"/>
        <v>141</v>
      </c>
      <c r="N50">
        <f t="shared" si="20"/>
        <v>10.010204081632653</v>
      </c>
      <c r="P50">
        <f t="shared" si="9"/>
        <v>5.9523809523809312E-3</v>
      </c>
      <c r="Q50">
        <v>45</v>
      </c>
      <c r="R50">
        <f t="shared" si="10"/>
        <v>103</v>
      </c>
      <c r="S50">
        <f t="shared" si="11"/>
        <v>4.0238095238095237</v>
      </c>
    </row>
    <row r="51" spans="1:19" x14ac:dyDescent="0.25">
      <c r="A51">
        <f t="shared" si="12"/>
        <v>3.3222591362127574E-3</v>
      </c>
      <c r="B51">
        <v>46</v>
      </c>
      <c r="C51">
        <f t="shared" si="13"/>
        <v>63</v>
      </c>
      <c r="D51">
        <f t="shared" si="14"/>
        <v>1.5049833887043191</v>
      </c>
      <c r="F51">
        <f t="shared" si="15"/>
        <v>3.3222591362127574E-3</v>
      </c>
      <c r="G51">
        <v>46</v>
      </c>
      <c r="H51">
        <f t="shared" si="16"/>
        <v>63</v>
      </c>
      <c r="I51">
        <f t="shared" si="17"/>
        <v>1.5049833887043191</v>
      </c>
      <c r="K51">
        <f t="shared" si="18"/>
        <v>1.328903654485103E-3</v>
      </c>
      <c r="L51">
        <v>46</v>
      </c>
      <c r="M51">
        <f t="shared" si="19"/>
        <v>142</v>
      </c>
      <c r="N51">
        <f t="shared" si="20"/>
        <v>10.013289036544851</v>
      </c>
      <c r="P51">
        <f t="shared" si="9"/>
        <v>6.6445182724252927E-3</v>
      </c>
      <c r="Q51">
        <v>46</v>
      </c>
      <c r="R51">
        <f t="shared" si="10"/>
        <v>104</v>
      </c>
      <c r="S51">
        <f t="shared" si="11"/>
        <v>4.0265780730897012</v>
      </c>
    </row>
    <row r="52" spans="1:19" x14ac:dyDescent="0.25">
      <c r="A52">
        <f t="shared" si="12"/>
        <v>1.0787486515641358E-3</v>
      </c>
      <c r="B52">
        <v>47</v>
      </c>
      <c r="C52">
        <f t="shared" si="13"/>
        <v>64</v>
      </c>
      <c r="D52">
        <f t="shared" si="14"/>
        <v>1.5016181229773462</v>
      </c>
      <c r="F52">
        <f t="shared" si="15"/>
        <v>1.0787486515641358E-3</v>
      </c>
      <c r="G52">
        <v>47</v>
      </c>
      <c r="H52">
        <f t="shared" si="16"/>
        <v>64</v>
      </c>
      <c r="I52">
        <f t="shared" si="17"/>
        <v>1.5016181229773462</v>
      </c>
      <c r="K52">
        <f t="shared" si="18"/>
        <v>9.7087378640772217E-4</v>
      </c>
      <c r="L52">
        <v>47</v>
      </c>
      <c r="M52">
        <f t="shared" si="19"/>
        <v>143</v>
      </c>
      <c r="N52">
        <f t="shared" si="20"/>
        <v>9.9902912621359228</v>
      </c>
      <c r="P52">
        <f t="shared" si="9"/>
        <v>4.045307443365731E-3</v>
      </c>
      <c r="Q52">
        <v>47</v>
      </c>
      <c r="R52">
        <f t="shared" si="10"/>
        <v>105</v>
      </c>
      <c r="S52">
        <f t="shared" si="11"/>
        <v>4.0161812297734629</v>
      </c>
    </row>
    <row r="53" spans="1:19" x14ac:dyDescent="0.25">
      <c r="A53">
        <f t="shared" si="12"/>
        <v>2.1097046413502221E-3</v>
      </c>
      <c r="B53">
        <v>48</v>
      </c>
      <c r="C53">
        <f t="shared" si="13"/>
        <v>65</v>
      </c>
      <c r="D53">
        <f t="shared" si="14"/>
        <v>1.5031645569620253</v>
      </c>
      <c r="F53">
        <f t="shared" si="15"/>
        <v>2.1097046413502221E-3</v>
      </c>
      <c r="G53">
        <v>48</v>
      </c>
      <c r="H53">
        <f t="shared" si="16"/>
        <v>65</v>
      </c>
      <c r="I53">
        <f t="shared" si="17"/>
        <v>1.5031645569620253</v>
      </c>
      <c r="K53">
        <f t="shared" si="18"/>
        <v>6.3291139240497787E-4</v>
      </c>
      <c r="L53">
        <v>48</v>
      </c>
      <c r="M53">
        <f t="shared" si="19"/>
        <v>144</v>
      </c>
      <c r="N53">
        <f t="shared" si="20"/>
        <v>10.00632911392405</v>
      </c>
      <c r="P53">
        <f t="shared" si="9"/>
        <v>5.5379746835442223E-3</v>
      </c>
      <c r="Q53">
        <v>48</v>
      </c>
      <c r="R53">
        <f t="shared" si="10"/>
        <v>106</v>
      </c>
      <c r="S53">
        <f t="shared" si="11"/>
        <v>4.0221518987341769</v>
      </c>
    </row>
    <row r="54" spans="1:19" x14ac:dyDescent="0.25">
      <c r="A54">
        <f t="shared" si="12"/>
        <v>2.0576131687242891E-3</v>
      </c>
      <c r="B54">
        <v>49</v>
      </c>
      <c r="C54">
        <f t="shared" si="13"/>
        <v>66</v>
      </c>
      <c r="D54">
        <f t="shared" si="14"/>
        <v>1.5030864197530864</v>
      </c>
      <c r="F54">
        <f t="shared" si="15"/>
        <v>2.0576131687242891E-3</v>
      </c>
      <c r="G54">
        <v>49</v>
      </c>
      <c r="H54">
        <f t="shared" si="16"/>
        <v>66</v>
      </c>
      <c r="I54">
        <f t="shared" si="17"/>
        <v>1.5030864197530864</v>
      </c>
      <c r="K54">
        <f t="shared" si="18"/>
        <v>3.0864197530870995E-4</v>
      </c>
      <c r="L54">
        <v>49</v>
      </c>
      <c r="M54">
        <f t="shared" si="19"/>
        <v>145</v>
      </c>
      <c r="N54">
        <f t="shared" si="20"/>
        <v>9.9969135802469129</v>
      </c>
      <c r="P54">
        <f t="shared" si="9"/>
        <v>4.6296296296295392E-3</v>
      </c>
      <c r="Q54">
        <v>49</v>
      </c>
      <c r="R54">
        <f t="shared" si="10"/>
        <v>107</v>
      </c>
      <c r="S54">
        <f t="shared" si="11"/>
        <v>4.0185185185185182</v>
      </c>
    </row>
    <row r="55" spans="1:19" x14ac:dyDescent="0.25">
      <c r="A55">
        <f t="shared" si="12"/>
        <v>2.0080321285140812E-3</v>
      </c>
      <c r="B55">
        <v>50</v>
      </c>
      <c r="C55">
        <f t="shared" si="13"/>
        <v>67</v>
      </c>
      <c r="D55">
        <f t="shared" si="14"/>
        <v>1.5030120481927711</v>
      </c>
      <c r="F55">
        <f t="shared" si="15"/>
        <v>2.0080321285140812E-3</v>
      </c>
      <c r="G55">
        <v>50</v>
      </c>
      <c r="H55">
        <f t="shared" si="16"/>
        <v>67</v>
      </c>
      <c r="I55">
        <f t="shared" si="17"/>
        <v>1.5030120481927711</v>
      </c>
      <c r="K55">
        <f t="shared" si="18"/>
        <v>6.024096385541355E-4</v>
      </c>
      <c r="L55">
        <v>50</v>
      </c>
      <c r="M55">
        <f t="shared" si="19"/>
        <v>146</v>
      </c>
      <c r="N55">
        <f t="shared" si="20"/>
        <v>9.9939759036144586</v>
      </c>
      <c r="P55">
        <f t="shared" si="9"/>
        <v>4.5180722891566827E-3</v>
      </c>
      <c r="Q55">
        <v>50</v>
      </c>
      <c r="R55">
        <f t="shared" si="10"/>
        <v>108</v>
      </c>
      <c r="S55">
        <f t="shared" si="11"/>
        <v>4.0180722891566267</v>
      </c>
    </row>
    <row r="56" spans="1:19" x14ac:dyDescent="0.25">
      <c r="A56">
        <f t="shared" si="12"/>
        <v>1.9607843137256311E-3</v>
      </c>
      <c r="B56">
        <v>51</v>
      </c>
      <c r="C56">
        <f t="shared" si="13"/>
        <v>68</v>
      </c>
      <c r="D56">
        <f t="shared" si="14"/>
        <v>1.5029411764705884</v>
      </c>
      <c r="F56">
        <f t="shared" si="15"/>
        <v>1.9607843137256311E-3</v>
      </c>
      <c r="G56">
        <v>51</v>
      </c>
      <c r="H56">
        <f t="shared" si="16"/>
        <v>68</v>
      </c>
      <c r="I56">
        <f t="shared" si="17"/>
        <v>1.5029411764705884</v>
      </c>
      <c r="K56">
        <f t="shared" si="18"/>
        <v>5.8823529411764495E-4</v>
      </c>
      <c r="L56">
        <v>51</v>
      </c>
      <c r="M56">
        <f t="shared" si="19"/>
        <v>147</v>
      </c>
      <c r="N56">
        <f t="shared" si="20"/>
        <v>9.9941176470588236</v>
      </c>
      <c r="P56">
        <f t="shared" si="9"/>
        <v>4.4117647058823373E-3</v>
      </c>
      <c r="Q56">
        <v>51</v>
      </c>
      <c r="R56">
        <f t="shared" si="10"/>
        <v>109</v>
      </c>
      <c r="S56">
        <f t="shared" si="11"/>
        <v>4.0176470588235293</v>
      </c>
    </row>
    <row r="57" spans="1:19" x14ac:dyDescent="0.25">
      <c r="A57">
        <f t="shared" si="12"/>
        <v>1.9157088122606265E-3</v>
      </c>
      <c r="B57">
        <v>52</v>
      </c>
      <c r="C57">
        <f t="shared" si="13"/>
        <v>69</v>
      </c>
      <c r="D57">
        <f t="shared" si="14"/>
        <v>1.5028735632183909</v>
      </c>
      <c r="F57">
        <f t="shared" si="15"/>
        <v>1.9157088122606265E-3</v>
      </c>
      <c r="G57">
        <v>52</v>
      </c>
      <c r="H57">
        <f t="shared" si="16"/>
        <v>69</v>
      </c>
      <c r="I57">
        <f t="shared" si="17"/>
        <v>1.5028735632183909</v>
      </c>
      <c r="K57">
        <f t="shared" si="18"/>
        <v>2.8735632183920503E-4</v>
      </c>
      <c r="L57">
        <v>52</v>
      </c>
      <c r="M57">
        <f t="shared" si="19"/>
        <v>148</v>
      </c>
      <c r="N57">
        <f t="shared" si="20"/>
        <v>10.002873563218392</v>
      </c>
      <c r="P57">
        <f t="shared" si="9"/>
        <v>5.0287356321838672E-3</v>
      </c>
      <c r="Q57">
        <v>52</v>
      </c>
      <c r="R57">
        <f t="shared" si="10"/>
        <v>110</v>
      </c>
      <c r="S57">
        <f t="shared" si="11"/>
        <v>4.0201149425287355</v>
      </c>
    </row>
    <row r="58" spans="1:19" x14ac:dyDescent="0.25">
      <c r="A58">
        <f t="shared" si="12"/>
        <v>9.3370681605990191E-4</v>
      </c>
      <c r="B58">
        <v>53</v>
      </c>
      <c r="C58">
        <f t="shared" si="13"/>
        <v>70</v>
      </c>
      <c r="D58">
        <f t="shared" si="14"/>
        <v>1.5014005602240899</v>
      </c>
      <c r="F58">
        <f t="shared" si="15"/>
        <v>9.3370681605990191E-4</v>
      </c>
      <c r="G58">
        <v>53</v>
      </c>
      <c r="H58">
        <f t="shared" si="16"/>
        <v>70</v>
      </c>
      <c r="I58">
        <f t="shared" si="17"/>
        <v>1.5014005602240899</v>
      </c>
      <c r="K58">
        <f t="shared" si="18"/>
        <v>1.4005602240896309E-3</v>
      </c>
      <c r="L58">
        <v>53</v>
      </c>
      <c r="M58">
        <f t="shared" si="19"/>
        <v>149</v>
      </c>
      <c r="N58">
        <f t="shared" si="20"/>
        <v>9.9859943977591037</v>
      </c>
      <c r="P58">
        <f t="shared" si="9"/>
        <v>3.5014005602240772E-3</v>
      </c>
      <c r="Q58">
        <v>53</v>
      </c>
      <c r="R58">
        <f t="shared" si="10"/>
        <v>111</v>
      </c>
      <c r="S58">
        <f t="shared" si="11"/>
        <v>4.0140056022408963</v>
      </c>
    </row>
    <row r="59" spans="1:19" x14ac:dyDescent="0.25">
      <c r="A59">
        <f t="shared" si="12"/>
        <v>2.73972602739736E-3</v>
      </c>
      <c r="B59">
        <v>54</v>
      </c>
      <c r="C59">
        <f t="shared" si="13"/>
        <v>71</v>
      </c>
      <c r="D59">
        <f t="shared" si="14"/>
        <v>1.504109589041096</v>
      </c>
      <c r="F59">
        <f t="shared" si="15"/>
        <v>2.73972602739736E-3</v>
      </c>
      <c r="G59">
        <v>54</v>
      </c>
      <c r="H59">
        <f t="shared" si="16"/>
        <v>71</v>
      </c>
      <c r="I59">
        <f t="shared" si="17"/>
        <v>1.504109589041096</v>
      </c>
      <c r="K59">
        <f t="shared" si="18"/>
        <v>5.4794520547964967E-4</v>
      </c>
      <c r="L59">
        <v>54</v>
      </c>
      <c r="M59">
        <f t="shared" si="19"/>
        <v>150</v>
      </c>
      <c r="N59">
        <f t="shared" si="20"/>
        <v>10.005479452054796</v>
      </c>
      <c r="P59">
        <f t="shared" si="9"/>
        <v>5.479452054794498E-3</v>
      </c>
      <c r="Q59">
        <v>54</v>
      </c>
      <c r="R59">
        <f t="shared" si="10"/>
        <v>112</v>
      </c>
      <c r="S59">
        <f t="shared" si="11"/>
        <v>4.021917808219178</v>
      </c>
    </row>
    <row r="60" spans="1:19" x14ac:dyDescent="0.25">
      <c r="A60">
        <f t="shared" si="12"/>
        <v>1.7825311942959072E-3</v>
      </c>
      <c r="B60">
        <v>55</v>
      </c>
      <c r="C60">
        <f t="shared" si="13"/>
        <v>72</v>
      </c>
      <c r="D60">
        <f t="shared" si="14"/>
        <v>1.5026737967914439</v>
      </c>
      <c r="F60">
        <f t="shared" si="15"/>
        <v>1.7825311942959072E-3</v>
      </c>
      <c r="G60">
        <v>55</v>
      </c>
      <c r="H60">
        <f t="shared" si="16"/>
        <v>72</v>
      </c>
      <c r="I60">
        <f t="shared" si="17"/>
        <v>1.5026737967914439</v>
      </c>
      <c r="K60">
        <f t="shared" si="18"/>
        <v>1.7763568394002506E-16</v>
      </c>
      <c r="L60">
        <v>55</v>
      </c>
      <c r="M60">
        <f t="shared" si="19"/>
        <v>151</v>
      </c>
      <c r="N60">
        <f t="shared" si="20"/>
        <v>9.9999999999999982</v>
      </c>
      <c r="P60">
        <f t="shared" si="9"/>
        <v>4.6791443850267012E-3</v>
      </c>
      <c r="Q60">
        <v>55</v>
      </c>
      <c r="R60">
        <f t="shared" si="10"/>
        <v>113</v>
      </c>
      <c r="S60">
        <f t="shared" si="11"/>
        <v>4.0187165775401068</v>
      </c>
    </row>
    <row r="61" spans="1:19" x14ac:dyDescent="0.25">
      <c r="A61">
        <f t="shared" si="12"/>
        <v>2.6109660574412294E-3</v>
      </c>
      <c r="B61">
        <v>56</v>
      </c>
      <c r="C61">
        <f t="shared" si="13"/>
        <v>73</v>
      </c>
      <c r="D61">
        <f t="shared" si="14"/>
        <v>1.5039164490861618</v>
      </c>
      <c r="F61">
        <f t="shared" si="15"/>
        <v>2.6109660574412294E-3</v>
      </c>
      <c r="G61">
        <v>56</v>
      </c>
      <c r="H61">
        <f t="shared" si="16"/>
        <v>73</v>
      </c>
      <c r="I61">
        <f t="shared" si="17"/>
        <v>1.5039164490861618</v>
      </c>
      <c r="K61">
        <f t="shared" si="18"/>
        <v>2.6109660574409333E-4</v>
      </c>
      <c r="L61">
        <v>56</v>
      </c>
      <c r="M61">
        <f t="shared" si="19"/>
        <v>152</v>
      </c>
      <c r="N61">
        <f t="shared" si="20"/>
        <v>10.002610966057441</v>
      </c>
      <c r="P61">
        <f t="shared" si="9"/>
        <v>5.2219321148825326E-3</v>
      </c>
      <c r="Q61">
        <v>56</v>
      </c>
      <c r="R61">
        <f t="shared" si="10"/>
        <v>114</v>
      </c>
      <c r="S61">
        <f t="shared" si="11"/>
        <v>4.0208877284595301</v>
      </c>
    </row>
    <row r="62" spans="1:19" x14ac:dyDescent="0.25">
      <c r="A62">
        <f t="shared" si="12"/>
        <v>3.4013605442178019E-3</v>
      </c>
      <c r="B62">
        <v>57</v>
      </c>
      <c r="C62">
        <f t="shared" si="13"/>
        <v>74</v>
      </c>
      <c r="D62">
        <f t="shared" si="14"/>
        <v>1.5051020408163267</v>
      </c>
      <c r="F62">
        <f t="shared" si="15"/>
        <v>3.4013605442178019E-3</v>
      </c>
      <c r="G62">
        <v>57</v>
      </c>
      <c r="H62">
        <f t="shared" si="16"/>
        <v>74</v>
      </c>
      <c r="I62">
        <f t="shared" si="17"/>
        <v>1.5051020408163267</v>
      </c>
      <c r="K62">
        <f t="shared" si="18"/>
        <v>1.0204081632654294E-3</v>
      </c>
      <c r="L62">
        <v>57</v>
      </c>
      <c r="M62">
        <f t="shared" si="19"/>
        <v>153</v>
      </c>
      <c r="N62">
        <f t="shared" si="20"/>
        <v>10.010204081632654</v>
      </c>
      <c r="P62">
        <f t="shared" si="9"/>
        <v>5.7397959183673741E-3</v>
      </c>
      <c r="Q62">
        <v>57</v>
      </c>
      <c r="R62">
        <f t="shared" si="10"/>
        <v>115</v>
      </c>
      <c r="S62">
        <f t="shared" si="11"/>
        <v>4.0229591836734695</v>
      </c>
    </row>
    <row r="63" spans="1:19" x14ac:dyDescent="0.25">
      <c r="A63">
        <f t="shared" si="12"/>
        <v>1.6583747927033283E-3</v>
      </c>
      <c r="B63">
        <v>58</v>
      </c>
      <c r="C63">
        <f t="shared" si="13"/>
        <v>75</v>
      </c>
      <c r="D63">
        <f t="shared" si="14"/>
        <v>1.502487562189055</v>
      </c>
      <c r="F63">
        <f t="shared" si="15"/>
        <v>1.6583747927033283E-3</v>
      </c>
      <c r="G63">
        <v>58</v>
      </c>
      <c r="H63">
        <f t="shared" si="16"/>
        <v>75</v>
      </c>
      <c r="I63">
        <f t="shared" si="17"/>
        <v>1.502487562189055</v>
      </c>
      <c r="K63">
        <f t="shared" si="18"/>
        <v>2.4875621890547707E-4</v>
      </c>
      <c r="L63">
        <v>58</v>
      </c>
      <c r="M63">
        <f t="shared" si="19"/>
        <v>154</v>
      </c>
      <c r="N63">
        <f t="shared" si="20"/>
        <v>9.9975124378109452</v>
      </c>
      <c r="P63">
        <f t="shared" si="9"/>
        <v>4.9751243781095411E-3</v>
      </c>
      <c r="Q63">
        <v>58</v>
      </c>
      <c r="R63">
        <f t="shared" si="10"/>
        <v>116</v>
      </c>
      <c r="S63">
        <f t="shared" si="11"/>
        <v>4.0199004975124382</v>
      </c>
    </row>
    <row r="64" spans="1:19" x14ac:dyDescent="0.25">
      <c r="A64">
        <f t="shared" si="12"/>
        <v>1.6181229773463517E-3</v>
      </c>
      <c r="B64">
        <v>59</v>
      </c>
      <c r="C64">
        <f t="shared" si="13"/>
        <v>76</v>
      </c>
      <c r="D64">
        <f t="shared" si="14"/>
        <v>1.5024271844660195</v>
      </c>
      <c r="F64">
        <f t="shared" si="15"/>
        <v>1.6181229773463517E-3</v>
      </c>
      <c r="G64">
        <v>59</v>
      </c>
      <c r="H64">
        <f t="shared" si="16"/>
        <v>76</v>
      </c>
      <c r="I64">
        <f t="shared" si="17"/>
        <v>1.5024271844660195</v>
      </c>
      <c r="K64">
        <f t="shared" si="18"/>
        <v>7.2815533980588045E-4</v>
      </c>
      <c r="L64">
        <v>59</v>
      </c>
      <c r="M64">
        <f t="shared" si="19"/>
        <v>155</v>
      </c>
      <c r="N64">
        <f t="shared" si="20"/>
        <v>9.9927184466019412</v>
      </c>
      <c r="P64">
        <f t="shared" si="9"/>
        <v>4.2475728155340065E-3</v>
      </c>
      <c r="Q64">
        <v>59</v>
      </c>
      <c r="R64">
        <f t="shared" si="10"/>
        <v>117</v>
      </c>
      <c r="S64">
        <f t="shared" si="11"/>
        <v>4.016990291262136</v>
      </c>
    </row>
    <row r="65" spans="1:19" x14ac:dyDescent="0.25">
      <c r="A65">
        <f t="shared" si="12"/>
        <v>1.5797788309637184E-3</v>
      </c>
      <c r="B65">
        <v>60</v>
      </c>
      <c r="C65">
        <f t="shared" si="13"/>
        <v>77</v>
      </c>
      <c r="D65">
        <f t="shared" si="14"/>
        <v>1.5023696682464456</v>
      </c>
      <c r="F65">
        <f t="shared" si="15"/>
        <v>1.5797788309637184E-3</v>
      </c>
      <c r="G65">
        <v>60</v>
      </c>
      <c r="H65">
        <f t="shared" si="16"/>
        <v>77</v>
      </c>
      <c r="I65">
        <f t="shared" si="17"/>
        <v>1.5023696682464456</v>
      </c>
      <c r="K65">
        <f t="shared" si="18"/>
        <v>7.1090047393358442E-4</v>
      </c>
      <c r="L65">
        <v>60</v>
      </c>
      <c r="M65">
        <f t="shared" si="19"/>
        <v>156</v>
      </c>
      <c r="N65">
        <f t="shared" si="20"/>
        <v>9.9928909952606642</v>
      </c>
      <c r="P65">
        <f t="shared" si="9"/>
        <v>4.1469194312795388E-3</v>
      </c>
      <c r="Q65">
        <v>60</v>
      </c>
      <c r="R65">
        <f t="shared" si="10"/>
        <v>118</v>
      </c>
      <c r="S65">
        <f t="shared" si="11"/>
        <v>4.0165876777251182</v>
      </c>
    </row>
    <row r="66" spans="1:19" x14ac:dyDescent="0.25">
      <c r="A66">
        <f t="shared" si="12"/>
        <v>1.5432098765431057E-3</v>
      </c>
      <c r="B66">
        <v>61</v>
      </c>
      <c r="C66">
        <f t="shared" si="13"/>
        <v>78</v>
      </c>
      <c r="D66">
        <f t="shared" si="14"/>
        <v>1.5023148148148147</v>
      </c>
      <c r="F66">
        <f t="shared" si="15"/>
        <v>1.5432098765431057E-3</v>
      </c>
      <c r="G66">
        <v>61</v>
      </c>
      <c r="H66">
        <f t="shared" si="16"/>
        <v>78</v>
      </c>
      <c r="I66">
        <f t="shared" si="17"/>
        <v>1.5023148148148147</v>
      </c>
      <c r="K66">
        <f t="shared" si="18"/>
        <v>2.314814814816657E-4</v>
      </c>
      <c r="L66">
        <v>61</v>
      </c>
      <c r="M66">
        <f t="shared" si="19"/>
        <v>157</v>
      </c>
      <c r="N66">
        <f t="shared" si="20"/>
        <v>9.9976851851851833</v>
      </c>
      <c r="P66">
        <f t="shared" si="9"/>
        <v>4.6296296296295392E-3</v>
      </c>
      <c r="Q66">
        <v>61</v>
      </c>
      <c r="R66">
        <f t="shared" si="10"/>
        <v>119</v>
      </c>
      <c r="S66">
        <f t="shared" si="11"/>
        <v>4.0185185185185182</v>
      </c>
    </row>
    <row r="67" spans="1:19" x14ac:dyDescent="0.25">
      <c r="A67">
        <f t="shared" si="12"/>
        <v>3.0165912518855067E-3</v>
      </c>
      <c r="B67">
        <v>62</v>
      </c>
      <c r="C67">
        <f t="shared" si="13"/>
        <v>79</v>
      </c>
      <c r="D67">
        <f t="shared" si="14"/>
        <v>1.5045248868778283</v>
      </c>
      <c r="F67">
        <f t="shared" si="15"/>
        <v>3.0165912518855067E-3</v>
      </c>
      <c r="G67">
        <v>62</v>
      </c>
      <c r="H67">
        <f t="shared" si="16"/>
        <v>79</v>
      </c>
      <c r="I67">
        <f t="shared" si="17"/>
        <v>1.5045248868778283</v>
      </c>
      <c r="K67">
        <f t="shared" si="18"/>
        <v>9.0497737556560764E-4</v>
      </c>
      <c r="L67">
        <v>62</v>
      </c>
      <c r="M67">
        <f t="shared" si="19"/>
        <v>158</v>
      </c>
      <c r="N67">
        <f t="shared" si="20"/>
        <v>10.009049773755656</v>
      </c>
      <c r="P67">
        <f t="shared" si="9"/>
        <v>5.6561085972850478E-3</v>
      </c>
      <c r="Q67">
        <v>62</v>
      </c>
      <c r="R67">
        <f t="shared" si="10"/>
        <v>120</v>
      </c>
      <c r="S67">
        <f t="shared" si="11"/>
        <v>4.0226244343891402</v>
      </c>
    </row>
    <row r="68" spans="1:19" x14ac:dyDescent="0.25">
      <c r="A68">
        <f t="shared" si="12"/>
        <v>2.207505518763734E-3</v>
      </c>
      <c r="B68">
        <v>63</v>
      </c>
      <c r="C68">
        <f t="shared" si="13"/>
        <v>80</v>
      </c>
      <c r="D68">
        <f t="shared" si="14"/>
        <v>1.5033112582781456</v>
      </c>
      <c r="F68">
        <f t="shared" si="15"/>
        <v>2.207505518763734E-3</v>
      </c>
      <c r="G68">
        <v>63</v>
      </c>
      <c r="H68">
        <f t="shared" si="16"/>
        <v>80</v>
      </c>
      <c r="I68">
        <f t="shared" si="17"/>
        <v>1.5033112582781456</v>
      </c>
      <c r="K68">
        <f t="shared" si="18"/>
        <v>4.4150110375262841E-4</v>
      </c>
      <c r="L68">
        <v>63</v>
      </c>
      <c r="M68">
        <f t="shared" si="19"/>
        <v>159</v>
      </c>
      <c r="N68">
        <f t="shared" si="20"/>
        <v>10.004415011037526</v>
      </c>
      <c r="P68">
        <f t="shared" si="9"/>
        <v>4.9668874172186239E-3</v>
      </c>
      <c r="Q68">
        <v>63</v>
      </c>
      <c r="R68">
        <f t="shared" si="10"/>
        <v>121</v>
      </c>
      <c r="S68">
        <f t="shared" si="11"/>
        <v>4.0198675496688745</v>
      </c>
    </row>
    <row r="69" spans="1:19" x14ac:dyDescent="0.25">
      <c r="A69">
        <f t="shared" ref="A69:A100" si="21">ABS((D69-B$2)/B$2)</f>
        <v>2.8735632183908657E-3</v>
      </c>
      <c r="B69">
        <v>64</v>
      </c>
      <c r="C69">
        <f t="shared" ref="C69:C100" si="22">B$3+B69</f>
        <v>81</v>
      </c>
      <c r="D69">
        <f t="shared" ref="D69:D100" si="23">(ROUND(10^(C69/96),2))/ROUND(10^(B69/96),2)</f>
        <v>1.5043103448275863</v>
      </c>
      <c r="F69">
        <f t="shared" ref="F69:F100" si="24">ABS((I69-G$2)/G$2)</f>
        <v>2.8735632183908657E-3</v>
      </c>
      <c r="G69">
        <v>64</v>
      </c>
      <c r="H69">
        <f t="shared" ref="H69:H100" si="25">G$3+G69</f>
        <v>81</v>
      </c>
      <c r="I69">
        <f t="shared" ref="I69:I100" si="26">(ROUND(10^(H69/96),2))/ROUND(10^(G69/96),2)</f>
        <v>1.5043103448275863</v>
      </c>
      <c r="K69">
        <f t="shared" ref="K69:K100" si="27">ABS((N69-L$2)/L$2)</f>
        <v>4.310344827587187E-4</v>
      </c>
      <c r="L69">
        <v>64</v>
      </c>
      <c r="M69">
        <f t="shared" ref="M69:M100" si="28">L$3+L69</f>
        <v>160</v>
      </c>
      <c r="N69">
        <f t="shared" ref="N69:N100" si="29">(ROUND(10^(M69/96),2))/ROUND(10^(L69/96),2)</f>
        <v>10.004310344827587</v>
      </c>
      <c r="P69">
        <f t="shared" ref="P69:P101" si="30">ABS((S69-Q$2)/Q$2)</f>
        <v>5.3879310344828735E-3</v>
      </c>
      <c r="Q69">
        <v>64</v>
      </c>
      <c r="R69">
        <f t="shared" ref="R69:R101" si="31">Q$3+Q69</f>
        <v>122</v>
      </c>
      <c r="S69">
        <f t="shared" ref="S69:S101" si="32">(ROUND(10^(R69/96),2))/ROUND(10^(Q69/96),2)</f>
        <v>4.0215517241379315</v>
      </c>
    </row>
    <row r="70" spans="1:19" x14ac:dyDescent="0.25">
      <c r="A70">
        <f t="shared" si="21"/>
        <v>3.5087719298245723E-3</v>
      </c>
      <c r="B70">
        <v>65</v>
      </c>
      <c r="C70">
        <f t="shared" si="22"/>
        <v>82</v>
      </c>
      <c r="D70">
        <f t="shared" si="23"/>
        <v>1.5052631578947369</v>
      </c>
      <c r="F70">
        <f t="shared" si="24"/>
        <v>3.5087719298245723E-3</v>
      </c>
      <c r="G70">
        <v>65</v>
      </c>
      <c r="H70">
        <f t="shared" si="25"/>
        <v>82</v>
      </c>
      <c r="I70">
        <f t="shared" si="26"/>
        <v>1.5052631578947369</v>
      </c>
      <c r="K70">
        <f t="shared" si="27"/>
        <v>8.4210526315793284E-4</v>
      </c>
      <c r="L70">
        <v>65</v>
      </c>
      <c r="M70">
        <f t="shared" si="28"/>
        <v>161</v>
      </c>
      <c r="N70">
        <f t="shared" si="29"/>
        <v>10.008421052631579</v>
      </c>
      <c r="P70">
        <f t="shared" si="30"/>
        <v>5.7894736842105665E-3</v>
      </c>
      <c r="Q70">
        <v>65</v>
      </c>
      <c r="R70">
        <f t="shared" si="31"/>
        <v>123</v>
      </c>
      <c r="S70">
        <f t="shared" si="32"/>
        <v>4.0231578947368423</v>
      </c>
    </row>
    <row r="71" spans="1:19" x14ac:dyDescent="0.25">
      <c r="A71">
        <f t="shared" si="21"/>
        <v>2.0533880903491251E-3</v>
      </c>
      <c r="B71">
        <v>66</v>
      </c>
      <c r="C71">
        <f t="shared" si="22"/>
        <v>83</v>
      </c>
      <c r="D71">
        <f t="shared" si="23"/>
        <v>1.5030800821355237</v>
      </c>
      <c r="F71">
        <f t="shared" si="24"/>
        <v>2.0533880903491251E-3</v>
      </c>
      <c r="G71">
        <v>66</v>
      </c>
      <c r="H71">
        <f t="shared" si="25"/>
        <v>83</v>
      </c>
      <c r="I71">
        <f t="shared" si="26"/>
        <v>1.5030800821355237</v>
      </c>
      <c r="K71">
        <f t="shared" si="27"/>
        <v>0</v>
      </c>
      <c r="L71">
        <v>66</v>
      </c>
      <c r="M71">
        <f t="shared" si="28"/>
        <v>162</v>
      </c>
      <c r="N71">
        <f t="shared" si="29"/>
        <v>10</v>
      </c>
      <c r="P71">
        <f t="shared" si="30"/>
        <v>4.62012320328542E-3</v>
      </c>
      <c r="Q71">
        <v>66</v>
      </c>
      <c r="R71">
        <f t="shared" si="31"/>
        <v>124</v>
      </c>
      <c r="S71">
        <f t="shared" si="32"/>
        <v>4.0184804928131417</v>
      </c>
    </row>
    <row r="72" spans="1:19" x14ac:dyDescent="0.25">
      <c r="A72">
        <f t="shared" si="21"/>
        <v>2.0040080160320293E-3</v>
      </c>
      <c r="B72">
        <v>67</v>
      </c>
      <c r="C72">
        <f t="shared" si="22"/>
        <v>84</v>
      </c>
      <c r="D72">
        <f t="shared" si="23"/>
        <v>1.503006012024048</v>
      </c>
      <c r="F72">
        <f t="shared" si="24"/>
        <v>2.0040080160320293E-3</v>
      </c>
      <c r="G72">
        <v>67</v>
      </c>
      <c r="H72">
        <f t="shared" si="25"/>
        <v>84</v>
      </c>
      <c r="I72">
        <f t="shared" si="26"/>
        <v>1.503006012024048</v>
      </c>
      <c r="K72">
        <f t="shared" si="27"/>
        <v>4.0080160320634663E-4</v>
      </c>
      <c r="L72">
        <v>67</v>
      </c>
      <c r="M72">
        <f t="shared" si="28"/>
        <v>163</v>
      </c>
      <c r="N72">
        <f t="shared" si="29"/>
        <v>9.9959919839679365</v>
      </c>
      <c r="P72">
        <f t="shared" si="30"/>
        <v>4.5090180360720655E-3</v>
      </c>
      <c r="Q72">
        <v>67</v>
      </c>
      <c r="R72">
        <f t="shared" si="31"/>
        <v>125</v>
      </c>
      <c r="S72">
        <f t="shared" si="32"/>
        <v>4.0180360721442883</v>
      </c>
    </row>
    <row r="73" spans="1:19" x14ac:dyDescent="0.25">
      <c r="A73">
        <f t="shared" si="21"/>
        <v>1.9569471624265589E-3</v>
      </c>
      <c r="B73">
        <v>68</v>
      </c>
      <c r="C73">
        <f t="shared" si="22"/>
        <v>85</v>
      </c>
      <c r="D73">
        <f t="shared" si="23"/>
        <v>1.5029354207436398</v>
      </c>
      <c r="F73">
        <f t="shared" si="24"/>
        <v>1.9569471624265589E-3</v>
      </c>
      <c r="G73">
        <v>68</v>
      </c>
      <c r="H73">
        <f t="shared" si="25"/>
        <v>85</v>
      </c>
      <c r="I73">
        <f t="shared" si="26"/>
        <v>1.5029354207436398</v>
      </c>
      <c r="K73">
        <f t="shared" si="27"/>
        <v>1.956947162426559E-4</v>
      </c>
      <c r="L73">
        <v>68</v>
      </c>
      <c r="M73">
        <f t="shared" si="28"/>
        <v>164</v>
      </c>
      <c r="N73">
        <f t="shared" si="29"/>
        <v>9.9980430528375734</v>
      </c>
      <c r="P73">
        <f t="shared" si="30"/>
        <v>4.8923679060663972E-3</v>
      </c>
      <c r="Q73">
        <v>68</v>
      </c>
      <c r="R73">
        <f t="shared" si="31"/>
        <v>126</v>
      </c>
      <c r="S73">
        <f t="shared" si="32"/>
        <v>4.0195694716242656</v>
      </c>
    </row>
    <row r="74" spans="1:19" x14ac:dyDescent="0.25">
      <c r="A74">
        <f t="shared" si="21"/>
        <v>3.1867431485022024E-3</v>
      </c>
      <c r="B74">
        <v>69</v>
      </c>
      <c r="C74">
        <f t="shared" si="22"/>
        <v>86</v>
      </c>
      <c r="D74">
        <f t="shared" si="23"/>
        <v>1.5047801147227533</v>
      </c>
      <c r="F74">
        <f t="shared" si="24"/>
        <v>3.1867431485022024E-3</v>
      </c>
      <c r="G74">
        <v>69</v>
      </c>
      <c r="H74">
        <f t="shared" si="25"/>
        <v>86</v>
      </c>
      <c r="I74">
        <f t="shared" si="26"/>
        <v>1.5047801147227533</v>
      </c>
      <c r="K74">
        <f t="shared" si="27"/>
        <v>5.7361376673021876E-4</v>
      </c>
      <c r="L74">
        <v>69</v>
      </c>
      <c r="M74">
        <f t="shared" si="28"/>
        <v>165</v>
      </c>
      <c r="N74">
        <f t="shared" si="29"/>
        <v>10.005736137667302</v>
      </c>
      <c r="P74">
        <f t="shared" si="30"/>
        <v>5.258126195028634E-3</v>
      </c>
      <c r="Q74">
        <v>69</v>
      </c>
      <c r="R74">
        <f t="shared" si="31"/>
        <v>127</v>
      </c>
      <c r="S74">
        <f t="shared" si="32"/>
        <v>4.0210325047801145</v>
      </c>
    </row>
    <row r="75" spans="1:19" x14ac:dyDescent="0.25">
      <c r="A75">
        <f t="shared" si="21"/>
        <v>2.4875621890547706E-3</v>
      </c>
      <c r="B75">
        <v>70</v>
      </c>
      <c r="C75">
        <f t="shared" si="22"/>
        <v>87</v>
      </c>
      <c r="D75">
        <f t="shared" si="23"/>
        <v>1.5037313432835822</v>
      </c>
      <c r="F75">
        <f t="shared" si="24"/>
        <v>2.4875621890547706E-3</v>
      </c>
      <c r="G75">
        <v>70</v>
      </c>
      <c r="H75">
        <f t="shared" si="25"/>
        <v>87</v>
      </c>
      <c r="I75">
        <f t="shared" si="26"/>
        <v>1.5037313432835822</v>
      </c>
      <c r="K75">
        <f t="shared" si="27"/>
        <v>0</v>
      </c>
      <c r="L75">
        <v>70</v>
      </c>
      <c r="M75">
        <f t="shared" si="28"/>
        <v>166</v>
      </c>
      <c r="N75">
        <f t="shared" si="29"/>
        <v>10</v>
      </c>
      <c r="P75">
        <f t="shared" si="30"/>
        <v>4.6641791044774727E-3</v>
      </c>
      <c r="Q75">
        <v>70</v>
      </c>
      <c r="R75">
        <f t="shared" si="31"/>
        <v>128</v>
      </c>
      <c r="S75">
        <f t="shared" si="32"/>
        <v>4.0186567164179099</v>
      </c>
    </row>
    <row r="76" spans="1:19" x14ac:dyDescent="0.25">
      <c r="A76">
        <f t="shared" si="21"/>
        <v>1.8214936247722413E-3</v>
      </c>
      <c r="B76">
        <v>71</v>
      </c>
      <c r="C76">
        <f t="shared" si="22"/>
        <v>88</v>
      </c>
      <c r="D76">
        <f t="shared" si="23"/>
        <v>1.5027322404371584</v>
      </c>
      <c r="F76">
        <f t="shared" si="24"/>
        <v>1.8214936247722413E-3</v>
      </c>
      <c r="G76">
        <v>71</v>
      </c>
      <c r="H76">
        <f t="shared" si="25"/>
        <v>88</v>
      </c>
      <c r="I76">
        <f t="shared" si="26"/>
        <v>1.5027322404371584</v>
      </c>
      <c r="K76">
        <f t="shared" si="27"/>
        <v>0</v>
      </c>
      <c r="L76">
        <v>71</v>
      </c>
      <c r="M76">
        <f t="shared" si="28"/>
        <v>167</v>
      </c>
      <c r="N76">
        <f t="shared" si="29"/>
        <v>10</v>
      </c>
      <c r="P76">
        <f t="shared" si="30"/>
        <v>5.0091074681237746E-3</v>
      </c>
      <c r="Q76">
        <v>71</v>
      </c>
      <c r="R76">
        <f t="shared" si="31"/>
        <v>129</v>
      </c>
      <c r="S76">
        <f t="shared" si="32"/>
        <v>4.0200364298724951</v>
      </c>
    </row>
    <row r="77" spans="1:19" x14ac:dyDescent="0.25">
      <c r="A77">
        <f t="shared" si="21"/>
        <v>2.3724792408065611E-3</v>
      </c>
      <c r="B77">
        <v>72</v>
      </c>
      <c r="C77">
        <f t="shared" si="22"/>
        <v>89</v>
      </c>
      <c r="D77">
        <f t="shared" si="23"/>
        <v>1.5035587188612098</v>
      </c>
      <c r="F77">
        <f t="shared" si="24"/>
        <v>2.3724792408065611E-3</v>
      </c>
      <c r="G77">
        <v>72</v>
      </c>
      <c r="H77">
        <f t="shared" si="25"/>
        <v>89</v>
      </c>
      <c r="I77">
        <f t="shared" si="26"/>
        <v>1.5035587188612098</v>
      </c>
      <c r="K77">
        <f t="shared" si="27"/>
        <v>5.3380782918139853E-4</v>
      </c>
      <c r="L77">
        <v>72</v>
      </c>
      <c r="M77">
        <f t="shared" si="28"/>
        <v>168</v>
      </c>
      <c r="N77">
        <f t="shared" si="29"/>
        <v>10.005338078291814</v>
      </c>
      <c r="P77">
        <f t="shared" si="30"/>
        <v>5.338078291815096E-3</v>
      </c>
      <c r="Q77">
        <v>72</v>
      </c>
      <c r="R77">
        <f t="shared" si="31"/>
        <v>130</v>
      </c>
      <c r="S77">
        <f t="shared" si="32"/>
        <v>4.0213523131672604</v>
      </c>
    </row>
    <row r="78" spans="1:19" x14ac:dyDescent="0.25">
      <c r="A78">
        <f t="shared" si="21"/>
        <v>2.3148148148148806E-3</v>
      </c>
      <c r="B78">
        <v>73</v>
      </c>
      <c r="C78">
        <f t="shared" si="22"/>
        <v>90</v>
      </c>
      <c r="D78">
        <f t="shared" si="23"/>
        <v>1.5034722222222223</v>
      </c>
      <c r="F78">
        <f t="shared" si="24"/>
        <v>2.3148148148148806E-3</v>
      </c>
      <c r="G78">
        <v>73</v>
      </c>
      <c r="H78">
        <f t="shared" si="25"/>
        <v>90</v>
      </c>
      <c r="I78">
        <f t="shared" si="26"/>
        <v>1.5034722222222223</v>
      </c>
      <c r="K78">
        <f t="shared" si="27"/>
        <v>0</v>
      </c>
      <c r="L78">
        <v>73</v>
      </c>
      <c r="M78">
        <f t="shared" si="28"/>
        <v>169</v>
      </c>
      <c r="N78">
        <f t="shared" si="29"/>
        <v>10</v>
      </c>
      <c r="P78">
        <f t="shared" si="30"/>
        <v>4.7743055555555802E-3</v>
      </c>
      <c r="Q78">
        <v>73</v>
      </c>
      <c r="R78">
        <f t="shared" si="31"/>
        <v>131</v>
      </c>
      <c r="S78">
        <f t="shared" si="32"/>
        <v>4.0190972222222223</v>
      </c>
    </row>
    <row r="79" spans="1:19" x14ac:dyDescent="0.25">
      <c r="A79">
        <f t="shared" si="21"/>
        <v>2.2598870056495337E-3</v>
      </c>
      <c r="B79">
        <v>74</v>
      </c>
      <c r="C79">
        <f t="shared" si="22"/>
        <v>91</v>
      </c>
      <c r="D79">
        <f t="shared" si="23"/>
        <v>1.5033898305084743</v>
      </c>
      <c r="F79">
        <f t="shared" si="24"/>
        <v>2.2598870056495337E-3</v>
      </c>
      <c r="G79">
        <v>74</v>
      </c>
      <c r="H79">
        <f t="shared" si="25"/>
        <v>91</v>
      </c>
      <c r="I79">
        <f t="shared" si="26"/>
        <v>1.5033898305084743</v>
      </c>
      <c r="K79">
        <f t="shared" si="27"/>
        <v>0</v>
      </c>
      <c r="L79">
        <v>74</v>
      </c>
      <c r="M79">
        <f t="shared" si="28"/>
        <v>170</v>
      </c>
      <c r="N79">
        <f t="shared" si="29"/>
        <v>10</v>
      </c>
      <c r="P79">
        <f t="shared" si="30"/>
        <v>4.6610169491525522E-3</v>
      </c>
      <c r="Q79">
        <v>74</v>
      </c>
      <c r="R79">
        <f t="shared" si="31"/>
        <v>132</v>
      </c>
      <c r="S79">
        <f t="shared" si="32"/>
        <v>4.0186440677966102</v>
      </c>
    </row>
    <row r="80" spans="1:19" x14ac:dyDescent="0.25">
      <c r="A80">
        <f t="shared" si="21"/>
        <v>3.3112582781456013E-3</v>
      </c>
      <c r="B80">
        <v>75</v>
      </c>
      <c r="C80">
        <f t="shared" si="22"/>
        <v>92</v>
      </c>
      <c r="D80">
        <f t="shared" si="23"/>
        <v>1.5049668874172184</v>
      </c>
      <c r="F80">
        <f t="shared" si="24"/>
        <v>3.3112582781456013E-3</v>
      </c>
      <c r="G80">
        <v>75</v>
      </c>
      <c r="H80">
        <f t="shared" si="25"/>
        <v>92</v>
      </c>
      <c r="I80">
        <f t="shared" si="26"/>
        <v>1.5049668874172184</v>
      </c>
      <c r="K80">
        <f t="shared" si="27"/>
        <v>4.9668874172184021E-4</v>
      </c>
      <c r="L80">
        <v>75</v>
      </c>
      <c r="M80">
        <f t="shared" si="28"/>
        <v>171</v>
      </c>
      <c r="N80">
        <f t="shared" si="29"/>
        <v>10.004966887417218</v>
      </c>
      <c r="P80">
        <f t="shared" si="30"/>
        <v>5.3807947019868241E-3</v>
      </c>
      <c r="Q80">
        <v>75</v>
      </c>
      <c r="R80">
        <f t="shared" si="31"/>
        <v>133</v>
      </c>
      <c r="S80">
        <f t="shared" si="32"/>
        <v>4.0215231788079473</v>
      </c>
    </row>
    <row r="81" spans="1:19" x14ac:dyDescent="0.25">
      <c r="A81">
        <f t="shared" si="21"/>
        <v>2.6925148088314068E-3</v>
      </c>
      <c r="B81">
        <v>76</v>
      </c>
      <c r="C81">
        <f t="shared" si="22"/>
        <v>93</v>
      </c>
      <c r="D81">
        <f t="shared" si="23"/>
        <v>1.5040387722132471</v>
      </c>
      <c r="F81">
        <f t="shared" si="24"/>
        <v>2.6925148088314068E-3</v>
      </c>
      <c r="G81">
        <v>76</v>
      </c>
      <c r="H81">
        <f t="shared" si="25"/>
        <v>93</v>
      </c>
      <c r="I81">
        <f t="shared" si="26"/>
        <v>1.5040387722132471</v>
      </c>
      <c r="K81">
        <f t="shared" si="27"/>
        <v>0</v>
      </c>
      <c r="L81">
        <v>76</v>
      </c>
      <c r="M81">
        <f t="shared" si="28"/>
        <v>172</v>
      </c>
      <c r="N81">
        <f t="shared" si="29"/>
        <v>10</v>
      </c>
      <c r="P81">
        <f t="shared" si="30"/>
        <v>4.8465266558965769E-3</v>
      </c>
      <c r="Q81">
        <v>76</v>
      </c>
      <c r="R81">
        <f t="shared" si="31"/>
        <v>134</v>
      </c>
      <c r="S81">
        <f t="shared" si="32"/>
        <v>4.0193861066235863</v>
      </c>
    </row>
    <row r="82" spans="1:19" x14ac:dyDescent="0.25">
      <c r="A82">
        <f t="shared" si="21"/>
        <v>2.103049421661396E-3</v>
      </c>
      <c r="B82">
        <v>77</v>
      </c>
      <c r="C82">
        <f t="shared" si="22"/>
        <v>94</v>
      </c>
      <c r="D82">
        <f t="shared" si="23"/>
        <v>1.5031545741324921</v>
      </c>
      <c r="F82">
        <f t="shared" si="24"/>
        <v>2.103049421661396E-3</v>
      </c>
      <c r="G82">
        <v>77</v>
      </c>
      <c r="H82">
        <f t="shared" si="25"/>
        <v>94</v>
      </c>
      <c r="I82">
        <f t="shared" si="26"/>
        <v>1.5031545741324921</v>
      </c>
      <c r="K82">
        <f t="shared" si="27"/>
        <v>0</v>
      </c>
      <c r="L82">
        <v>77</v>
      </c>
      <c r="M82">
        <f t="shared" si="28"/>
        <v>173</v>
      </c>
      <c r="N82">
        <f t="shared" si="29"/>
        <v>10</v>
      </c>
      <c r="P82">
        <f t="shared" si="30"/>
        <v>4.7318611987381409E-3</v>
      </c>
      <c r="Q82">
        <v>77</v>
      </c>
      <c r="R82">
        <f t="shared" si="31"/>
        <v>135</v>
      </c>
      <c r="S82">
        <f t="shared" si="32"/>
        <v>4.0189274447949526</v>
      </c>
    </row>
    <row r="83" spans="1:19" x14ac:dyDescent="0.25">
      <c r="A83">
        <f t="shared" si="21"/>
        <v>2.5680534155109549E-3</v>
      </c>
      <c r="B83">
        <v>78</v>
      </c>
      <c r="C83">
        <f t="shared" si="22"/>
        <v>95</v>
      </c>
      <c r="D83">
        <f t="shared" si="23"/>
        <v>1.5038520801232664</v>
      </c>
      <c r="F83">
        <f t="shared" si="24"/>
        <v>2.5680534155109549E-3</v>
      </c>
      <c r="G83">
        <v>78</v>
      </c>
      <c r="H83">
        <f t="shared" si="25"/>
        <v>95</v>
      </c>
      <c r="I83">
        <f t="shared" si="26"/>
        <v>1.5038520801232664</v>
      </c>
      <c r="K83">
        <f t="shared" si="27"/>
        <v>6.1633281972266478E-4</v>
      </c>
      <c r="L83">
        <v>78</v>
      </c>
      <c r="M83">
        <f t="shared" si="28"/>
        <v>174</v>
      </c>
      <c r="N83">
        <f t="shared" si="29"/>
        <v>10.006163328197227</v>
      </c>
      <c r="P83">
        <f t="shared" si="30"/>
        <v>5.3929121725733165E-3</v>
      </c>
      <c r="Q83">
        <v>78</v>
      </c>
      <c r="R83">
        <f t="shared" si="31"/>
        <v>136</v>
      </c>
      <c r="S83">
        <f t="shared" si="32"/>
        <v>4.0215716486902933</v>
      </c>
    </row>
    <row r="84" spans="1:19" x14ac:dyDescent="0.25">
      <c r="A84">
        <f t="shared" si="21"/>
        <v>2.5062656641603454E-3</v>
      </c>
      <c r="B84">
        <v>79</v>
      </c>
      <c r="C84">
        <f t="shared" si="22"/>
        <v>96</v>
      </c>
      <c r="D84">
        <f t="shared" si="23"/>
        <v>1.5037593984962405</v>
      </c>
      <c r="F84">
        <f t="shared" si="24"/>
        <v>2.5062656641603454E-3</v>
      </c>
      <c r="G84">
        <v>79</v>
      </c>
      <c r="H84">
        <f t="shared" si="25"/>
        <v>96</v>
      </c>
      <c r="I84">
        <f t="shared" si="26"/>
        <v>1.5037593984962405</v>
      </c>
      <c r="K84">
        <f t="shared" si="27"/>
        <v>1.5037593984956743E-4</v>
      </c>
      <c r="L84">
        <v>79</v>
      </c>
      <c r="M84">
        <f t="shared" si="28"/>
        <v>175</v>
      </c>
      <c r="N84">
        <f t="shared" si="29"/>
        <v>10.001503759398496</v>
      </c>
      <c r="P84">
        <f t="shared" si="30"/>
        <v>5.2631578947366364E-3</v>
      </c>
      <c r="Q84">
        <v>79</v>
      </c>
      <c r="R84">
        <f t="shared" si="31"/>
        <v>137</v>
      </c>
      <c r="S84">
        <f t="shared" si="32"/>
        <v>4.0210526315789465</v>
      </c>
    </row>
    <row r="85" spans="1:19" x14ac:dyDescent="0.25">
      <c r="A85">
        <f t="shared" si="21"/>
        <v>2.4473813020069457E-3</v>
      </c>
      <c r="B85">
        <v>80</v>
      </c>
      <c r="C85">
        <f t="shared" si="22"/>
        <v>97</v>
      </c>
      <c r="D85">
        <f t="shared" si="23"/>
        <v>1.5036710719530104</v>
      </c>
      <c r="F85">
        <f t="shared" si="24"/>
        <v>2.4473813020069457E-3</v>
      </c>
      <c r="G85">
        <v>80</v>
      </c>
      <c r="H85">
        <f t="shared" si="25"/>
        <v>97</v>
      </c>
      <c r="I85">
        <f t="shared" si="26"/>
        <v>1.5036710719530104</v>
      </c>
      <c r="K85">
        <f t="shared" si="27"/>
        <v>4.4052863436121469E-4</v>
      </c>
      <c r="L85">
        <v>80</v>
      </c>
      <c r="M85">
        <f t="shared" si="28"/>
        <v>176</v>
      </c>
      <c r="N85">
        <f t="shared" si="29"/>
        <v>10.004405286343612</v>
      </c>
      <c r="P85">
        <f t="shared" si="30"/>
        <v>5.1395007342143195E-3</v>
      </c>
      <c r="Q85">
        <v>80</v>
      </c>
      <c r="R85">
        <f t="shared" si="31"/>
        <v>138</v>
      </c>
      <c r="S85">
        <f t="shared" si="32"/>
        <v>4.0205580029368573</v>
      </c>
    </row>
    <row r="86" spans="1:19" x14ac:dyDescent="0.25">
      <c r="A86">
        <f t="shared" si="21"/>
        <v>1.9102196752626515E-3</v>
      </c>
      <c r="B86">
        <v>81</v>
      </c>
      <c r="C86">
        <f t="shared" si="22"/>
        <v>98</v>
      </c>
      <c r="D86">
        <f t="shared" si="23"/>
        <v>1.502865329512894</v>
      </c>
      <c r="F86">
        <f t="shared" si="24"/>
        <v>1.9102196752626515E-3</v>
      </c>
      <c r="G86">
        <v>81</v>
      </c>
      <c r="H86">
        <f t="shared" si="25"/>
        <v>98</v>
      </c>
      <c r="I86">
        <f t="shared" si="26"/>
        <v>1.502865329512894</v>
      </c>
      <c r="K86">
        <f t="shared" si="27"/>
        <v>2.8653295128950874E-4</v>
      </c>
      <c r="L86">
        <v>81</v>
      </c>
      <c r="M86">
        <f t="shared" si="28"/>
        <v>177</v>
      </c>
      <c r="N86">
        <f t="shared" si="29"/>
        <v>9.9971346704871049</v>
      </c>
      <c r="P86">
        <f t="shared" si="30"/>
        <v>4.6561604584527405E-3</v>
      </c>
      <c r="Q86">
        <v>81</v>
      </c>
      <c r="R86">
        <f t="shared" si="31"/>
        <v>139</v>
      </c>
      <c r="S86">
        <f t="shared" si="32"/>
        <v>4.018624641833811</v>
      </c>
    </row>
    <row r="87" spans="1:19" x14ac:dyDescent="0.25">
      <c r="A87">
        <f t="shared" si="21"/>
        <v>2.3310023310022152E-3</v>
      </c>
      <c r="B87">
        <v>82</v>
      </c>
      <c r="C87">
        <f t="shared" si="22"/>
        <v>99</v>
      </c>
      <c r="D87">
        <f t="shared" si="23"/>
        <v>1.5034965034965033</v>
      </c>
      <c r="F87">
        <f t="shared" si="24"/>
        <v>2.3310023310022152E-3</v>
      </c>
      <c r="G87">
        <v>82</v>
      </c>
      <c r="H87">
        <f t="shared" si="25"/>
        <v>99</v>
      </c>
      <c r="I87">
        <f t="shared" si="26"/>
        <v>1.5034965034965033</v>
      </c>
      <c r="K87">
        <f t="shared" si="27"/>
        <v>2.7972027972023028E-4</v>
      </c>
      <c r="L87">
        <v>82</v>
      </c>
      <c r="M87">
        <f t="shared" si="28"/>
        <v>178</v>
      </c>
      <c r="N87">
        <f t="shared" si="29"/>
        <v>9.9972027972027977</v>
      </c>
      <c r="P87">
        <f t="shared" si="30"/>
        <v>4.5454545454544082E-3</v>
      </c>
      <c r="Q87">
        <v>82</v>
      </c>
      <c r="R87">
        <f t="shared" si="31"/>
        <v>140</v>
      </c>
      <c r="S87">
        <f t="shared" si="32"/>
        <v>4.0181818181818176</v>
      </c>
    </row>
    <row r="88" spans="1:19" x14ac:dyDescent="0.25">
      <c r="A88">
        <f t="shared" si="21"/>
        <v>2.7322404371584361E-3</v>
      </c>
      <c r="B88">
        <v>83</v>
      </c>
      <c r="C88">
        <f t="shared" si="22"/>
        <v>100</v>
      </c>
      <c r="D88">
        <f t="shared" si="23"/>
        <v>1.5040983606557377</v>
      </c>
      <c r="F88">
        <f t="shared" si="24"/>
        <v>2.7322404371584361E-3</v>
      </c>
      <c r="G88">
        <v>83</v>
      </c>
      <c r="H88">
        <f t="shared" si="25"/>
        <v>100</v>
      </c>
      <c r="I88">
        <f t="shared" si="26"/>
        <v>1.5040983606557377</v>
      </c>
      <c r="K88">
        <f t="shared" si="27"/>
        <v>1.3661202185772937E-4</v>
      </c>
      <c r="L88">
        <v>83</v>
      </c>
      <c r="M88">
        <f t="shared" si="28"/>
        <v>179</v>
      </c>
      <c r="N88">
        <f t="shared" si="29"/>
        <v>10.001366120218577</v>
      </c>
      <c r="P88">
        <f t="shared" si="30"/>
        <v>5.1229508196721785E-3</v>
      </c>
      <c r="Q88">
        <v>83</v>
      </c>
      <c r="R88">
        <f t="shared" si="31"/>
        <v>141</v>
      </c>
      <c r="S88">
        <f t="shared" si="32"/>
        <v>4.0204918032786887</v>
      </c>
    </row>
    <row r="89" spans="1:19" x14ac:dyDescent="0.25">
      <c r="A89">
        <f t="shared" si="21"/>
        <v>1.7777777777777299E-3</v>
      </c>
      <c r="B89">
        <v>84</v>
      </c>
      <c r="C89">
        <f t="shared" si="22"/>
        <v>101</v>
      </c>
      <c r="D89">
        <f t="shared" si="23"/>
        <v>1.5026666666666666</v>
      </c>
      <c r="F89">
        <f t="shared" si="24"/>
        <v>1.7777777777777299E-3</v>
      </c>
      <c r="G89">
        <v>84</v>
      </c>
      <c r="H89">
        <f t="shared" si="25"/>
        <v>101</v>
      </c>
      <c r="I89">
        <f t="shared" si="26"/>
        <v>1.5026666666666666</v>
      </c>
      <c r="K89">
        <f t="shared" si="27"/>
        <v>1.3333333333331865E-4</v>
      </c>
      <c r="L89">
        <v>84</v>
      </c>
      <c r="M89">
        <f t="shared" si="28"/>
        <v>180</v>
      </c>
      <c r="N89">
        <f t="shared" si="29"/>
        <v>9.9986666666666668</v>
      </c>
      <c r="P89">
        <f t="shared" si="30"/>
        <v>4.6666666666665968E-3</v>
      </c>
      <c r="Q89">
        <v>84</v>
      </c>
      <c r="R89">
        <f t="shared" si="31"/>
        <v>142</v>
      </c>
      <c r="S89">
        <f t="shared" si="32"/>
        <v>4.0186666666666664</v>
      </c>
    </row>
    <row r="90" spans="1:19" x14ac:dyDescent="0.25">
      <c r="A90">
        <f t="shared" si="21"/>
        <v>2.6041666666668148E-3</v>
      </c>
      <c r="B90">
        <v>85</v>
      </c>
      <c r="C90">
        <f t="shared" si="22"/>
        <v>102</v>
      </c>
      <c r="D90">
        <f t="shared" si="23"/>
        <v>1.5039062500000002</v>
      </c>
      <c r="F90">
        <f t="shared" si="24"/>
        <v>2.6041666666668148E-3</v>
      </c>
      <c r="G90">
        <v>85</v>
      </c>
      <c r="H90">
        <f t="shared" si="25"/>
        <v>102</v>
      </c>
      <c r="I90">
        <f t="shared" si="26"/>
        <v>1.5039062500000002</v>
      </c>
      <c r="K90">
        <f t="shared" si="27"/>
        <v>1.3020833333339256E-4</v>
      </c>
      <c r="L90">
        <v>85</v>
      </c>
      <c r="M90">
        <f t="shared" si="28"/>
        <v>181</v>
      </c>
      <c r="N90">
        <f t="shared" si="29"/>
        <v>10.001302083333334</v>
      </c>
      <c r="P90">
        <f t="shared" si="30"/>
        <v>4.8828125E-3</v>
      </c>
      <c r="Q90">
        <v>85</v>
      </c>
      <c r="R90">
        <f t="shared" si="31"/>
        <v>143</v>
      </c>
      <c r="S90">
        <f t="shared" si="32"/>
        <v>4.01953125</v>
      </c>
    </row>
    <row r="91" spans="1:19" x14ac:dyDescent="0.25">
      <c r="A91">
        <f t="shared" si="21"/>
        <v>2.1177467174925781E-3</v>
      </c>
      <c r="B91">
        <v>86</v>
      </c>
      <c r="C91">
        <f t="shared" si="22"/>
        <v>103</v>
      </c>
      <c r="D91">
        <f t="shared" si="23"/>
        <v>1.5031766200762389</v>
      </c>
      <c r="F91">
        <f t="shared" si="24"/>
        <v>2.1177467174925781E-3</v>
      </c>
      <c r="G91">
        <v>86</v>
      </c>
      <c r="H91">
        <f t="shared" si="25"/>
        <v>103</v>
      </c>
      <c r="I91">
        <f t="shared" si="26"/>
        <v>1.5031766200762389</v>
      </c>
      <c r="K91">
        <f t="shared" si="27"/>
        <v>3.8119440914865523E-4</v>
      </c>
      <c r="L91">
        <v>86</v>
      </c>
      <c r="M91">
        <f t="shared" si="28"/>
        <v>182</v>
      </c>
      <c r="N91">
        <f t="shared" si="29"/>
        <v>9.9961880559085134</v>
      </c>
      <c r="P91">
        <f t="shared" si="30"/>
        <v>4.4472681067344588E-3</v>
      </c>
      <c r="Q91">
        <v>86</v>
      </c>
      <c r="R91">
        <f t="shared" si="31"/>
        <v>144</v>
      </c>
      <c r="S91">
        <f t="shared" si="32"/>
        <v>4.0177890724269378</v>
      </c>
    </row>
    <row r="92" spans="1:19" x14ac:dyDescent="0.25">
      <c r="A92">
        <f t="shared" si="21"/>
        <v>2.4813895781636099E-3</v>
      </c>
      <c r="B92">
        <v>87</v>
      </c>
      <c r="C92">
        <f t="shared" si="22"/>
        <v>104</v>
      </c>
      <c r="D92">
        <f t="shared" si="23"/>
        <v>1.5037220843672454</v>
      </c>
      <c r="F92">
        <f t="shared" si="24"/>
        <v>2.4813895781636099E-3</v>
      </c>
      <c r="G92">
        <v>87</v>
      </c>
      <c r="H92">
        <f t="shared" si="25"/>
        <v>104</v>
      </c>
      <c r="I92">
        <f t="shared" si="26"/>
        <v>1.5037220843672454</v>
      </c>
      <c r="K92">
        <f t="shared" si="27"/>
        <v>2.4813895781647941E-4</v>
      </c>
      <c r="L92">
        <v>87</v>
      </c>
      <c r="M92">
        <f t="shared" si="28"/>
        <v>183</v>
      </c>
      <c r="N92">
        <f t="shared" si="29"/>
        <v>9.9975186104218352</v>
      </c>
      <c r="P92">
        <f t="shared" si="30"/>
        <v>4.652605459056991E-3</v>
      </c>
      <c r="Q92">
        <v>87</v>
      </c>
      <c r="R92">
        <f t="shared" si="31"/>
        <v>145</v>
      </c>
      <c r="S92">
        <f t="shared" si="32"/>
        <v>4.018610421836228</v>
      </c>
    </row>
    <row r="93" spans="1:19" x14ac:dyDescent="0.25">
      <c r="A93">
        <f t="shared" si="21"/>
        <v>2.8282828282827723E-3</v>
      </c>
      <c r="B93">
        <v>88</v>
      </c>
      <c r="C93">
        <f t="shared" si="22"/>
        <v>105</v>
      </c>
      <c r="D93">
        <f t="shared" si="23"/>
        <v>1.5042424242424242</v>
      </c>
      <c r="F93">
        <f t="shared" si="24"/>
        <v>2.8282828282827723E-3</v>
      </c>
      <c r="G93">
        <v>88</v>
      </c>
      <c r="H93">
        <f t="shared" si="25"/>
        <v>105</v>
      </c>
      <c r="I93">
        <f t="shared" si="26"/>
        <v>1.5042424242424242</v>
      </c>
      <c r="K93">
        <f t="shared" si="27"/>
        <v>4.8484848484857678E-4</v>
      </c>
      <c r="L93">
        <v>88</v>
      </c>
      <c r="M93">
        <f t="shared" si="28"/>
        <v>184</v>
      </c>
      <c r="N93">
        <f t="shared" si="29"/>
        <v>10.004848484848486</v>
      </c>
      <c r="P93">
        <f t="shared" si="30"/>
        <v>5.4545454545453786E-3</v>
      </c>
      <c r="Q93">
        <v>88</v>
      </c>
      <c r="R93">
        <f t="shared" si="31"/>
        <v>146</v>
      </c>
      <c r="S93">
        <f t="shared" si="32"/>
        <v>4.0218181818181815</v>
      </c>
    </row>
    <row r="94" spans="1:19" x14ac:dyDescent="0.25">
      <c r="A94">
        <f t="shared" si="21"/>
        <v>2.7613412228798908E-3</v>
      </c>
      <c r="B94">
        <v>89</v>
      </c>
      <c r="C94">
        <f t="shared" si="22"/>
        <v>106</v>
      </c>
      <c r="D94">
        <f t="shared" si="23"/>
        <v>1.5041420118343198</v>
      </c>
      <c r="F94">
        <f t="shared" si="24"/>
        <v>2.7613412228798908E-3</v>
      </c>
      <c r="G94">
        <v>89</v>
      </c>
      <c r="H94">
        <f t="shared" si="25"/>
        <v>106</v>
      </c>
      <c r="I94">
        <f t="shared" si="26"/>
        <v>1.5041420118343198</v>
      </c>
      <c r="K94">
        <f t="shared" si="27"/>
        <v>4.7337278106525106E-4</v>
      </c>
      <c r="L94">
        <v>89</v>
      </c>
      <c r="M94">
        <f t="shared" si="28"/>
        <v>185</v>
      </c>
      <c r="N94">
        <f t="shared" si="29"/>
        <v>10.004733727810653</v>
      </c>
      <c r="P94">
        <f t="shared" si="30"/>
        <v>5.3254437869822979E-3</v>
      </c>
      <c r="Q94">
        <v>89</v>
      </c>
      <c r="R94">
        <f t="shared" si="31"/>
        <v>147</v>
      </c>
      <c r="S94">
        <f t="shared" si="32"/>
        <v>4.0213017751479292</v>
      </c>
    </row>
    <row r="95" spans="1:19" x14ac:dyDescent="0.25">
      <c r="A95">
        <f t="shared" si="21"/>
        <v>2.309468822170905E-3</v>
      </c>
      <c r="B95">
        <v>90</v>
      </c>
      <c r="C95">
        <f t="shared" si="22"/>
        <v>107</v>
      </c>
      <c r="D95">
        <f t="shared" si="23"/>
        <v>1.5034642032332564</v>
      </c>
      <c r="F95">
        <f t="shared" si="24"/>
        <v>2.309468822170905E-3</v>
      </c>
      <c r="G95">
        <v>90</v>
      </c>
      <c r="H95">
        <f t="shared" si="25"/>
        <v>107</v>
      </c>
      <c r="I95">
        <f t="shared" si="26"/>
        <v>1.5034642032332564</v>
      </c>
      <c r="K95">
        <f t="shared" si="27"/>
        <v>0</v>
      </c>
      <c r="L95">
        <v>90</v>
      </c>
      <c r="M95">
        <f t="shared" si="28"/>
        <v>186</v>
      </c>
      <c r="N95">
        <f t="shared" si="29"/>
        <v>10</v>
      </c>
      <c r="P95">
        <f t="shared" si="30"/>
        <v>4.9076212471133029E-3</v>
      </c>
      <c r="Q95">
        <v>90</v>
      </c>
      <c r="R95">
        <f t="shared" si="31"/>
        <v>148</v>
      </c>
      <c r="S95">
        <f t="shared" si="32"/>
        <v>4.0196304849884532</v>
      </c>
    </row>
    <row r="96" spans="1:19" x14ac:dyDescent="0.25">
      <c r="A96">
        <f t="shared" si="21"/>
        <v>2.6305900037580563E-3</v>
      </c>
      <c r="B96">
        <v>91</v>
      </c>
      <c r="C96">
        <f t="shared" si="22"/>
        <v>108</v>
      </c>
      <c r="D96">
        <f t="shared" si="23"/>
        <v>1.5039458850056371</v>
      </c>
      <c r="F96">
        <f t="shared" si="24"/>
        <v>2.6305900037580563E-3</v>
      </c>
      <c r="G96">
        <v>91</v>
      </c>
      <c r="H96">
        <f t="shared" si="25"/>
        <v>108</v>
      </c>
      <c r="I96">
        <f t="shared" si="26"/>
        <v>1.5039458850056371</v>
      </c>
      <c r="K96">
        <f t="shared" si="27"/>
        <v>1.7763568394002506E-16</v>
      </c>
      <c r="L96">
        <v>91</v>
      </c>
      <c r="M96">
        <f t="shared" si="28"/>
        <v>187</v>
      </c>
      <c r="N96">
        <f t="shared" si="29"/>
        <v>10.000000000000002</v>
      </c>
      <c r="P96">
        <f t="shared" si="30"/>
        <v>4.7914317925592531E-3</v>
      </c>
      <c r="Q96">
        <v>91</v>
      </c>
      <c r="R96">
        <f t="shared" si="31"/>
        <v>149</v>
      </c>
      <c r="S96">
        <f t="shared" si="32"/>
        <v>4.019165727170237</v>
      </c>
    </row>
    <row r="97" spans="1:19" x14ac:dyDescent="0.25">
      <c r="A97">
        <f t="shared" si="21"/>
        <v>1.833516685001868E-3</v>
      </c>
      <c r="B97">
        <v>92</v>
      </c>
      <c r="C97">
        <f t="shared" si="22"/>
        <v>109</v>
      </c>
      <c r="D97">
        <f t="shared" si="23"/>
        <v>1.5027502750275028</v>
      </c>
      <c r="F97">
        <f t="shared" si="24"/>
        <v>1.833516685001868E-3</v>
      </c>
      <c r="G97">
        <v>92</v>
      </c>
      <c r="H97">
        <f t="shared" si="25"/>
        <v>109</v>
      </c>
      <c r="I97">
        <f t="shared" si="26"/>
        <v>1.5027502750275028</v>
      </c>
      <c r="K97">
        <f t="shared" si="27"/>
        <v>5.5005500550056043E-4</v>
      </c>
      <c r="L97">
        <v>92</v>
      </c>
      <c r="M97">
        <f t="shared" si="28"/>
        <v>188</v>
      </c>
      <c r="N97">
        <f t="shared" si="29"/>
        <v>9.9944994499449944</v>
      </c>
      <c r="P97">
        <f t="shared" si="30"/>
        <v>4.4004400440045277E-3</v>
      </c>
      <c r="Q97">
        <v>92</v>
      </c>
      <c r="R97">
        <f t="shared" si="31"/>
        <v>150</v>
      </c>
      <c r="S97">
        <f t="shared" si="32"/>
        <v>4.0176017601760181</v>
      </c>
    </row>
    <row r="98" spans="1:19" x14ac:dyDescent="0.25">
      <c r="A98">
        <f t="shared" si="21"/>
        <v>1.790189760114469E-3</v>
      </c>
      <c r="B98">
        <v>93</v>
      </c>
      <c r="C98">
        <f t="shared" si="22"/>
        <v>110</v>
      </c>
      <c r="D98">
        <f t="shared" si="23"/>
        <v>1.5026852846401717</v>
      </c>
      <c r="F98">
        <f t="shared" si="24"/>
        <v>1.790189760114469E-3</v>
      </c>
      <c r="G98">
        <v>93</v>
      </c>
      <c r="H98">
        <f t="shared" si="25"/>
        <v>110</v>
      </c>
      <c r="I98">
        <f t="shared" si="26"/>
        <v>1.5026852846401717</v>
      </c>
      <c r="K98">
        <f t="shared" si="27"/>
        <v>4.2964554242761464E-4</v>
      </c>
      <c r="L98">
        <v>93</v>
      </c>
      <c r="M98">
        <f t="shared" si="28"/>
        <v>189</v>
      </c>
      <c r="N98">
        <f t="shared" si="29"/>
        <v>9.9957035445757239</v>
      </c>
      <c r="P98">
        <f t="shared" si="30"/>
        <v>4.2964554242748143E-3</v>
      </c>
      <c r="Q98">
        <v>93</v>
      </c>
      <c r="R98">
        <f t="shared" si="31"/>
        <v>151</v>
      </c>
      <c r="S98">
        <f t="shared" si="32"/>
        <v>4.0171858216970993</v>
      </c>
    </row>
    <row r="99" spans="1:19" x14ac:dyDescent="0.25">
      <c r="A99">
        <f t="shared" si="21"/>
        <v>2.4484085344527173E-3</v>
      </c>
      <c r="B99">
        <v>94</v>
      </c>
      <c r="C99">
        <f t="shared" si="22"/>
        <v>111</v>
      </c>
      <c r="D99">
        <f t="shared" si="23"/>
        <v>1.5036726128016791</v>
      </c>
      <c r="F99">
        <f t="shared" si="24"/>
        <v>2.4484085344527173E-3</v>
      </c>
      <c r="G99">
        <v>94</v>
      </c>
      <c r="H99">
        <f t="shared" si="25"/>
        <v>111</v>
      </c>
      <c r="I99">
        <f t="shared" si="26"/>
        <v>1.5036726128016791</v>
      </c>
      <c r="K99">
        <f t="shared" si="27"/>
        <v>2.0986358866732503E-4</v>
      </c>
      <c r="L99">
        <v>94</v>
      </c>
      <c r="M99">
        <f t="shared" si="28"/>
        <v>190</v>
      </c>
      <c r="N99">
        <f t="shared" si="29"/>
        <v>10.002098635886673</v>
      </c>
      <c r="P99">
        <f t="shared" si="30"/>
        <v>4.9842602308500794E-3</v>
      </c>
      <c r="Q99">
        <v>94</v>
      </c>
      <c r="R99">
        <f t="shared" si="31"/>
        <v>152</v>
      </c>
      <c r="S99">
        <f t="shared" si="32"/>
        <v>4.0199370409234003</v>
      </c>
    </row>
    <row r="100" spans="1:19" x14ac:dyDescent="0.25">
      <c r="A100">
        <f t="shared" si="21"/>
        <v>2.7322404371584361E-3</v>
      </c>
      <c r="B100">
        <v>95</v>
      </c>
      <c r="C100">
        <f t="shared" si="22"/>
        <v>112</v>
      </c>
      <c r="D100">
        <f t="shared" si="23"/>
        <v>1.5040983606557377</v>
      </c>
      <c r="F100">
        <f t="shared" si="24"/>
        <v>2.7322404371584361E-3</v>
      </c>
      <c r="G100">
        <v>95</v>
      </c>
      <c r="H100">
        <f t="shared" si="25"/>
        <v>112</v>
      </c>
      <c r="I100">
        <f t="shared" si="26"/>
        <v>1.5040983606557377</v>
      </c>
      <c r="K100">
        <f t="shared" si="27"/>
        <v>3.0737704918024631E-4</v>
      </c>
      <c r="L100">
        <v>95</v>
      </c>
      <c r="M100">
        <f t="shared" si="28"/>
        <v>191</v>
      </c>
      <c r="N100">
        <f t="shared" si="29"/>
        <v>10.003073770491802</v>
      </c>
      <c r="P100">
        <f t="shared" si="30"/>
        <v>5.1229508196721785E-3</v>
      </c>
      <c r="Q100">
        <v>95</v>
      </c>
      <c r="R100">
        <f t="shared" si="31"/>
        <v>153</v>
      </c>
      <c r="S100">
        <f t="shared" si="32"/>
        <v>4.0204918032786887</v>
      </c>
    </row>
    <row r="101" spans="1:19" x14ac:dyDescent="0.25">
      <c r="A101">
        <f t="shared" ref="A101" si="33">ABS((D101-B$2)/B$2)</f>
        <v>1.9999999999999276E-3</v>
      </c>
      <c r="B101">
        <v>96</v>
      </c>
      <c r="C101">
        <f t="shared" ref="C101" si="34">B$3+B101</f>
        <v>113</v>
      </c>
      <c r="D101">
        <f t="shared" ref="D101" si="35">(ROUND(10^(C101/96),2))/ROUND(10^(B101/96),2)</f>
        <v>1.5029999999999999</v>
      </c>
      <c r="F101">
        <f t="shared" ref="F101" si="36">ABS((I101-G$2)/G$2)</f>
        <v>1.9999999999999276E-3</v>
      </c>
      <c r="G101">
        <v>96</v>
      </c>
      <c r="H101">
        <f t="shared" ref="H101" si="37">G$3+G101</f>
        <v>113</v>
      </c>
      <c r="I101">
        <f t="shared" ref="I101" si="38">(ROUND(10^(H101/96),2))/ROUND(10^(G101/96),2)</f>
        <v>1.5029999999999999</v>
      </c>
      <c r="K101">
        <f t="shared" ref="K101" si="39">ABS((N101-L$2)/L$2)</f>
        <v>0</v>
      </c>
      <c r="L101">
        <v>96</v>
      </c>
      <c r="M101">
        <f t="shared" ref="M101" si="40">L$3+L101</f>
        <v>192</v>
      </c>
      <c r="N101">
        <f t="shared" ref="N101" si="41">(ROUND(10^(M101/96),2))/ROUND(10^(L101/96),2)</f>
        <v>10</v>
      </c>
      <c r="P101">
        <f t="shared" si="30"/>
        <v>4.750000000000032E-3</v>
      </c>
      <c r="Q101">
        <v>96</v>
      </c>
      <c r="R101">
        <f t="shared" si="31"/>
        <v>154</v>
      </c>
      <c r="S101">
        <f t="shared" si="32"/>
        <v>4.0190000000000001</v>
      </c>
    </row>
  </sheetData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35"/>
  <sheetViews>
    <sheetView workbookViewId="0">
      <selection activeCell="K11" sqref="K11:K35"/>
    </sheetView>
  </sheetViews>
  <sheetFormatPr defaultRowHeight="15" x14ac:dyDescent="0.25"/>
  <cols>
    <col min="2" max="2" width="12.28515625" customWidth="1"/>
    <col min="11" max="11" width="16.42578125" customWidth="1"/>
    <col min="12" max="12" width="19.7109375" customWidth="1"/>
  </cols>
  <sheetData>
    <row r="5" spans="1:12" x14ac:dyDescent="0.25">
      <c r="A5">
        <v>1.67</v>
      </c>
    </row>
    <row r="6" spans="1:12" x14ac:dyDescent="0.25">
      <c r="A6">
        <v>1.68</v>
      </c>
    </row>
    <row r="7" spans="1:12" x14ac:dyDescent="0.25">
      <c r="A7">
        <f>A5-A6</f>
        <v>-1.0000000000000009E-2</v>
      </c>
    </row>
    <row r="8" spans="1:12" x14ac:dyDescent="0.25">
      <c r="A8">
        <f>(A5+A6)/2</f>
        <v>1.6749999999999998</v>
      </c>
    </row>
    <row r="9" spans="1:12" x14ac:dyDescent="0.25">
      <c r="A9">
        <f>(2*A8-A7)/2</f>
        <v>1.6799999999999997</v>
      </c>
    </row>
    <row r="10" spans="1:12" x14ac:dyDescent="0.25">
      <c r="A10">
        <f>(A7+2*A6)/2</f>
        <v>1.6749999999999998</v>
      </c>
    </row>
    <row r="11" spans="1:12" x14ac:dyDescent="0.25">
      <c r="K11" t="s">
        <v>281</v>
      </c>
      <c r="L11" t="s">
        <v>339</v>
      </c>
    </row>
    <row r="12" spans="1:12" x14ac:dyDescent="0.25">
      <c r="K12" t="s">
        <v>282</v>
      </c>
      <c r="L12" t="s">
        <v>340</v>
      </c>
    </row>
    <row r="13" spans="1:12" x14ac:dyDescent="0.25">
      <c r="K13" t="s">
        <v>290</v>
      </c>
      <c r="L13" t="s">
        <v>341</v>
      </c>
    </row>
    <row r="14" spans="1:12" x14ac:dyDescent="0.25">
      <c r="A14" t="s">
        <v>47</v>
      </c>
      <c r="B14">
        <v>10000</v>
      </c>
      <c r="K14" t="s">
        <v>198</v>
      </c>
      <c r="L14">
        <v>0.1</v>
      </c>
    </row>
    <row r="15" spans="1:12" x14ac:dyDescent="0.25">
      <c r="A15" t="s">
        <v>345</v>
      </c>
      <c r="B15">
        <v>1.675</v>
      </c>
      <c r="K15" t="s">
        <v>200</v>
      </c>
      <c r="L15">
        <v>10</v>
      </c>
    </row>
    <row r="16" spans="1:12" x14ac:dyDescent="0.25">
      <c r="A16" t="s">
        <v>346</v>
      </c>
      <c r="B16">
        <v>1.665</v>
      </c>
      <c r="K16" t="s">
        <v>199</v>
      </c>
      <c r="L16">
        <v>50</v>
      </c>
    </row>
    <row r="17" spans="1:12" x14ac:dyDescent="0.25">
      <c r="A17" t="s">
        <v>65</v>
      </c>
      <c r="B17">
        <v>1.67</v>
      </c>
      <c r="K17" t="s">
        <v>141</v>
      </c>
      <c r="L17">
        <f>L16*14.50377</f>
        <v>725.18849999999998</v>
      </c>
    </row>
    <row r="18" spans="1:12" x14ac:dyDescent="0.25">
      <c r="A18" t="s">
        <v>347</v>
      </c>
      <c r="B18">
        <f>B15-B16</f>
        <v>1.0000000000000009E-2</v>
      </c>
      <c r="K18" t="s">
        <v>189</v>
      </c>
      <c r="L18">
        <v>0.5</v>
      </c>
    </row>
    <row r="19" spans="1:12" x14ac:dyDescent="0.25">
      <c r="A19" t="s">
        <v>348</v>
      </c>
      <c r="B19">
        <f>(B15+B16)/2</f>
        <v>1.67</v>
      </c>
      <c r="K19" t="s">
        <v>190</v>
      </c>
      <c r="L19">
        <v>-0.3</v>
      </c>
    </row>
    <row r="20" spans="1:12" x14ac:dyDescent="0.25">
      <c r="K20" t="s">
        <v>57</v>
      </c>
      <c r="L20">
        <v>1.4999999999999999E-2</v>
      </c>
    </row>
    <row r="21" spans="1:12" x14ac:dyDescent="0.25">
      <c r="A21" t="s">
        <v>11</v>
      </c>
      <c r="B21">
        <f>(B16+0.5)*(5/4+25000/B14)-25000*(B15+0.5)/B14-B17/4</f>
        <v>2.2637500000000013</v>
      </c>
      <c r="K21" t="s">
        <v>209</v>
      </c>
      <c r="L21">
        <v>3</v>
      </c>
    </row>
    <row r="22" spans="1:12" x14ac:dyDescent="0.25">
      <c r="A22" t="s">
        <v>63</v>
      </c>
      <c r="B22">
        <f>(B15+0.5)*(5+100000/B14)-4*B21-100000*(B16+0.5)/B14</f>
        <v>1.9199999999999946</v>
      </c>
      <c r="K22" t="s">
        <v>65</v>
      </c>
      <c r="L22">
        <v>3</v>
      </c>
    </row>
    <row r="23" spans="1:12" x14ac:dyDescent="0.25">
      <c r="K23" t="s">
        <v>159</v>
      </c>
      <c r="L23">
        <v>3.15</v>
      </c>
    </row>
    <row r="24" spans="1:12" x14ac:dyDescent="0.25">
      <c r="A24" t="s">
        <v>349</v>
      </c>
      <c r="B24">
        <f>200000/B14+5</f>
        <v>25</v>
      </c>
      <c r="K24" t="s">
        <v>160</v>
      </c>
      <c r="L24">
        <v>0.15</v>
      </c>
    </row>
    <row r="25" spans="1:12" x14ac:dyDescent="0.25">
      <c r="A25" t="s">
        <v>350</v>
      </c>
      <c r="B25">
        <f>(B15-B16)*B24+B17</f>
        <v>1.9200000000000002</v>
      </c>
      <c r="K25" t="s">
        <v>162</v>
      </c>
      <c r="L25">
        <f>40*14.50377</f>
        <v>580.1508</v>
      </c>
    </row>
    <row r="26" spans="1:12" x14ac:dyDescent="0.25">
      <c r="K26" t="s">
        <v>195</v>
      </c>
      <c r="L26">
        <v>0</v>
      </c>
    </row>
    <row r="27" spans="1:12" x14ac:dyDescent="0.25">
      <c r="A27" t="s">
        <v>348</v>
      </c>
      <c r="B27">
        <f>4/5*(B21+B17/4-0.5*5/4+B18*(25000/B14+5/8))</f>
        <v>1.670000000000001</v>
      </c>
      <c r="K27" t="s">
        <v>54</v>
      </c>
      <c r="L27">
        <v>5</v>
      </c>
    </row>
    <row r="28" spans="1:12" x14ac:dyDescent="0.25">
      <c r="K28" t="s">
        <v>302</v>
      </c>
      <c r="L28" s="16">
        <v>100000</v>
      </c>
    </row>
    <row r="29" spans="1:12" x14ac:dyDescent="0.25">
      <c r="K29" t="s">
        <v>154</v>
      </c>
      <c r="L29" s="16">
        <v>10000</v>
      </c>
    </row>
    <row r="30" spans="1:12" x14ac:dyDescent="0.25">
      <c r="K30" t="s">
        <v>312</v>
      </c>
      <c r="L30" s="16">
        <v>13300</v>
      </c>
    </row>
    <row r="31" spans="1:12" x14ac:dyDescent="0.25">
      <c r="K31" t="s">
        <v>313</v>
      </c>
      <c r="L31" s="16">
        <v>16500</v>
      </c>
    </row>
    <row r="32" spans="1:12" x14ac:dyDescent="0.25">
      <c r="K32" t="s">
        <v>310</v>
      </c>
      <c r="L32">
        <f t="shared" ref="L32" si="0">L58/2</f>
        <v>0</v>
      </c>
    </row>
    <row r="33" spans="11:12" x14ac:dyDescent="0.25">
      <c r="K33" t="s">
        <v>311</v>
      </c>
      <c r="L33">
        <f t="shared" ref="L33" si="1">L58</f>
        <v>0</v>
      </c>
    </row>
    <row r="34" spans="11:12" x14ac:dyDescent="0.25">
      <c r="K34" t="s">
        <v>342</v>
      </c>
      <c r="L34" s="21">
        <v>0.15</v>
      </c>
    </row>
    <row r="35" spans="11:12" x14ac:dyDescent="0.25">
      <c r="K35" t="s">
        <v>343</v>
      </c>
      <c r="L35">
        <f>3.3-0.15</f>
        <v>3.15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26" sqref="A26"/>
    </sheetView>
  </sheetViews>
  <sheetFormatPr defaultRowHeight="15" x14ac:dyDescent="0.25"/>
  <sheetData>
    <row r="1" spans="1:2" x14ac:dyDescent="0.25">
      <c r="A1" t="s">
        <v>6</v>
      </c>
    </row>
    <row r="2" spans="1:2" x14ac:dyDescent="0.25">
      <c r="A2" t="s">
        <v>7</v>
      </c>
    </row>
    <row r="11" spans="1:2" x14ac:dyDescent="0.25">
      <c r="A11" s="1">
        <v>0.3</v>
      </c>
      <c r="B11">
        <v>22.7</v>
      </c>
    </row>
    <row r="12" spans="1:2" x14ac:dyDescent="0.25">
      <c r="A12" s="1">
        <v>0.30555555555555552</v>
      </c>
      <c r="B12">
        <v>22.84</v>
      </c>
    </row>
    <row r="13" spans="1:2" x14ac:dyDescent="0.25">
      <c r="A13" s="1">
        <v>0.31527777777777777</v>
      </c>
      <c r="B13">
        <v>23.23</v>
      </c>
    </row>
    <row r="14" spans="1:2" x14ac:dyDescent="0.25">
      <c r="A14" s="1">
        <v>0.32430555555555557</v>
      </c>
      <c r="B14">
        <v>23.53</v>
      </c>
    </row>
    <row r="15" spans="1:2" x14ac:dyDescent="0.25">
      <c r="A15" s="1">
        <v>0.33194444444444443</v>
      </c>
      <c r="B15">
        <v>23.77</v>
      </c>
    </row>
    <row r="16" spans="1:2" x14ac:dyDescent="0.25">
      <c r="A16" s="1">
        <v>0.34791666666666665</v>
      </c>
      <c r="B16">
        <v>24.06</v>
      </c>
    </row>
    <row r="17" spans="1:2" x14ac:dyDescent="0.25">
      <c r="A17" s="1">
        <v>0.35555555555555557</v>
      </c>
      <c r="B17">
        <v>24.13</v>
      </c>
    </row>
    <row r="18" spans="1:2" x14ac:dyDescent="0.25">
      <c r="A18" s="1">
        <v>0.36874999999999997</v>
      </c>
      <c r="B18">
        <v>24.24</v>
      </c>
    </row>
    <row r="19" spans="1:2" x14ac:dyDescent="0.25">
      <c r="A19" s="1">
        <v>0.37916666666666665</v>
      </c>
      <c r="B19">
        <v>24.28</v>
      </c>
    </row>
    <row r="20" spans="1:2" x14ac:dyDescent="0.25">
      <c r="A20" s="1">
        <v>0.38958333333333334</v>
      </c>
      <c r="B20">
        <v>24.33</v>
      </c>
    </row>
    <row r="21" spans="1:2" x14ac:dyDescent="0.25">
      <c r="A21" s="1">
        <v>0.42222222222222222</v>
      </c>
      <c r="B21">
        <v>24.35</v>
      </c>
    </row>
    <row r="22" spans="1:2" x14ac:dyDescent="0.25">
      <c r="A22" s="1">
        <v>0.43333333333333335</v>
      </c>
      <c r="B22">
        <v>24.41</v>
      </c>
    </row>
    <row r="23" spans="1:2" x14ac:dyDescent="0.25">
      <c r="A23" s="1">
        <v>0.46736111111111112</v>
      </c>
      <c r="B23">
        <v>24.5</v>
      </c>
    </row>
    <row r="24" spans="1:2" x14ac:dyDescent="0.25">
      <c r="A24" s="1">
        <v>0.48541666666666666</v>
      </c>
      <c r="B24">
        <v>24.58</v>
      </c>
    </row>
    <row r="25" spans="1:2" x14ac:dyDescent="0.25">
      <c r="A25" s="1">
        <v>0.49583333333333335</v>
      </c>
      <c r="B25">
        <v>24.55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0"/>
  <sheetViews>
    <sheetView workbookViewId="0">
      <selection activeCell="F11" sqref="F11"/>
    </sheetView>
  </sheetViews>
  <sheetFormatPr defaultRowHeight="15" x14ac:dyDescent="0.25"/>
  <sheetData>
    <row r="2" spans="1:6" x14ac:dyDescent="0.25">
      <c r="A2" t="s">
        <v>21</v>
      </c>
      <c r="B2">
        <v>1.3</v>
      </c>
    </row>
    <row r="3" spans="1:6" x14ac:dyDescent="0.25">
      <c r="A3" t="s">
        <v>18</v>
      </c>
      <c r="B3">
        <v>3.7609999999999998E-2</v>
      </c>
    </row>
    <row r="4" spans="1:6" x14ac:dyDescent="0.25">
      <c r="A4" t="s">
        <v>17</v>
      </c>
      <c r="B4">
        <v>-0.03</v>
      </c>
      <c r="D4" t="s">
        <v>19</v>
      </c>
      <c r="E4" t="s">
        <v>1</v>
      </c>
      <c r="F4" t="s">
        <v>20</v>
      </c>
    </row>
    <row r="5" spans="1:6" x14ac:dyDescent="0.25">
      <c r="A5" t="s">
        <v>8</v>
      </c>
      <c r="B5">
        <v>0</v>
      </c>
      <c r="D5">
        <f>B2+B3/2</f>
        <v>1.318805</v>
      </c>
      <c r="E5">
        <f>B2</f>
        <v>1.3</v>
      </c>
      <c r="F5">
        <f>B2-B3/2</f>
        <v>1.2811950000000001</v>
      </c>
    </row>
    <row r="6" spans="1:6" x14ac:dyDescent="0.25">
      <c r="A6" t="s">
        <v>9</v>
      </c>
      <c r="B6">
        <v>0.03</v>
      </c>
      <c r="D6">
        <f>B2+B4-B3/2</f>
        <v>1.2511950000000001</v>
      </c>
      <c r="E6">
        <f>B2+B4</f>
        <v>1.27</v>
      </c>
      <c r="F6">
        <f>B2+B4+B3/2</f>
        <v>1.288805</v>
      </c>
    </row>
    <row r="7" spans="1:6" x14ac:dyDescent="0.25">
      <c r="A7" t="s">
        <v>10</v>
      </c>
      <c r="B7">
        <f>200000/(B9-5)</f>
        <v>6206.5266718924049</v>
      </c>
    </row>
    <row r="8" spans="1:6" x14ac:dyDescent="0.25">
      <c r="A8" t="s">
        <v>15</v>
      </c>
      <c r="E8">
        <f>-B10+0.1</f>
        <v>0.3832757245413414</v>
      </c>
    </row>
    <row r="9" spans="1:6" x14ac:dyDescent="0.25">
      <c r="A9" t="s">
        <v>16</v>
      </c>
      <c r="B9">
        <f>1.4/B3</f>
        <v>37.224142515288484</v>
      </c>
    </row>
    <row r="10" spans="1:6" x14ac:dyDescent="0.25">
      <c r="A10" t="s">
        <v>22</v>
      </c>
      <c r="B10">
        <f>(F5-F6)*B9</f>
        <v>-0.28327572454134142</v>
      </c>
    </row>
    <row r="11" spans="1:6" x14ac:dyDescent="0.25">
      <c r="A11" t="s">
        <v>12</v>
      </c>
      <c r="B11">
        <f>(5+200000/B7)*(B5-B6)</f>
        <v>-1.1167242754586544</v>
      </c>
      <c r="D11">
        <f>(D5+0.5)*(5+100000/$B7)-4*D12-100000/$B7*(D6+0.5)</f>
        <v>2.8999999999999986</v>
      </c>
      <c r="E11">
        <f>(E5+0.5)*(5+100000/$B7)-4*E12-100000/$B7*(E6+0.5)</f>
        <v>1.5</v>
      </c>
      <c r="F11">
        <f>(F5+0.5)*(5+100000/$B7)-4*F12-100000/$B7*(F6+0.5)</f>
        <v>0.10000000000000142</v>
      </c>
    </row>
    <row r="12" spans="1:6" x14ac:dyDescent="0.25">
      <c r="A12" t="s">
        <v>11</v>
      </c>
      <c r="B12">
        <f>1.25*B6-(B5-B6)*(25000/$B$7)+0.6</f>
        <v>0.75834053443233174</v>
      </c>
      <c r="D12">
        <f>(D6+0.5)*(5/4+25000/$B7)-25000*(D5+0.5)/$B7-$E8/4</f>
        <v>1.8208405344323317</v>
      </c>
      <c r="E12">
        <f>(E6+0.5)*(5/4+25000/$B7)-25000*(E5+0.5)/$B7-$E8/4</f>
        <v>1.9958405344323324</v>
      </c>
      <c r="F12">
        <f>(F6+0.5)*(5/4+25000/$B7)-25000*(F5+0.5)/$B7-$E8/4</f>
        <v>2.1708405344323314</v>
      </c>
    </row>
    <row r="29" spans="1:14" x14ac:dyDescent="0.25">
      <c r="A29" t="s">
        <v>11</v>
      </c>
      <c r="B29" t="s">
        <v>13</v>
      </c>
    </row>
    <row r="30" spans="1:14" x14ac:dyDescent="0.25">
      <c r="A30" t="s">
        <v>14</v>
      </c>
      <c r="B30">
        <v>-0.06</v>
      </c>
      <c r="C30">
        <v>-0.05</v>
      </c>
      <c r="D30">
        <v>-0.04</v>
      </c>
      <c r="E30">
        <v>-0.03</v>
      </c>
      <c r="F30">
        <v>-0.02</v>
      </c>
      <c r="G30">
        <v>-0.01</v>
      </c>
      <c r="H30">
        <v>0</v>
      </c>
      <c r="I30">
        <v>0.01</v>
      </c>
      <c r="J30">
        <v>0.02</v>
      </c>
      <c r="K30">
        <v>0.03</v>
      </c>
      <c r="L30">
        <v>0.04</v>
      </c>
      <c r="M30">
        <v>0.05</v>
      </c>
      <c r="N30">
        <v>0.06</v>
      </c>
    </row>
    <row r="31" spans="1:14" x14ac:dyDescent="0.25">
      <c r="A31">
        <v>-0.06</v>
      </c>
      <c r="B31">
        <f t="shared" ref="B31:N43" si="0">1.25*$A31-(B$30-$A31)*(25000/$B$7)+0.6</f>
        <v>0.52500000000000002</v>
      </c>
      <c r="C31">
        <f t="shared" si="0"/>
        <v>0.48471982185588941</v>
      </c>
      <c r="D31">
        <f t="shared" si="0"/>
        <v>0.4444396437117788</v>
      </c>
      <c r="E31">
        <f t="shared" si="0"/>
        <v>0.40415946556766819</v>
      </c>
      <c r="F31">
        <f t="shared" si="0"/>
        <v>0.36387928742355757</v>
      </c>
      <c r="G31">
        <f t="shared" si="0"/>
        <v>0.32359910927944696</v>
      </c>
      <c r="H31">
        <f t="shared" si="0"/>
        <v>0.28331893113533635</v>
      </c>
      <c r="I31">
        <f t="shared" si="0"/>
        <v>0.24303875299122574</v>
      </c>
      <c r="J31">
        <f t="shared" si="0"/>
        <v>0.20275857484711513</v>
      </c>
      <c r="K31">
        <f t="shared" si="0"/>
        <v>0.16247839670300451</v>
      </c>
      <c r="L31">
        <f t="shared" si="0"/>
        <v>0.1221982185588939</v>
      </c>
      <c r="M31">
        <f t="shared" si="0"/>
        <v>8.1918040414783344E-2</v>
      </c>
      <c r="N31">
        <f t="shared" si="0"/>
        <v>4.1637862270672787E-2</v>
      </c>
    </row>
    <row r="32" spans="1:14" x14ac:dyDescent="0.25">
      <c r="A32">
        <v>-0.05</v>
      </c>
      <c r="B32">
        <f t="shared" si="0"/>
        <v>0.57778017814411053</v>
      </c>
      <c r="C32">
        <f t="shared" si="0"/>
        <v>0.53749999999999998</v>
      </c>
      <c r="D32">
        <f t="shared" si="0"/>
        <v>0.49721982185588937</v>
      </c>
      <c r="E32">
        <f t="shared" si="0"/>
        <v>0.45693964371177875</v>
      </c>
      <c r="F32">
        <f t="shared" si="0"/>
        <v>0.41665946556766814</v>
      </c>
      <c r="G32">
        <f t="shared" si="0"/>
        <v>0.37637928742355753</v>
      </c>
      <c r="H32">
        <f t="shared" si="0"/>
        <v>0.33609910927944697</v>
      </c>
      <c r="I32">
        <f t="shared" si="0"/>
        <v>0.2958189311353363</v>
      </c>
      <c r="J32">
        <f t="shared" si="0"/>
        <v>0.25553875299122569</v>
      </c>
      <c r="K32">
        <f t="shared" si="0"/>
        <v>0.21525857484711514</v>
      </c>
      <c r="L32">
        <f t="shared" si="0"/>
        <v>0.17497839670300452</v>
      </c>
      <c r="M32">
        <f t="shared" si="0"/>
        <v>0.13469821855889391</v>
      </c>
      <c r="N32">
        <f t="shared" si="0"/>
        <v>9.44180404147833E-2</v>
      </c>
    </row>
    <row r="33" spans="1:14" x14ac:dyDescent="0.25">
      <c r="A33">
        <v>-0.04</v>
      </c>
      <c r="B33">
        <f t="shared" si="0"/>
        <v>0.63056035628822116</v>
      </c>
      <c r="C33">
        <f t="shared" si="0"/>
        <v>0.5902801781441106</v>
      </c>
      <c r="D33">
        <f t="shared" si="0"/>
        <v>0.54999999999999993</v>
      </c>
      <c r="E33">
        <f t="shared" si="0"/>
        <v>0.50971982185588938</v>
      </c>
      <c r="F33">
        <f t="shared" si="0"/>
        <v>0.46943964371177876</v>
      </c>
      <c r="G33">
        <f t="shared" si="0"/>
        <v>0.42915946556766815</v>
      </c>
      <c r="H33">
        <f t="shared" si="0"/>
        <v>0.38887928742355754</v>
      </c>
      <c r="I33">
        <f t="shared" si="0"/>
        <v>0.34859910927944693</v>
      </c>
      <c r="J33">
        <f t="shared" si="0"/>
        <v>0.30831893113533637</v>
      </c>
      <c r="K33">
        <f t="shared" si="0"/>
        <v>0.2680387529912257</v>
      </c>
      <c r="L33">
        <f t="shared" si="0"/>
        <v>0.22775857484711515</v>
      </c>
      <c r="M33">
        <f t="shared" si="0"/>
        <v>0.18747839670300454</v>
      </c>
      <c r="N33">
        <f t="shared" si="0"/>
        <v>0.14719821855889392</v>
      </c>
    </row>
    <row r="34" spans="1:14" x14ac:dyDescent="0.25">
      <c r="A34">
        <v>-0.03</v>
      </c>
      <c r="B34">
        <f t="shared" si="0"/>
        <v>0.68334053443233178</v>
      </c>
      <c r="C34">
        <f t="shared" si="0"/>
        <v>0.64306035628822122</v>
      </c>
      <c r="D34">
        <f t="shared" si="0"/>
        <v>0.60278017814411056</v>
      </c>
      <c r="E34">
        <f t="shared" si="0"/>
        <v>0.5625</v>
      </c>
      <c r="F34">
        <f t="shared" si="0"/>
        <v>0.52221982185588933</v>
      </c>
      <c r="G34">
        <f t="shared" si="0"/>
        <v>0.48193964371177878</v>
      </c>
      <c r="H34">
        <f t="shared" si="0"/>
        <v>0.44165946556766816</v>
      </c>
      <c r="I34">
        <f t="shared" si="0"/>
        <v>0.40137928742355755</v>
      </c>
      <c r="J34">
        <f t="shared" si="0"/>
        <v>0.36109910927944694</v>
      </c>
      <c r="K34">
        <f t="shared" si="0"/>
        <v>0.32081893113533638</v>
      </c>
      <c r="L34">
        <f t="shared" si="0"/>
        <v>0.28053875299122571</v>
      </c>
      <c r="M34">
        <f t="shared" si="0"/>
        <v>0.24025857484711516</v>
      </c>
      <c r="N34">
        <f t="shared" si="0"/>
        <v>0.19997839670300455</v>
      </c>
    </row>
    <row r="35" spans="1:14" x14ac:dyDescent="0.25">
      <c r="A35">
        <v>-0.02</v>
      </c>
      <c r="B35">
        <f t="shared" si="0"/>
        <v>0.7361207125764424</v>
      </c>
      <c r="C35">
        <f t="shared" si="0"/>
        <v>0.69584053443233174</v>
      </c>
      <c r="D35">
        <f t="shared" si="0"/>
        <v>0.65556035628822118</v>
      </c>
      <c r="E35">
        <f t="shared" si="0"/>
        <v>0.61528017814411062</v>
      </c>
      <c r="F35">
        <f t="shared" si="0"/>
        <v>0.57499999999999996</v>
      </c>
      <c r="G35">
        <f t="shared" si="0"/>
        <v>0.5347198218558894</v>
      </c>
      <c r="H35">
        <f t="shared" si="0"/>
        <v>0.49443964371177873</v>
      </c>
      <c r="I35">
        <f t="shared" si="0"/>
        <v>0.45415946556766817</v>
      </c>
      <c r="J35">
        <f t="shared" si="0"/>
        <v>0.41387928742355756</v>
      </c>
      <c r="K35">
        <f t="shared" si="0"/>
        <v>0.37359910927944695</v>
      </c>
      <c r="L35">
        <f t="shared" si="0"/>
        <v>0.33331893113533634</v>
      </c>
      <c r="M35">
        <f t="shared" si="0"/>
        <v>0.29303875299122567</v>
      </c>
      <c r="N35">
        <f t="shared" si="0"/>
        <v>0.25275857484711511</v>
      </c>
    </row>
    <row r="36" spans="1:14" x14ac:dyDescent="0.25">
      <c r="A36">
        <v>-0.01</v>
      </c>
      <c r="B36">
        <f t="shared" si="0"/>
        <v>0.78890089072055303</v>
      </c>
      <c r="C36">
        <f t="shared" si="0"/>
        <v>0.74862071257644236</v>
      </c>
      <c r="D36">
        <f t="shared" si="0"/>
        <v>0.7083405344323318</v>
      </c>
      <c r="E36">
        <f t="shared" si="0"/>
        <v>0.66806035628822114</v>
      </c>
      <c r="F36">
        <f t="shared" si="0"/>
        <v>0.62778017814411058</v>
      </c>
      <c r="G36">
        <f t="shared" si="0"/>
        <v>0.58750000000000002</v>
      </c>
      <c r="H36">
        <f t="shared" si="0"/>
        <v>0.54721982185588935</v>
      </c>
      <c r="I36">
        <f t="shared" si="0"/>
        <v>0.5069396437117788</v>
      </c>
      <c r="J36">
        <f t="shared" si="0"/>
        <v>0.46665946556766813</v>
      </c>
      <c r="K36">
        <f t="shared" si="0"/>
        <v>0.42637928742355757</v>
      </c>
      <c r="L36">
        <f t="shared" si="0"/>
        <v>0.38609910927944691</v>
      </c>
      <c r="M36">
        <f t="shared" si="0"/>
        <v>0.34581893113533635</v>
      </c>
      <c r="N36">
        <f t="shared" si="0"/>
        <v>0.30553875299122574</v>
      </c>
    </row>
    <row r="37" spans="1:14" x14ac:dyDescent="0.25">
      <c r="A37">
        <v>0</v>
      </c>
      <c r="B37">
        <f t="shared" si="0"/>
        <v>0.84168106886466365</v>
      </c>
      <c r="C37">
        <f t="shared" si="0"/>
        <v>0.80140089072055298</v>
      </c>
      <c r="D37">
        <f t="shared" si="0"/>
        <v>0.76112071257644243</v>
      </c>
      <c r="E37">
        <f t="shared" si="0"/>
        <v>0.72084053443233176</v>
      </c>
      <c r="F37">
        <f t="shared" si="0"/>
        <v>0.6805603562882212</v>
      </c>
      <c r="G37">
        <f t="shared" si="0"/>
        <v>0.64028017814411053</v>
      </c>
      <c r="H37">
        <f t="shared" si="0"/>
        <v>0.6</v>
      </c>
      <c r="I37">
        <f t="shared" si="0"/>
        <v>0.55971982185588942</v>
      </c>
      <c r="J37">
        <f t="shared" si="0"/>
        <v>0.51943964371177875</v>
      </c>
      <c r="K37">
        <f t="shared" si="0"/>
        <v>0.4791594655676682</v>
      </c>
      <c r="L37">
        <f t="shared" si="0"/>
        <v>0.43887928742355753</v>
      </c>
      <c r="M37">
        <f t="shared" si="0"/>
        <v>0.39859910927944697</v>
      </c>
      <c r="N37">
        <f t="shared" si="0"/>
        <v>0.35831893113533636</v>
      </c>
    </row>
    <row r="38" spans="1:14" x14ac:dyDescent="0.25">
      <c r="A38">
        <v>0.01</v>
      </c>
      <c r="B38">
        <f t="shared" si="0"/>
        <v>0.89446124700877427</v>
      </c>
      <c r="C38">
        <f t="shared" si="0"/>
        <v>0.85418106886466361</v>
      </c>
      <c r="D38">
        <f t="shared" si="0"/>
        <v>0.81390089072055305</v>
      </c>
      <c r="E38">
        <f t="shared" si="0"/>
        <v>0.77362071257644238</v>
      </c>
      <c r="F38">
        <f t="shared" si="0"/>
        <v>0.73334053443233183</v>
      </c>
      <c r="G38">
        <f t="shared" si="0"/>
        <v>0.69306035628822116</v>
      </c>
      <c r="H38">
        <f t="shared" si="0"/>
        <v>0.6527801781441106</v>
      </c>
      <c r="I38">
        <f t="shared" si="0"/>
        <v>0.61249999999999993</v>
      </c>
      <c r="J38">
        <f t="shared" si="0"/>
        <v>0.57221982185588938</v>
      </c>
      <c r="K38">
        <f t="shared" si="0"/>
        <v>0.53193964371177882</v>
      </c>
      <c r="L38">
        <f t="shared" si="0"/>
        <v>0.49165946556766815</v>
      </c>
      <c r="M38">
        <f t="shared" si="0"/>
        <v>0.4513792874235576</v>
      </c>
      <c r="N38">
        <f t="shared" si="0"/>
        <v>0.41109910927944698</v>
      </c>
    </row>
    <row r="39" spans="1:14" x14ac:dyDescent="0.25">
      <c r="A39">
        <v>0.02</v>
      </c>
      <c r="B39">
        <f t="shared" si="0"/>
        <v>0.9472414251528849</v>
      </c>
      <c r="C39">
        <f t="shared" si="0"/>
        <v>0.90696124700877423</v>
      </c>
      <c r="D39">
        <f t="shared" si="0"/>
        <v>0.86668106886466356</v>
      </c>
      <c r="E39">
        <f t="shared" si="0"/>
        <v>0.82640089072055301</v>
      </c>
      <c r="F39">
        <f t="shared" si="0"/>
        <v>0.78612071257644245</v>
      </c>
      <c r="G39">
        <f t="shared" si="0"/>
        <v>0.74584053443233178</v>
      </c>
      <c r="H39">
        <f t="shared" si="0"/>
        <v>0.70556035628822122</v>
      </c>
      <c r="I39">
        <f t="shared" si="0"/>
        <v>0.66528017814411056</v>
      </c>
      <c r="J39">
        <f t="shared" si="0"/>
        <v>0.625</v>
      </c>
      <c r="K39">
        <f t="shared" si="0"/>
        <v>0.58471982185588933</v>
      </c>
      <c r="L39">
        <f t="shared" si="0"/>
        <v>0.54443964371177878</v>
      </c>
      <c r="M39">
        <f t="shared" si="0"/>
        <v>0.50415946556766822</v>
      </c>
      <c r="N39">
        <f t="shared" si="0"/>
        <v>0.46387928742355755</v>
      </c>
    </row>
    <row r="40" spans="1:14" x14ac:dyDescent="0.25">
      <c r="A40">
        <v>0.03</v>
      </c>
      <c r="B40">
        <f t="shared" si="0"/>
        <v>1.0000216032969953</v>
      </c>
      <c r="C40">
        <f t="shared" si="0"/>
        <v>0.95974142515288485</v>
      </c>
      <c r="D40">
        <f t="shared" si="0"/>
        <v>0.91946124700877419</v>
      </c>
      <c r="E40">
        <f t="shared" si="0"/>
        <v>0.87918106886466352</v>
      </c>
      <c r="F40">
        <f t="shared" si="0"/>
        <v>0.83890089072055307</v>
      </c>
      <c r="G40">
        <f t="shared" si="0"/>
        <v>0.7986207125764424</v>
      </c>
      <c r="H40">
        <f t="shared" si="0"/>
        <v>0.75834053443233174</v>
      </c>
      <c r="I40">
        <f t="shared" si="0"/>
        <v>0.71806035628822118</v>
      </c>
      <c r="J40">
        <f t="shared" si="0"/>
        <v>0.67778017814411062</v>
      </c>
      <c r="K40">
        <f t="shared" si="0"/>
        <v>0.63749999999999996</v>
      </c>
      <c r="L40">
        <f t="shared" si="0"/>
        <v>0.5972198218558894</v>
      </c>
      <c r="M40">
        <f t="shared" si="0"/>
        <v>0.55693964371177873</v>
      </c>
      <c r="N40">
        <f t="shared" si="0"/>
        <v>0.51665946556766817</v>
      </c>
    </row>
    <row r="41" spans="1:14" x14ac:dyDescent="0.25">
      <c r="A41">
        <v>0.04</v>
      </c>
      <c r="B41">
        <f t="shared" si="0"/>
        <v>1.0528017814411061</v>
      </c>
      <c r="C41">
        <f t="shared" si="0"/>
        <v>1.0125216032969955</v>
      </c>
      <c r="D41">
        <f t="shared" si="0"/>
        <v>0.97224142515288481</v>
      </c>
      <c r="E41">
        <f t="shared" si="0"/>
        <v>0.93196124700877425</v>
      </c>
      <c r="F41">
        <f t="shared" si="0"/>
        <v>0.89168106886466358</v>
      </c>
      <c r="G41">
        <f t="shared" si="0"/>
        <v>0.85140089072055303</v>
      </c>
      <c r="H41">
        <f t="shared" si="0"/>
        <v>0.81112071257644236</v>
      </c>
      <c r="I41">
        <f t="shared" si="0"/>
        <v>0.7708405344323318</v>
      </c>
      <c r="J41">
        <f t="shared" si="0"/>
        <v>0.73056035628822125</v>
      </c>
      <c r="K41">
        <f t="shared" si="0"/>
        <v>0.69028017814411058</v>
      </c>
      <c r="L41">
        <f t="shared" si="0"/>
        <v>0.65</v>
      </c>
      <c r="M41">
        <f t="shared" si="0"/>
        <v>0.60971982185588935</v>
      </c>
      <c r="N41">
        <f t="shared" si="0"/>
        <v>0.5694396437117788</v>
      </c>
    </row>
    <row r="42" spans="1:14" x14ac:dyDescent="0.25">
      <c r="A42">
        <v>0.05</v>
      </c>
      <c r="B42">
        <f t="shared" si="0"/>
        <v>1.1055819595852165</v>
      </c>
      <c r="C42">
        <f t="shared" si="0"/>
        <v>1.0653017814411061</v>
      </c>
      <c r="D42">
        <f t="shared" si="0"/>
        <v>1.0250216032969954</v>
      </c>
      <c r="E42">
        <f t="shared" si="0"/>
        <v>0.98474142515288476</v>
      </c>
      <c r="F42">
        <f t="shared" si="0"/>
        <v>0.94446124700877432</v>
      </c>
      <c r="G42">
        <f t="shared" si="0"/>
        <v>0.90418106886466365</v>
      </c>
      <c r="H42">
        <f t="shared" si="0"/>
        <v>0.86390089072055298</v>
      </c>
      <c r="I42">
        <f t="shared" si="0"/>
        <v>0.82362071257644243</v>
      </c>
      <c r="J42">
        <f t="shared" si="0"/>
        <v>0.78334053443233187</v>
      </c>
      <c r="K42">
        <f t="shared" si="0"/>
        <v>0.7430603562882212</v>
      </c>
      <c r="L42">
        <f t="shared" si="0"/>
        <v>0.70278017814411053</v>
      </c>
      <c r="M42">
        <f t="shared" si="0"/>
        <v>0.66249999999999998</v>
      </c>
      <c r="N42">
        <f t="shared" si="0"/>
        <v>0.62221982185588942</v>
      </c>
    </row>
    <row r="43" spans="1:14" x14ac:dyDescent="0.25">
      <c r="A43">
        <v>0.06</v>
      </c>
      <c r="B43">
        <f t="shared" si="0"/>
        <v>1.1583621377293272</v>
      </c>
      <c r="C43">
        <f t="shared" si="0"/>
        <v>1.1180819595852167</v>
      </c>
      <c r="D43">
        <f t="shared" si="0"/>
        <v>1.0778017814411061</v>
      </c>
      <c r="E43">
        <f t="shared" si="0"/>
        <v>1.0375216032969954</v>
      </c>
      <c r="F43">
        <f t="shared" si="0"/>
        <v>0.99724142515288483</v>
      </c>
      <c r="G43">
        <f t="shared" si="0"/>
        <v>0.95696124700877427</v>
      </c>
      <c r="H43">
        <f t="shared" si="0"/>
        <v>0.91668106886466361</v>
      </c>
      <c r="I43">
        <f t="shared" si="0"/>
        <v>0.87640089072055294</v>
      </c>
      <c r="J43">
        <f t="shared" si="0"/>
        <v>0.83612071257644238</v>
      </c>
      <c r="K43">
        <f t="shared" si="0"/>
        <v>0.79584053443233183</v>
      </c>
      <c r="L43">
        <f t="shared" si="0"/>
        <v>0.75556035628822116</v>
      </c>
      <c r="M43">
        <f t="shared" si="0"/>
        <v>0.7152801781441106</v>
      </c>
      <c r="N43">
        <f t="shared" si="0"/>
        <v>0.67499999999999993</v>
      </c>
    </row>
    <row r="46" spans="1:14" x14ac:dyDescent="0.25">
      <c r="A46" t="s">
        <v>11</v>
      </c>
      <c r="B46" t="s">
        <v>13</v>
      </c>
    </row>
    <row r="47" spans="1:14" x14ac:dyDescent="0.25">
      <c r="A47" t="s">
        <v>14</v>
      </c>
      <c r="B47">
        <v>-0.06</v>
      </c>
      <c r="C47">
        <v>-0.05</v>
      </c>
      <c r="D47">
        <v>-0.04</v>
      </c>
      <c r="E47">
        <v>-0.03</v>
      </c>
      <c r="F47">
        <v>-0.02</v>
      </c>
      <c r="G47">
        <v>-0.01</v>
      </c>
      <c r="H47">
        <v>0</v>
      </c>
      <c r="I47">
        <v>0.01</v>
      </c>
      <c r="J47">
        <v>0.02</v>
      </c>
      <c r="K47">
        <v>0.03</v>
      </c>
      <c r="L47">
        <v>0.04</v>
      </c>
      <c r="M47">
        <v>0.05</v>
      </c>
      <c r="N47">
        <v>0.06</v>
      </c>
    </row>
    <row r="48" spans="1:14" x14ac:dyDescent="0.25">
      <c r="A48">
        <v>-0.06</v>
      </c>
      <c r="B48">
        <f t="shared" ref="B48:N60" si="1">(5+200000/$B$7)*(B$47-$A48)</f>
        <v>0</v>
      </c>
      <c r="C48">
        <f t="shared" si="1"/>
        <v>0.37224142515288466</v>
      </c>
      <c r="D48">
        <f t="shared" si="1"/>
        <v>0.74448285030576955</v>
      </c>
      <c r="E48">
        <f t="shared" si="1"/>
        <v>1.1167242754586544</v>
      </c>
      <c r="F48">
        <f t="shared" si="1"/>
        <v>1.4889657006115391</v>
      </c>
      <c r="G48">
        <f t="shared" si="1"/>
        <v>1.861207125764424</v>
      </c>
      <c r="H48">
        <f t="shared" si="1"/>
        <v>2.2334485509173088</v>
      </c>
      <c r="I48">
        <f t="shared" si="1"/>
        <v>2.6056899760701935</v>
      </c>
      <c r="J48">
        <f t="shared" si="1"/>
        <v>2.9779314012230786</v>
      </c>
      <c r="K48">
        <f t="shared" si="1"/>
        <v>3.3501728263759634</v>
      </c>
      <c r="L48">
        <f t="shared" si="1"/>
        <v>3.7224142515288485</v>
      </c>
      <c r="M48">
        <f t="shared" si="1"/>
        <v>4.0946556766817332</v>
      </c>
      <c r="N48">
        <f t="shared" si="1"/>
        <v>4.4668971018346175</v>
      </c>
    </row>
    <row r="49" spans="1:14" x14ac:dyDescent="0.25">
      <c r="A49">
        <v>-0.05</v>
      </c>
      <c r="B49">
        <f t="shared" si="1"/>
        <v>-0.37224142515288466</v>
      </c>
      <c r="C49">
        <f t="shared" si="1"/>
        <v>0</v>
      </c>
      <c r="D49">
        <f t="shared" si="1"/>
        <v>0.37224142515288494</v>
      </c>
      <c r="E49">
        <f t="shared" si="1"/>
        <v>0.74448285030576988</v>
      </c>
      <c r="F49">
        <f t="shared" si="1"/>
        <v>1.1167242754586546</v>
      </c>
      <c r="G49">
        <f t="shared" si="1"/>
        <v>1.4889657006115393</v>
      </c>
      <c r="H49">
        <f t="shared" si="1"/>
        <v>1.8612071257644243</v>
      </c>
      <c r="I49">
        <f t="shared" si="1"/>
        <v>2.2334485509173092</v>
      </c>
      <c r="J49">
        <f t="shared" si="1"/>
        <v>2.6056899760701944</v>
      </c>
      <c r="K49">
        <f t="shared" si="1"/>
        <v>2.9779314012230786</v>
      </c>
      <c r="L49">
        <f t="shared" si="1"/>
        <v>3.3501728263759634</v>
      </c>
      <c r="M49">
        <f t="shared" si="1"/>
        <v>3.7224142515288485</v>
      </c>
      <c r="N49">
        <f t="shared" si="1"/>
        <v>4.0946556766817332</v>
      </c>
    </row>
    <row r="50" spans="1:14" x14ac:dyDescent="0.25">
      <c r="A50">
        <v>-0.04</v>
      </c>
      <c r="B50">
        <f t="shared" si="1"/>
        <v>-0.74448285030576955</v>
      </c>
      <c r="C50">
        <f t="shared" si="1"/>
        <v>-0.37224142515288494</v>
      </c>
      <c r="D50">
        <f t="shared" si="1"/>
        <v>0</v>
      </c>
      <c r="E50">
        <f t="shared" si="1"/>
        <v>0.37224142515288494</v>
      </c>
      <c r="F50">
        <f t="shared" si="1"/>
        <v>0.74448285030576966</v>
      </c>
      <c r="G50">
        <f t="shared" si="1"/>
        <v>1.1167242754586544</v>
      </c>
      <c r="H50">
        <f t="shared" si="1"/>
        <v>1.4889657006115393</v>
      </c>
      <c r="I50">
        <f t="shared" si="1"/>
        <v>1.8612071257644243</v>
      </c>
      <c r="J50">
        <f t="shared" si="1"/>
        <v>2.2334485509173088</v>
      </c>
      <c r="K50">
        <f t="shared" si="1"/>
        <v>2.6056899760701944</v>
      </c>
      <c r="L50">
        <f t="shared" si="1"/>
        <v>2.9779314012230786</v>
      </c>
      <c r="M50">
        <f t="shared" si="1"/>
        <v>3.3501728263759634</v>
      </c>
      <c r="N50">
        <f t="shared" si="1"/>
        <v>3.7224142515288485</v>
      </c>
    </row>
    <row r="51" spans="1:14" x14ac:dyDescent="0.25">
      <c r="A51">
        <v>-0.03</v>
      </c>
      <c r="B51">
        <f t="shared" si="1"/>
        <v>-1.1167242754586544</v>
      </c>
      <c r="C51">
        <f t="shared" si="1"/>
        <v>-0.74448285030576988</v>
      </c>
      <c r="D51">
        <f t="shared" si="1"/>
        <v>-0.37224142515288494</v>
      </c>
      <c r="E51">
        <f t="shared" si="1"/>
        <v>0</v>
      </c>
      <c r="F51">
        <f t="shared" si="1"/>
        <v>0.37224142515288478</v>
      </c>
      <c r="G51">
        <f t="shared" si="1"/>
        <v>0.74448285030576955</v>
      </c>
      <c r="H51">
        <f t="shared" si="1"/>
        <v>1.1167242754586544</v>
      </c>
      <c r="I51">
        <f t="shared" si="1"/>
        <v>1.4889657006115393</v>
      </c>
      <c r="J51">
        <f t="shared" si="1"/>
        <v>1.8612071257644243</v>
      </c>
      <c r="K51">
        <f t="shared" si="1"/>
        <v>2.2334485509173088</v>
      </c>
      <c r="L51">
        <f t="shared" si="1"/>
        <v>2.6056899760701944</v>
      </c>
      <c r="M51">
        <f t="shared" si="1"/>
        <v>2.9779314012230786</v>
      </c>
      <c r="N51">
        <f t="shared" si="1"/>
        <v>3.3501728263759634</v>
      </c>
    </row>
    <row r="52" spans="1:14" x14ac:dyDescent="0.25">
      <c r="A52">
        <v>-0.02</v>
      </c>
      <c r="B52">
        <f t="shared" si="1"/>
        <v>-1.4889657006115391</v>
      </c>
      <c r="C52">
        <f t="shared" si="1"/>
        <v>-1.1167242754586546</v>
      </c>
      <c r="D52">
        <f t="shared" si="1"/>
        <v>-0.74448285030576966</v>
      </c>
      <c r="E52">
        <f t="shared" si="1"/>
        <v>-0.37224142515288478</v>
      </c>
      <c r="F52">
        <f t="shared" si="1"/>
        <v>0</v>
      </c>
      <c r="G52">
        <f t="shared" si="1"/>
        <v>0.37224142515288483</v>
      </c>
      <c r="H52">
        <f t="shared" si="1"/>
        <v>0.74448285030576966</v>
      </c>
      <c r="I52">
        <f t="shared" si="1"/>
        <v>1.1167242754586544</v>
      </c>
      <c r="J52">
        <f t="shared" si="1"/>
        <v>1.4889657006115393</v>
      </c>
      <c r="K52">
        <f t="shared" si="1"/>
        <v>1.8612071257644243</v>
      </c>
      <c r="L52">
        <f t="shared" si="1"/>
        <v>2.2334485509173088</v>
      </c>
      <c r="M52">
        <f t="shared" si="1"/>
        <v>2.6056899760701944</v>
      </c>
      <c r="N52">
        <f t="shared" si="1"/>
        <v>2.9779314012230786</v>
      </c>
    </row>
    <row r="53" spans="1:14" x14ac:dyDescent="0.25">
      <c r="A53">
        <v>-0.01</v>
      </c>
      <c r="B53">
        <f t="shared" si="1"/>
        <v>-1.861207125764424</v>
      </c>
      <c r="C53">
        <f t="shared" si="1"/>
        <v>-1.4889657006115393</v>
      </c>
      <c r="D53">
        <f t="shared" si="1"/>
        <v>-1.1167242754586544</v>
      </c>
      <c r="E53">
        <f t="shared" si="1"/>
        <v>-0.74448285030576955</v>
      </c>
      <c r="F53">
        <f t="shared" si="1"/>
        <v>-0.37224142515288483</v>
      </c>
      <c r="G53">
        <f t="shared" si="1"/>
        <v>0</v>
      </c>
      <c r="H53">
        <f t="shared" si="1"/>
        <v>0.37224142515288483</v>
      </c>
      <c r="I53">
        <f t="shared" si="1"/>
        <v>0.74448285030576966</v>
      </c>
      <c r="J53">
        <f t="shared" si="1"/>
        <v>1.1167242754586544</v>
      </c>
      <c r="K53">
        <f t="shared" si="1"/>
        <v>1.4889657006115393</v>
      </c>
      <c r="L53">
        <f t="shared" si="1"/>
        <v>1.8612071257644243</v>
      </c>
      <c r="M53">
        <f t="shared" si="1"/>
        <v>2.2334485509173092</v>
      </c>
      <c r="N53">
        <f t="shared" si="1"/>
        <v>2.6056899760701935</v>
      </c>
    </row>
    <row r="54" spans="1:14" x14ac:dyDescent="0.25">
      <c r="A54">
        <v>0</v>
      </c>
      <c r="B54">
        <f t="shared" si="1"/>
        <v>-2.2334485509173088</v>
      </c>
      <c r="C54">
        <f t="shared" si="1"/>
        <v>-1.8612071257644243</v>
      </c>
      <c r="D54">
        <f t="shared" si="1"/>
        <v>-1.4889657006115393</v>
      </c>
      <c r="E54">
        <f t="shared" si="1"/>
        <v>-1.1167242754586544</v>
      </c>
      <c r="F54">
        <f t="shared" si="1"/>
        <v>-0.74448285030576966</v>
      </c>
      <c r="G54">
        <f t="shared" si="1"/>
        <v>-0.37224142515288483</v>
      </c>
      <c r="H54">
        <f t="shared" si="1"/>
        <v>0</v>
      </c>
      <c r="I54">
        <f t="shared" si="1"/>
        <v>0.37224142515288483</v>
      </c>
      <c r="J54">
        <f t="shared" si="1"/>
        <v>0.74448285030576966</v>
      </c>
      <c r="K54">
        <f t="shared" si="1"/>
        <v>1.1167242754586544</v>
      </c>
      <c r="L54">
        <f t="shared" si="1"/>
        <v>1.4889657006115393</v>
      </c>
      <c r="M54">
        <f t="shared" si="1"/>
        <v>1.8612071257644243</v>
      </c>
      <c r="N54">
        <f t="shared" si="1"/>
        <v>2.2334485509173088</v>
      </c>
    </row>
    <row r="55" spans="1:14" x14ac:dyDescent="0.25">
      <c r="A55">
        <v>0.01</v>
      </c>
      <c r="B55">
        <f t="shared" si="1"/>
        <v>-2.6056899760701935</v>
      </c>
      <c r="C55">
        <f t="shared" si="1"/>
        <v>-2.2334485509173092</v>
      </c>
      <c r="D55">
        <f t="shared" si="1"/>
        <v>-1.8612071257644243</v>
      </c>
      <c r="E55">
        <f t="shared" si="1"/>
        <v>-1.4889657006115393</v>
      </c>
      <c r="F55">
        <f t="shared" si="1"/>
        <v>-1.1167242754586544</v>
      </c>
      <c r="G55">
        <f t="shared" si="1"/>
        <v>-0.74448285030576966</v>
      </c>
      <c r="H55">
        <f t="shared" si="1"/>
        <v>-0.37224142515288483</v>
      </c>
      <c r="I55">
        <f t="shared" si="1"/>
        <v>0</v>
      </c>
      <c r="J55">
        <f t="shared" si="1"/>
        <v>0.37224142515288483</v>
      </c>
      <c r="K55">
        <f t="shared" si="1"/>
        <v>0.74448285030576955</v>
      </c>
      <c r="L55">
        <f t="shared" si="1"/>
        <v>1.1167242754586544</v>
      </c>
      <c r="M55">
        <f t="shared" si="1"/>
        <v>1.4889657006115393</v>
      </c>
      <c r="N55">
        <f t="shared" si="1"/>
        <v>1.861207125764424</v>
      </c>
    </row>
    <row r="56" spans="1:14" x14ac:dyDescent="0.25">
      <c r="A56">
        <v>0.02</v>
      </c>
      <c r="B56">
        <f t="shared" si="1"/>
        <v>-2.9779314012230786</v>
      </c>
      <c r="C56">
        <f t="shared" si="1"/>
        <v>-2.6056899760701944</v>
      </c>
      <c r="D56">
        <f t="shared" si="1"/>
        <v>-2.2334485509173088</v>
      </c>
      <c r="E56">
        <f t="shared" si="1"/>
        <v>-1.8612071257644243</v>
      </c>
      <c r="F56">
        <f t="shared" si="1"/>
        <v>-1.4889657006115393</v>
      </c>
      <c r="G56">
        <f t="shared" si="1"/>
        <v>-1.1167242754586544</v>
      </c>
      <c r="H56">
        <f t="shared" si="1"/>
        <v>-0.74448285030576966</v>
      </c>
      <c r="I56">
        <f t="shared" si="1"/>
        <v>-0.37224142515288483</v>
      </c>
      <c r="J56">
        <f t="shared" si="1"/>
        <v>0</v>
      </c>
      <c r="K56">
        <f t="shared" si="1"/>
        <v>0.37224142515288478</v>
      </c>
      <c r="L56">
        <f t="shared" si="1"/>
        <v>0.74448285030576966</v>
      </c>
      <c r="M56">
        <f t="shared" si="1"/>
        <v>1.1167242754586546</v>
      </c>
      <c r="N56">
        <f t="shared" si="1"/>
        <v>1.4889657006115391</v>
      </c>
    </row>
    <row r="57" spans="1:14" x14ac:dyDescent="0.25">
      <c r="A57">
        <v>0.03</v>
      </c>
      <c r="B57">
        <f t="shared" si="1"/>
        <v>-3.3501728263759634</v>
      </c>
      <c r="C57">
        <f t="shared" si="1"/>
        <v>-2.9779314012230786</v>
      </c>
      <c r="D57">
        <f t="shared" si="1"/>
        <v>-2.6056899760701944</v>
      </c>
      <c r="E57">
        <f t="shared" si="1"/>
        <v>-2.2334485509173088</v>
      </c>
      <c r="F57">
        <f t="shared" si="1"/>
        <v>-1.8612071257644243</v>
      </c>
      <c r="G57">
        <f t="shared" si="1"/>
        <v>-1.4889657006115393</v>
      </c>
      <c r="H57">
        <f t="shared" si="1"/>
        <v>-1.1167242754586544</v>
      </c>
      <c r="I57">
        <f t="shared" si="1"/>
        <v>-0.74448285030576955</v>
      </c>
      <c r="J57">
        <f t="shared" si="1"/>
        <v>-0.37224142515288478</v>
      </c>
      <c r="K57">
        <f t="shared" si="1"/>
        <v>0</v>
      </c>
      <c r="L57">
        <f t="shared" si="1"/>
        <v>0.37224142515288494</v>
      </c>
      <c r="M57">
        <f t="shared" si="1"/>
        <v>0.74448285030576988</v>
      </c>
      <c r="N57">
        <f t="shared" si="1"/>
        <v>1.1167242754586544</v>
      </c>
    </row>
    <row r="58" spans="1:14" x14ac:dyDescent="0.25">
      <c r="A58">
        <v>0.04</v>
      </c>
      <c r="B58">
        <f t="shared" si="1"/>
        <v>-3.7224142515288485</v>
      </c>
      <c r="C58">
        <f t="shared" si="1"/>
        <v>-3.3501728263759634</v>
      </c>
      <c r="D58">
        <f t="shared" si="1"/>
        <v>-2.9779314012230786</v>
      </c>
      <c r="E58">
        <f t="shared" si="1"/>
        <v>-2.6056899760701944</v>
      </c>
      <c r="F58">
        <f t="shared" si="1"/>
        <v>-2.2334485509173088</v>
      </c>
      <c r="G58">
        <f t="shared" si="1"/>
        <v>-1.8612071257644243</v>
      </c>
      <c r="H58">
        <f t="shared" si="1"/>
        <v>-1.4889657006115393</v>
      </c>
      <c r="I58">
        <f t="shared" si="1"/>
        <v>-1.1167242754586544</v>
      </c>
      <c r="J58">
        <f t="shared" si="1"/>
        <v>-0.74448285030576966</v>
      </c>
      <c r="K58">
        <f t="shared" si="1"/>
        <v>-0.37224142515288494</v>
      </c>
      <c r="L58">
        <f t="shared" si="1"/>
        <v>0</v>
      </c>
      <c r="M58">
        <f t="shared" si="1"/>
        <v>0.37224142515288494</v>
      </c>
      <c r="N58">
        <f t="shared" si="1"/>
        <v>0.74448285030576955</v>
      </c>
    </row>
    <row r="59" spans="1:14" x14ac:dyDescent="0.25">
      <c r="A59">
        <v>0.05</v>
      </c>
      <c r="B59">
        <f t="shared" si="1"/>
        <v>-4.0946556766817332</v>
      </c>
      <c r="C59">
        <f t="shared" si="1"/>
        <v>-3.7224142515288485</v>
      </c>
      <c r="D59">
        <f t="shared" si="1"/>
        <v>-3.3501728263759634</v>
      </c>
      <c r="E59">
        <f t="shared" si="1"/>
        <v>-2.9779314012230786</v>
      </c>
      <c r="F59">
        <f t="shared" si="1"/>
        <v>-2.6056899760701944</v>
      </c>
      <c r="G59">
        <f t="shared" si="1"/>
        <v>-2.2334485509173092</v>
      </c>
      <c r="H59">
        <f t="shared" si="1"/>
        <v>-1.8612071257644243</v>
      </c>
      <c r="I59">
        <f t="shared" si="1"/>
        <v>-1.4889657006115393</v>
      </c>
      <c r="J59">
        <f t="shared" si="1"/>
        <v>-1.1167242754586546</v>
      </c>
      <c r="K59">
        <f t="shared" si="1"/>
        <v>-0.74448285030576988</v>
      </c>
      <c r="L59">
        <f t="shared" si="1"/>
        <v>-0.37224142515288494</v>
      </c>
      <c r="M59">
        <f t="shared" si="1"/>
        <v>0</v>
      </c>
      <c r="N59">
        <f t="shared" si="1"/>
        <v>0.37224142515288466</v>
      </c>
    </row>
    <row r="60" spans="1:14" x14ac:dyDescent="0.25">
      <c r="A60">
        <v>0.06</v>
      </c>
      <c r="B60">
        <f t="shared" si="1"/>
        <v>-4.4668971018346175</v>
      </c>
      <c r="C60">
        <f t="shared" si="1"/>
        <v>-4.0946556766817332</v>
      </c>
      <c r="D60">
        <f t="shared" si="1"/>
        <v>-3.7224142515288485</v>
      </c>
      <c r="E60">
        <f t="shared" si="1"/>
        <v>-3.3501728263759634</v>
      </c>
      <c r="F60">
        <f t="shared" si="1"/>
        <v>-2.9779314012230786</v>
      </c>
      <c r="G60">
        <f t="shared" si="1"/>
        <v>-2.6056899760701935</v>
      </c>
      <c r="H60">
        <f t="shared" si="1"/>
        <v>-2.2334485509173088</v>
      </c>
      <c r="I60">
        <f t="shared" si="1"/>
        <v>-1.861207125764424</v>
      </c>
      <c r="J60">
        <f t="shared" si="1"/>
        <v>-1.4889657006115391</v>
      </c>
      <c r="K60">
        <f t="shared" si="1"/>
        <v>-1.1167242754586544</v>
      </c>
      <c r="L60">
        <f t="shared" si="1"/>
        <v>-0.74448285030576955</v>
      </c>
      <c r="M60">
        <f t="shared" si="1"/>
        <v>-0.37224142515288466</v>
      </c>
      <c r="N60">
        <f t="shared" si="1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G28" sqref="G28"/>
    </sheetView>
  </sheetViews>
  <sheetFormatPr defaultRowHeight="15" x14ac:dyDescent="0.25"/>
  <cols>
    <col min="1" max="1" width="20.42578125" customWidth="1"/>
  </cols>
  <sheetData>
    <row r="1" spans="1:2" x14ac:dyDescent="0.25">
      <c r="A1" t="s">
        <v>34</v>
      </c>
      <c r="B1">
        <v>75</v>
      </c>
    </row>
    <row r="2" spans="1:2" x14ac:dyDescent="0.25">
      <c r="A2" t="s">
        <v>70</v>
      </c>
      <c r="B2">
        <v>0.5</v>
      </c>
    </row>
    <row r="3" spans="1:2" x14ac:dyDescent="0.25">
      <c r="A3" t="s">
        <v>23</v>
      </c>
      <c r="B3">
        <v>0.03</v>
      </c>
    </row>
    <row r="4" spans="1:2" x14ac:dyDescent="0.25">
      <c r="A4" t="s">
        <v>24</v>
      </c>
      <c r="B4">
        <v>0</v>
      </c>
    </row>
    <row r="5" spans="1:2" x14ac:dyDescent="0.25">
      <c r="A5" t="s">
        <v>32</v>
      </c>
      <c r="B5">
        <v>10</v>
      </c>
    </row>
    <row r="6" spans="1:2" x14ac:dyDescent="0.25">
      <c r="A6" t="s">
        <v>33</v>
      </c>
      <c r="B6">
        <v>3.3</v>
      </c>
    </row>
    <row r="7" spans="1:2" x14ac:dyDescent="0.25">
      <c r="A7" t="s">
        <v>23</v>
      </c>
      <c r="B7">
        <f>B6/B5*B3</f>
        <v>9.8999999999999991E-3</v>
      </c>
    </row>
    <row r="8" spans="1:2" x14ac:dyDescent="0.25">
      <c r="A8" t="s">
        <v>24</v>
      </c>
      <c r="B8">
        <f>B6/B5*B4</f>
        <v>0</v>
      </c>
    </row>
    <row r="11" spans="1:2" x14ac:dyDescent="0.25">
      <c r="A11" t="s">
        <v>25</v>
      </c>
      <c r="B11">
        <v>0.65</v>
      </c>
    </row>
    <row r="12" spans="1:2" x14ac:dyDescent="0.25">
      <c r="A12" t="s">
        <v>26</v>
      </c>
      <c r="B12">
        <v>3.15</v>
      </c>
    </row>
    <row r="13" spans="1:2" x14ac:dyDescent="0.25">
      <c r="A13" t="s">
        <v>27</v>
      </c>
      <c r="B13">
        <v>0.15</v>
      </c>
    </row>
    <row r="14" spans="1:2" x14ac:dyDescent="0.25">
      <c r="A14" t="s">
        <v>28</v>
      </c>
      <c r="B14">
        <v>75</v>
      </c>
    </row>
    <row r="15" spans="1:2" x14ac:dyDescent="0.25">
      <c r="A15" t="s">
        <v>29</v>
      </c>
      <c r="B15">
        <v>-15</v>
      </c>
    </row>
    <row r="17" spans="1:4" x14ac:dyDescent="0.25">
      <c r="A17" t="s">
        <v>30</v>
      </c>
      <c r="B17">
        <f>B12-B13</f>
        <v>3</v>
      </c>
    </row>
    <row r="18" spans="1:4" x14ac:dyDescent="0.25">
      <c r="A18" t="s">
        <v>31</v>
      </c>
      <c r="B18">
        <f>B14-B15</f>
        <v>90</v>
      </c>
    </row>
    <row r="19" spans="1:4" x14ac:dyDescent="0.25">
      <c r="A19" t="s">
        <v>35</v>
      </c>
      <c r="B19">
        <f>B17/B18</f>
        <v>3.3333333333333333E-2</v>
      </c>
    </row>
    <row r="20" spans="1:4" x14ac:dyDescent="0.25">
      <c r="A20" t="s">
        <v>37</v>
      </c>
      <c r="B20">
        <f>B7/B1</f>
        <v>1.3199999999999998E-4</v>
      </c>
    </row>
    <row r="21" spans="1:4" x14ac:dyDescent="0.25">
      <c r="A21" t="s">
        <v>36</v>
      </c>
      <c r="B21">
        <f>B19/B20</f>
        <v>252.52525252525254</v>
      </c>
    </row>
    <row r="22" spans="1:4" x14ac:dyDescent="0.25">
      <c r="A22" t="s">
        <v>38</v>
      </c>
      <c r="B22">
        <f>B11-B21*B8</f>
        <v>0.65</v>
      </c>
    </row>
    <row r="23" spans="1:4" x14ac:dyDescent="0.25">
      <c r="A23" t="s">
        <v>47</v>
      </c>
      <c r="B23">
        <f>200000/(B21-5)</f>
        <v>807.99836768006526</v>
      </c>
    </row>
    <row r="25" spans="1:4" x14ac:dyDescent="0.25">
      <c r="B25" t="s">
        <v>42</v>
      </c>
      <c r="C25" t="s">
        <v>43</v>
      </c>
    </row>
    <row r="26" spans="1:4" x14ac:dyDescent="0.25">
      <c r="A26" t="s">
        <v>39</v>
      </c>
      <c r="B26">
        <f>(B20*75+B8)*B21+B22</f>
        <v>3.15</v>
      </c>
    </row>
    <row r="27" spans="1:4" x14ac:dyDescent="0.25">
      <c r="A27" t="s">
        <v>40</v>
      </c>
      <c r="B27">
        <f>(B20*-15+B8)*B21+B22</f>
        <v>0.15000000000000008</v>
      </c>
    </row>
    <row r="28" spans="1:4" x14ac:dyDescent="0.25">
      <c r="A28" t="s">
        <v>41</v>
      </c>
      <c r="B28">
        <f>B8*B21+B22</f>
        <v>0.65</v>
      </c>
    </row>
    <row r="30" spans="1:4" x14ac:dyDescent="0.25">
      <c r="A30" t="s">
        <v>44</v>
      </c>
      <c r="B30">
        <f>B6*B2</f>
        <v>1.65</v>
      </c>
    </row>
    <row r="31" spans="1:4" x14ac:dyDescent="0.25">
      <c r="A31" t="s">
        <v>45</v>
      </c>
      <c r="B31">
        <f>B$20*75/2+B$8/2+B$30</f>
        <v>1.6549499999999999</v>
      </c>
      <c r="C31">
        <f>(B32+0.5)*(5/4+25000/B$23)-25000*((B31+0.5)/B$23)-B$22/4</f>
        <v>2.2124999999999999</v>
      </c>
      <c r="D31">
        <f>(B31+0.5)*(5+100000/B$23)-4*C31-100000/B$23*(B32+0.5)</f>
        <v>3.1500000000000341</v>
      </c>
    </row>
    <row r="32" spans="1:4" x14ac:dyDescent="0.25">
      <c r="A32" t="s">
        <v>46</v>
      </c>
      <c r="B32">
        <f>-B$20*75/2-B$8/2+B$30</f>
        <v>1.6450499999999999</v>
      </c>
    </row>
    <row r="34" spans="1:4" x14ac:dyDescent="0.25">
      <c r="A34" t="s">
        <v>48</v>
      </c>
      <c r="B34">
        <f>B$20*-15/2+B$8/2+B$30</f>
        <v>1.6490099999999999</v>
      </c>
      <c r="C34">
        <f>(B35+0.5)*(5/4+25000/B$23)-25000*((B34+0.5)/B$23)-B$22/4</f>
        <v>2.5875000000000141</v>
      </c>
      <c r="D34">
        <f>(B34+0.5)*(5+100000/B$23)-4*C34-100000/B$23*(B35+0.5)</f>
        <v>0.14999999999980673</v>
      </c>
    </row>
    <row r="35" spans="1:4" x14ac:dyDescent="0.25">
      <c r="A35" t="s">
        <v>49</v>
      </c>
      <c r="B35">
        <f>-B$20*-15/2-B$8/2+B$30</f>
        <v>1.65099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15"/>
  <sheetViews>
    <sheetView workbookViewId="0">
      <selection activeCell="G9" sqref="G9:H9"/>
    </sheetView>
  </sheetViews>
  <sheetFormatPr defaultRowHeight="15" x14ac:dyDescent="0.25"/>
  <sheetData>
    <row r="9" spans="1:14" x14ac:dyDescent="0.25">
      <c r="A9" s="22" t="s">
        <v>50</v>
      </c>
      <c r="B9" s="22"/>
      <c r="C9" s="22"/>
      <c r="D9" s="22"/>
      <c r="E9" s="2"/>
      <c r="F9" s="2"/>
      <c r="G9" s="22" t="s">
        <v>51</v>
      </c>
      <c r="H9" s="22"/>
    </row>
    <row r="10" spans="1:14" x14ac:dyDescent="0.25">
      <c r="A10" s="22">
        <v>22</v>
      </c>
      <c r="B10" s="22"/>
      <c r="C10" s="22">
        <v>5</v>
      </c>
      <c r="D10" s="22"/>
      <c r="E10" s="2"/>
      <c r="F10" s="2"/>
      <c r="G10" s="22">
        <v>5</v>
      </c>
      <c r="H10" s="22"/>
    </row>
    <row r="11" spans="1:14" x14ac:dyDescent="0.25">
      <c r="A11">
        <v>70.8</v>
      </c>
      <c r="B11">
        <v>2.88</v>
      </c>
      <c r="C11">
        <v>75</v>
      </c>
      <c r="D11">
        <v>3.024</v>
      </c>
      <c r="E11">
        <f>D11*$B$14+$B$15</f>
        <v>75.437379108525747</v>
      </c>
      <c r="F11">
        <f>C11-E11</f>
        <v>-0.43737910852574657</v>
      </c>
      <c r="G11">
        <v>72.099999999999994</v>
      </c>
      <c r="H11">
        <v>2.99</v>
      </c>
      <c r="I11">
        <f>H11*$B$14+$B$15</f>
        <v>74.354825547506039</v>
      </c>
      <c r="J11">
        <f>G11-I11</f>
        <v>-2.2548255475060444</v>
      </c>
      <c r="K11">
        <v>75.2</v>
      </c>
      <c r="L11">
        <v>3.1030000000000002</v>
      </c>
      <c r="M11">
        <f>L11*$B$14+$B$15</f>
        <v>77.952724147365672</v>
      </c>
      <c r="N11">
        <f>K11-M11</f>
        <v>-2.7527241473656687</v>
      </c>
    </row>
    <row r="12" spans="1:14" x14ac:dyDescent="0.25">
      <c r="A12">
        <v>17.2</v>
      </c>
      <c r="B12">
        <v>1.1879999999999999</v>
      </c>
      <c r="C12">
        <v>28.2</v>
      </c>
      <c r="D12">
        <v>1.534</v>
      </c>
      <c r="E12">
        <f t="shared" ref="E12:E13" si="0">D12*$B$14+$B$15</f>
        <v>27.996061287367812</v>
      </c>
      <c r="F12">
        <f t="shared" ref="F12:F13" si="1">C12-E12</f>
        <v>0.20393871263218699</v>
      </c>
      <c r="G12">
        <v>36.1</v>
      </c>
      <c r="H12">
        <v>1.8720000000000001</v>
      </c>
      <c r="I12">
        <f>H12*$B$14+$B$15</f>
        <v>38.75791727632847</v>
      </c>
      <c r="J12">
        <f>G12-I12</f>
        <v>-2.6579172763284689</v>
      </c>
      <c r="K12">
        <v>0</v>
      </c>
      <c r="L12">
        <v>0.71599999999999997</v>
      </c>
      <c r="M12">
        <f>L12*$B$14+$B$15</f>
        <v>1.9510962016582845</v>
      </c>
      <c r="N12">
        <f>K12-M12</f>
        <v>-1.9510962016582845</v>
      </c>
    </row>
    <row r="13" spans="1:14" x14ac:dyDescent="0.25">
      <c r="A13">
        <v>0</v>
      </c>
      <c r="B13">
        <v>0.66</v>
      </c>
      <c r="C13">
        <v>0</v>
      </c>
      <c r="D13">
        <v>0.66400000000000003</v>
      </c>
      <c r="E13">
        <f t="shared" si="0"/>
        <v>0.29542604951049256</v>
      </c>
      <c r="F13">
        <f t="shared" si="1"/>
        <v>-0.29542604951049256</v>
      </c>
      <c r="G13">
        <v>0</v>
      </c>
      <c r="H13">
        <v>0.72799999999999998</v>
      </c>
      <c r="I13">
        <f t="shared" ref="I13" si="2">H13*$B$14+$B$15</f>
        <v>2.3331739290770059</v>
      </c>
      <c r="J13">
        <f t="shared" ref="J13" si="3">G13-I13</f>
        <v>-2.3331739290770059</v>
      </c>
    </row>
    <row r="14" spans="1:14" x14ac:dyDescent="0.25">
      <c r="A14" t="s">
        <v>52</v>
      </c>
      <c r="B14">
        <f>SLOPE(A11:A13,B11:B13)</f>
        <v>31.839810618226803</v>
      </c>
      <c r="D14">
        <f>SLOPE(C11:C13,D11:D13)</f>
        <v>31.739639154751593</v>
      </c>
      <c r="H14">
        <f>SLOPE(G11:G13,H11:H13)</f>
        <v>31.873213100093494</v>
      </c>
      <c r="L14">
        <f>SLOPE(K11:K12,L11:L12)</f>
        <v>31.503979891076664</v>
      </c>
    </row>
    <row r="15" spans="1:14" x14ac:dyDescent="0.25">
      <c r="A15" t="s">
        <v>53</v>
      </c>
      <c r="B15">
        <f>INTERCEPT(A11:A13,B11:B13)</f>
        <v>-20.846208200992105</v>
      </c>
      <c r="D15">
        <f>INTERCEPT(C11:C13,D11:D13)</f>
        <v>-20.848131888704273</v>
      </c>
      <c r="H15">
        <f>INTERCEPT(G11:G13,H11:H13)</f>
        <v>-23.323753743174215</v>
      </c>
      <c r="L15">
        <f>INTERCEPT(K11:K12,L11:L12)</f>
        <v>-22.556849602010885</v>
      </c>
    </row>
  </sheetData>
  <mergeCells count="5">
    <mergeCell ref="A10:B10"/>
    <mergeCell ref="C10:D10"/>
    <mergeCell ref="A9:D9"/>
    <mergeCell ref="G10:H10"/>
    <mergeCell ref="G9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8"/>
  <sheetViews>
    <sheetView topLeftCell="A10" workbookViewId="0">
      <selection activeCell="B16" sqref="B16"/>
    </sheetView>
  </sheetViews>
  <sheetFormatPr defaultRowHeight="15" x14ac:dyDescent="0.25"/>
  <sheetData>
    <row r="4" spans="1:8" x14ac:dyDescent="0.25">
      <c r="A4" t="s">
        <v>18</v>
      </c>
      <c r="B4">
        <v>0.1</v>
      </c>
    </row>
    <row r="5" spans="1:8" x14ac:dyDescent="0.25">
      <c r="A5" t="s">
        <v>57</v>
      </c>
      <c r="B5">
        <v>0.02</v>
      </c>
    </row>
    <row r="6" spans="1:8" x14ac:dyDescent="0.25">
      <c r="A6" t="s">
        <v>56</v>
      </c>
      <c r="B6" s="3">
        <v>10000</v>
      </c>
      <c r="H6" s="3"/>
    </row>
    <row r="7" spans="1:8" x14ac:dyDescent="0.25">
      <c r="A7" t="s">
        <v>54</v>
      </c>
      <c r="B7">
        <v>10</v>
      </c>
    </row>
    <row r="9" spans="1:8" x14ac:dyDescent="0.25">
      <c r="A9" t="s">
        <v>59</v>
      </c>
      <c r="B9">
        <f>B4*3.3/10</f>
        <v>3.3000000000000002E-2</v>
      </c>
    </row>
    <row r="10" spans="1:8" x14ac:dyDescent="0.25">
      <c r="A10" t="s">
        <v>60</v>
      </c>
      <c r="B10">
        <f>B5*3.3/10</f>
        <v>6.6E-3</v>
      </c>
    </row>
    <row r="12" spans="1:8" x14ac:dyDescent="0.25">
      <c r="A12" t="s">
        <v>58</v>
      </c>
      <c r="B12">
        <f>(3.15-0.15)/B9</f>
        <v>90.909090909090907</v>
      </c>
      <c r="D12">
        <v>180</v>
      </c>
      <c r="E12">
        <f>D12*D25</f>
        <v>75.757575757575736</v>
      </c>
    </row>
    <row r="13" spans="1:8" x14ac:dyDescent="0.25">
      <c r="A13" t="s">
        <v>55</v>
      </c>
      <c r="B13">
        <f>B12/B7</f>
        <v>9.0909090909090899</v>
      </c>
      <c r="D13">
        <f>D12/B7</f>
        <v>18</v>
      </c>
      <c r="E13">
        <f>E12/B7</f>
        <v>7.5757575757575735</v>
      </c>
    </row>
    <row r="15" spans="1:8" x14ac:dyDescent="0.25">
      <c r="A15" t="s">
        <v>47</v>
      </c>
      <c r="B15">
        <f>200000/(B13-5)</f>
        <v>48888.888888888898</v>
      </c>
      <c r="D15">
        <f>200000/(D13-5)</f>
        <v>15384.615384615385</v>
      </c>
      <c r="E15">
        <f>200000/(E13-5)</f>
        <v>77647.058823529485</v>
      </c>
    </row>
    <row r="16" spans="1:8" x14ac:dyDescent="0.25">
      <c r="A16" t="s">
        <v>17</v>
      </c>
      <c r="B16">
        <f>(((3.15+0.15)/2+1.67*(B7-1))/B7)-B13*(B9/2+B10)</f>
        <v>1.458</v>
      </c>
      <c r="C16">
        <f>(((3.15+0.65)/2+1.67*(B7-1))/B7)-B13*(B9/2-B10)</f>
        <v>1.603</v>
      </c>
    </row>
    <row r="18" spans="1:6" x14ac:dyDescent="0.25">
      <c r="A18" t="s">
        <v>61</v>
      </c>
      <c r="B18">
        <f>((B9+B10)*B13+B16)*(B7)-(1.67*(B7-1))</f>
        <v>3.1500000000000004</v>
      </c>
    </row>
    <row r="19" spans="1:6" x14ac:dyDescent="0.25">
      <c r="A19" t="s">
        <v>62</v>
      </c>
      <c r="B19">
        <f>((B10)*B13+B16)*B7-(1.67*(B7-1))</f>
        <v>0.15000000000000036</v>
      </c>
    </row>
    <row r="21" spans="1:6" x14ac:dyDescent="0.25">
      <c r="A21" t="s">
        <v>63</v>
      </c>
      <c r="D21">
        <v>0.1</v>
      </c>
      <c r="E21">
        <v>0.1</v>
      </c>
    </row>
    <row r="22" spans="1:6" x14ac:dyDescent="0.25">
      <c r="A22" t="s">
        <v>65</v>
      </c>
      <c r="D22">
        <f>(D21+1.67*(B7-1))/B7</f>
        <v>1.5129999999999999</v>
      </c>
      <c r="E22">
        <f>(E21+1.67*(B7-1))/B7</f>
        <v>1.5129999999999999</v>
      </c>
      <c r="F22">
        <f>(0.65+1.67*(B7-1))/B7-B10*E13</f>
        <v>1.518</v>
      </c>
    </row>
    <row r="23" spans="1:6" x14ac:dyDescent="0.25">
      <c r="A23" t="s">
        <v>64</v>
      </c>
      <c r="D23">
        <f>((B10*D13+D22)*B7-1.67*(B7-1))</f>
        <v>1.2879999999999985</v>
      </c>
      <c r="E23">
        <f>((B10*E13+E22)*B7-1.67*(B7-1))</f>
        <v>0.59999999999999964</v>
      </c>
      <c r="F23">
        <f>((B10*E13+F22)*B7-1.67*(B7-1))</f>
        <v>0.65000000000000036</v>
      </c>
    </row>
    <row r="24" spans="1:6" x14ac:dyDescent="0.25">
      <c r="A24" t="s">
        <v>66</v>
      </c>
      <c r="D24">
        <f>(((B9+B10)*D13+D22)*B7-1.67*(B7-1))</f>
        <v>7.2279999999999998</v>
      </c>
      <c r="F24">
        <f>(((B9+B10)*E13+F22)*B7-1.67*(B7-1))</f>
        <v>3.1500000000000004</v>
      </c>
    </row>
    <row r="25" spans="1:6" x14ac:dyDescent="0.25">
      <c r="A25" t="s">
        <v>67</v>
      </c>
      <c r="D25">
        <f>(3.15-0.65)/(D24-D23)</f>
        <v>0.42087542087542079</v>
      </c>
    </row>
    <row r="27" spans="1:6" x14ac:dyDescent="0.25">
      <c r="A27" t="s">
        <v>68</v>
      </c>
      <c r="D27">
        <f>D25*D23 + (D25-1)*(1.67*(B7-1)-B7*D22)</f>
        <v>0.59999999999999898</v>
      </c>
    </row>
    <row r="28" spans="1:6" x14ac:dyDescent="0.25">
      <c r="A28" t="s">
        <v>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A7" workbookViewId="0">
      <selection activeCell="O47" sqref="O47"/>
    </sheetView>
  </sheetViews>
  <sheetFormatPr defaultRowHeight="15" x14ac:dyDescent="0.25"/>
  <cols>
    <col min="2" max="2" width="14.85546875" customWidth="1"/>
    <col min="3" max="3" width="11.140625" customWidth="1"/>
    <col min="15" max="15" width="12" bestFit="1" customWidth="1"/>
  </cols>
  <sheetData>
    <row r="1" spans="1:16" x14ac:dyDescent="0.25">
      <c r="A1" t="s">
        <v>18</v>
      </c>
      <c r="B1">
        <f>O25</f>
        <v>0.15000000000000002</v>
      </c>
      <c r="N1" t="s">
        <v>198</v>
      </c>
      <c r="O1">
        <v>0.1</v>
      </c>
    </row>
    <row r="2" spans="1:16" x14ac:dyDescent="0.25">
      <c r="A2" t="s">
        <v>57</v>
      </c>
      <c r="B2">
        <v>0.02</v>
      </c>
      <c r="N2" t="s">
        <v>199</v>
      </c>
      <c r="O2">
        <v>20</v>
      </c>
    </row>
    <row r="3" spans="1:16" x14ac:dyDescent="0.25">
      <c r="A3" t="s">
        <v>56</v>
      </c>
      <c r="B3" s="3">
        <v>10000</v>
      </c>
      <c r="N3" t="s">
        <v>141</v>
      </c>
      <c r="O3">
        <f>O2*14.50377</f>
        <v>290.0754</v>
      </c>
    </row>
    <row r="4" spans="1:16" x14ac:dyDescent="0.25">
      <c r="A4" t="s">
        <v>54</v>
      </c>
      <c r="B4">
        <v>2.5</v>
      </c>
      <c r="N4" t="s">
        <v>189</v>
      </c>
      <c r="O4">
        <v>0.5</v>
      </c>
      <c r="P4">
        <f>O23</f>
        <v>1.3335787593966597</v>
      </c>
    </row>
    <row r="5" spans="1:16" x14ac:dyDescent="0.25">
      <c r="A5" t="s">
        <v>141</v>
      </c>
      <c r="B5">
        <v>507.6</v>
      </c>
      <c r="C5" t="s">
        <v>142</v>
      </c>
      <c r="E5" t="s">
        <v>196</v>
      </c>
      <c r="F5" t="s">
        <v>197</v>
      </c>
      <c r="N5" t="s">
        <v>190</v>
      </c>
      <c r="O5">
        <v>-0.3</v>
      </c>
    </row>
    <row r="6" spans="1:16" x14ac:dyDescent="0.25">
      <c r="A6" t="s">
        <v>77</v>
      </c>
      <c r="B6">
        <v>600</v>
      </c>
      <c r="E6">
        <v>20</v>
      </c>
      <c r="F6">
        <f>14.50377*E6</f>
        <v>290.0754</v>
      </c>
      <c r="N6" t="s">
        <v>57</v>
      </c>
      <c r="O6">
        <v>-1.4999999999999999E-2</v>
      </c>
    </row>
    <row r="7" spans="1:16" x14ac:dyDescent="0.25">
      <c r="N7" t="s">
        <v>65</v>
      </c>
      <c r="O7">
        <v>3</v>
      </c>
    </row>
    <row r="8" spans="1:16" x14ac:dyDescent="0.25">
      <c r="A8" t="s">
        <v>59</v>
      </c>
      <c r="B8">
        <f>B1*3.3/10*(B6/B5)</f>
        <v>5.8510638297872342E-2</v>
      </c>
      <c r="H8" t="s">
        <v>47</v>
      </c>
      <c r="I8">
        <v>0.128</v>
      </c>
      <c r="J8">
        <v>0.1</v>
      </c>
      <c r="K8">
        <v>7.1999999999999995E-2</v>
      </c>
      <c r="N8" t="s">
        <v>154</v>
      </c>
      <c r="O8">
        <v>10000</v>
      </c>
    </row>
    <row r="9" spans="1:16" x14ac:dyDescent="0.25">
      <c r="A9" t="s">
        <v>60</v>
      </c>
      <c r="B9">
        <f>B2*3.3/10</f>
        <v>6.6E-3</v>
      </c>
      <c r="I9">
        <v>10507</v>
      </c>
      <c r="J9">
        <v>7763</v>
      </c>
      <c r="K9">
        <v>5301</v>
      </c>
      <c r="N9" t="s">
        <v>47</v>
      </c>
      <c r="O9">
        <v>10000</v>
      </c>
    </row>
    <row r="10" spans="1:16" x14ac:dyDescent="0.25">
      <c r="N10" t="s">
        <v>159</v>
      </c>
      <c r="O10">
        <v>3.15</v>
      </c>
    </row>
    <row r="11" spans="1:16" x14ac:dyDescent="0.25">
      <c r="A11" t="s">
        <v>58</v>
      </c>
      <c r="B11">
        <f>(3.15-0.15)/B8</f>
        <v>51.272727272727273</v>
      </c>
      <c r="D11">
        <v>180</v>
      </c>
      <c r="E11">
        <f>D11*D24</f>
        <v>42.727272727272727</v>
      </c>
      <c r="N11" t="s">
        <v>160</v>
      </c>
      <c r="O11">
        <v>0.15</v>
      </c>
    </row>
    <row r="12" spans="1:16" x14ac:dyDescent="0.25">
      <c r="A12" t="s">
        <v>55</v>
      </c>
      <c r="B12">
        <f>B11/B4</f>
        <v>20.509090909090908</v>
      </c>
      <c r="D12">
        <f>D11/B4</f>
        <v>72</v>
      </c>
      <c r="E12">
        <f>E11/B4</f>
        <v>17.09090909090909</v>
      </c>
      <c r="N12" t="s">
        <v>162</v>
      </c>
      <c r="O12">
        <v>290</v>
      </c>
    </row>
    <row r="13" spans="1:16" x14ac:dyDescent="0.25">
      <c r="N13" t="s">
        <v>195</v>
      </c>
      <c r="O13">
        <v>-290</v>
      </c>
    </row>
    <row r="14" spans="1:16" x14ac:dyDescent="0.25">
      <c r="A14" t="s">
        <v>47</v>
      </c>
      <c r="B14">
        <f>200000/(B12-5)</f>
        <v>12895.662368112546</v>
      </c>
      <c r="D14">
        <f>200000/(D12-5)</f>
        <v>2985.0746268656717</v>
      </c>
      <c r="E14">
        <f>200000/(E12-5)</f>
        <v>16541.353383458649</v>
      </c>
      <c r="N14" t="s">
        <v>141</v>
      </c>
      <c r="O14">
        <v>507.6</v>
      </c>
    </row>
    <row r="15" spans="1:16" x14ac:dyDescent="0.25">
      <c r="A15" t="s">
        <v>17</v>
      </c>
      <c r="B15">
        <f>(((3.15+0.15)/2+1.67*(B4-1))/B4)-B12*(B8/2+B9)</f>
        <v>0.92663999999999969</v>
      </c>
      <c r="C15">
        <f>(((3.15+0.65)/2+1.67*(B4-1))/B4)-B12*(B8/2-B9)</f>
        <v>1.2973599999999998</v>
      </c>
      <c r="N15" t="s">
        <v>54</v>
      </c>
      <c r="O15">
        <v>2.5</v>
      </c>
    </row>
    <row r="17" spans="1:16" x14ac:dyDescent="0.25">
      <c r="A17" t="s">
        <v>61</v>
      </c>
      <c r="B17">
        <f>((B8+B9)*B12+B15)*(B4)-(1.67*(B4-1))</f>
        <v>3.1499999999999995</v>
      </c>
    </row>
    <row r="18" spans="1:16" x14ac:dyDescent="0.25">
      <c r="A18" t="s">
        <v>62</v>
      </c>
      <c r="B18">
        <f>((B9)*B12+B15)*B4-(1.67*(B4-1))</f>
        <v>0.14999999999999902</v>
      </c>
      <c r="H18" t="s">
        <v>17</v>
      </c>
      <c r="I18">
        <v>0.128</v>
      </c>
      <c r="J18">
        <v>0.1</v>
      </c>
      <c r="K18">
        <v>7.1999999999999995E-2</v>
      </c>
      <c r="N18" t="s">
        <v>161</v>
      </c>
      <c r="O18">
        <f>3.3/10*O12/O14</f>
        <v>0.18853427895981084</v>
      </c>
    </row>
    <row r="19" spans="1:16" x14ac:dyDescent="0.25">
      <c r="H19">
        <v>0.02</v>
      </c>
      <c r="I19">
        <v>0.90300000000000002</v>
      </c>
      <c r="J19">
        <v>0.85899999999999999</v>
      </c>
      <c r="K19">
        <v>0.78</v>
      </c>
      <c r="N19" t="s">
        <v>163</v>
      </c>
      <c r="O19">
        <f>(O10-O11)/(O1*O18*O15)</f>
        <v>63.648902821316618</v>
      </c>
    </row>
    <row r="20" spans="1:16" x14ac:dyDescent="0.25">
      <c r="A20" t="s">
        <v>63</v>
      </c>
      <c r="D20">
        <v>0.1</v>
      </c>
      <c r="E20">
        <v>0.1</v>
      </c>
      <c r="H20">
        <v>-0.02</v>
      </c>
      <c r="I20">
        <v>1.22</v>
      </c>
      <c r="J20">
        <v>1.2649999999999999</v>
      </c>
      <c r="K20">
        <v>1.34</v>
      </c>
      <c r="N20" t="s">
        <v>165</v>
      </c>
      <c r="O20">
        <f>-25</f>
        <v>-25</v>
      </c>
    </row>
    <row r="21" spans="1:16" x14ac:dyDescent="0.25">
      <c r="A21" t="s">
        <v>65</v>
      </c>
      <c r="D21">
        <f>(D20+1.67*(B4-1))/B4</f>
        <v>1.042</v>
      </c>
      <c r="E21">
        <f>(E20+1.67*(B4-1))/B4</f>
        <v>1.042</v>
      </c>
      <c r="F21">
        <f>(0.65+1.67*(B4-1))/B4-B9*E12</f>
        <v>1.1492</v>
      </c>
      <c r="N21" t="s">
        <v>166</v>
      </c>
      <c r="O21">
        <f>-400000/O9*O19</f>
        <v>-2545.9561128526648</v>
      </c>
    </row>
    <row r="22" spans="1:16" x14ac:dyDescent="0.25">
      <c r="A22" t="s">
        <v>64</v>
      </c>
      <c r="D22">
        <f>((B9*D12+D21)*B4-1.67*(B4-1))</f>
        <v>1.2880000000000003</v>
      </c>
      <c r="E22">
        <f>((B9*E12+E21)*B4-1.67*(B4-1))</f>
        <v>0.38200000000000012</v>
      </c>
      <c r="F22">
        <f>((B9*E12+F21)*B4-1.67*(B4-1))</f>
        <v>0.65000000000000036</v>
      </c>
      <c r="N22" t="s">
        <v>167</v>
      </c>
      <c r="O22">
        <f>25+O19^2-10*O19</f>
        <v>3439.6938021442402</v>
      </c>
      <c r="P22" t="s">
        <v>168</v>
      </c>
    </row>
    <row r="23" spans="1:16" x14ac:dyDescent="0.25">
      <c r="A23" t="s">
        <v>66</v>
      </c>
      <c r="D23">
        <f>(((B8+B9)*D12+D21)*B4-1.67*(B4-1))</f>
        <v>11.819914893617021</v>
      </c>
      <c r="F23">
        <f>(((B8+B9)*E12+F21)*B4-1.67*(B4-1))</f>
        <v>3.1499999999999995</v>
      </c>
      <c r="N23" t="s">
        <v>164</v>
      </c>
      <c r="O23">
        <f>(-O21-SQRT(O21^2-4*O20*O22))/2/O20</f>
        <v>1.3335787593966597</v>
      </c>
    </row>
    <row r="24" spans="1:16" x14ac:dyDescent="0.25">
      <c r="A24" t="s">
        <v>67</v>
      </c>
      <c r="D24">
        <f>(3.15-0.65)/(D23-D22)</f>
        <v>0.23737373737373738</v>
      </c>
      <c r="O24">
        <f>O1*(1+O5)</f>
        <v>6.9999999999999993E-2</v>
      </c>
    </row>
    <row r="25" spans="1:16" x14ac:dyDescent="0.25">
      <c r="O25">
        <f>O1*(1+O4)</f>
        <v>0.15000000000000002</v>
      </c>
    </row>
    <row r="26" spans="1:16" x14ac:dyDescent="0.25">
      <c r="A26" t="s">
        <v>68</v>
      </c>
      <c r="D26">
        <f>D24*D22 + (D24-1)*(1.67*(B4-1)-B4*D21)</f>
        <v>0.38200000000000012</v>
      </c>
      <c r="N26" t="s">
        <v>143</v>
      </c>
      <c r="O26">
        <f>O1*(1+O4)*3.3/10*B6/B5</f>
        <v>5.8510638297872342E-2</v>
      </c>
    </row>
    <row r="27" spans="1:16" x14ac:dyDescent="0.25">
      <c r="A27" t="s">
        <v>69</v>
      </c>
      <c r="N27" t="s">
        <v>144</v>
      </c>
      <c r="O27">
        <f>O1*(1+O5)*3.3/10*B6/B5</f>
        <v>2.7304964539007087E-2</v>
      </c>
    </row>
    <row r="28" spans="1:16" x14ac:dyDescent="0.25">
      <c r="N28" t="s">
        <v>57</v>
      </c>
      <c r="O28">
        <f>O6*3.3/10</f>
        <v>-4.9499999999999995E-3</v>
      </c>
    </row>
    <row r="29" spans="1:16" x14ac:dyDescent="0.25">
      <c r="C29" t="s">
        <v>188</v>
      </c>
    </row>
    <row r="30" spans="1:16" x14ac:dyDescent="0.25">
      <c r="C30" s="12" t="s">
        <v>187</v>
      </c>
    </row>
    <row r="32" spans="1:16" x14ac:dyDescent="0.25">
      <c r="N32" t="s">
        <v>147</v>
      </c>
      <c r="O32">
        <f>(O10-O11)/O26</f>
        <v>51.272727272727273</v>
      </c>
    </row>
    <row r="33" spans="14:15" x14ac:dyDescent="0.25">
      <c r="N33" t="s">
        <v>148</v>
      </c>
      <c r="O33">
        <f>(O10-O11)/O27</f>
        <v>109.87012987012989</v>
      </c>
    </row>
    <row r="35" spans="14:15" x14ac:dyDescent="0.25">
      <c r="N35" t="s">
        <v>149</v>
      </c>
      <c r="O35">
        <f>O32/O15</f>
        <v>20.509090909090908</v>
      </c>
    </row>
    <row r="36" spans="14:15" x14ac:dyDescent="0.25">
      <c r="N36" t="s">
        <v>150</v>
      </c>
      <c r="O36">
        <f>O33/O15</f>
        <v>43.948051948051955</v>
      </c>
    </row>
    <row r="38" spans="14:15" x14ac:dyDescent="0.25">
      <c r="N38" t="s">
        <v>145</v>
      </c>
      <c r="O38">
        <f>200000/(O35-5)</f>
        <v>12895.662368112546</v>
      </c>
    </row>
    <row r="39" spans="14:15" x14ac:dyDescent="0.25">
      <c r="N39" t="s">
        <v>146</v>
      </c>
      <c r="O39">
        <f>200000/(O36-5)</f>
        <v>5135.045015005001</v>
      </c>
    </row>
    <row r="41" spans="14:15" x14ac:dyDescent="0.25">
      <c r="N41" t="s">
        <v>151</v>
      </c>
      <c r="O41">
        <f>O38-O39</f>
        <v>7760.6173531075447</v>
      </c>
    </row>
    <row r="43" spans="14:15" x14ac:dyDescent="0.25">
      <c r="N43" t="s">
        <v>152</v>
      </c>
      <c r="O43">
        <f>(((O10+O11)/2+1.67*(B4-1))/B4)-O36*(O27/2+O28)</f>
        <v>1.2795428571428569</v>
      </c>
    </row>
    <row r="44" spans="14:15" x14ac:dyDescent="0.25">
      <c r="N44" t="s">
        <v>153</v>
      </c>
      <c r="O44">
        <f>(((O10+O11)/2+1.67*(B4-1))/B4)-O36*(O27/2-O28)</f>
        <v>0.84445714285714268</v>
      </c>
    </row>
    <row r="46" spans="14:15" x14ac:dyDescent="0.25">
      <c r="N46" t="s">
        <v>155</v>
      </c>
      <c r="O46">
        <f>O43-O44</f>
        <v>0.43508571428571419</v>
      </c>
    </row>
    <row r="47" spans="14:15" x14ac:dyDescent="0.25">
      <c r="N47" t="s">
        <v>156</v>
      </c>
      <c r="O47">
        <f>O46/O8</f>
        <v>4.3508571428571417E-5</v>
      </c>
    </row>
    <row r="49" spans="14:15" x14ac:dyDescent="0.25">
      <c r="N49" t="s">
        <v>157</v>
      </c>
      <c r="O49">
        <f>O44/O47</f>
        <v>19408.983451536646</v>
      </c>
    </row>
    <row r="50" spans="14:15" x14ac:dyDescent="0.25">
      <c r="N50" t="s">
        <v>158</v>
      </c>
      <c r="O50">
        <f>(3-O43)/O47</f>
        <v>39542.947202521689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9"/>
  <sheetViews>
    <sheetView workbookViewId="0">
      <selection activeCell="D24" sqref="D24"/>
    </sheetView>
  </sheetViews>
  <sheetFormatPr defaultRowHeight="15" x14ac:dyDescent="0.25"/>
  <cols>
    <col min="1" max="1" width="29.140625" customWidth="1"/>
    <col min="3" max="3" width="24.5703125" customWidth="1"/>
    <col min="4" max="4" width="20.85546875" customWidth="1"/>
    <col min="5" max="5" width="52.7109375" customWidth="1"/>
  </cols>
  <sheetData>
    <row r="3" spans="1:5" x14ac:dyDescent="0.25">
      <c r="D3" s="5" t="s">
        <v>97</v>
      </c>
    </row>
    <row r="4" spans="1:5" x14ac:dyDescent="0.25">
      <c r="A4" t="s">
        <v>104</v>
      </c>
      <c r="B4" s="8" t="s">
        <v>102</v>
      </c>
      <c r="C4" s="5" t="s">
        <v>106</v>
      </c>
      <c r="D4" s="5">
        <v>1</v>
      </c>
      <c r="E4" t="s">
        <v>105</v>
      </c>
    </row>
    <row r="5" spans="1:5" x14ac:dyDescent="0.25">
      <c r="A5" t="s">
        <v>90</v>
      </c>
      <c r="B5" s="6">
        <v>0.7742</v>
      </c>
      <c r="C5" s="5" t="s">
        <v>107</v>
      </c>
      <c r="D5" s="5">
        <v>2</v>
      </c>
      <c r="E5" t="s">
        <v>110</v>
      </c>
    </row>
    <row r="6" spans="1:5" x14ac:dyDescent="0.25">
      <c r="A6" t="s">
        <v>91</v>
      </c>
      <c r="B6" s="6">
        <v>1.3446</v>
      </c>
      <c r="C6" s="5" t="s">
        <v>108</v>
      </c>
      <c r="D6" s="5">
        <v>3</v>
      </c>
      <c r="E6" t="s">
        <v>112</v>
      </c>
    </row>
    <row r="7" spans="1:5" x14ac:dyDescent="0.25">
      <c r="A7" t="s">
        <v>85</v>
      </c>
      <c r="B7" s="6">
        <v>0.28539999999999999</v>
      </c>
      <c r="D7" s="5">
        <v>4</v>
      </c>
      <c r="E7" t="s">
        <v>111</v>
      </c>
    </row>
    <row r="8" spans="1:5" x14ac:dyDescent="0.25">
      <c r="A8" t="s">
        <v>74</v>
      </c>
      <c r="B8" s="6">
        <v>462.7</v>
      </c>
      <c r="D8" s="5">
        <v>5</v>
      </c>
      <c r="E8" t="s">
        <v>98</v>
      </c>
    </row>
    <row r="9" spans="1:5" x14ac:dyDescent="0.25">
      <c r="A9" t="s">
        <v>75</v>
      </c>
      <c r="B9" s="6">
        <v>2.4281000000000001</v>
      </c>
      <c r="D9" s="5">
        <v>6</v>
      </c>
      <c r="E9" t="s">
        <v>99</v>
      </c>
    </row>
    <row r="10" spans="1:5" x14ac:dyDescent="0.25">
      <c r="B10" s="7"/>
      <c r="D10" s="5">
        <v>7</v>
      </c>
      <c r="E10" t="s">
        <v>100</v>
      </c>
    </row>
    <row r="11" spans="1:5" x14ac:dyDescent="0.25">
      <c r="A11" s="4" t="s">
        <v>94</v>
      </c>
      <c r="B11" s="9">
        <f>B35*B31+B47*B22-B28*(B22-1)</f>
        <v>2.4485490051617118</v>
      </c>
      <c r="C11" t="s">
        <v>113</v>
      </c>
      <c r="D11" s="5">
        <v>8</v>
      </c>
      <c r="E11" t="s">
        <v>101</v>
      </c>
    </row>
    <row r="12" spans="1:5" x14ac:dyDescent="0.25">
      <c r="A12" s="4" t="s">
        <v>89</v>
      </c>
      <c r="B12" s="9">
        <f>B35*B43+B47*B22-B28*(B22-1)</f>
        <v>2.9327648000000002</v>
      </c>
      <c r="C12" t="s">
        <v>113</v>
      </c>
    </row>
    <row r="13" spans="1:5" x14ac:dyDescent="0.25">
      <c r="A13" s="4"/>
    </row>
    <row r="14" spans="1:5" x14ac:dyDescent="0.25">
      <c r="A14" s="4"/>
    </row>
    <row r="15" spans="1:5" x14ac:dyDescent="0.25">
      <c r="A15" s="4"/>
    </row>
    <row r="16" spans="1:5" x14ac:dyDescent="0.25">
      <c r="A16" s="4"/>
    </row>
    <row r="17" spans="1:5" x14ac:dyDescent="0.25">
      <c r="C17" t="s">
        <v>95</v>
      </c>
      <c r="D17" t="s">
        <v>96</v>
      </c>
    </row>
    <row r="18" spans="1:5" x14ac:dyDescent="0.25">
      <c r="C18" t="s">
        <v>103</v>
      </c>
      <c r="D18" t="s">
        <v>102</v>
      </c>
    </row>
    <row r="19" spans="1:5" x14ac:dyDescent="0.25">
      <c r="A19" t="s">
        <v>106</v>
      </c>
    </row>
    <row r="20" spans="1:5" x14ac:dyDescent="0.25">
      <c r="A20" t="s">
        <v>92</v>
      </c>
      <c r="B20">
        <f>IF(B$4="High",D20,C20)</f>
        <v>0.01</v>
      </c>
      <c r="C20">
        <v>5.0000000000000001E-3</v>
      </c>
      <c r="D20">
        <v>0.01</v>
      </c>
      <c r="E20" t="s">
        <v>114</v>
      </c>
    </row>
    <row r="21" spans="1:5" x14ac:dyDescent="0.25">
      <c r="A21" t="s">
        <v>93</v>
      </c>
      <c r="B21">
        <f t="shared" ref="B21:B28" si="0">IF(B$4="High",D21,C21)</f>
        <v>0.02</v>
      </c>
      <c r="C21">
        <v>1.4999999999999999E-2</v>
      </c>
      <c r="D21">
        <v>0.02</v>
      </c>
      <c r="E21" t="s">
        <v>114</v>
      </c>
    </row>
    <row r="22" spans="1:5" x14ac:dyDescent="0.25">
      <c r="A22" t="s">
        <v>71</v>
      </c>
      <c r="B22">
        <f t="shared" si="0"/>
        <v>2.5</v>
      </c>
      <c r="C22">
        <v>10</v>
      </c>
      <c r="D22">
        <v>2.5</v>
      </c>
      <c r="E22" t="s">
        <v>115</v>
      </c>
    </row>
    <row r="23" spans="1:5" x14ac:dyDescent="0.25">
      <c r="A23" t="s">
        <v>78</v>
      </c>
      <c r="B23">
        <f t="shared" si="0"/>
        <v>14.7</v>
      </c>
      <c r="C23">
        <v>0</v>
      </c>
      <c r="D23">
        <v>14.7</v>
      </c>
      <c r="E23" t="s">
        <v>118</v>
      </c>
    </row>
    <row r="24" spans="1:5" x14ac:dyDescent="0.25">
      <c r="A24" t="s">
        <v>77</v>
      </c>
      <c r="B24">
        <f t="shared" si="0"/>
        <v>500</v>
      </c>
      <c r="C24">
        <v>75</v>
      </c>
      <c r="D24">
        <v>500</v>
      </c>
      <c r="E24" t="s">
        <v>116</v>
      </c>
    </row>
    <row r="25" spans="1:5" x14ac:dyDescent="0.25">
      <c r="A25" t="s">
        <v>78</v>
      </c>
      <c r="B25">
        <f t="shared" si="0"/>
        <v>14.7</v>
      </c>
      <c r="C25">
        <v>0</v>
      </c>
      <c r="D25">
        <v>14.7</v>
      </c>
      <c r="E25" t="s">
        <v>117</v>
      </c>
    </row>
    <row r="26" spans="1:5" x14ac:dyDescent="0.25">
      <c r="A26" t="s">
        <v>80</v>
      </c>
      <c r="B26">
        <f t="shared" si="0"/>
        <v>3.15</v>
      </c>
      <c r="C26">
        <v>3.15</v>
      </c>
      <c r="D26">
        <v>3.15</v>
      </c>
      <c r="E26" t="s">
        <v>120</v>
      </c>
    </row>
    <row r="27" spans="1:5" x14ac:dyDescent="0.25">
      <c r="A27" t="s">
        <v>81</v>
      </c>
      <c r="B27">
        <f t="shared" si="0"/>
        <v>0.23799999999999999</v>
      </c>
      <c r="C27">
        <v>0.65</v>
      </c>
      <c r="D27">
        <v>0.23799999999999999</v>
      </c>
      <c r="E27" t="s">
        <v>119</v>
      </c>
    </row>
    <row r="28" spans="1:5" x14ac:dyDescent="0.25">
      <c r="A28" t="s">
        <v>109</v>
      </c>
      <c r="B28">
        <f t="shared" si="0"/>
        <v>1.67</v>
      </c>
      <c r="C28">
        <v>1.67</v>
      </c>
      <c r="D28">
        <v>1.67</v>
      </c>
    </row>
    <row r="31" spans="1:5" x14ac:dyDescent="0.25">
      <c r="A31" t="s">
        <v>72</v>
      </c>
      <c r="B31">
        <f>(B6-B5)/(B21-B20)</f>
        <v>57.04</v>
      </c>
    </row>
    <row r="32" spans="1:5" x14ac:dyDescent="0.25">
      <c r="A32" t="s">
        <v>73</v>
      </c>
      <c r="B32">
        <f>B31/B22</f>
        <v>22.815999999999999</v>
      </c>
    </row>
    <row r="33" spans="1:2" x14ac:dyDescent="0.25">
      <c r="A33" t="s">
        <v>65</v>
      </c>
      <c r="B33">
        <f>(B6-(B21)*B31+(B22-1)*B28)/B22</f>
        <v>1.08352</v>
      </c>
    </row>
    <row r="34" spans="1:2" x14ac:dyDescent="0.25">
      <c r="A34" t="s">
        <v>86</v>
      </c>
      <c r="B34">
        <f>(B7+B28*(B22-1)-B33*B22)/B31</f>
        <v>1.4305750350631118E-3</v>
      </c>
    </row>
    <row r="35" spans="1:2" x14ac:dyDescent="0.25">
      <c r="A35" t="s">
        <v>76</v>
      </c>
      <c r="B35">
        <f>(B9+B28*(B22-1)-B33*B22)/B31</f>
        <v>3.8995441795231407E-2</v>
      </c>
    </row>
    <row r="36" spans="1:2" x14ac:dyDescent="0.25">
      <c r="A36" t="s">
        <v>87</v>
      </c>
      <c r="B36">
        <f>(B35-B34)/(B8-B23)</f>
        <v>8.3850149018232804E-5</v>
      </c>
    </row>
    <row r="37" spans="1:2" x14ac:dyDescent="0.25">
      <c r="A37" t="s">
        <v>18</v>
      </c>
      <c r="B37">
        <f>B36*B24</f>
        <v>4.1925074509116401E-2</v>
      </c>
    </row>
    <row r="38" spans="1:2" x14ac:dyDescent="0.25">
      <c r="A38" t="s">
        <v>57</v>
      </c>
      <c r="B38">
        <f>B35-B8*B36</f>
        <v>1.9797784449508693E-4</v>
      </c>
    </row>
    <row r="39" spans="1:2" x14ac:dyDescent="0.25">
      <c r="A39" t="s">
        <v>38</v>
      </c>
      <c r="B39">
        <f>(B7+B28*(B22-1)-B33*B22)/B31</f>
        <v>1.4305750350631118E-3</v>
      </c>
    </row>
    <row r="40" spans="1:2" x14ac:dyDescent="0.25">
      <c r="B40">
        <f>(B9+B28*(B22-1)-B33*B22)/B31</f>
        <v>3.8995441795231407E-2</v>
      </c>
    </row>
    <row r="41" spans="1:2" x14ac:dyDescent="0.25">
      <c r="A41" t="s">
        <v>79</v>
      </c>
      <c r="B41">
        <f>(B24/B8)*(B40-B39)</f>
        <v>4.0593112989159602E-2</v>
      </c>
    </row>
    <row r="42" spans="1:2" x14ac:dyDescent="0.25">
      <c r="A42" t="s">
        <v>82</v>
      </c>
      <c r="B42">
        <f>(B26-B27)*B8/B24+B27</f>
        <v>2.9327647999999997</v>
      </c>
    </row>
    <row r="43" spans="1:2" x14ac:dyDescent="0.25">
      <c r="A43" t="s">
        <v>83</v>
      </c>
      <c r="B43">
        <f>(B26-B27)/B37</f>
        <v>69.45724090166614</v>
      </c>
    </row>
    <row r="44" spans="1:2" x14ac:dyDescent="0.25">
      <c r="A44" t="s">
        <v>88</v>
      </c>
      <c r="B44">
        <f>(B26-B27)/B24*B23+B27</f>
        <v>0.32361279999999998</v>
      </c>
    </row>
    <row r="47" spans="1:2" x14ac:dyDescent="0.25">
      <c r="A47" t="s">
        <v>84</v>
      </c>
      <c r="B47">
        <f>(B44-B34*B43+B28*(B22-1))/B22</f>
        <v>1.0916996020646847</v>
      </c>
    </row>
    <row r="49" spans="2:3" x14ac:dyDescent="0.25">
      <c r="B49">
        <f>(3.15+15.03)/B22-(B34+0.0099)*B32</f>
        <v>7.0134816000000004</v>
      </c>
      <c r="C49" t="s">
        <v>126</v>
      </c>
    </row>
    <row r="50" spans="2:3" x14ac:dyDescent="0.25">
      <c r="B50">
        <f>(B34*B32+B49)*B22-15.03</f>
        <v>2.5853040000000025</v>
      </c>
      <c r="C50" t="s">
        <v>125</v>
      </c>
    </row>
    <row r="51" spans="2:3" x14ac:dyDescent="0.25">
      <c r="B51">
        <v>39</v>
      </c>
      <c r="C51" t="s">
        <v>124</v>
      </c>
    </row>
    <row r="52" spans="2:3" x14ac:dyDescent="0.25">
      <c r="B52">
        <v>2.5950000000000002</v>
      </c>
      <c r="C52" t="s">
        <v>123</v>
      </c>
    </row>
    <row r="53" spans="2:3" x14ac:dyDescent="0.25">
      <c r="B53">
        <f>(B52-B50)/B31</f>
        <v>1.6998597475451801E-4</v>
      </c>
      <c r="C53" t="s">
        <v>122</v>
      </c>
    </row>
    <row r="54" spans="2:3" x14ac:dyDescent="0.25">
      <c r="B54">
        <f>B53/B51</f>
        <v>4.3586147372953338E-6</v>
      </c>
      <c r="C54" t="s">
        <v>121</v>
      </c>
    </row>
    <row r="55" spans="2:3" x14ac:dyDescent="0.25">
      <c r="B55">
        <f>B54*(B24-B23)</f>
        <v>2.1152357320094253E-3</v>
      </c>
      <c r="C55" t="s">
        <v>127</v>
      </c>
    </row>
    <row r="56" spans="2:3" x14ac:dyDescent="0.25">
      <c r="B56">
        <f>(B26-B27)/B55/B22</f>
        <v>550.67148421016259</v>
      </c>
      <c r="C56" t="s">
        <v>36</v>
      </c>
    </row>
    <row r="57" spans="2:3" x14ac:dyDescent="0.25">
      <c r="B57">
        <f>(B27+15.03)/B22-0.01987*B56</f>
        <v>-4.8346423912559304</v>
      </c>
      <c r="C57" t="s">
        <v>128</v>
      </c>
    </row>
    <row r="58" spans="2:3" x14ac:dyDescent="0.25">
      <c r="B58">
        <f>((B53+B34)*B32+B57)*B22-15.03</f>
        <v>-27.025309978139827</v>
      </c>
      <c r="C58" t="s">
        <v>130</v>
      </c>
    </row>
    <row r="59" spans="2:3" x14ac:dyDescent="0.25">
      <c r="B59">
        <f>((B53+B34)*B56+B57)*B22-15.03</f>
        <v>-24.913147711026848</v>
      </c>
      <c r="C59" t="s">
        <v>129</v>
      </c>
    </row>
  </sheetData>
  <dataValidations count="1">
    <dataValidation type="list" allowBlank="1" showInputMessage="1" showErrorMessage="1" promptTitle="Amplifier Configuration" sqref="B4">
      <formula1>$C$18:$D$18</formula1>
    </dataValidation>
  </dataValidation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B22" sqref="B22"/>
    </sheetView>
  </sheetViews>
  <sheetFormatPr defaultRowHeight="15" x14ac:dyDescent="0.25"/>
  <cols>
    <col min="1" max="1" width="21.42578125" customWidth="1"/>
    <col min="2" max="2" width="15.42578125" customWidth="1"/>
  </cols>
  <sheetData>
    <row r="1" spans="1:2" x14ac:dyDescent="0.25">
      <c r="A1" t="s">
        <v>134</v>
      </c>
      <c r="B1">
        <v>507</v>
      </c>
    </row>
    <row r="2" spans="1:2" x14ac:dyDescent="0.25">
      <c r="A2" t="s">
        <v>70</v>
      </c>
      <c r="B2">
        <v>0.5</v>
      </c>
    </row>
    <row r="3" spans="1:2" x14ac:dyDescent="0.25">
      <c r="A3" t="s">
        <v>23</v>
      </c>
      <c r="B3">
        <v>0.08</v>
      </c>
    </row>
    <row r="4" spans="1:2" x14ac:dyDescent="0.25">
      <c r="A4" t="s">
        <v>24</v>
      </c>
      <c r="B4">
        <v>4.7000000000000002E-3</v>
      </c>
    </row>
    <row r="5" spans="1:2" x14ac:dyDescent="0.25">
      <c r="A5" t="s">
        <v>32</v>
      </c>
      <c r="B5">
        <v>10</v>
      </c>
    </row>
    <row r="6" spans="1:2" x14ac:dyDescent="0.25">
      <c r="A6" t="s">
        <v>33</v>
      </c>
      <c r="B6">
        <v>3.3</v>
      </c>
    </row>
    <row r="7" spans="1:2" x14ac:dyDescent="0.25">
      <c r="A7" t="s">
        <v>23</v>
      </c>
      <c r="B7">
        <f>B6/B5*B3</f>
        <v>2.6399999999999996E-2</v>
      </c>
    </row>
    <row r="8" spans="1:2" x14ac:dyDescent="0.25">
      <c r="A8" t="s">
        <v>24</v>
      </c>
      <c r="B8">
        <f>B6/B5*B4</f>
        <v>1.5509999999999999E-3</v>
      </c>
    </row>
    <row r="11" spans="1:2" x14ac:dyDescent="0.25">
      <c r="A11" t="s">
        <v>133</v>
      </c>
      <c r="B11">
        <f>((B12-B13)/(B14-B15))*14.7+(B12-((B12-B13)/(B14-B15))*B14)</f>
        <v>0.22349999999999992</v>
      </c>
    </row>
    <row r="12" spans="1:2" x14ac:dyDescent="0.25">
      <c r="A12" t="s">
        <v>26</v>
      </c>
      <c r="B12">
        <v>3.15</v>
      </c>
    </row>
    <row r="13" spans="1:2" x14ac:dyDescent="0.25">
      <c r="A13" t="s">
        <v>27</v>
      </c>
      <c r="B13">
        <v>0.15</v>
      </c>
    </row>
    <row r="14" spans="1:2" x14ac:dyDescent="0.25">
      <c r="A14" t="s">
        <v>135</v>
      </c>
      <c r="B14">
        <v>600</v>
      </c>
    </row>
    <row r="15" spans="1:2" x14ac:dyDescent="0.25">
      <c r="A15" t="s">
        <v>136</v>
      </c>
      <c r="B15">
        <v>0</v>
      </c>
    </row>
    <row r="17" spans="1:4" x14ac:dyDescent="0.25">
      <c r="A17" t="s">
        <v>30</v>
      </c>
      <c r="B17">
        <f>B12-B13</f>
        <v>3</v>
      </c>
    </row>
    <row r="18" spans="1:4" x14ac:dyDescent="0.25">
      <c r="A18" t="s">
        <v>31</v>
      </c>
      <c r="B18">
        <f>B14-B15</f>
        <v>600</v>
      </c>
    </row>
    <row r="19" spans="1:4" x14ac:dyDescent="0.25">
      <c r="A19" t="s">
        <v>35</v>
      </c>
      <c r="B19">
        <f>B17/B18</f>
        <v>5.0000000000000001E-3</v>
      </c>
    </row>
    <row r="20" spans="1:4" x14ac:dyDescent="0.25">
      <c r="A20" t="s">
        <v>37</v>
      </c>
      <c r="B20">
        <f>B7/B1</f>
        <v>5.2071005917159757E-5</v>
      </c>
    </row>
    <row r="21" spans="1:4" x14ac:dyDescent="0.25">
      <c r="A21" t="s">
        <v>36</v>
      </c>
      <c r="B21">
        <f>B19/B20</f>
        <v>96.02272727272728</v>
      </c>
    </row>
    <row r="22" spans="1:4" x14ac:dyDescent="0.25">
      <c r="A22" t="s">
        <v>38</v>
      </c>
      <c r="B22">
        <f>B13-B21*B8</f>
        <v>1.0687500000000072E-3</v>
      </c>
    </row>
    <row r="23" spans="1:4" x14ac:dyDescent="0.25">
      <c r="A23" t="s">
        <v>47</v>
      </c>
      <c r="B23">
        <f>200000/(B21-5)</f>
        <v>2197.2534332084892</v>
      </c>
    </row>
    <row r="25" spans="1:4" x14ac:dyDescent="0.25">
      <c r="B25" t="s">
        <v>42</v>
      </c>
      <c r="C25" t="s">
        <v>43</v>
      </c>
    </row>
    <row r="26" spans="1:4" x14ac:dyDescent="0.25">
      <c r="A26" t="s">
        <v>39</v>
      </c>
      <c r="B26">
        <f>(B20*75+B8)*B21+B22</f>
        <v>0.52499999999999991</v>
      </c>
    </row>
    <row r="27" spans="1:4" x14ac:dyDescent="0.25">
      <c r="A27" t="s">
        <v>40</v>
      </c>
      <c r="B27">
        <f>(B20*-15+B8)*B21+B22</f>
        <v>7.5000000000000011E-2</v>
      </c>
    </row>
    <row r="28" spans="1:4" x14ac:dyDescent="0.25">
      <c r="A28" t="s">
        <v>41</v>
      </c>
      <c r="B28">
        <f>B8*B21+B22</f>
        <v>0.15</v>
      </c>
    </row>
    <row r="30" spans="1:4" x14ac:dyDescent="0.25">
      <c r="A30" t="s">
        <v>44</v>
      </c>
      <c r="B30">
        <f>B6*B2</f>
        <v>1.65</v>
      </c>
    </row>
    <row r="31" spans="1:4" x14ac:dyDescent="0.25">
      <c r="A31" t="s">
        <v>131</v>
      </c>
      <c r="B31">
        <f>B$20*B$14/2+B$8/2+B$30</f>
        <v>1.6663968017751478</v>
      </c>
      <c r="C31">
        <f>(B32+0.5)*(5/4+25000/B$23)-25000*((B31+0.5)/B$23)-B$22/4</f>
        <v>2.2936164062499995</v>
      </c>
      <c r="D31">
        <f>(B31+0.5)*(5+100000/B$23)-4*C31-100000/B$23*(B32+0.5)</f>
        <v>3.1500000000000057</v>
      </c>
    </row>
    <row r="32" spans="1:4" x14ac:dyDescent="0.25">
      <c r="A32" t="s">
        <v>132</v>
      </c>
      <c r="B32">
        <f>-B$20*B$14/2-B$8/2+B$30</f>
        <v>1.633603198224852</v>
      </c>
    </row>
    <row r="34" spans="1:4" x14ac:dyDescent="0.25">
      <c r="A34" t="s">
        <v>137</v>
      </c>
      <c r="B34">
        <f>B$20*-B$15/2+B$8/2+B$30</f>
        <v>1.6507755</v>
      </c>
      <c r="C34">
        <f>(B35+0.5)*(5/4+25000/B$23)-25000*((B34+0.5)/B$23)-B$22/4</f>
        <v>2.6686164062500031</v>
      </c>
      <c r="D34">
        <f>(B34+0.5)*(5+100000/B$23)-4*C34-100000/B$23*(B35+0.5)</f>
        <v>0.14999999999999147</v>
      </c>
    </row>
    <row r="35" spans="1:4" x14ac:dyDescent="0.25">
      <c r="A35" t="s">
        <v>138</v>
      </c>
      <c r="B35">
        <f>-B$20*B$15/2-B$8/2+B$30</f>
        <v>1.6492244999999999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CalibrationOld</vt:lpstr>
      <vt:lpstr>Sheet8</vt:lpstr>
      <vt:lpstr>Calibration</vt:lpstr>
      <vt:lpstr>Design Calc</vt:lpstr>
      <vt:lpstr>E96 calc</vt:lpstr>
      <vt:lpstr>Sheet9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Scott Jensen</cp:lastModifiedBy>
  <dcterms:created xsi:type="dcterms:W3CDTF">2014-05-15T15:38:40Z</dcterms:created>
  <dcterms:modified xsi:type="dcterms:W3CDTF">2020-12-15T14:36:37Z</dcterms:modified>
</cp:coreProperties>
</file>