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ESP\G3-ESP\Project.Drawings\EE.Drawings\puckheater\"/>
    </mc:Choice>
  </mc:AlternateContent>
  <bookViews>
    <workbookView xWindow="0" yWindow="0" windowWidth="19770" windowHeight="12435" activeTab="1"/>
  </bookViews>
  <sheets>
    <sheet name="element calc" sheetId="10" r:id="rId1"/>
    <sheet name="2rings" sheetId="11" r:id="rId2"/>
    <sheet name="Sheet1" sheetId="1" r:id="rId3"/>
    <sheet name="Sheet3" sheetId="3" r:id="rId4"/>
    <sheet name="Sheet5" sheetId="5" r:id="rId5"/>
    <sheet name="4-rings (2)" sheetId="8" r:id="rId6"/>
    <sheet name="4-rings" sheetId="7" r:id="rId7"/>
    <sheet name="5-rings" sheetId="6" r:id="rId8"/>
    <sheet name="Sheet4" sheetId="4" r:id="rId9"/>
    <sheet name="Sheet2" sheetId="2" r:id="rId10"/>
    <sheet name="even8" sheetId="9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0" i="11" l="1"/>
  <c r="B75" i="11"/>
  <c r="B92" i="11"/>
  <c r="B59" i="11"/>
  <c r="B45" i="11"/>
  <c r="B89" i="11"/>
  <c r="B74" i="11"/>
  <c r="B58" i="11"/>
  <c r="B44" i="11"/>
  <c r="B81" i="11"/>
  <c r="B66" i="11"/>
  <c r="B51" i="11"/>
  <c r="B50" i="11"/>
  <c r="B37" i="11"/>
  <c r="B36" i="11"/>
  <c r="B48" i="11"/>
  <c r="B19" i="11"/>
  <c r="B16" i="11"/>
  <c r="B15" i="11"/>
  <c r="B34" i="11"/>
  <c r="B5" i="11"/>
  <c r="B6" i="11" s="1"/>
  <c r="R40" i="10"/>
  <c r="Q40" i="10"/>
  <c r="P40" i="10"/>
  <c r="P41" i="10"/>
  <c r="O41" i="10"/>
  <c r="O40" i="10"/>
  <c r="N40" i="10"/>
  <c r="M40" i="10"/>
  <c r="N41" i="10"/>
  <c r="M41" i="10"/>
  <c r="B15" i="10"/>
  <c r="B14" i="10"/>
  <c r="B52" i="11" l="1"/>
  <c r="B53" i="11" s="1"/>
  <c r="B54" i="11" s="1"/>
  <c r="C37" i="11"/>
  <c r="D37" i="11" s="1"/>
  <c r="B21" i="11"/>
  <c r="B23" i="11" s="1"/>
  <c r="B25" i="11" s="1"/>
  <c r="B20" i="11"/>
  <c r="B22" i="11" s="1"/>
  <c r="B24" i="11" s="1"/>
  <c r="B26" i="11" s="1"/>
  <c r="B38" i="11"/>
  <c r="B39" i="11" s="1"/>
  <c r="B40" i="11" s="1"/>
  <c r="L43" i="10"/>
  <c r="B28" i="10"/>
  <c r="N46" i="10"/>
  <c r="C54" i="10" s="1"/>
  <c r="B5" i="10"/>
  <c r="B14" i="9"/>
  <c r="M49" i="9" s="1"/>
  <c r="N49" i="9" s="1"/>
  <c r="N42" i="9"/>
  <c r="M42" i="9"/>
  <c r="P41" i="9"/>
  <c r="O41" i="9"/>
  <c r="N41" i="9"/>
  <c r="M41" i="9"/>
  <c r="R40" i="9"/>
  <c r="Q40" i="9"/>
  <c r="P40" i="9"/>
  <c r="O40" i="9"/>
  <c r="N40" i="9"/>
  <c r="M40" i="9"/>
  <c r="B28" i="9"/>
  <c r="B5" i="9"/>
  <c r="B16" i="8"/>
  <c r="H17" i="8"/>
  <c r="B14" i="8"/>
  <c r="Q13" i="8"/>
  <c r="I13" i="8"/>
  <c r="H13" i="8"/>
  <c r="F14" i="8" s="1"/>
  <c r="C12" i="8"/>
  <c r="C11" i="8"/>
  <c r="H17" i="7"/>
  <c r="B14" i="7"/>
  <c r="B16" i="7" s="1"/>
  <c r="I13" i="7"/>
  <c r="H13" i="7"/>
  <c r="Q13" i="7" s="1"/>
  <c r="C12" i="7"/>
  <c r="C11" i="7"/>
  <c r="Q13" i="6"/>
  <c r="H18" i="6"/>
  <c r="I13" i="6"/>
  <c r="H13" i="6"/>
  <c r="B16" i="6"/>
  <c r="B18" i="6" s="1"/>
  <c r="B14" i="6"/>
  <c r="C12" i="6"/>
  <c r="C11" i="6"/>
  <c r="A14" i="5"/>
  <c r="A13" i="5"/>
  <c r="A12" i="5"/>
  <c r="A11" i="5"/>
  <c r="A15" i="5"/>
  <c r="C15" i="5" s="1"/>
  <c r="H15" i="5" s="1"/>
  <c r="G7" i="5"/>
  <c r="E7" i="5"/>
  <c r="F7" i="5"/>
  <c r="D16" i="5"/>
  <c r="E15" i="5"/>
  <c r="F15" i="5" s="1"/>
  <c r="G15" i="5" s="1"/>
  <c r="E14" i="5"/>
  <c r="F14" i="5" s="1"/>
  <c r="G14" i="5" s="1"/>
  <c r="E13" i="5"/>
  <c r="F13" i="5" s="1"/>
  <c r="G13" i="5" s="1"/>
  <c r="E12" i="5"/>
  <c r="F12" i="5" s="1"/>
  <c r="G12" i="5" s="1"/>
  <c r="E11" i="5"/>
  <c r="C14" i="5"/>
  <c r="I14" i="5" s="1"/>
  <c r="C13" i="5"/>
  <c r="I13" i="5" s="1"/>
  <c r="C12" i="5"/>
  <c r="I12" i="5" s="1"/>
  <c r="F11" i="5"/>
  <c r="G11" i="5" s="1"/>
  <c r="C11" i="5"/>
  <c r="I11" i="5" s="1"/>
  <c r="B7" i="5"/>
  <c r="B4" i="5"/>
  <c r="G19" i="3"/>
  <c r="A31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B16" i="3"/>
  <c r="B11" i="3"/>
  <c r="B8" i="3"/>
  <c r="B6" i="3"/>
  <c r="C4" i="3"/>
  <c r="B4" i="3"/>
  <c r="E2" i="3"/>
  <c r="B12" i="1"/>
  <c r="B11" i="1"/>
  <c r="G6" i="2"/>
  <c r="C6" i="2"/>
  <c r="D6" i="2" s="1"/>
  <c r="E6" i="2" s="1"/>
  <c r="F6" i="2" s="1"/>
  <c r="G5" i="2"/>
  <c r="G4" i="2"/>
  <c r="C5" i="2"/>
  <c r="D5" i="2" s="1"/>
  <c r="E5" i="2" s="1"/>
  <c r="F5" i="2" s="1"/>
  <c r="C4" i="2"/>
  <c r="D4" i="2"/>
  <c r="E4" i="2" s="1"/>
  <c r="F4" i="2" s="1"/>
  <c r="B6" i="1"/>
  <c r="C11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B4" i="1"/>
  <c r="B3" i="1"/>
  <c r="B55" i="11" l="1"/>
  <c r="B41" i="11"/>
  <c r="B42" i="11" s="1"/>
  <c r="S46" i="10"/>
  <c r="H54" i="10" s="1"/>
  <c r="R46" i="10"/>
  <c r="G54" i="10" s="1"/>
  <c r="T46" i="10"/>
  <c r="I54" i="10" s="1"/>
  <c r="M47" i="10"/>
  <c r="M46" i="10"/>
  <c r="B54" i="10" s="1"/>
  <c r="P46" i="10"/>
  <c r="E54" i="10" s="1"/>
  <c r="O46" i="10"/>
  <c r="D54" i="10" s="1"/>
  <c r="Q46" i="10"/>
  <c r="F54" i="10" s="1"/>
  <c r="B16" i="10"/>
  <c r="M48" i="10"/>
  <c r="Q46" i="9"/>
  <c r="O46" i="9"/>
  <c r="N46" i="9"/>
  <c r="M46" i="9"/>
  <c r="P46" i="9"/>
  <c r="M47" i="9"/>
  <c r="N47" i="9" s="1"/>
  <c r="O47" i="9" s="1"/>
  <c r="P47" i="9" s="1"/>
  <c r="Q47" i="9" s="1"/>
  <c r="R47" i="9" s="1"/>
  <c r="R46" i="9"/>
  <c r="B15" i="9"/>
  <c r="B16" i="9" s="1"/>
  <c r="B18" i="9" s="1"/>
  <c r="S46" i="9"/>
  <c r="T46" i="9"/>
  <c r="M48" i="9"/>
  <c r="N48" i="9" s="1"/>
  <c r="O48" i="9" s="1"/>
  <c r="P48" i="9" s="1"/>
  <c r="L43" i="9"/>
  <c r="B18" i="8"/>
  <c r="B19" i="8" s="1"/>
  <c r="I14" i="8"/>
  <c r="H14" i="8"/>
  <c r="F14" i="7"/>
  <c r="I14" i="7" s="1"/>
  <c r="B18" i="7"/>
  <c r="B19" i="7" s="1"/>
  <c r="H14" i="7"/>
  <c r="F14" i="6"/>
  <c r="H14" i="6" s="1"/>
  <c r="B19" i="6"/>
  <c r="J12" i="5"/>
  <c r="H11" i="5"/>
  <c r="H14" i="5"/>
  <c r="I15" i="5"/>
  <c r="J15" i="5" s="1"/>
  <c r="H13" i="5"/>
  <c r="J14" i="5" s="1"/>
  <c r="H12" i="5"/>
  <c r="J13" i="5" s="1"/>
  <c r="A20" i="3"/>
  <c r="C19" i="3"/>
  <c r="D19" i="3" s="1"/>
  <c r="E19" i="3" s="1"/>
  <c r="F19" i="3" s="1"/>
  <c r="A21" i="3"/>
  <c r="C20" i="3"/>
  <c r="A12" i="1"/>
  <c r="C12" i="1" s="1"/>
  <c r="B57" i="11" l="1"/>
  <c r="B56" i="11"/>
  <c r="B64" i="11"/>
  <c r="B68" i="11" s="1"/>
  <c r="B69" i="11" s="1"/>
  <c r="B70" i="11" s="1"/>
  <c r="B63" i="11"/>
  <c r="B67" i="11" s="1"/>
  <c r="B43" i="11"/>
  <c r="B78" i="11"/>
  <c r="B82" i="11" s="1"/>
  <c r="N48" i="10"/>
  <c r="B56" i="10"/>
  <c r="C57" i="10"/>
  <c r="B57" i="10"/>
  <c r="N47" i="10"/>
  <c r="B55" i="10"/>
  <c r="B17" i="10"/>
  <c r="B18" i="10"/>
  <c r="B17" i="9"/>
  <c r="C18" i="9" s="1"/>
  <c r="B22" i="8"/>
  <c r="B21" i="8"/>
  <c r="F9" i="8"/>
  <c r="F15" i="8"/>
  <c r="Q14" i="8"/>
  <c r="B21" i="6"/>
  <c r="B22" i="6"/>
  <c r="F9" i="6"/>
  <c r="B21" i="7"/>
  <c r="B22" i="7"/>
  <c r="F9" i="7"/>
  <c r="F15" i="7"/>
  <c r="Q14" i="7"/>
  <c r="F15" i="6"/>
  <c r="H15" i="6" s="1"/>
  <c r="F16" i="6" s="1"/>
  <c r="Q14" i="6"/>
  <c r="I14" i="6"/>
  <c r="C21" i="3"/>
  <c r="A22" i="3"/>
  <c r="A13" i="1"/>
  <c r="B71" i="11" l="1"/>
  <c r="B73" i="11" s="1"/>
  <c r="B79" i="11"/>
  <c r="O47" i="10"/>
  <c r="C55" i="10"/>
  <c r="O48" i="10"/>
  <c r="C56" i="10"/>
  <c r="C18" i="10"/>
  <c r="B34" i="10"/>
  <c r="E34" i="10" s="1"/>
  <c r="G34" i="10" s="1"/>
  <c r="B33" i="10"/>
  <c r="E33" i="10" s="1"/>
  <c r="B32" i="10"/>
  <c r="B25" i="10"/>
  <c r="B26" i="10" s="1"/>
  <c r="B29" i="10" s="1"/>
  <c r="B35" i="10"/>
  <c r="E35" i="10" s="1"/>
  <c r="B25" i="9"/>
  <c r="B26" i="9" s="1"/>
  <c r="B29" i="9" s="1"/>
  <c r="B33" i="9"/>
  <c r="E33" i="9" s="1"/>
  <c r="B34" i="9"/>
  <c r="E34" i="9" s="1"/>
  <c r="B35" i="9"/>
  <c r="E35" i="9" s="1"/>
  <c r="B32" i="9"/>
  <c r="E32" i="9" s="1"/>
  <c r="H15" i="8"/>
  <c r="I15" i="8"/>
  <c r="K15" i="8" s="1"/>
  <c r="M15" i="8" s="1"/>
  <c r="O15" i="8" s="1"/>
  <c r="P15" i="8" s="1"/>
  <c r="K13" i="8"/>
  <c r="M13" i="8" s="1"/>
  <c r="O13" i="8" s="1"/>
  <c r="J13" i="8"/>
  <c r="L13" i="8" s="1"/>
  <c r="K14" i="8"/>
  <c r="M14" i="8" s="1"/>
  <c r="O14" i="8" s="1"/>
  <c r="P14" i="8" s="1"/>
  <c r="R14" i="8" s="1"/>
  <c r="J14" i="8"/>
  <c r="L14" i="8" s="1"/>
  <c r="K13" i="6"/>
  <c r="M13" i="6" s="1"/>
  <c r="O13" i="6" s="1"/>
  <c r="P13" i="6" s="1"/>
  <c r="R13" i="6" s="1"/>
  <c r="J13" i="6"/>
  <c r="L13" i="6" s="1"/>
  <c r="H15" i="7"/>
  <c r="F16" i="7" s="1"/>
  <c r="I15" i="7"/>
  <c r="K15" i="7" s="1"/>
  <c r="M15" i="7" s="1"/>
  <c r="O15" i="7" s="1"/>
  <c r="P15" i="7" s="1"/>
  <c r="K13" i="7"/>
  <c r="M13" i="7" s="1"/>
  <c r="O13" i="7" s="1"/>
  <c r="J13" i="7"/>
  <c r="L13" i="7" s="1"/>
  <c r="J14" i="7"/>
  <c r="L14" i="7" s="1"/>
  <c r="K14" i="7"/>
  <c r="M14" i="7" s="1"/>
  <c r="O14" i="7" s="1"/>
  <c r="P14" i="7" s="1"/>
  <c r="R14" i="7" s="1"/>
  <c r="I16" i="6"/>
  <c r="H16" i="6"/>
  <c r="K14" i="6"/>
  <c r="M14" i="6" s="1"/>
  <c r="O14" i="6" s="1"/>
  <c r="P14" i="6" s="1"/>
  <c r="R14" i="6" s="1"/>
  <c r="J14" i="6"/>
  <c r="I15" i="6"/>
  <c r="Q15" i="6"/>
  <c r="C22" i="3"/>
  <c r="C13" i="1"/>
  <c r="B13" i="1"/>
  <c r="A14" i="1"/>
  <c r="B72" i="11" l="1"/>
  <c r="B83" i="11"/>
  <c r="B84" i="11" s="1"/>
  <c r="B85" i="11" s="1"/>
  <c r="B86" i="11" s="1"/>
  <c r="C62" i="10"/>
  <c r="B62" i="10"/>
  <c r="P48" i="10"/>
  <c r="E56" i="10" s="1"/>
  <c r="D56" i="10"/>
  <c r="P47" i="10"/>
  <c r="D55" i="10"/>
  <c r="D62" i="10" s="1"/>
  <c r="O62" i="10" s="1"/>
  <c r="D68" i="10" s="1"/>
  <c r="O68" i="10" s="1"/>
  <c r="G35" i="10"/>
  <c r="B42" i="10" s="1"/>
  <c r="C42" i="10"/>
  <c r="J35" i="10"/>
  <c r="K35" i="10" s="1"/>
  <c r="L35" i="10" s="1"/>
  <c r="J34" i="10"/>
  <c r="K34" i="10" s="1"/>
  <c r="L34" i="10" s="1"/>
  <c r="D41" i="10"/>
  <c r="E32" i="10"/>
  <c r="G33" i="10"/>
  <c r="C47" i="10" s="1"/>
  <c r="J33" i="10"/>
  <c r="K33" i="10" s="1"/>
  <c r="L33" i="10" s="1"/>
  <c r="G35" i="9"/>
  <c r="J35" i="9"/>
  <c r="K35" i="9" s="1"/>
  <c r="L35" i="9" s="1"/>
  <c r="G34" i="9"/>
  <c r="J34" i="9"/>
  <c r="K34" i="9" s="1"/>
  <c r="L34" i="9" s="1"/>
  <c r="G32" i="9"/>
  <c r="E46" i="9" s="1"/>
  <c r="J32" i="9"/>
  <c r="K32" i="9" s="1"/>
  <c r="L32" i="9" s="1"/>
  <c r="G33" i="9"/>
  <c r="D40" i="9" s="1"/>
  <c r="J33" i="9"/>
  <c r="K33" i="9" s="1"/>
  <c r="L33" i="9" s="1"/>
  <c r="F40" i="9"/>
  <c r="J15" i="8"/>
  <c r="L15" i="8" s="1"/>
  <c r="N15" i="8" s="1"/>
  <c r="N13" i="8"/>
  <c r="S13" i="8" s="1"/>
  <c r="Q15" i="8"/>
  <c r="R15" i="8" s="1"/>
  <c r="F16" i="8"/>
  <c r="N14" i="8"/>
  <c r="S14" i="8" s="1"/>
  <c r="P13" i="8"/>
  <c r="N13" i="6"/>
  <c r="S13" i="6" s="1"/>
  <c r="N13" i="7"/>
  <c r="S13" i="7" s="1"/>
  <c r="N14" i="7"/>
  <c r="S14" i="7" s="1"/>
  <c r="P13" i="7"/>
  <c r="Q15" i="7"/>
  <c r="R15" i="7" s="1"/>
  <c r="J15" i="7"/>
  <c r="L15" i="7" s="1"/>
  <c r="N15" i="7" s="1"/>
  <c r="Q16" i="6"/>
  <c r="F17" i="6"/>
  <c r="J16" i="6"/>
  <c r="L16" i="6" s="1"/>
  <c r="K16" i="6"/>
  <c r="M16" i="6" s="1"/>
  <c r="O16" i="6" s="1"/>
  <c r="P16" i="6" s="1"/>
  <c r="K15" i="6"/>
  <c r="M15" i="6" s="1"/>
  <c r="O15" i="6" s="1"/>
  <c r="P15" i="6" s="1"/>
  <c r="R15" i="6" s="1"/>
  <c r="J15" i="6"/>
  <c r="L14" i="6"/>
  <c r="N14" i="6" s="1"/>
  <c r="S14" i="6" s="1"/>
  <c r="C14" i="1"/>
  <c r="B14" i="1"/>
  <c r="A15" i="1" s="1"/>
  <c r="B88" i="11" l="1"/>
  <c r="B87" i="11"/>
  <c r="M62" i="10"/>
  <c r="B68" i="10" s="1"/>
  <c r="M68" i="10" s="1"/>
  <c r="Q47" i="10"/>
  <c r="E55" i="10"/>
  <c r="E62" i="10" s="1"/>
  <c r="N62" i="10"/>
  <c r="C68" i="10" s="1"/>
  <c r="N68" i="10" s="1"/>
  <c r="E47" i="10"/>
  <c r="C49" i="10"/>
  <c r="B48" i="10"/>
  <c r="E48" i="10"/>
  <c r="D48" i="10"/>
  <c r="D40" i="10"/>
  <c r="C41" i="10"/>
  <c r="B49" i="10"/>
  <c r="E41" i="10"/>
  <c r="C48" i="10"/>
  <c r="M33" i="10"/>
  <c r="C33" i="10" s="1"/>
  <c r="M34" i="10"/>
  <c r="C34" i="10" s="1"/>
  <c r="F47" i="10"/>
  <c r="B40" i="10"/>
  <c r="M35" i="10"/>
  <c r="C35" i="10" s="1"/>
  <c r="E40" i="10"/>
  <c r="C40" i="10"/>
  <c r="B47" i="10"/>
  <c r="J32" i="10"/>
  <c r="K32" i="10" s="1"/>
  <c r="L32" i="10" s="1"/>
  <c r="G32" i="10"/>
  <c r="H46" i="10" s="1"/>
  <c r="B41" i="10"/>
  <c r="D47" i="10"/>
  <c r="G46" i="9"/>
  <c r="M32" i="9"/>
  <c r="C32" i="9" s="1"/>
  <c r="D32" i="9" s="1"/>
  <c r="M33" i="9"/>
  <c r="C33" i="9" s="1"/>
  <c r="H33" i="9" s="1"/>
  <c r="I33" i="9" s="1"/>
  <c r="M34" i="9"/>
  <c r="C34" i="9" s="1"/>
  <c r="D34" i="9" s="1"/>
  <c r="M35" i="9"/>
  <c r="C35" i="9" s="1"/>
  <c r="F35" i="9" s="1"/>
  <c r="B48" i="9"/>
  <c r="D41" i="9"/>
  <c r="C48" i="9"/>
  <c r="D48" i="9"/>
  <c r="B39" i="9"/>
  <c r="C46" i="9"/>
  <c r="F46" i="9"/>
  <c r="I39" i="9"/>
  <c r="B46" i="9"/>
  <c r="B42" i="9"/>
  <c r="C49" i="9"/>
  <c r="H39" i="9"/>
  <c r="C42" i="9"/>
  <c r="H46" i="9"/>
  <c r="C39" i="9"/>
  <c r="E39" i="9"/>
  <c r="F39" i="9"/>
  <c r="D46" i="9"/>
  <c r="B49" i="9"/>
  <c r="G40" i="9"/>
  <c r="E48" i="9"/>
  <c r="E40" i="9"/>
  <c r="E47" i="9"/>
  <c r="B47" i="9"/>
  <c r="I46" i="9"/>
  <c r="B41" i="9"/>
  <c r="F47" i="9"/>
  <c r="G47" i="9"/>
  <c r="C47" i="9"/>
  <c r="D47" i="9"/>
  <c r="C41" i="9"/>
  <c r="B40" i="9"/>
  <c r="D39" i="9"/>
  <c r="C40" i="9"/>
  <c r="G39" i="9"/>
  <c r="E41" i="9"/>
  <c r="S15" i="8"/>
  <c r="R13" i="8"/>
  <c r="Q16" i="8"/>
  <c r="G16" i="8"/>
  <c r="S15" i="7"/>
  <c r="R13" i="7"/>
  <c r="R16" i="6"/>
  <c r="N16" i="6"/>
  <c r="S16" i="6" s="1"/>
  <c r="Q17" i="6"/>
  <c r="G17" i="6"/>
  <c r="L15" i="6"/>
  <c r="N15" i="6" s="1"/>
  <c r="S15" i="6" s="1"/>
  <c r="C15" i="1"/>
  <c r="B15" i="1"/>
  <c r="A16" i="1" s="1"/>
  <c r="E46" i="10" l="1"/>
  <c r="F46" i="10"/>
  <c r="P62" i="10"/>
  <c r="E68" i="10" s="1"/>
  <c r="P68" i="10" s="1"/>
  <c r="R47" i="10"/>
  <c r="F55" i="10"/>
  <c r="F62" i="10" s="1"/>
  <c r="Q62" i="10" s="1"/>
  <c r="F68" i="10" s="1"/>
  <c r="Q68" i="10" s="1"/>
  <c r="N35" i="10"/>
  <c r="F40" i="10"/>
  <c r="O35" i="10"/>
  <c r="F39" i="10"/>
  <c r="G39" i="10"/>
  <c r="I46" i="10"/>
  <c r="B46" i="10"/>
  <c r="C46" i="10"/>
  <c r="B39" i="10"/>
  <c r="D46" i="10"/>
  <c r="N33" i="10"/>
  <c r="H35" i="10"/>
  <c r="I35" i="10" s="1"/>
  <c r="D35" i="10"/>
  <c r="F35" i="10"/>
  <c r="D39" i="10"/>
  <c r="H39" i="10"/>
  <c r="H34" i="10"/>
  <c r="I34" i="10" s="1"/>
  <c r="F34" i="10"/>
  <c r="D34" i="10"/>
  <c r="M32" i="10"/>
  <c r="C32" i="10" s="1"/>
  <c r="D32" i="10" s="1"/>
  <c r="N34" i="10"/>
  <c r="H33" i="10"/>
  <c r="I33" i="10" s="1"/>
  <c r="D33" i="10"/>
  <c r="F33" i="10"/>
  <c r="C39" i="10"/>
  <c r="G46" i="10"/>
  <c r="I39" i="10"/>
  <c r="O34" i="10"/>
  <c r="P35" i="10" s="1"/>
  <c r="E39" i="10"/>
  <c r="O33" i="10"/>
  <c r="D33" i="9"/>
  <c r="O32" i="9"/>
  <c r="H34" i="9"/>
  <c r="I34" i="9" s="1"/>
  <c r="O33" i="9"/>
  <c r="P34" i="9" s="1"/>
  <c r="O35" i="9"/>
  <c r="N34" i="9"/>
  <c r="N33" i="9"/>
  <c r="N35" i="9"/>
  <c r="O34" i="9"/>
  <c r="P35" i="9" s="1"/>
  <c r="F34" i="9"/>
  <c r="D35" i="9"/>
  <c r="H35" i="9"/>
  <c r="I35" i="9" s="1"/>
  <c r="I36" i="9" s="1"/>
  <c r="F33" i="9"/>
  <c r="N32" i="9"/>
  <c r="P32" i="9" s="1"/>
  <c r="A43" i="9"/>
  <c r="A50" i="9"/>
  <c r="G17" i="8"/>
  <c r="I16" i="8"/>
  <c r="I17" i="6"/>
  <c r="J17" i="6" s="1"/>
  <c r="L17" i="6" s="1"/>
  <c r="G18" i="6"/>
  <c r="C16" i="1"/>
  <c r="B16" i="1"/>
  <c r="A17" i="1" s="1"/>
  <c r="G55" i="10" l="1"/>
  <c r="G62" i="10" s="1"/>
  <c r="J62" i="10" s="1"/>
  <c r="G47" i="10"/>
  <c r="A50" i="10" s="1"/>
  <c r="G40" i="10"/>
  <c r="A43" i="10" s="1"/>
  <c r="N32" i="10"/>
  <c r="P32" i="10" s="1"/>
  <c r="P34" i="10"/>
  <c r="I36" i="10"/>
  <c r="O32" i="10"/>
  <c r="P33" i="10" s="1"/>
  <c r="P33" i="9"/>
  <c r="K16" i="8"/>
  <c r="M16" i="8" s="1"/>
  <c r="O16" i="8" s="1"/>
  <c r="J16" i="8"/>
  <c r="L16" i="8" s="1"/>
  <c r="Q16" i="7"/>
  <c r="G16" i="7"/>
  <c r="K17" i="6"/>
  <c r="M17" i="6" s="1"/>
  <c r="O17" i="6" s="1"/>
  <c r="P17" i="6" s="1"/>
  <c r="P18" i="6" s="1"/>
  <c r="C17" i="1"/>
  <c r="B17" i="1"/>
  <c r="A18" i="1" s="1"/>
  <c r="J63" i="10" l="1"/>
  <c r="J64" i="10"/>
  <c r="R62" i="10"/>
  <c r="G68" i="10" s="1"/>
  <c r="R68" i="10" s="1"/>
  <c r="N16" i="8"/>
  <c r="S16" i="8" s="1"/>
  <c r="P16" i="8"/>
  <c r="O17" i="8"/>
  <c r="O18" i="8" s="1"/>
  <c r="G17" i="7"/>
  <c r="I16" i="7"/>
  <c r="R17" i="6"/>
  <c r="N17" i="6"/>
  <c r="N18" i="6" s="1"/>
  <c r="N19" i="6" s="1"/>
  <c r="O18" i="6"/>
  <c r="O19" i="6" s="1"/>
  <c r="C18" i="1"/>
  <c r="B18" i="1"/>
  <c r="A19" i="1"/>
  <c r="B63" i="10" l="1"/>
  <c r="D63" i="10"/>
  <c r="O63" i="10" s="1"/>
  <c r="D69" i="10" s="1"/>
  <c r="O69" i="10" s="1"/>
  <c r="C63" i="10"/>
  <c r="N63" i="10" s="1"/>
  <c r="C69" i="10" s="1"/>
  <c r="N69" i="10" s="1"/>
  <c r="E63" i="10"/>
  <c r="P63" i="10" s="1"/>
  <c r="C70" i="10"/>
  <c r="B70" i="10"/>
  <c r="N17" i="8"/>
  <c r="N18" i="8" s="1"/>
  <c r="R16" i="8"/>
  <c r="P17" i="8"/>
  <c r="K16" i="7"/>
  <c r="M16" i="7" s="1"/>
  <c r="O16" i="7" s="1"/>
  <c r="J16" i="7"/>
  <c r="L16" i="7" s="1"/>
  <c r="S17" i="6"/>
  <c r="C19" i="1"/>
  <c r="B19" i="1"/>
  <c r="A20" i="1" s="1"/>
  <c r="E69" i="10" l="1"/>
  <c r="P69" i="10" s="1"/>
  <c r="M63" i="10"/>
  <c r="B69" i="10" s="1"/>
  <c r="M69" i="10" s="1"/>
  <c r="N16" i="7"/>
  <c r="N17" i="7" s="1"/>
  <c r="N18" i="7" s="1"/>
  <c r="P16" i="7"/>
  <c r="O17" i="7"/>
  <c r="O18" i="7" s="1"/>
  <c r="C20" i="1"/>
  <c r="B20" i="1"/>
  <c r="A21" i="1" s="1"/>
  <c r="M71" i="10" l="1"/>
  <c r="M72" i="10" s="1"/>
  <c r="S16" i="7"/>
  <c r="R16" i="7"/>
  <c r="P17" i="7"/>
  <c r="C21" i="1"/>
  <c r="B21" i="1"/>
  <c r="A22" i="1" s="1"/>
  <c r="C22" i="1" l="1"/>
  <c r="B22" i="1"/>
  <c r="A23" i="1" s="1"/>
  <c r="C23" i="1" l="1"/>
  <c r="B23" i="1"/>
  <c r="A24" i="1" s="1"/>
  <c r="C24" i="1" l="1"/>
  <c r="B24" i="1"/>
  <c r="A25" i="1"/>
  <c r="C25" i="1" l="1"/>
  <c r="B25" i="1"/>
  <c r="A26" i="1"/>
  <c r="C26" i="1" l="1"/>
  <c r="B26" i="1"/>
  <c r="A27" i="1"/>
  <c r="C27" i="1" l="1"/>
  <c r="B27" i="1"/>
  <c r="A28" i="1" s="1"/>
  <c r="C28" i="1" l="1"/>
  <c r="B28" i="1"/>
  <c r="A29" i="1" s="1"/>
  <c r="C29" i="1" l="1"/>
  <c r="B29" i="1"/>
  <c r="A30" i="1"/>
  <c r="C30" i="1" l="1"/>
  <c r="B30" i="1"/>
  <c r="A31" i="1" s="1"/>
  <c r="C31" i="1" l="1"/>
  <c r="B31" i="1"/>
</calcChain>
</file>

<file path=xl/sharedStrings.xml><?xml version="1.0" encoding="utf-8"?>
<sst xmlns="http://schemas.openxmlformats.org/spreadsheetml/2006/main" count="307" uniqueCount="141">
  <si>
    <t>l/w</t>
  </si>
  <si>
    <t>l^2/A</t>
  </si>
  <si>
    <t>r</t>
  </si>
  <si>
    <t>w</t>
  </si>
  <si>
    <t>angle</t>
  </si>
  <si>
    <t>theta</t>
  </si>
  <si>
    <t>min space</t>
  </si>
  <si>
    <t>l</t>
  </si>
  <si>
    <t>rf</t>
  </si>
  <si>
    <t>v</t>
  </si>
  <si>
    <t>R</t>
  </si>
  <si>
    <t>I</t>
  </si>
  <si>
    <t>P</t>
  </si>
  <si>
    <t>P/A (uW/mil^2)</t>
  </si>
  <si>
    <t>p</t>
  </si>
  <si>
    <t>l(mm)</t>
  </si>
  <si>
    <t>w(mm)</t>
  </si>
  <si>
    <t>uW/mil^2</t>
  </si>
  <si>
    <t>max power</t>
  </si>
  <si>
    <t>heating area</t>
  </si>
  <si>
    <t>r(mm)</t>
  </si>
  <si>
    <t>A(mil^2)</t>
  </si>
  <si>
    <t>Total heat</t>
  </si>
  <si>
    <t>W</t>
  </si>
  <si>
    <t>Average power</t>
  </si>
  <si>
    <t>Rs</t>
  </si>
  <si>
    <t>V</t>
  </si>
  <si>
    <t>Angle</t>
  </si>
  <si>
    <t>radians</t>
  </si>
  <si>
    <t>minimum trace</t>
  </si>
  <si>
    <t>min spacing</t>
  </si>
  <si>
    <t>r(mil)</t>
  </si>
  <si>
    <t>pi</t>
  </si>
  <si>
    <t>pi/2</t>
  </si>
  <si>
    <t>width(mil)</t>
  </si>
  <si>
    <t>Area</t>
  </si>
  <si>
    <t>h</t>
  </si>
  <si>
    <t>degrees</t>
  </si>
  <si>
    <t>radius</t>
  </si>
  <si>
    <t>width</t>
  </si>
  <si>
    <t>zeta</t>
  </si>
  <si>
    <t>Volts</t>
  </si>
  <si>
    <t>Power</t>
  </si>
  <si>
    <t>area</t>
  </si>
  <si>
    <t>inside</t>
  </si>
  <si>
    <t>outside</t>
  </si>
  <si>
    <t>Smallest R</t>
  </si>
  <si>
    <t>Largest R</t>
  </si>
  <si>
    <t>mils</t>
  </si>
  <si>
    <t>length</t>
  </si>
  <si>
    <t>Heating area</t>
  </si>
  <si>
    <t>percent conductor</t>
  </si>
  <si>
    <t>conductor area</t>
  </si>
  <si>
    <t xml:space="preserve">R </t>
  </si>
  <si>
    <t>Conductor width</t>
  </si>
  <si>
    <t>Conductor length</t>
  </si>
  <si>
    <t>at small r angle</t>
  </si>
  <si>
    <t>at large r angle</t>
  </si>
  <si>
    <t>gap</t>
  </si>
  <si>
    <t>center</t>
  </si>
  <si>
    <t>segments</t>
  </si>
  <si>
    <t>seg area</t>
  </si>
  <si>
    <t>radius area</t>
  </si>
  <si>
    <t>radius width</t>
  </si>
  <si>
    <t>Voltage</t>
  </si>
  <si>
    <t>annular area</t>
  </si>
  <si>
    <t>Watts/mil^2</t>
  </si>
  <si>
    <t>watt</t>
  </si>
  <si>
    <t>%cod</t>
  </si>
  <si>
    <t>Conductor</t>
  </si>
  <si>
    <t>used</t>
  </si>
  <si>
    <t>Rmax</t>
  </si>
  <si>
    <t>n</t>
  </si>
  <si>
    <t>spacing</t>
  </si>
  <si>
    <t>Wtotal</t>
  </si>
  <si>
    <t>Seg W</t>
  </si>
  <si>
    <t>total seg</t>
  </si>
  <si>
    <t>Rcenter</t>
  </si>
  <si>
    <t>W/mil^2</t>
  </si>
  <si>
    <t>Pmax</t>
  </si>
  <si>
    <t>Rseg</t>
  </si>
  <si>
    <t>Rrig</t>
  </si>
  <si>
    <t>Rtotal</t>
  </si>
  <si>
    <t>epow</t>
  </si>
  <si>
    <t>e+1</t>
  </si>
  <si>
    <t>rc</t>
  </si>
  <si>
    <t>x</t>
  </si>
  <si>
    <t>y</t>
  </si>
  <si>
    <t>use?</t>
  </si>
  <si>
    <t>weight</t>
  </si>
  <si>
    <t>Rout</t>
  </si>
  <si>
    <t>Rin</t>
  </si>
  <si>
    <t>rings</t>
  </si>
  <si>
    <t>Ri</t>
  </si>
  <si>
    <t>Ro</t>
  </si>
  <si>
    <t>Gcheck</t>
  </si>
  <si>
    <t>Gsum</t>
  </si>
  <si>
    <t>Watts</t>
  </si>
  <si>
    <t>Resistance</t>
  </si>
  <si>
    <t>Conductance</t>
  </si>
  <si>
    <t>Radius Out</t>
  </si>
  <si>
    <t>Rsheet</t>
  </si>
  <si>
    <t>Inter Seg Gap</t>
  </si>
  <si>
    <t>Outer Arc Length</t>
  </si>
  <si>
    <t>gap arc length</t>
  </si>
  <si>
    <t>Outer segment total</t>
  </si>
  <si>
    <t>Total elements</t>
  </si>
  <si>
    <t>#high elements</t>
  </si>
  <si>
    <t>#low elements</t>
  </si>
  <si>
    <t>ratio watts high</t>
  </si>
  <si>
    <t>total watts high</t>
  </si>
  <si>
    <t>total watts low</t>
  </si>
  <si>
    <t>per seg high W</t>
  </si>
  <si>
    <t>per seg low W</t>
  </si>
  <si>
    <t>per seg high R</t>
  </si>
  <si>
    <t>Per seg low R</t>
  </si>
  <si>
    <t>Per seg high G</t>
  </si>
  <si>
    <t>Per seg low G</t>
  </si>
  <si>
    <t>Outside</t>
  </si>
  <si>
    <t>#out high elements</t>
  </si>
  <si>
    <t>out seg arc length</t>
  </si>
  <si>
    <t>Inter ring gap</t>
  </si>
  <si>
    <t>#out low elements</t>
  </si>
  <si>
    <t>out high seg arc (rad)</t>
  </si>
  <si>
    <t>inside radius</t>
  </si>
  <si>
    <t>Inside</t>
  </si>
  <si>
    <t>#in high elements</t>
  </si>
  <si>
    <t>inner Arc Length</t>
  </si>
  <si>
    <t>inner segment total</t>
  </si>
  <si>
    <t>in seg arc length</t>
  </si>
  <si>
    <t>in high seg arc (rad)</t>
  </si>
  <si>
    <t>in out radius</t>
  </si>
  <si>
    <t>Width</t>
  </si>
  <si>
    <t>gap arc (rad)</t>
  </si>
  <si>
    <t>inside gap</t>
  </si>
  <si>
    <t xml:space="preserve">outer inter seg gap </t>
  </si>
  <si>
    <t>inner interseg gap</t>
  </si>
  <si>
    <t>sum G</t>
  </si>
  <si>
    <t>total G</t>
  </si>
  <si>
    <t>R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</si>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</sst>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72"/>
  <sheetViews>
    <sheetView topLeftCell="A7" workbookViewId="0">
      <selection activeCell="B62" sqref="B62"/>
    </sheetView>
  </sheetViews>
  <sheetFormatPr defaultRowHeight="15" x14ac:dyDescent="0.25"/>
  <cols>
    <col min="2" max="2" width="12" bestFit="1" customWidth="1"/>
  </cols>
  <sheetData>
    <row r="3" spans="1:26" x14ac:dyDescent="0.25">
      <c r="A3" t="s">
        <v>79</v>
      </c>
      <c r="B3">
        <v>20</v>
      </c>
    </row>
    <row r="4" spans="1:26" x14ac:dyDescent="0.25">
      <c r="A4" t="s">
        <v>26</v>
      </c>
      <c r="B4">
        <v>10</v>
      </c>
    </row>
    <row r="5" spans="1:26" x14ac:dyDescent="0.25">
      <c r="A5" t="s">
        <v>71</v>
      </c>
      <c r="B5">
        <f>B4^2/B3</f>
        <v>5</v>
      </c>
    </row>
    <row r="6" spans="1:26" x14ac:dyDescent="0.25">
      <c r="A6" t="s">
        <v>92</v>
      </c>
      <c r="B6">
        <v>3</v>
      </c>
    </row>
    <row r="8" spans="1:26" x14ac:dyDescent="0.25">
      <c r="A8" t="s">
        <v>71</v>
      </c>
      <c r="B8">
        <v>561</v>
      </c>
    </row>
    <row r="9" spans="1:26" x14ac:dyDescent="0.25">
      <c r="A9" t="s">
        <v>0</v>
      </c>
      <c r="B9">
        <v>0.5</v>
      </c>
    </row>
    <row r="10" spans="1:26" x14ac:dyDescent="0.25">
      <c r="A10" t="s">
        <v>73</v>
      </c>
      <c r="B10">
        <v>30</v>
      </c>
    </row>
    <row r="11" spans="1:26" x14ac:dyDescent="0.25">
      <c r="A11" t="s">
        <v>25</v>
      </c>
      <c r="B11">
        <v>10</v>
      </c>
    </row>
    <row r="13" spans="1:26" x14ac:dyDescent="0.25">
      <c r="U13">
        <v>16</v>
      </c>
      <c r="W13">
        <v>17</v>
      </c>
      <c r="Y13">
        <v>18</v>
      </c>
    </row>
    <row r="14" spans="1:26" x14ac:dyDescent="0.25">
      <c r="A14" t="s">
        <v>72</v>
      </c>
      <c r="B14">
        <f>2*(B6)</f>
        <v>6</v>
      </c>
      <c r="V14">
        <v>9</v>
      </c>
      <c r="X14">
        <v>10</v>
      </c>
    </row>
    <row r="15" spans="1:26" x14ac:dyDescent="0.25">
      <c r="A15" t="s">
        <v>76</v>
      </c>
      <c r="B15">
        <f>(B14*(B14+2))/4-2</f>
        <v>10</v>
      </c>
      <c r="V15">
        <v>4</v>
      </c>
      <c r="X15">
        <v>5</v>
      </c>
    </row>
    <row r="16" spans="1:26" x14ac:dyDescent="0.25">
      <c r="A16" t="s">
        <v>74</v>
      </c>
      <c r="B16">
        <f>(2*PI()*B8-B14*B10)/(B14/2+2*PI()/B15)</f>
        <v>921.877979843704</v>
      </c>
      <c r="T16">
        <v>15</v>
      </c>
      <c r="U16">
        <v>8</v>
      </c>
      <c r="V16">
        <v>1</v>
      </c>
      <c r="W16">
        <v>2</v>
      </c>
      <c r="Y16">
        <v>11</v>
      </c>
      <c r="Z16">
        <v>19</v>
      </c>
    </row>
    <row r="17" spans="1:25" x14ac:dyDescent="0.25">
      <c r="A17" t="s">
        <v>7</v>
      </c>
      <c r="B17">
        <f>B16*B9</f>
        <v>460.938989921852</v>
      </c>
      <c r="V17">
        <v>3</v>
      </c>
      <c r="X17">
        <v>6</v>
      </c>
    </row>
    <row r="18" spans="1:25" x14ac:dyDescent="0.25">
      <c r="A18" t="s">
        <v>75</v>
      </c>
      <c r="B18">
        <f>B16/B15</f>
        <v>92.187797984370405</v>
      </c>
      <c r="C18">
        <f>B17*B18</f>
        <v>42492.950486035435</v>
      </c>
      <c r="V18">
        <v>7</v>
      </c>
      <c r="X18">
        <v>12</v>
      </c>
    </row>
    <row r="19" spans="1:25" x14ac:dyDescent="0.25">
      <c r="U19">
        <v>14</v>
      </c>
      <c r="W19">
        <v>13</v>
      </c>
      <c r="Y19">
        <v>20</v>
      </c>
    </row>
    <row r="25" spans="1:25" x14ac:dyDescent="0.25">
      <c r="A25" t="s">
        <v>35</v>
      </c>
      <c r="B25">
        <f>B17*B16</f>
        <v>424929.50486035435</v>
      </c>
    </row>
    <row r="26" spans="1:25" x14ac:dyDescent="0.25">
      <c r="A26" t="s">
        <v>78</v>
      </c>
      <c r="B26">
        <f>B3/B25</f>
        <v>4.7066630514566528E-5</v>
      </c>
    </row>
    <row r="28" spans="1:25" x14ac:dyDescent="0.25">
      <c r="A28" t="s">
        <v>78</v>
      </c>
      <c r="B28">
        <f>0.172/(0.5*0.25/0.0254^2)</f>
        <v>8.8774015999999983E-4</v>
      </c>
    </row>
    <row r="29" spans="1:25" x14ac:dyDescent="0.25">
      <c r="B29">
        <f>B28-B26</f>
        <v>8.4067352948543326E-4</v>
      </c>
    </row>
    <row r="31" spans="1:25" x14ac:dyDescent="0.25">
      <c r="C31" t="s">
        <v>71</v>
      </c>
      <c r="D31" t="s">
        <v>77</v>
      </c>
      <c r="E31" t="s">
        <v>4</v>
      </c>
      <c r="F31" t="s">
        <v>58</v>
      </c>
      <c r="H31" t="s">
        <v>80</v>
      </c>
      <c r="I31" t="s">
        <v>81</v>
      </c>
      <c r="J31" t="s">
        <v>83</v>
      </c>
      <c r="K31" t="s">
        <v>84</v>
      </c>
      <c r="L31" t="s">
        <v>85</v>
      </c>
      <c r="M31" t="s">
        <v>3</v>
      </c>
      <c r="N31" t="s">
        <v>90</v>
      </c>
      <c r="O31" t="s">
        <v>91</v>
      </c>
      <c r="P31" t="s">
        <v>58</v>
      </c>
    </row>
    <row r="32" spans="1:25" x14ac:dyDescent="0.25">
      <c r="A32">
        <v>8</v>
      </c>
      <c r="B32">
        <f>((B$17+B$10)*A32)/(2*PI())</f>
        <v>625.0829360208395</v>
      </c>
      <c r="C32">
        <f>B32+M32</f>
        <v>724.41558850574029</v>
      </c>
      <c r="D32">
        <f>(B32+C32)/2</f>
        <v>674.74926226328989</v>
      </c>
      <c r="E32">
        <f>B$17/B32*180/PI()</f>
        <v>42.250167479639586</v>
      </c>
      <c r="G32">
        <f t="shared" ref="G32:G33" si="0">(360-E32*A32)/(2*A32)</f>
        <v>1.374916260180207</v>
      </c>
      <c r="J32">
        <f>($B$11*(E32*PI()/180)/($B$15*$B$5))</f>
        <v>0.14748090640774902</v>
      </c>
      <c r="K32">
        <f>EXP(J32)+1</f>
        <v>2.1589111568414165</v>
      </c>
      <c r="L32">
        <f>B32*K32/2</f>
        <v>674.74926226328989</v>
      </c>
      <c r="M32">
        <f>2*(L32-B32)</f>
        <v>99.332652484900791</v>
      </c>
      <c r="N32">
        <f>L32+M32/2</f>
        <v>724.41558850574029</v>
      </c>
      <c r="O32">
        <f>L32-M32/2</f>
        <v>625.0829360208395</v>
      </c>
      <c r="P32">
        <f>B8-N32</f>
        <v>-163.41558850574029</v>
      </c>
    </row>
    <row r="33" spans="1:20" x14ac:dyDescent="0.25">
      <c r="A33">
        <v>6</v>
      </c>
      <c r="B33">
        <f>((B$17+B$10)*A33)/(2*PI())</f>
        <v>468.81220201562962</v>
      </c>
      <c r="C33">
        <f t="shared" ref="C33:C35" si="1">B33+M33</f>
        <v>570.68847033023383</v>
      </c>
      <c r="D33">
        <f t="shared" ref="D33:D35" si="2">(B33+C33)/2</f>
        <v>519.75033617293172</v>
      </c>
      <c r="E33">
        <f>B$17/B33*180/PI()</f>
        <v>56.33355663951945</v>
      </c>
      <c r="F33">
        <f>B32-C33</f>
        <v>54.394465690605671</v>
      </c>
      <c r="G33">
        <f t="shared" si="0"/>
        <v>1.8332216802402759</v>
      </c>
      <c r="H33">
        <f t="shared" ref="H33:H34" si="3">1/(LN(C33/B33)/10/(E33*PI()/180))</f>
        <v>50</v>
      </c>
      <c r="I33">
        <f t="shared" ref="I33:I34" si="4">H33/A33</f>
        <v>8.3333333333333339</v>
      </c>
      <c r="J33">
        <f>($B$11*(E33*PI()/180)/($B$15*$B$5))</f>
        <v>0.19664120854366537</v>
      </c>
      <c r="K33">
        <f t="shared" ref="K33:K35" si="5">EXP(J33)+1</f>
        <v>2.2173072029196197</v>
      </c>
      <c r="L33">
        <f t="shared" ref="L33:L35" si="6">B33*K33/2</f>
        <v>519.75033617293172</v>
      </c>
      <c r="M33">
        <f t="shared" ref="M33:M35" si="7">2*(L33-B33)</f>
        <v>101.8762683146042</v>
      </c>
      <c r="N33">
        <f t="shared" ref="N33:N35" si="8">L33+M33/2</f>
        <v>570.68847033023383</v>
      </c>
      <c r="O33">
        <f t="shared" ref="O33:O35" si="9">L33-M33/2</f>
        <v>468.81220201562962</v>
      </c>
      <c r="P33">
        <f>O32-N33</f>
        <v>54.394465690605671</v>
      </c>
    </row>
    <row r="34" spans="1:20" x14ac:dyDescent="0.25">
      <c r="A34">
        <v>4</v>
      </c>
      <c r="B34">
        <f>((B$17+B$10)*A34)/(2*PI())</f>
        <v>312.54146801041975</v>
      </c>
      <c r="C34">
        <f t="shared" si="1"/>
        <v>419.76665385457147</v>
      </c>
      <c r="D34">
        <f t="shared" si="2"/>
        <v>366.15406093249561</v>
      </c>
      <c r="E34">
        <f>B$17/B34*180/PI()</f>
        <v>84.500334959279172</v>
      </c>
      <c r="F34">
        <f t="shared" ref="F34:F35" si="10">B33-C34</f>
        <v>49.04554816105815</v>
      </c>
      <c r="G34">
        <f>(360-E34*A34)/(2*A34)</f>
        <v>2.7498325203604139</v>
      </c>
      <c r="H34">
        <f t="shared" si="3"/>
        <v>49.999999999999972</v>
      </c>
      <c r="I34">
        <f t="shared" si="4"/>
        <v>12.499999999999993</v>
      </c>
      <c r="J34">
        <f>($B$11*(E34*PI()/180)/($B$15*$B$5))</f>
        <v>0.29496181281549805</v>
      </c>
      <c r="K34">
        <f t="shared" si="5"/>
        <v>2.3430750694515101</v>
      </c>
      <c r="L34">
        <f t="shared" si="6"/>
        <v>366.15406093249561</v>
      </c>
      <c r="M34">
        <f t="shared" si="7"/>
        <v>107.22518584415172</v>
      </c>
      <c r="N34">
        <f t="shared" si="8"/>
        <v>419.76665385457147</v>
      </c>
      <c r="O34">
        <f t="shared" si="9"/>
        <v>312.54146801041975</v>
      </c>
      <c r="P34">
        <f t="shared" ref="P34:P35" si="11">O33-N34</f>
        <v>49.04554816105815</v>
      </c>
    </row>
    <row r="35" spans="1:20" x14ac:dyDescent="0.25">
      <c r="A35">
        <v>2</v>
      </c>
      <c r="B35">
        <f>((B$17+B$10)*A35)/(2*PI())</f>
        <v>156.27073400520987</v>
      </c>
      <c r="C35">
        <f t="shared" si="1"/>
        <v>281.88906388957827</v>
      </c>
      <c r="D35">
        <f t="shared" si="2"/>
        <v>219.07989894739407</v>
      </c>
      <c r="E35">
        <f>B$17/B35*180/PI()</f>
        <v>169.00066991855834</v>
      </c>
      <c r="F35">
        <f t="shared" si="10"/>
        <v>30.652404120841481</v>
      </c>
      <c r="G35">
        <f>(360-E35*A35)/(2*A35)</f>
        <v>5.4996650407208278</v>
      </c>
      <c r="H35">
        <f>1/(LN(C35/B35)/10/(E35*PI()/180))</f>
        <v>50</v>
      </c>
      <c r="I35">
        <f>H35/A35</f>
        <v>25</v>
      </c>
      <c r="J35">
        <f>($B$11*(E35*PI()/180)/($B$15*$B$5))</f>
        <v>0.5899236256309961</v>
      </c>
      <c r="K35">
        <f t="shared" si="5"/>
        <v>2.8038506421821787</v>
      </c>
      <c r="L35">
        <f t="shared" si="6"/>
        <v>219.07989894739407</v>
      </c>
      <c r="M35">
        <f t="shared" si="7"/>
        <v>125.61832988436839</v>
      </c>
      <c r="N35">
        <f t="shared" si="8"/>
        <v>281.88906388957827</v>
      </c>
      <c r="O35">
        <f t="shared" si="9"/>
        <v>156.27073400520987</v>
      </c>
      <c r="P35">
        <f t="shared" si="11"/>
        <v>30.652404120841481</v>
      </c>
    </row>
    <row r="36" spans="1:20" x14ac:dyDescent="0.25">
      <c r="H36" t="s">
        <v>82</v>
      </c>
      <c r="I36">
        <f>1/(1/I35+1/I34+1/I33)</f>
        <v>4.1666666666666661</v>
      </c>
    </row>
    <row r="38" spans="1:20" x14ac:dyDescent="0.25">
      <c r="A38" t="s">
        <v>86</v>
      </c>
      <c r="B38">
        <v>0</v>
      </c>
      <c r="C38">
        <v>1</v>
      </c>
      <c r="D38">
        <v>2</v>
      </c>
      <c r="E38">
        <v>3</v>
      </c>
      <c r="F38">
        <v>4</v>
      </c>
      <c r="G38">
        <v>5</v>
      </c>
      <c r="H38">
        <v>6</v>
      </c>
      <c r="I38">
        <v>7</v>
      </c>
      <c r="J38">
        <v>8</v>
      </c>
      <c r="L38" t="s">
        <v>97</v>
      </c>
      <c r="M38">
        <v>0</v>
      </c>
      <c r="N38">
        <v>1</v>
      </c>
      <c r="O38">
        <v>2</v>
      </c>
      <c r="P38">
        <v>3</v>
      </c>
      <c r="Q38">
        <v>4</v>
      </c>
      <c r="R38">
        <v>5</v>
      </c>
      <c r="S38">
        <v>6</v>
      </c>
      <c r="T38">
        <v>7</v>
      </c>
    </row>
    <row r="39" spans="1:20" x14ac:dyDescent="0.25">
      <c r="A39">
        <v>8</v>
      </c>
      <c r="B39">
        <f t="shared" ref="B39:I39" si="12">COS(((270-($E32/2+$G32)-(360/$A$39*B$38))*PI()/180))*M39*M46</f>
        <v>0</v>
      </c>
      <c r="C39">
        <f t="shared" si="12"/>
        <v>0</v>
      </c>
      <c r="D39">
        <f t="shared" si="12"/>
        <v>0</v>
      </c>
      <c r="E39">
        <f t="shared" si="12"/>
        <v>0</v>
      </c>
      <c r="F39">
        <f t="shared" si="12"/>
        <v>0</v>
      </c>
      <c r="G39">
        <f t="shared" si="12"/>
        <v>0</v>
      </c>
      <c r="H39">
        <f t="shared" si="12"/>
        <v>0</v>
      </c>
      <c r="I39">
        <f t="shared" si="12"/>
        <v>0</v>
      </c>
      <c r="L39">
        <v>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25">
      <c r="A40">
        <v>6</v>
      </c>
      <c r="B40">
        <f t="shared" ref="B40:G40" si="13">COS(((270-($E33/2+$G33)-(360/$A$40*B$38))*PI()/180))*M40*M47</f>
        <v>-1.2800000000000011</v>
      </c>
      <c r="C40">
        <f t="shared" si="13"/>
        <v>-2.56</v>
      </c>
      <c r="D40">
        <f t="shared" si="13"/>
        <v>-1.2799999999999994</v>
      </c>
      <c r="E40">
        <f t="shared" si="13"/>
        <v>0.72000000000000008</v>
      </c>
      <c r="F40">
        <f t="shared" si="13"/>
        <v>1.44</v>
      </c>
      <c r="G40">
        <f t="shared" si="13"/>
        <v>0.72000000000000008</v>
      </c>
      <c r="L40">
        <v>6</v>
      </c>
      <c r="M40">
        <f t="shared" ref="M40:O40" si="14">20*0.64/5</f>
        <v>2.56</v>
      </c>
      <c r="N40">
        <f t="shared" si="14"/>
        <v>2.56</v>
      </c>
      <c r="O40">
        <f t="shared" si="14"/>
        <v>2.56</v>
      </c>
      <c r="P40">
        <f>20*0.36/5</f>
        <v>1.44</v>
      </c>
      <c r="Q40">
        <f t="shared" ref="Q40:R40" si="15">20*0.36/5</f>
        <v>1.44</v>
      </c>
      <c r="R40">
        <f t="shared" si="15"/>
        <v>1.44</v>
      </c>
    </row>
    <row r="41" spans="1:20" x14ac:dyDescent="0.25">
      <c r="A41">
        <v>4</v>
      </c>
      <c r="B41">
        <f>COS(((270-($E34/2+$G34)-(360/$A$41*B$38))*PI()/180))*M41*M48</f>
        <v>-1.8101933598375621</v>
      </c>
      <c r="C41">
        <f>COS(((270-($E34/2+$G34)-(360/$A$41*C$38))*PI()/180))*N41*N48</f>
        <v>-1.8101933598375615</v>
      </c>
      <c r="D41">
        <f>COS(((270-($E34/2+$G34)-(360/$A$41*D$38))*PI()/180))*O41*O48</f>
        <v>1.0182337649086284</v>
      </c>
      <c r="E41">
        <f>COS(((270-($E34/2+$G34)-(360/$A$41*E$38))*PI()/180))*P41*P48</f>
        <v>1.0182337649086284</v>
      </c>
      <c r="L41">
        <v>4</v>
      </c>
      <c r="M41">
        <f t="shared" ref="M41:N41" si="16">20*0.64/5</f>
        <v>2.56</v>
      </c>
      <c r="N41">
        <f t="shared" si="16"/>
        <v>2.56</v>
      </c>
      <c r="O41">
        <f>20*0.36/5</f>
        <v>1.44</v>
      </c>
      <c r="P41">
        <f>20*0.36/5</f>
        <v>1.44</v>
      </c>
    </row>
    <row r="42" spans="1:20" x14ac:dyDescent="0.25">
      <c r="A42">
        <v>2</v>
      </c>
      <c r="B42">
        <f>COS(((270-($E35/2+$G35)-(360/$A$42*B$38))*PI()/180))*M42*M49</f>
        <v>0</v>
      </c>
      <c r="C42">
        <f>COS(((270-($E35/2+$G35)-(360/$A$42*C$38))*PI()/180))*N42*N49</f>
        <v>0</v>
      </c>
      <c r="L42">
        <v>2</v>
      </c>
      <c r="M42">
        <v>0</v>
      </c>
      <c r="N42">
        <v>0</v>
      </c>
    </row>
    <row r="43" spans="1:20" x14ac:dyDescent="0.25">
      <c r="A43">
        <f>SUM(B39:I42)</f>
        <v>-3.8239191898578682</v>
      </c>
      <c r="L43">
        <f>SUM(M39:T42)</f>
        <v>20</v>
      </c>
    </row>
    <row r="45" spans="1:20" x14ac:dyDescent="0.25">
      <c r="A45" t="s">
        <v>87</v>
      </c>
      <c r="B45">
        <v>0</v>
      </c>
      <c r="C45">
        <v>1</v>
      </c>
      <c r="D45">
        <v>2</v>
      </c>
      <c r="E45">
        <v>3</v>
      </c>
      <c r="F45">
        <v>4</v>
      </c>
      <c r="G45">
        <v>5</v>
      </c>
      <c r="H45">
        <v>6</v>
      </c>
      <c r="I45">
        <v>7</v>
      </c>
      <c r="J45">
        <v>8</v>
      </c>
      <c r="L45" t="s">
        <v>88</v>
      </c>
      <c r="M45">
        <v>0</v>
      </c>
      <c r="N45">
        <v>1</v>
      </c>
      <c r="O45">
        <v>2</v>
      </c>
      <c r="P45">
        <v>3</v>
      </c>
      <c r="Q45">
        <v>4</v>
      </c>
      <c r="R45">
        <v>5</v>
      </c>
      <c r="S45">
        <v>6</v>
      </c>
      <c r="T45">
        <v>7</v>
      </c>
    </row>
    <row r="46" spans="1:20" x14ac:dyDescent="0.25">
      <c r="A46">
        <v>8</v>
      </c>
      <c r="B46">
        <f t="shared" ref="B46:I46" si="17">SIN(((270-($E32/2+$G32)-(360/$A$46*B$45))*PI()/180))*M39*M46</f>
        <v>0</v>
      </c>
      <c r="C46">
        <f t="shared" si="17"/>
        <v>0</v>
      </c>
      <c r="D46">
        <f t="shared" si="17"/>
        <v>0</v>
      </c>
      <c r="E46">
        <f t="shared" si="17"/>
        <v>0</v>
      </c>
      <c r="F46">
        <f t="shared" si="17"/>
        <v>0</v>
      </c>
      <c r="G46">
        <f t="shared" si="17"/>
        <v>0</v>
      </c>
      <c r="H46">
        <f t="shared" si="17"/>
        <v>0</v>
      </c>
      <c r="I46">
        <f t="shared" si="17"/>
        <v>0</v>
      </c>
      <c r="L46">
        <v>8</v>
      </c>
      <c r="M46">
        <f t="shared" ref="M46:T46" si="18">IF($L$46&gt;$B$14,0,1)</f>
        <v>0</v>
      </c>
      <c r="N46">
        <f t="shared" si="18"/>
        <v>0</v>
      </c>
      <c r="O46">
        <f t="shared" si="18"/>
        <v>0</v>
      </c>
      <c r="P46">
        <f t="shared" si="18"/>
        <v>0</v>
      </c>
      <c r="Q46">
        <f t="shared" si="18"/>
        <v>0</v>
      </c>
      <c r="R46">
        <f t="shared" si="18"/>
        <v>0</v>
      </c>
      <c r="S46">
        <f t="shared" si="18"/>
        <v>0</v>
      </c>
      <c r="T46">
        <f t="shared" si="18"/>
        <v>0</v>
      </c>
    </row>
    <row r="47" spans="1:20" x14ac:dyDescent="0.25">
      <c r="A47">
        <v>6</v>
      </c>
      <c r="B47">
        <f t="shared" ref="B47:G47" si="19">SIN(((270-($E33/2+$G33)-(360/$A$47*B$45))*PI()/180))*M40*M47</f>
        <v>-2.2170250336881625</v>
      </c>
      <c r="C47">
        <f t="shared" si="19"/>
        <v>3.1363800445660674E-16</v>
      </c>
      <c r="D47">
        <f t="shared" si="19"/>
        <v>2.2170250336881629</v>
      </c>
      <c r="E47">
        <f t="shared" si="19"/>
        <v>1.2470765814495914</v>
      </c>
      <c r="F47">
        <f t="shared" si="19"/>
        <v>0</v>
      </c>
      <c r="G47">
        <f t="shared" si="19"/>
        <v>-1.2470765814495914</v>
      </c>
      <c r="L47">
        <v>6</v>
      </c>
      <c r="M47">
        <f t="shared" ref="M47:R47" si="20">IF(L$47&gt;$B$14,0,1)</f>
        <v>1</v>
      </c>
      <c r="N47">
        <f t="shared" si="20"/>
        <v>1</v>
      </c>
      <c r="O47">
        <f t="shared" si="20"/>
        <v>1</v>
      </c>
      <c r="P47">
        <f t="shared" si="20"/>
        <v>1</v>
      </c>
      <c r="Q47">
        <f t="shared" si="20"/>
        <v>1</v>
      </c>
      <c r="R47">
        <f t="shared" si="20"/>
        <v>1</v>
      </c>
    </row>
    <row r="48" spans="1:20" x14ac:dyDescent="0.25">
      <c r="A48">
        <v>4</v>
      </c>
      <c r="B48">
        <f>SIN(((270-($E34/2+$G34)-(360/$A$48*B$45))*PI()/180))*M41*M48</f>
        <v>-1.8101933598375615</v>
      </c>
      <c r="C48">
        <f>SIN(((270-($E34/2+$G34)-(360/$A$48*C$45))*PI()/180))*N41*N48</f>
        <v>1.8101933598375619</v>
      </c>
      <c r="D48">
        <f>SIN(((270-($E34/2+$G34)-(360/$A$48*D$45))*PI()/180))*O41*O48</f>
        <v>1.0182337649086284</v>
      </c>
      <c r="E48">
        <f>SIN(((270-($E34/2+$G34)-(360/$A$48*E$45))*PI()/180))*P41*P48</f>
        <v>-1.0182337649086284</v>
      </c>
      <c r="L48">
        <v>4</v>
      </c>
      <c r="M48">
        <f>IF(L$48&gt;$B$14,0,1)</f>
        <v>1</v>
      </c>
      <c r="N48">
        <f>IF(M$48&gt;$B$14,0,1)</f>
        <v>1</v>
      </c>
      <c r="O48">
        <f>IF(N$48&gt;$B$14,0,1)</f>
        <v>1</v>
      </c>
      <c r="P48">
        <f>IF(O$48&gt;$B$14,0,1)</f>
        <v>1</v>
      </c>
    </row>
    <row r="49" spans="1:20" x14ac:dyDescent="0.25">
      <c r="A49">
        <v>2</v>
      </c>
      <c r="B49">
        <f>SIN(((270-($E35/2+$G35)-(360/$A$49*B$45))*PI()/180))*M42*M49</f>
        <v>0</v>
      </c>
      <c r="C49">
        <f>SIN(((270-($E35/2+$G35)-(360/$A$49*C$45))*PI()/180))*N42*N49</f>
        <v>0</v>
      </c>
      <c r="L49">
        <v>2</v>
      </c>
      <c r="M49">
        <v>0</v>
      </c>
      <c r="N49">
        <v>0</v>
      </c>
    </row>
    <row r="50" spans="1:20" x14ac:dyDescent="0.25">
      <c r="A50">
        <f>SUM(B46:I49)</f>
        <v>1.3322676295501878E-15</v>
      </c>
    </row>
    <row r="53" spans="1:20" x14ac:dyDescent="0.25">
      <c r="A53" t="s">
        <v>10</v>
      </c>
      <c r="B53">
        <v>0</v>
      </c>
      <c r="C53">
        <v>1</v>
      </c>
      <c r="D53">
        <v>2</v>
      </c>
      <c r="E53">
        <v>3</v>
      </c>
      <c r="F53">
        <v>4</v>
      </c>
      <c r="G53">
        <v>5</v>
      </c>
      <c r="H53">
        <v>6</v>
      </c>
      <c r="I53">
        <v>7</v>
      </c>
    </row>
    <row r="54" spans="1:20" x14ac:dyDescent="0.25">
      <c r="A54">
        <v>8</v>
      </c>
      <c r="B54" t="e">
        <f>$B$4^2/M39*M46</f>
        <v>#DIV/0!</v>
      </c>
      <c r="C54" t="e">
        <f t="shared" ref="C54:I54" si="21">$B$4^2/N39*N46</f>
        <v>#DIV/0!</v>
      </c>
      <c r="D54" t="e">
        <f t="shared" si="21"/>
        <v>#DIV/0!</v>
      </c>
      <c r="E54" t="e">
        <f t="shared" si="21"/>
        <v>#DIV/0!</v>
      </c>
      <c r="F54" t="e">
        <f t="shared" si="21"/>
        <v>#DIV/0!</v>
      </c>
      <c r="G54" t="e">
        <f t="shared" si="21"/>
        <v>#DIV/0!</v>
      </c>
      <c r="H54" t="e">
        <f t="shared" si="21"/>
        <v>#DIV/0!</v>
      </c>
      <c r="I54" t="e">
        <f t="shared" si="21"/>
        <v>#DIV/0!</v>
      </c>
    </row>
    <row r="55" spans="1:20" x14ac:dyDescent="0.25">
      <c r="A55">
        <v>6</v>
      </c>
      <c r="B55">
        <f>$B$4^2/M40*M47</f>
        <v>39.0625</v>
      </c>
      <c r="C55">
        <f t="shared" ref="C55" si="22">$B$4^2/N40*N47</f>
        <v>39.0625</v>
      </c>
      <c r="D55">
        <f t="shared" ref="D55" si="23">$B$4^2/O40*O47</f>
        <v>39.0625</v>
      </c>
      <c r="E55">
        <f t="shared" ref="E55" si="24">$B$4^2/P40*P47</f>
        <v>69.444444444444443</v>
      </c>
      <c r="F55">
        <f t="shared" ref="F55" si="25">$B$4^2/Q40*Q47</f>
        <v>69.444444444444443</v>
      </c>
      <c r="G55">
        <f t="shared" ref="G55" si="26">$B$4^2/R40*R47</f>
        <v>69.444444444444443</v>
      </c>
    </row>
    <row r="56" spans="1:20" x14ac:dyDescent="0.25">
      <c r="A56">
        <v>4</v>
      </c>
      <c r="B56">
        <f>$B$4^2/M41*M48</f>
        <v>39.0625</v>
      </c>
      <c r="C56">
        <f t="shared" ref="C56" si="27">$B$4^2/N41*N48</f>
        <v>39.0625</v>
      </c>
      <c r="D56">
        <f t="shared" ref="D56" si="28">$B$4^2/O41*O48</f>
        <v>69.444444444444443</v>
      </c>
      <c r="E56">
        <f t="shared" ref="E56" si="29">$B$4^2/P41*P48</f>
        <v>69.444444444444443</v>
      </c>
    </row>
    <row r="57" spans="1:20" x14ac:dyDescent="0.25">
      <c r="A57">
        <v>2</v>
      </c>
      <c r="B57" t="e">
        <f>$B$4^2/M42*M49</f>
        <v>#DIV/0!</v>
      </c>
      <c r="C57" t="e">
        <f t="shared" ref="C57" si="30">$B$4^2/N42*N49</f>
        <v>#DIV/0!</v>
      </c>
    </row>
    <row r="60" spans="1:20" x14ac:dyDescent="0.25">
      <c r="A60" t="s">
        <v>93</v>
      </c>
      <c r="B60">
        <v>0</v>
      </c>
      <c r="C60">
        <v>1</v>
      </c>
      <c r="D60">
        <v>2</v>
      </c>
      <c r="E60">
        <v>3</v>
      </c>
      <c r="F60">
        <v>4</v>
      </c>
      <c r="G60">
        <v>5</v>
      </c>
      <c r="H60">
        <v>6</v>
      </c>
      <c r="I60">
        <v>7</v>
      </c>
      <c r="J60" t="s">
        <v>85</v>
      </c>
      <c r="L60" t="s">
        <v>39</v>
      </c>
      <c r="M60">
        <v>0</v>
      </c>
      <c r="N60">
        <v>1</v>
      </c>
      <c r="O60">
        <v>2</v>
      </c>
      <c r="P60">
        <v>3</v>
      </c>
      <c r="Q60">
        <v>4</v>
      </c>
      <c r="R60">
        <v>5</v>
      </c>
      <c r="S60">
        <v>6</v>
      </c>
      <c r="T60">
        <v>7</v>
      </c>
    </row>
    <row r="61" spans="1:20" x14ac:dyDescent="0.25">
      <c r="A61">
        <v>8</v>
      </c>
      <c r="L61">
        <v>8</v>
      </c>
    </row>
    <row r="62" spans="1:20" x14ac:dyDescent="0.25">
      <c r="A62">
        <v>6</v>
      </c>
      <c r="B62">
        <f>$B$8*EXP(-$B$11*($E$33/180*PI())/B55)</f>
        <v>436.16480218233437</v>
      </c>
      <c r="C62">
        <f t="shared" ref="C62:G62" si="31">$B$8*EXP(-$B$11*($E$33/180*PI())/C55)</f>
        <v>436.16480218233437</v>
      </c>
      <c r="D62">
        <f t="shared" si="31"/>
        <v>436.16480218233437</v>
      </c>
      <c r="E62">
        <f t="shared" si="31"/>
        <v>486.93918348227794</v>
      </c>
      <c r="F62">
        <f t="shared" si="31"/>
        <v>486.93918348227794</v>
      </c>
      <c r="G62">
        <f t="shared" si="31"/>
        <v>486.93918348227794</v>
      </c>
      <c r="J62">
        <f>(MAX(B62:G62)+B8)/2</f>
        <v>523.96959174113897</v>
      </c>
      <c r="L62">
        <v>6</v>
      </c>
      <c r="M62">
        <f>$B$8-B62</f>
        <v>124.83519781766563</v>
      </c>
      <c r="N62">
        <f t="shared" ref="N62:R62" si="32">$B$8-C62</f>
        <v>124.83519781766563</v>
      </c>
      <c r="O62">
        <f t="shared" si="32"/>
        <v>124.83519781766563</v>
      </c>
      <c r="P62">
        <f>$B$8-E62</f>
        <v>74.06081651772206</v>
      </c>
      <c r="Q62">
        <f t="shared" si="32"/>
        <v>74.06081651772206</v>
      </c>
      <c r="R62">
        <f t="shared" si="32"/>
        <v>74.06081651772206</v>
      </c>
    </row>
    <row r="63" spans="1:20" x14ac:dyDescent="0.25">
      <c r="A63">
        <v>4</v>
      </c>
      <c r="B63">
        <f>(2*$J63)/(EXP(($B$11*($E34*PI()/180))/(B56))+1)</f>
        <v>284.14359046159643</v>
      </c>
      <c r="C63">
        <f t="shared" ref="C63:E63" si="33">(2*$J63)/(EXP(($B$11*($E34*PI()/180))/(C56))+1)</f>
        <v>284.14359046159643</v>
      </c>
      <c r="D63">
        <f t="shared" si="33"/>
        <v>312.35960174202734</v>
      </c>
      <c r="E63">
        <f t="shared" si="33"/>
        <v>312.35960174202734</v>
      </c>
      <c r="J63">
        <f>2/3*J62</f>
        <v>349.31306116075928</v>
      </c>
      <c r="L63">
        <v>4</v>
      </c>
      <c r="M63">
        <f>($J$63-B63)*2</f>
        <v>130.33894139832569</v>
      </c>
      <c r="N63">
        <f t="shared" ref="N63:P63" si="34">($J$63-C63)*2</f>
        <v>130.33894139832569</v>
      </c>
      <c r="O63">
        <f t="shared" si="34"/>
        <v>73.906918837463877</v>
      </c>
      <c r="P63">
        <f t="shared" si="34"/>
        <v>73.906918837463877</v>
      </c>
    </row>
    <row r="64" spans="1:20" x14ac:dyDescent="0.25">
      <c r="A64">
        <v>2</v>
      </c>
      <c r="J64">
        <f>J62/3</f>
        <v>174.65653058037967</v>
      </c>
      <c r="L64">
        <v>2</v>
      </c>
    </row>
    <row r="66" spans="1:18" x14ac:dyDescent="0.25">
      <c r="A66" t="s">
        <v>94</v>
      </c>
      <c r="L66" t="s">
        <v>95</v>
      </c>
    </row>
    <row r="67" spans="1:18" x14ac:dyDescent="0.25">
      <c r="A67">
        <v>8</v>
      </c>
      <c r="L67">
        <v>8</v>
      </c>
    </row>
    <row r="68" spans="1:18" x14ac:dyDescent="0.25">
      <c r="A68">
        <v>6</v>
      </c>
      <c r="B68">
        <f t="shared" ref="B68:G68" si="35">B62+M62</f>
        <v>561</v>
      </c>
      <c r="C68">
        <f t="shared" si="35"/>
        <v>561</v>
      </c>
      <c r="D68">
        <f t="shared" si="35"/>
        <v>561</v>
      </c>
      <c r="E68">
        <f t="shared" si="35"/>
        <v>561</v>
      </c>
      <c r="F68">
        <f t="shared" si="35"/>
        <v>561</v>
      </c>
      <c r="G68">
        <f t="shared" si="35"/>
        <v>561</v>
      </c>
      <c r="L68">
        <v>6</v>
      </c>
      <c r="M68">
        <f>LN(B68/B62)/($B$11*($E33*PI()/180))</f>
        <v>2.5600000000000015E-2</v>
      </c>
      <c r="N68">
        <f t="shared" ref="N68:R68" si="36">LN(C68/C62)/($B$11*($E33*PI()/180))</f>
        <v>2.5600000000000015E-2</v>
      </c>
      <c r="O68">
        <f t="shared" si="36"/>
        <v>2.5600000000000015E-2</v>
      </c>
      <c r="P68">
        <f t="shared" si="36"/>
        <v>1.4400000000000001E-2</v>
      </c>
      <c r="Q68">
        <f t="shared" si="36"/>
        <v>1.4400000000000001E-2</v>
      </c>
      <c r="R68">
        <f t="shared" si="36"/>
        <v>1.4400000000000001E-2</v>
      </c>
    </row>
    <row r="69" spans="1:18" x14ac:dyDescent="0.25">
      <c r="A69">
        <v>4</v>
      </c>
      <c r="B69">
        <f t="shared" ref="B69:C70" si="37">B63+M63</f>
        <v>414.48253185992212</v>
      </c>
      <c r="C69">
        <f t="shared" si="37"/>
        <v>414.48253185992212</v>
      </c>
      <c r="D69">
        <f t="shared" ref="D69" si="38">D63+O63</f>
        <v>386.26652057949121</v>
      </c>
      <c r="E69">
        <f t="shared" ref="E69" si="39">E63+P63</f>
        <v>386.26652057949121</v>
      </c>
      <c r="L69">
        <v>4</v>
      </c>
      <c r="M69">
        <f>LN(B69/B63)/($B$11*($E34*PI()/180))</f>
        <v>2.5600000000000001E-2</v>
      </c>
      <c r="N69">
        <f t="shared" ref="N69" si="40">LN(C69/C63)/($B$11*($E34*PI()/180))</f>
        <v>2.5600000000000001E-2</v>
      </c>
      <c r="O69">
        <f t="shared" ref="O69" si="41">LN(D69/D63)/($B$11*($E34*PI()/180))</f>
        <v>1.4400000000000001E-2</v>
      </c>
      <c r="P69">
        <f t="shared" ref="P69" si="42">LN(E69/E63)/($B$11*($E34*PI()/180))</f>
        <v>1.4400000000000001E-2</v>
      </c>
    </row>
    <row r="70" spans="1:18" x14ac:dyDescent="0.25">
      <c r="A70">
        <v>2</v>
      </c>
      <c r="B70">
        <f t="shared" si="37"/>
        <v>0</v>
      </c>
      <c r="C70">
        <f t="shared" si="37"/>
        <v>0</v>
      </c>
      <c r="L70">
        <v>2</v>
      </c>
    </row>
    <row r="71" spans="1:18" x14ac:dyDescent="0.25">
      <c r="L71" t="s">
        <v>96</v>
      </c>
      <c r="M71">
        <f>SUM(M67:T70)</f>
        <v>0.20000000000000004</v>
      </c>
    </row>
    <row r="72" spans="1:18" x14ac:dyDescent="0.25">
      <c r="L72" t="s">
        <v>82</v>
      </c>
      <c r="M72">
        <f>1/M71</f>
        <v>4.9999999999999991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6" sqref="G6"/>
    </sheetView>
  </sheetViews>
  <sheetFormatPr defaultRowHeight="15" x14ac:dyDescent="0.25"/>
  <cols>
    <col min="6" max="6" width="16.7109375" customWidth="1"/>
  </cols>
  <sheetData>
    <row r="1" spans="1:7" x14ac:dyDescent="0.25">
      <c r="A1" t="s">
        <v>8</v>
      </c>
      <c r="B1">
        <v>10</v>
      </c>
    </row>
    <row r="2" spans="1:7" x14ac:dyDescent="0.25">
      <c r="A2" t="s">
        <v>9</v>
      </c>
      <c r="B2">
        <v>10</v>
      </c>
    </row>
    <row r="3" spans="1:7" x14ac:dyDescent="0.25">
      <c r="A3" t="s">
        <v>7</v>
      </c>
      <c r="B3" t="s">
        <v>3</v>
      </c>
      <c r="C3" t="s">
        <v>10</v>
      </c>
      <c r="D3" t="s">
        <v>11</v>
      </c>
      <c r="E3" t="s">
        <v>12</v>
      </c>
      <c r="F3" t="s">
        <v>13</v>
      </c>
    </row>
    <row r="4" spans="1:7" x14ac:dyDescent="0.25">
      <c r="A4">
        <v>200</v>
      </c>
      <c r="B4">
        <v>1</v>
      </c>
      <c r="C4">
        <f>A4/B4*B$1</f>
        <v>2000</v>
      </c>
      <c r="D4">
        <f>B$2/C4</f>
        <v>5.0000000000000001E-3</v>
      </c>
      <c r="E4">
        <f>D4*B$2</f>
        <v>0.05</v>
      </c>
      <c r="F4">
        <f>E4/(A4*B4)*1000000</f>
        <v>250</v>
      </c>
      <c r="G4">
        <f>B$2^2/(A4^2*B4*B$1)*1000000</f>
        <v>250</v>
      </c>
    </row>
    <row r="5" spans="1:7" x14ac:dyDescent="0.25">
      <c r="A5">
        <v>355</v>
      </c>
      <c r="B5">
        <v>1</v>
      </c>
      <c r="C5">
        <f>A5/B5*B$1</f>
        <v>3550</v>
      </c>
      <c r="D5">
        <f>B$2/C5</f>
        <v>2.8169014084507044E-3</v>
      </c>
      <c r="E5">
        <f>D5*B$2</f>
        <v>2.8169014084507043E-2</v>
      </c>
      <c r="F5">
        <f>E5/(A5*B5)*1000000</f>
        <v>79.349335449315618</v>
      </c>
      <c r="G5">
        <f>B$2^2/(A5^2*B5*B$1)*1000000</f>
        <v>79.349335449315618</v>
      </c>
    </row>
    <row r="6" spans="1:7" x14ac:dyDescent="0.25">
      <c r="A6">
        <v>800</v>
      </c>
      <c r="B6">
        <v>1</v>
      </c>
      <c r="C6">
        <f>A6/B6*B$1</f>
        <v>8000</v>
      </c>
      <c r="D6">
        <f>B$2/C6</f>
        <v>1.25E-3</v>
      </c>
      <c r="E6">
        <f>D6*B$2</f>
        <v>1.2500000000000001E-2</v>
      </c>
      <c r="F6">
        <f>E6/(A6*B6)*1000000</f>
        <v>15.625</v>
      </c>
      <c r="G6">
        <f>B$2^2/(A6^2*B$1)*1000000</f>
        <v>15.625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50"/>
  <sheetViews>
    <sheetView workbookViewId="0">
      <selection activeCell="J32" sqref="J32"/>
    </sheetView>
  </sheetViews>
  <sheetFormatPr defaultRowHeight="15" x14ac:dyDescent="0.25"/>
  <cols>
    <col min="2" max="2" width="12" bestFit="1" customWidth="1"/>
  </cols>
  <sheetData>
    <row r="3" spans="1:26" x14ac:dyDescent="0.25">
      <c r="A3" t="s">
        <v>79</v>
      </c>
      <c r="B3">
        <v>20</v>
      </c>
    </row>
    <row r="4" spans="1:26" x14ac:dyDescent="0.25">
      <c r="A4" t="s">
        <v>26</v>
      </c>
      <c r="B4">
        <v>10</v>
      </c>
    </row>
    <row r="5" spans="1:26" x14ac:dyDescent="0.25">
      <c r="A5" t="s">
        <v>71</v>
      </c>
      <c r="B5">
        <f>B4^2/B3</f>
        <v>5</v>
      </c>
    </row>
    <row r="6" spans="1:26" x14ac:dyDescent="0.25">
      <c r="A6" t="s">
        <v>92</v>
      </c>
      <c r="B6">
        <v>4</v>
      </c>
    </row>
    <row r="8" spans="1:26" x14ac:dyDescent="0.25">
      <c r="A8" t="s">
        <v>71</v>
      </c>
      <c r="B8">
        <v>561</v>
      </c>
    </row>
    <row r="9" spans="1:26" x14ac:dyDescent="0.25">
      <c r="A9" t="s">
        <v>0</v>
      </c>
      <c r="B9">
        <v>0.5</v>
      </c>
    </row>
    <row r="10" spans="1:26" x14ac:dyDescent="0.25">
      <c r="A10" t="s">
        <v>73</v>
      </c>
      <c r="B10">
        <v>30</v>
      </c>
    </row>
    <row r="11" spans="1:26" x14ac:dyDescent="0.25">
      <c r="A11" t="s">
        <v>25</v>
      </c>
      <c r="B11">
        <v>10</v>
      </c>
    </row>
    <row r="13" spans="1:26" x14ac:dyDescent="0.25">
      <c r="U13">
        <v>16</v>
      </c>
      <c r="W13">
        <v>17</v>
      </c>
      <c r="Y13">
        <v>18</v>
      </c>
    </row>
    <row r="14" spans="1:26" x14ac:dyDescent="0.25">
      <c r="A14" t="s">
        <v>72</v>
      </c>
      <c r="B14">
        <f>2*B6</f>
        <v>8</v>
      </c>
      <c r="V14">
        <v>9</v>
      </c>
      <c r="X14">
        <v>10</v>
      </c>
    </row>
    <row r="15" spans="1:26" x14ac:dyDescent="0.25">
      <c r="A15" t="s">
        <v>76</v>
      </c>
      <c r="B15">
        <f>(B14*(B14+2))/4</f>
        <v>20</v>
      </c>
      <c r="V15">
        <v>4</v>
      </c>
      <c r="X15">
        <v>5</v>
      </c>
    </row>
    <row r="16" spans="1:26" x14ac:dyDescent="0.25">
      <c r="A16" t="s">
        <v>74</v>
      </c>
      <c r="B16">
        <f>(2*PI()*B8-B14*B10)/(B14/2+2*PI()/B15)</f>
        <v>761.41531994517493</v>
      </c>
      <c r="T16">
        <v>15</v>
      </c>
      <c r="U16">
        <v>8</v>
      </c>
      <c r="V16">
        <v>1</v>
      </c>
      <c r="W16">
        <v>2</v>
      </c>
      <c r="Y16">
        <v>11</v>
      </c>
      <c r="Z16">
        <v>19</v>
      </c>
    </row>
    <row r="17" spans="1:25" x14ac:dyDescent="0.25">
      <c r="A17" t="s">
        <v>7</v>
      </c>
      <c r="B17">
        <f>B16*B9</f>
        <v>380.70765997258746</v>
      </c>
      <c r="V17">
        <v>3</v>
      </c>
      <c r="X17">
        <v>6</v>
      </c>
    </row>
    <row r="18" spans="1:25" x14ac:dyDescent="0.25">
      <c r="A18" t="s">
        <v>75</v>
      </c>
      <c r="B18">
        <f>B16/B15</f>
        <v>38.070765997258746</v>
      </c>
      <c r="C18">
        <f>B17*B18</f>
        <v>14493.832236180328</v>
      </c>
      <c r="V18">
        <v>7</v>
      </c>
      <c r="X18">
        <v>12</v>
      </c>
    </row>
    <row r="19" spans="1:25" x14ac:dyDescent="0.25">
      <c r="U19">
        <v>14</v>
      </c>
      <c r="W19">
        <v>13</v>
      </c>
      <c r="Y19">
        <v>20</v>
      </c>
    </row>
    <row r="25" spans="1:25" x14ac:dyDescent="0.25">
      <c r="A25" t="s">
        <v>35</v>
      </c>
      <c r="B25">
        <f>B17*B16</f>
        <v>289876.64472360653</v>
      </c>
    </row>
    <row r="26" spans="1:25" x14ac:dyDescent="0.25">
      <c r="A26" t="s">
        <v>78</v>
      </c>
      <c r="B26">
        <f>B3/B25</f>
        <v>6.8994865105706361E-5</v>
      </c>
    </row>
    <row r="28" spans="1:25" x14ac:dyDescent="0.25">
      <c r="A28" t="s">
        <v>78</v>
      </c>
      <c r="B28">
        <f>0.172/(0.5*0.25/0.0254^2)</f>
        <v>8.8774015999999983E-4</v>
      </c>
    </row>
    <row r="29" spans="1:25" x14ac:dyDescent="0.25">
      <c r="B29">
        <f>B28-B26</f>
        <v>8.1874529489429351E-4</v>
      </c>
    </row>
    <row r="31" spans="1:25" x14ac:dyDescent="0.25">
      <c r="C31" t="s">
        <v>71</v>
      </c>
      <c r="D31" t="s">
        <v>77</v>
      </c>
      <c r="E31" t="s">
        <v>4</v>
      </c>
      <c r="F31" t="s">
        <v>58</v>
      </c>
      <c r="H31" t="s">
        <v>80</v>
      </c>
      <c r="I31" t="s">
        <v>81</v>
      </c>
      <c r="J31" t="s">
        <v>83</v>
      </c>
      <c r="K31" t="s">
        <v>84</v>
      </c>
      <c r="L31" t="s">
        <v>85</v>
      </c>
      <c r="M31" t="s">
        <v>3</v>
      </c>
      <c r="N31" t="s">
        <v>90</v>
      </c>
      <c r="O31" t="s">
        <v>91</v>
      </c>
      <c r="P31" t="s">
        <v>58</v>
      </c>
    </row>
    <row r="32" spans="1:25" x14ac:dyDescent="0.25">
      <c r="A32">
        <v>8</v>
      </c>
      <c r="B32">
        <f>((B$17+B$10)*A32)/(2*PI())</f>
        <v>522.92923400274128</v>
      </c>
      <c r="C32">
        <f>B32+M32</f>
        <v>562.42008310154085</v>
      </c>
      <c r="D32">
        <f>(B32+C32)/2</f>
        <v>542.67465855214107</v>
      </c>
      <c r="E32">
        <f>B$17/B32*180/PI()</f>
        <v>41.712990451431793</v>
      </c>
      <c r="G32">
        <f t="shared" ref="G32:G33" si="0">(360-E32*A32)/(2*A32)</f>
        <v>1.6435047742841036</v>
      </c>
      <c r="J32">
        <f>($B$11*(E32*PI()/180)/($B$15*$B$5))</f>
        <v>7.2802902423044061E-2</v>
      </c>
      <c r="K32">
        <f>EXP(J32)+1</f>
        <v>2.0755185339257443</v>
      </c>
      <c r="L32">
        <f>B32*K32/2</f>
        <v>542.67465855214107</v>
      </c>
      <c r="M32">
        <f>2*(L32-B32)</f>
        <v>39.490849098799572</v>
      </c>
      <c r="N32">
        <f>L32+M32/2</f>
        <v>562.42008310154085</v>
      </c>
      <c r="O32">
        <f>L32-M32/2</f>
        <v>522.92923400274128</v>
      </c>
      <c r="P32">
        <f>B8-N32</f>
        <v>-1.4200831015408539</v>
      </c>
    </row>
    <row r="33" spans="1:20" x14ac:dyDescent="0.25">
      <c r="A33">
        <v>6</v>
      </c>
      <c r="B33">
        <f>((B$17+B$10)*A33)/(2*PI())</f>
        <v>392.19692550205599</v>
      </c>
      <c r="C33">
        <f t="shared" ref="C33:C35" si="1">B33+M33</f>
        <v>432.1767340534912</v>
      </c>
      <c r="D33">
        <f t="shared" ref="D33:D35" si="2">(B33+C33)/2</f>
        <v>412.1868297777736</v>
      </c>
      <c r="E33">
        <f>B$17/B33*180/PI()</f>
        <v>55.61732060190905</v>
      </c>
      <c r="F33">
        <f>B32-C33</f>
        <v>90.75249994925008</v>
      </c>
      <c r="G33">
        <f t="shared" si="0"/>
        <v>2.1913396990454763</v>
      </c>
      <c r="H33">
        <f t="shared" ref="H33:H34" si="3">1/(LN(C33/B33)/10/(E33*PI()/180))</f>
        <v>99.999999999999602</v>
      </c>
      <c r="I33">
        <f t="shared" ref="I33:I34" si="4">H33/A33</f>
        <v>16.6666666666666</v>
      </c>
      <c r="J33">
        <f>($B$11*(E33*PI()/180)/($B$15*$B$5))</f>
        <v>9.7070536564058743E-2</v>
      </c>
      <c r="K33">
        <f t="shared" ref="K33:K35" si="5">EXP(J33)+1</f>
        <v>2.1019380978070048</v>
      </c>
      <c r="L33">
        <f t="shared" ref="L33:L35" si="6">B33*K33/2</f>
        <v>412.1868297777736</v>
      </c>
      <c r="M33">
        <f t="shared" ref="M33:M35" si="7">2*(L33-B33)</f>
        <v>39.979808551435212</v>
      </c>
      <c r="N33">
        <f t="shared" ref="N33:N35" si="8">L33+M33/2</f>
        <v>432.1767340534912</v>
      </c>
      <c r="O33">
        <f t="shared" ref="O33:O35" si="9">L33-M33/2</f>
        <v>392.19692550205599</v>
      </c>
      <c r="P33">
        <f>O32-N33</f>
        <v>90.75249994925008</v>
      </c>
    </row>
    <row r="34" spans="1:20" x14ac:dyDescent="0.25">
      <c r="A34">
        <v>4</v>
      </c>
      <c r="B34">
        <f>((B$17+B$10)*A34)/(2*PI())</f>
        <v>261.46461700137064</v>
      </c>
      <c r="C34">
        <f t="shared" si="1"/>
        <v>302.44661161388211</v>
      </c>
      <c r="D34">
        <f t="shared" si="2"/>
        <v>281.95561430762638</v>
      </c>
      <c r="E34">
        <f>B$17/B34*180/PI()</f>
        <v>83.425980902863586</v>
      </c>
      <c r="F34">
        <f t="shared" ref="F34:F35" si="10">B33-C34</f>
        <v>89.750313888173878</v>
      </c>
      <c r="G34">
        <f>(360-E34*A34)/(2*A34)</f>
        <v>3.2870095485682072</v>
      </c>
      <c r="H34">
        <f t="shared" si="3"/>
        <v>99.999999999999986</v>
      </c>
      <c r="I34">
        <f t="shared" si="4"/>
        <v>24.999999999999996</v>
      </c>
      <c r="J34">
        <f>($B$11*(E34*PI()/180)/($B$15*$B$5))</f>
        <v>0.14560580484608812</v>
      </c>
      <c r="K34">
        <f t="shared" si="5"/>
        <v>2.1567401168177822</v>
      </c>
      <c r="L34">
        <f t="shared" si="6"/>
        <v>281.95561430762638</v>
      </c>
      <c r="M34">
        <f t="shared" si="7"/>
        <v>40.981994612511471</v>
      </c>
      <c r="N34">
        <f t="shared" si="8"/>
        <v>302.44661161388211</v>
      </c>
      <c r="O34">
        <f t="shared" si="9"/>
        <v>261.46461700137064</v>
      </c>
      <c r="P34">
        <f t="shared" ref="P34:P35" si="11">O33-N34</f>
        <v>89.750313888173878</v>
      </c>
    </row>
    <row r="35" spans="1:20" x14ac:dyDescent="0.25">
      <c r="A35">
        <v>2</v>
      </c>
      <c r="B35">
        <f>((B$17+B$10)*A35)/(2*PI())</f>
        <v>130.73230850068532</v>
      </c>
      <c r="C35">
        <f t="shared" si="1"/>
        <v>174.92606442469216</v>
      </c>
      <c r="D35">
        <f t="shared" si="2"/>
        <v>152.82918646268874</v>
      </c>
      <c r="E35">
        <f>B$17/B35*180/PI()</f>
        <v>166.85196180572717</v>
      </c>
      <c r="F35">
        <f t="shared" si="10"/>
        <v>86.538552576678484</v>
      </c>
      <c r="G35">
        <f>(360-E35*A35)/(2*A35)</f>
        <v>6.5740190971364143</v>
      </c>
      <c r="H35">
        <f>1/(LN(C35/B35)/10/(E35*PI()/180))</f>
        <v>99.999999999999986</v>
      </c>
      <c r="I35">
        <f>H35/A35</f>
        <v>49.999999999999993</v>
      </c>
      <c r="J35">
        <f>($B$11*(E35*PI()/180)/($B$15*$B$5))</f>
        <v>0.29121160969217624</v>
      </c>
      <c r="K35">
        <f t="shared" si="5"/>
        <v>2.3380476978556159</v>
      </c>
      <c r="L35">
        <f t="shared" si="6"/>
        <v>152.82918646268874</v>
      </c>
      <c r="M35">
        <f t="shared" si="7"/>
        <v>44.193755924006837</v>
      </c>
      <c r="N35">
        <f t="shared" si="8"/>
        <v>174.92606442469216</v>
      </c>
      <c r="O35">
        <f t="shared" si="9"/>
        <v>130.73230850068532</v>
      </c>
      <c r="P35">
        <f t="shared" si="11"/>
        <v>86.538552576678484</v>
      </c>
    </row>
    <row r="36" spans="1:20" x14ac:dyDescent="0.25">
      <c r="H36" t="s">
        <v>82</v>
      </c>
      <c r="I36">
        <f>1/(1/I35+1/I34+1/I33)</f>
        <v>8.3333333333333162</v>
      </c>
    </row>
    <row r="38" spans="1:20" x14ac:dyDescent="0.25">
      <c r="A38" t="s">
        <v>86</v>
      </c>
      <c r="B38">
        <v>0</v>
      </c>
      <c r="C38">
        <v>1</v>
      </c>
      <c r="D38">
        <v>2</v>
      </c>
      <c r="E38">
        <v>3</v>
      </c>
      <c r="F38">
        <v>4</v>
      </c>
      <c r="G38">
        <v>5</v>
      </c>
      <c r="H38">
        <v>6</v>
      </c>
      <c r="I38">
        <v>7</v>
      </c>
      <c r="J38">
        <v>8</v>
      </c>
      <c r="L38" t="s">
        <v>89</v>
      </c>
      <c r="M38">
        <v>0</v>
      </c>
      <c r="N38">
        <v>1</v>
      </c>
      <c r="O38">
        <v>2</v>
      </c>
      <c r="P38">
        <v>3</v>
      </c>
      <c r="Q38">
        <v>4</v>
      </c>
      <c r="R38">
        <v>5</v>
      </c>
      <c r="S38">
        <v>6</v>
      </c>
      <c r="T38">
        <v>7</v>
      </c>
    </row>
    <row r="39" spans="1:20" x14ac:dyDescent="0.25">
      <c r="A39">
        <v>8</v>
      </c>
      <c r="B39">
        <f t="shared" ref="B39:I39" si="12">COS(((270-($E32/2+$G32)-(360/$A$39*B$38))*PI()/180))*M39*M46</f>
        <v>0</v>
      </c>
      <c r="C39">
        <f t="shared" si="12"/>
        <v>0</v>
      </c>
      <c r="D39">
        <f t="shared" si="12"/>
        <v>0</v>
      </c>
      <c r="E39">
        <f t="shared" si="12"/>
        <v>0</v>
      </c>
      <c r="F39">
        <f t="shared" si="12"/>
        <v>0</v>
      </c>
      <c r="G39">
        <f t="shared" si="12"/>
        <v>0</v>
      </c>
      <c r="H39">
        <f t="shared" si="12"/>
        <v>0</v>
      </c>
      <c r="I39">
        <f t="shared" si="12"/>
        <v>0</v>
      </c>
      <c r="L39">
        <v>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25">
      <c r="A40">
        <v>6</v>
      </c>
      <c r="B40">
        <f t="shared" ref="B40:G40" si="13">COS(((270-($E33/2+$G33)-(360/$A$40*B$38))*PI()/180))*M40*M47</f>
        <v>-0.83333333333333415</v>
      </c>
      <c r="C40">
        <f t="shared" si="13"/>
        <v>-1.6666666666666667</v>
      </c>
      <c r="D40">
        <f t="shared" si="13"/>
        <v>-0.83333333333333304</v>
      </c>
      <c r="E40">
        <f t="shared" si="13"/>
        <v>0.83333333333333359</v>
      </c>
      <c r="F40">
        <f t="shared" si="13"/>
        <v>1.6666666666666667</v>
      </c>
      <c r="G40">
        <f t="shared" si="13"/>
        <v>0.83333333333333359</v>
      </c>
      <c r="L40">
        <v>6</v>
      </c>
      <c r="M40">
        <f>20/12</f>
        <v>1.6666666666666667</v>
      </c>
      <c r="N40">
        <f t="shared" ref="N40:R42" si="14">20/12</f>
        <v>1.6666666666666667</v>
      </c>
      <c r="O40">
        <f t="shared" si="14"/>
        <v>1.6666666666666667</v>
      </c>
      <c r="P40">
        <f t="shared" si="14"/>
        <v>1.6666666666666667</v>
      </c>
      <c r="Q40">
        <f t="shared" si="14"/>
        <v>1.6666666666666667</v>
      </c>
      <c r="R40">
        <f t="shared" si="14"/>
        <v>1.6666666666666667</v>
      </c>
    </row>
    <row r="41" spans="1:20" x14ac:dyDescent="0.25">
      <c r="A41">
        <v>4</v>
      </c>
      <c r="B41">
        <f>COS(((270-($E34/2+$G34)-(360/$A$41*B$38))*PI()/180))*M41*M48</f>
        <v>-1.1785113019775795</v>
      </c>
      <c r="C41">
        <f>COS(((270-($E34/2+$G34)-(360/$A$41*C$38))*PI()/180))*N41*N48</f>
        <v>-1.1785113019775793</v>
      </c>
      <c r="D41">
        <f>COS(((270-($E34/2+$G34)-(360/$A$41*D$38))*PI()/180))*O41*O48</f>
        <v>1.1785113019775793</v>
      </c>
      <c r="E41">
        <f>COS(((270-($E34/2+$G34)-(360/$A$41*E$38))*PI()/180))*P41*P48</f>
        <v>1.1785113019775793</v>
      </c>
      <c r="L41">
        <v>4</v>
      </c>
      <c r="M41">
        <f>20/12</f>
        <v>1.6666666666666667</v>
      </c>
      <c r="N41">
        <f t="shared" si="14"/>
        <v>1.6666666666666667</v>
      </c>
      <c r="O41">
        <f t="shared" si="14"/>
        <v>1.6666666666666667</v>
      </c>
      <c r="P41">
        <f t="shared" si="14"/>
        <v>1.6666666666666667</v>
      </c>
    </row>
    <row r="42" spans="1:20" x14ac:dyDescent="0.25">
      <c r="A42">
        <v>2</v>
      </c>
      <c r="B42">
        <f>COS(((270-($E35/2+$G35)-(360/$A$42*B$38))*PI()/180))*M42*M49</f>
        <v>-1.6666666666666667</v>
      </c>
      <c r="C42">
        <f>COS(((270-($E35/2+$G35)-(360/$A$42*C$38))*PI()/180))*N42*N49</f>
        <v>1.6666666666666667</v>
      </c>
      <c r="L42">
        <v>2</v>
      </c>
      <c r="M42">
        <f>20/12</f>
        <v>1.6666666666666667</v>
      </c>
      <c r="N42">
        <f t="shared" si="14"/>
        <v>1.6666666666666667</v>
      </c>
    </row>
    <row r="43" spans="1:20" x14ac:dyDescent="0.25">
      <c r="A43">
        <f>SUM(B39:I42)</f>
        <v>0</v>
      </c>
      <c r="L43">
        <f>SUM(M39:T42)</f>
        <v>20</v>
      </c>
    </row>
    <row r="45" spans="1:20" x14ac:dyDescent="0.25">
      <c r="A45" t="s">
        <v>87</v>
      </c>
      <c r="B45">
        <v>0</v>
      </c>
      <c r="C45">
        <v>1</v>
      </c>
      <c r="D45">
        <v>2</v>
      </c>
      <c r="E45">
        <v>3</v>
      </c>
      <c r="F45">
        <v>4</v>
      </c>
      <c r="G45">
        <v>5</v>
      </c>
      <c r="H45">
        <v>6</v>
      </c>
      <c r="I45">
        <v>7</v>
      </c>
      <c r="J45">
        <v>8</v>
      </c>
      <c r="L45" t="s">
        <v>88</v>
      </c>
      <c r="M45">
        <v>0</v>
      </c>
      <c r="N45">
        <v>1</v>
      </c>
      <c r="O45">
        <v>2</v>
      </c>
      <c r="P45">
        <v>3</v>
      </c>
      <c r="Q45">
        <v>4</v>
      </c>
      <c r="R45">
        <v>5</v>
      </c>
      <c r="S45">
        <v>6</v>
      </c>
      <c r="T45">
        <v>7</v>
      </c>
    </row>
    <row r="46" spans="1:20" x14ac:dyDescent="0.25">
      <c r="A46">
        <v>8</v>
      </c>
      <c r="B46">
        <f t="shared" ref="B46:I46" si="15">SIN(((270-($E32/2+$G32)-(360/$A$46*B$45))*PI()/180))*M39*M46</f>
        <v>0</v>
      </c>
      <c r="C46">
        <f t="shared" si="15"/>
        <v>0</v>
      </c>
      <c r="D46">
        <f t="shared" si="15"/>
        <v>0</v>
      </c>
      <c r="E46">
        <f t="shared" si="15"/>
        <v>0</v>
      </c>
      <c r="F46">
        <f t="shared" si="15"/>
        <v>0</v>
      </c>
      <c r="G46">
        <f t="shared" si="15"/>
        <v>0</v>
      </c>
      <c r="H46">
        <f t="shared" si="15"/>
        <v>0</v>
      </c>
      <c r="I46">
        <f t="shared" si="15"/>
        <v>0</v>
      </c>
      <c r="L46">
        <v>8</v>
      </c>
      <c r="M46">
        <f t="shared" ref="M46:T46" si="16">IF($L$46&gt;$B$14,0,1)</f>
        <v>1</v>
      </c>
      <c r="N46">
        <f t="shared" si="16"/>
        <v>1</v>
      </c>
      <c r="O46">
        <f t="shared" si="16"/>
        <v>1</v>
      </c>
      <c r="P46">
        <f t="shared" si="16"/>
        <v>1</v>
      </c>
      <c r="Q46">
        <f t="shared" si="16"/>
        <v>1</v>
      </c>
      <c r="R46">
        <f t="shared" si="16"/>
        <v>1</v>
      </c>
      <c r="S46">
        <f t="shared" si="16"/>
        <v>1</v>
      </c>
      <c r="T46">
        <f t="shared" si="16"/>
        <v>1</v>
      </c>
    </row>
    <row r="47" spans="1:20" x14ac:dyDescent="0.25">
      <c r="A47">
        <v>6</v>
      </c>
      <c r="B47">
        <f t="shared" ref="B47:G47" si="17">SIN(((270-($E33/2+$G33)-(360/$A$47*B$45))*PI()/180))*M40*M47</f>
        <v>-1.4433756729740641</v>
      </c>
      <c r="C47">
        <f t="shared" si="17"/>
        <v>2.0419140915143668E-16</v>
      </c>
      <c r="D47">
        <f t="shared" si="17"/>
        <v>1.4433756729740645</v>
      </c>
      <c r="E47">
        <f t="shared" si="17"/>
        <v>1.4433756729740643</v>
      </c>
      <c r="F47">
        <f t="shared" si="17"/>
        <v>0</v>
      </c>
      <c r="G47">
        <f t="shared" si="17"/>
        <v>-1.4433756729740643</v>
      </c>
      <c r="L47">
        <v>6</v>
      </c>
      <c r="M47">
        <f t="shared" ref="M47:R47" si="18">IF(L$47&gt;$B$14,0,1)</f>
        <v>1</v>
      </c>
      <c r="N47">
        <f t="shared" si="18"/>
        <v>1</v>
      </c>
      <c r="O47">
        <f t="shared" si="18"/>
        <v>1</v>
      </c>
      <c r="P47">
        <f t="shared" si="18"/>
        <v>1</v>
      </c>
      <c r="Q47">
        <f t="shared" si="18"/>
        <v>1</v>
      </c>
      <c r="R47">
        <f t="shared" si="18"/>
        <v>1</v>
      </c>
    </row>
    <row r="48" spans="1:20" x14ac:dyDescent="0.25">
      <c r="A48">
        <v>4</v>
      </c>
      <c r="B48">
        <f>SIN(((270-($E34/2+$G34)-(360/$A$48*B$45))*PI()/180))*M41*M48</f>
        <v>-1.1785113019775793</v>
      </c>
      <c r="C48">
        <f>SIN(((270-($E34/2+$G34)-(360/$A$48*C$45))*PI()/180))*N41*N48</f>
        <v>1.1785113019775793</v>
      </c>
      <c r="D48">
        <f>SIN(((270-($E34/2+$G34)-(360/$A$48*D$45))*PI()/180))*O41*O48</f>
        <v>1.1785113019775793</v>
      </c>
      <c r="E48">
        <f>SIN(((270-($E34/2+$G34)-(360/$A$48*E$45))*PI()/180))*P41*P48</f>
        <v>-1.1785113019775793</v>
      </c>
      <c r="L48">
        <v>4</v>
      </c>
      <c r="M48">
        <f>IF(L$48&gt;$B$14,0,1)</f>
        <v>1</v>
      </c>
      <c r="N48">
        <f>IF(M$48&gt;$B$14,0,1)</f>
        <v>1</v>
      </c>
      <c r="O48">
        <f>IF(N$48&gt;$B$14,0,1)</f>
        <v>1</v>
      </c>
      <c r="P48">
        <f>IF(O$48&gt;$B$14,0,1)</f>
        <v>1</v>
      </c>
    </row>
    <row r="49" spans="1:14" x14ac:dyDescent="0.25">
      <c r="A49">
        <v>2</v>
      </c>
      <c r="B49">
        <f>SIN(((270-($E35/2+$G35)-(360/$A$49*B$45))*PI()/180))*M42*M49</f>
        <v>2.0419140915143668E-16</v>
      </c>
      <c r="C49">
        <f>SIN(((270-($E35/2+$G35)-(360/$A$49*C$45))*PI()/180))*N42*N49</f>
        <v>0</v>
      </c>
      <c r="L49">
        <v>2</v>
      </c>
      <c r="M49">
        <f>IF(L$49&gt;$B$14,0,1)</f>
        <v>1</v>
      </c>
      <c r="N49">
        <f>IF(M$49&gt;$B$14,0,1)</f>
        <v>1</v>
      </c>
    </row>
    <row r="50" spans="1:14" x14ac:dyDescent="0.25">
      <c r="A50">
        <f>SUM(B46:I49)</f>
        <v>8.7032522392653066E-16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3"/>
  <sheetViews>
    <sheetView tabSelected="1" topLeftCell="A24" zoomScale="200" zoomScaleNormal="200" workbookViewId="0">
      <selection activeCell="B93" sqref="B93"/>
    </sheetView>
  </sheetViews>
  <sheetFormatPr defaultRowHeight="15" x14ac:dyDescent="0.25"/>
  <cols>
    <col min="1" max="1" width="20.7109375" customWidth="1"/>
    <col min="2" max="2" width="14.7109375" customWidth="1"/>
  </cols>
  <sheetData>
    <row r="3" spans="1:2" x14ac:dyDescent="0.25">
      <c r="A3" t="s">
        <v>97</v>
      </c>
      <c r="B3">
        <v>20</v>
      </c>
    </row>
    <row r="4" spans="1:2" x14ac:dyDescent="0.25">
      <c r="A4" t="s">
        <v>41</v>
      </c>
      <c r="B4">
        <v>10</v>
      </c>
    </row>
    <row r="5" spans="1:2" x14ac:dyDescent="0.25">
      <c r="A5" t="s">
        <v>98</v>
      </c>
      <c r="B5">
        <f>B4^2/B3</f>
        <v>5</v>
      </c>
    </row>
    <row r="6" spans="1:2" x14ac:dyDescent="0.25">
      <c r="A6" t="s">
        <v>99</v>
      </c>
      <c r="B6">
        <f>1/B5</f>
        <v>0.2</v>
      </c>
    </row>
    <row r="8" spans="1:2" x14ac:dyDescent="0.25">
      <c r="A8" t="s">
        <v>101</v>
      </c>
      <c r="B8">
        <v>10</v>
      </c>
    </row>
    <row r="9" spans="1:2" x14ac:dyDescent="0.25">
      <c r="B9" t="s">
        <v>48</v>
      </c>
    </row>
    <row r="10" spans="1:2" x14ac:dyDescent="0.25">
      <c r="A10" t="s">
        <v>100</v>
      </c>
      <c r="B10">
        <v>561</v>
      </c>
    </row>
    <row r="11" spans="1:2" x14ac:dyDescent="0.25">
      <c r="A11" t="s">
        <v>102</v>
      </c>
      <c r="B11">
        <v>88</v>
      </c>
    </row>
    <row r="12" spans="1:2" x14ac:dyDescent="0.25">
      <c r="A12" t="s">
        <v>121</v>
      </c>
      <c r="B12">
        <v>15</v>
      </c>
    </row>
    <row r="14" spans="1:2" x14ac:dyDescent="0.25">
      <c r="A14" t="s">
        <v>106</v>
      </c>
      <c r="B14">
        <v>10</v>
      </c>
    </row>
    <row r="15" spans="1:2" x14ac:dyDescent="0.25">
      <c r="A15" t="s">
        <v>107</v>
      </c>
      <c r="B15">
        <f>B14/2</f>
        <v>5</v>
      </c>
    </row>
    <row r="16" spans="1:2" x14ac:dyDescent="0.25">
      <c r="A16" t="s">
        <v>108</v>
      </c>
      <c r="B16">
        <f>B14/2</f>
        <v>5</v>
      </c>
    </row>
    <row r="18" spans="1:2" x14ac:dyDescent="0.25">
      <c r="A18" t="s">
        <v>109</v>
      </c>
      <c r="B18">
        <v>0.64</v>
      </c>
    </row>
    <row r="19" spans="1:2" x14ac:dyDescent="0.25">
      <c r="A19" t="s">
        <v>110</v>
      </c>
      <c r="B19">
        <f>B3*B18</f>
        <v>12.8</v>
      </c>
    </row>
    <row r="20" spans="1:2" x14ac:dyDescent="0.25">
      <c r="A20" t="s">
        <v>111</v>
      </c>
      <c r="B20">
        <f>B3-B19</f>
        <v>7.1999999999999993</v>
      </c>
    </row>
    <row r="21" spans="1:2" x14ac:dyDescent="0.25">
      <c r="A21" t="s">
        <v>112</v>
      </c>
      <c r="B21">
        <f>B19/B15</f>
        <v>2.56</v>
      </c>
    </row>
    <row r="22" spans="1:2" x14ac:dyDescent="0.25">
      <c r="A22" t="s">
        <v>113</v>
      </c>
      <c r="B22">
        <f>B20/B16</f>
        <v>1.44</v>
      </c>
    </row>
    <row r="23" spans="1:2" x14ac:dyDescent="0.25">
      <c r="A23" t="s">
        <v>114</v>
      </c>
      <c r="B23">
        <f>B4^2/B21</f>
        <v>39.0625</v>
      </c>
    </row>
    <row r="24" spans="1:2" x14ac:dyDescent="0.25">
      <c r="A24" t="s">
        <v>115</v>
      </c>
      <c r="B24">
        <f>B4^2/B22</f>
        <v>69.444444444444443</v>
      </c>
    </row>
    <row r="25" spans="1:2" x14ac:dyDescent="0.25">
      <c r="A25" t="s">
        <v>116</v>
      </c>
      <c r="B25">
        <f>1/B23</f>
        <v>2.5600000000000001E-2</v>
      </c>
    </row>
    <row r="26" spans="1:2" x14ac:dyDescent="0.25">
      <c r="A26" t="s">
        <v>117</v>
      </c>
      <c r="B26">
        <f>1/B24</f>
        <v>1.44E-2</v>
      </c>
    </row>
    <row r="32" spans="1:2" x14ac:dyDescent="0.25">
      <c r="A32" t="s">
        <v>118</v>
      </c>
    </row>
    <row r="33" spans="1:4" x14ac:dyDescent="0.25">
      <c r="A33" t="s">
        <v>119</v>
      </c>
      <c r="B33">
        <v>3</v>
      </c>
    </row>
    <row r="34" spans="1:4" x14ac:dyDescent="0.25">
      <c r="A34" t="s">
        <v>103</v>
      </c>
      <c r="B34">
        <f>PI()*B10</f>
        <v>1762.433478663874</v>
      </c>
    </row>
    <row r="35" spans="1:4" x14ac:dyDescent="0.25">
      <c r="A35" t="s">
        <v>135</v>
      </c>
      <c r="B35">
        <v>88</v>
      </c>
    </row>
    <row r="36" spans="1:4" x14ac:dyDescent="0.25">
      <c r="A36" t="s">
        <v>104</v>
      </c>
      <c r="B36">
        <f>B35*B33</f>
        <v>264</v>
      </c>
    </row>
    <row r="37" spans="1:4" x14ac:dyDescent="0.25">
      <c r="A37" t="s">
        <v>133</v>
      </c>
      <c r="B37">
        <f>B35/B10</f>
        <v>0.15686274509803921</v>
      </c>
      <c r="C37">
        <f>B37*180/PI()</f>
        <v>8.9875732569540894</v>
      </c>
      <c r="D37">
        <f>C37/2</f>
        <v>4.4937866284770447</v>
      </c>
    </row>
    <row r="38" spans="1:4" x14ac:dyDescent="0.25">
      <c r="A38" t="s">
        <v>105</v>
      </c>
      <c r="B38">
        <f>B34-B36</f>
        <v>1498.433478663874</v>
      </c>
    </row>
    <row r="39" spans="1:4" x14ac:dyDescent="0.25">
      <c r="A39" t="s">
        <v>120</v>
      </c>
      <c r="B39">
        <f>B38/B33</f>
        <v>499.47782622129131</v>
      </c>
    </row>
    <row r="40" spans="1:4" x14ac:dyDescent="0.25">
      <c r="A40" t="s">
        <v>123</v>
      </c>
      <c r="B40">
        <f>B39/B10</f>
        <v>0.89033480609855853</v>
      </c>
    </row>
    <row r="41" spans="1:4" x14ac:dyDescent="0.25">
      <c r="A41" t="s">
        <v>124</v>
      </c>
      <c r="B41">
        <f>EXP(-B25*B8*B40)*B10</f>
        <v>446.65889066281625</v>
      </c>
    </row>
    <row r="42" spans="1:4" x14ac:dyDescent="0.25">
      <c r="A42" t="s">
        <v>134</v>
      </c>
      <c r="B42">
        <f>B37*B41</f>
        <v>70.064139711814306</v>
      </c>
    </row>
    <row r="43" spans="1:4" x14ac:dyDescent="0.25">
      <c r="A43" t="s">
        <v>39</v>
      </c>
      <c r="B43">
        <f>B10-B41</f>
        <v>114.34110933718375</v>
      </c>
    </row>
    <row r="44" spans="1:4" x14ac:dyDescent="0.25">
      <c r="A44" t="s">
        <v>99</v>
      </c>
      <c r="B44">
        <f>LN(B10/B41)/B$8/B40</f>
        <v>2.5600000000000005E-2</v>
      </c>
    </row>
    <row r="45" spans="1:4" x14ac:dyDescent="0.25">
      <c r="A45" t="s">
        <v>137</v>
      </c>
      <c r="B45">
        <f>B44*B33</f>
        <v>7.6800000000000007E-2</v>
      </c>
    </row>
    <row r="47" spans="1:4" x14ac:dyDescent="0.25">
      <c r="A47" t="s">
        <v>122</v>
      </c>
      <c r="B47">
        <v>3</v>
      </c>
    </row>
    <row r="48" spans="1:4" x14ac:dyDescent="0.25">
      <c r="A48" t="s">
        <v>103</v>
      </c>
      <c r="B48">
        <f>PI()*B10</f>
        <v>1762.433478663874</v>
      </c>
    </row>
    <row r="49" spans="1:2" x14ac:dyDescent="0.25">
      <c r="A49" t="s">
        <v>135</v>
      </c>
      <c r="B49">
        <v>80</v>
      </c>
    </row>
    <row r="50" spans="1:2" x14ac:dyDescent="0.25">
      <c r="A50" t="s">
        <v>104</v>
      </c>
      <c r="B50">
        <f>B49*B47</f>
        <v>240</v>
      </c>
    </row>
    <row r="51" spans="1:2" x14ac:dyDescent="0.25">
      <c r="A51" t="s">
        <v>133</v>
      </c>
      <c r="B51">
        <f>B49/B10</f>
        <v>0.14260249554367202</v>
      </c>
    </row>
    <row r="52" spans="1:2" x14ac:dyDescent="0.25">
      <c r="A52" t="s">
        <v>105</v>
      </c>
      <c r="B52">
        <f>B48-B50</f>
        <v>1522.433478663874</v>
      </c>
    </row>
    <row r="53" spans="1:2" x14ac:dyDescent="0.25">
      <c r="A53" t="s">
        <v>120</v>
      </c>
      <c r="B53">
        <f>B52/B47</f>
        <v>507.47782622129131</v>
      </c>
    </row>
    <row r="54" spans="1:2" x14ac:dyDescent="0.25">
      <c r="A54" t="s">
        <v>123</v>
      </c>
      <c r="B54">
        <f>B53/B10</f>
        <v>0.90459505565292564</v>
      </c>
    </row>
    <row r="55" spans="1:2" x14ac:dyDescent="0.25">
      <c r="A55" t="s">
        <v>124</v>
      </c>
      <c r="B55">
        <f>EXP(-B26*B8*B54)*B10</f>
        <v>492.48264307739942</v>
      </c>
    </row>
    <row r="56" spans="1:2" x14ac:dyDescent="0.25">
      <c r="A56" t="s">
        <v>134</v>
      </c>
      <c r="B56">
        <f>B51*B55</f>
        <v>70.229253914780671</v>
      </c>
    </row>
    <row r="57" spans="1:2" x14ac:dyDescent="0.25">
      <c r="A57" t="s">
        <v>39</v>
      </c>
      <c r="B57">
        <f>B10-B55</f>
        <v>68.517356922600584</v>
      </c>
    </row>
    <row r="58" spans="1:2" x14ac:dyDescent="0.25">
      <c r="A58" t="s">
        <v>99</v>
      </c>
      <c r="B58">
        <f>LN(B10/B55)/B$8/B54</f>
        <v>1.4400000000000005E-2</v>
      </c>
    </row>
    <row r="59" spans="1:2" x14ac:dyDescent="0.25">
      <c r="A59" t="s">
        <v>137</v>
      </c>
      <c r="B59">
        <f>B58*B47</f>
        <v>4.3200000000000016E-2</v>
      </c>
    </row>
    <row r="61" spans="1:2" x14ac:dyDescent="0.25">
      <c r="A61" t="s">
        <v>125</v>
      </c>
    </row>
    <row r="62" spans="1:2" x14ac:dyDescent="0.25">
      <c r="A62" t="s">
        <v>126</v>
      </c>
      <c r="B62">
        <v>2</v>
      </c>
    </row>
    <row r="63" spans="1:2" x14ac:dyDescent="0.25">
      <c r="A63" t="s">
        <v>131</v>
      </c>
      <c r="B63">
        <f>B41-B12</f>
        <v>431.65889066281625</v>
      </c>
    </row>
    <row r="64" spans="1:2" x14ac:dyDescent="0.25">
      <c r="A64" t="s">
        <v>127</v>
      </c>
      <c r="B64">
        <f>PI()*(B41-B12)</f>
        <v>1356.0963997630233</v>
      </c>
    </row>
    <row r="65" spans="1:2" x14ac:dyDescent="0.25">
      <c r="A65" t="s">
        <v>136</v>
      </c>
      <c r="B65">
        <v>100</v>
      </c>
    </row>
    <row r="66" spans="1:2" x14ac:dyDescent="0.25">
      <c r="A66" t="s">
        <v>104</v>
      </c>
      <c r="B66">
        <f>B65*B62</f>
        <v>200</v>
      </c>
    </row>
    <row r="67" spans="1:2" x14ac:dyDescent="0.25">
      <c r="A67" t="s">
        <v>133</v>
      </c>
      <c r="B67">
        <f>B65/B63</f>
        <v>0.23166440484163101</v>
      </c>
    </row>
    <row r="68" spans="1:2" x14ac:dyDescent="0.25">
      <c r="A68" t="s">
        <v>128</v>
      </c>
      <c r="B68">
        <f>B64-B66</f>
        <v>1156.0963997630233</v>
      </c>
    </row>
    <row r="69" spans="1:2" x14ac:dyDescent="0.25">
      <c r="A69" t="s">
        <v>129</v>
      </c>
      <c r="B69">
        <f>B68/B62</f>
        <v>578.04819988151166</v>
      </c>
    </row>
    <row r="70" spans="1:2" x14ac:dyDescent="0.25">
      <c r="A70" t="s">
        <v>130</v>
      </c>
      <c r="B70">
        <f>B69/(B41-B12)</f>
        <v>1.3391319219532656</v>
      </c>
    </row>
    <row r="71" spans="1:2" x14ac:dyDescent="0.25">
      <c r="A71" t="s">
        <v>124</v>
      </c>
      <c r="B71">
        <f>EXP(-B25*B8*B70)*(B41-B12)</f>
        <v>306.37746863460541</v>
      </c>
    </row>
    <row r="72" spans="1:2" x14ac:dyDescent="0.25">
      <c r="A72" t="s">
        <v>134</v>
      </c>
      <c r="B72">
        <f>B67*B71</f>
        <v>70.976753928121326</v>
      </c>
    </row>
    <row r="73" spans="1:2" x14ac:dyDescent="0.25">
      <c r="A73" t="s">
        <v>132</v>
      </c>
      <c r="B73">
        <f>B63-B71</f>
        <v>125.28142202821084</v>
      </c>
    </row>
    <row r="74" spans="1:2" x14ac:dyDescent="0.25">
      <c r="A74" t="s">
        <v>99</v>
      </c>
      <c r="B74">
        <f>LN(B63/B71)/B$8/B70</f>
        <v>2.5600000000000008E-2</v>
      </c>
    </row>
    <row r="75" spans="1:2" x14ac:dyDescent="0.25">
      <c r="A75" t="s">
        <v>137</v>
      </c>
      <c r="B75">
        <f>B74*B62</f>
        <v>5.1200000000000016E-2</v>
      </c>
    </row>
    <row r="77" spans="1:2" x14ac:dyDescent="0.25">
      <c r="A77" t="s">
        <v>122</v>
      </c>
      <c r="B77">
        <v>2</v>
      </c>
    </row>
    <row r="78" spans="1:2" x14ac:dyDescent="0.25">
      <c r="A78" t="s">
        <v>131</v>
      </c>
      <c r="B78">
        <f>B41-B12</f>
        <v>431.65889066281625</v>
      </c>
    </row>
    <row r="79" spans="1:2" x14ac:dyDescent="0.25">
      <c r="A79" t="s">
        <v>127</v>
      </c>
      <c r="B79">
        <f>PI()*B78</f>
        <v>1356.0963997630233</v>
      </c>
    </row>
    <row r="80" spans="1:2" x14ac:dyDescent="0.25">
      <c r="A80" t="s">
        <v>136</v>
      </c>
      <c r="B80">
        <v>86</v>
      </c>
    </row>
    <row r="81" spans="1:2" x14ac:dyDescent="0.25">
      <c r="A81" t="s">
        <v>104</v>
      </c>
      <c r="B81">
        <f>B80*B77</f>
        <v>172</v>
      </c>
    </row>
    <row r="82" spans="1:2" x14ac:dyDescent="0.25">
      <c r="A82" t="s">
        <v>133</v>
      </c>
      <c r="B82">
        <f>B80/B78</f>
        <v>0.19923138816380268</v>
      </c>
    </row>
    <row r="83" spans="1:2" x14ac:dyDescent="0.25">
      <c r="A83" t="s">
        <v>105</v>
      </c>
      <c r="B83">
        <f>B79-B81</f>
        <v>1184.0963997630233</v>
      </c>
    </row>
    <row r="84" spans="1:2" x14ac:dyDescent="0.25">
      <c r="A84" t="s">
        <v>120</v>
      </c>
      <c r="B84">
        <f>B83/B77</f>
        <v>592.04819988151166</v>
      </c>
    </row>
    <row r="85" spans="1:2" x14ac:dyDescent="0.25">
      <c r="A85" t="s">
        <v>123</v>
      </c>
      <c r="B85">
        <f>B84/B78</f>
        <v>1.371564938631094</v>
      </c>
    </row>
    <row r="86" spans="1:2" x14ac:dyDescent="0.25">
      <c r="A86" t="s">
        <v>124</v>
      </c>
      <c r="B86">
        <f>EXP(-B26*B8*B85)*B78</f>
        <v>354.29514908531189</v>
      </c>
    </row>
    <row r="87" spans="1:2" x14ac:dyDescent="0.25">
      <c r="A87" t="s">
        <v>134</v>
      </c>
      <c r="B87">
        <f>B82*B86</f>
        <v>70.586714371968114</v>
      </c>
    </row>
    <row r="88" spans="1:2" x14ac:dyDescent="0.25">
      <c r="A88" t="s">
        <v>132</v>
      </c>
      <c r="B88">
        <f>B78-B86</f>
        <v>77.363741577504356</v>
      </c>
    </row>
    <row r="89" spans="1:2" x14ac:dyDescent="0.25">
      <c r="A89" t="s">
        <v>99</v>
      </c>
      <c r="B89">
        <f>LN(B78/B86)/B$8/B85</f>
        <v>1.4399999999999994E-2</v>
      </c>
    </row>
    <row r="90" spans="1:2" x14ac:dyDescent="0.25">
      <c r="A90" t="s">
        <v>137</v>
      </c>
      <c r="B90">
        <f>B89*B77</f>
        <v>2.8799999999999989E-2</v>
      </c>
    </row>
    <row r="92" spans="1:2" x14ac:dyDescent="0.25">
      <c r="A92" t="s">
        <v>138</v>
      </c>
      <c r="B92">
        <f>B45+B59+B75+B90</f>
        <v>0.20000000000000004</v>
      </c>
    </row>
    <row r="93" spans="1:2" x14ac:dyDescent="0.25">
      <c r="A93" t="s">
        <v>139</v>
      </c>
      <c r="B93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20" sqref="E20"/>
    </sheetView>
  </sheetViews>
  <sheetFormatPr defaultRowHeight="15" x14ac:dyDescent="0.25"/>
  <cols>
    <col min="1" max="1" width="15" customWidth="1"/>
  </cols>
  <sheetData>
    <row r="1" spans="1:5" x14ac:dyDescent="0.25">
      <c r="A1" t="s">
        <v>1</v>
      </c>
      <c r="B1">
        <v>20</v>
      </c>
    </row>
    <row r="2" spans="1:5" x14ac:dyDescent="0.25">
      <c r="A2" t="s">
        <v>4</v>
      </c>
      <c r="B2">
        <v>160</v>
      </c>
    </row>
    <row r="3" spans="1:5" x14ac:dyDescent="0.25">
      <c r="A3" t="s">
        <v>5</v>
      </c>
      <c r="B3">
        <f>B2/360*2*PI()</f>
        <v>2.7925268031909272</v>
      </c>
    </row>
    <row r="4" spans="1:5" x14ac:dyDescent="0.25">
      <c r="A4" t="s">
        <v>6</v>
      </c>
      <c r="B4">
        <f>10</f>
        <v>10</v>
      </c>
    </row>
    <row r="6" spans="1:5" x14ac:dyDescent="0.25">
      <c r="B6">
        <f>23*SQRT(2)</f>
        <v>32.526911934581186</v>
      </c>
    </row>
    <row r="10" spans="1:5" x14ac:dyDescent="0.25">
      <c r="A10" t="s">
        <v>2</v>
      </c>
      <c r="B10" t="s">
        <v>3</v>
      </c>
    </row>
    <row r="11" spans="1:5" x14ac:dyDescent="0.25">
      <c r="A11">
        <v>200</v>
      </c>
      <c r="B11">
        <f>A11*B$3/(2*B$1)</f>
        <v>13.962634015954634</v>
      </c>
      <c r="C11">
        <f>A11*25.4/1000*2</f>
        <v>10.16</v>
      </c>
      <c r="D11">
        <v>1</v>
      </c>
      <c r="E11">
        <f>B$1*10/D11</f>
        <v>200</v>
      </c>
    </row>
    <row r="12" spans="1:5" x14ac:dyDescent="0.25">
      <c r="A12">
        <f>A11+B11/2+B$4</f>
        <v>216.98131700797731</v>
      </c>
      <c r="B12">
        <f t="shared" ref="B12:B31" si="0">A12*B$3/(2*B$1)</f>
        <v>15.1481535884111</v>
      </c>
      <c r="C12">
        <f t="shared" ref="C12:C31" si="1">A12*25.4/1000*2</f>
        <v>11.022650904005246</v>
      </c>
      <c r="D12">
        <v>2</v>
      </c>
      <c r="E12">
        <f t="shared" ref="E12:E31" si="2">B$1*10/D12</f>
        <v>100</v>
      </c>
    </row>
    <row r="13" spans="1:5" x14ac:dyDescent="0.25">
      <c r="A13">
        <f t="shared" ref="A13:A31" si="3">A12+B12/2+B$4</f>
        <v>234.55539380218286</v>
      </c>
      <c r="B13">
        <f t="shared" si="0"/>
        <v>16.375055600639968</v>
      </c>
      <c r="C13">
        <f t="shared" si="1"/>
        <v>11.91541400515089</v>
      </c>
      <c r="D13">
        <v>3</v>
      </c>
      <c r="E13">
        <f t="shared" si="2"/>
        <v>66.666666666666671</v>
      </c>
    </row>
    <row r="14" spans="1:5" x14ac:dyDescent="0.25">
      <c r="A14">
        <f t="shared" si="3"/>
        <v>252.74292160250286</v>
      </c>
      <c r="B14">
        <f t="shared" si="0"/>
        <v>17.644784572294309</v>
      </c>
      <c r="C14">
        <f t="shared" si="1"/>
        <v>12.839340417407143</v>
      </c>
      <c r="D14">
        <v>4</v>
      </c>
      <c r="E14">
        <f t="shared" si="2"/>
        <v>50</v>
      </c>
    </row>
    <row r="15" spans="1:5" x14ac:dyDescent="0.25">
      <c r="A15">
        <f t="shared" si="3"/>
        <v>271.56531388865</v>
      </c>
      <c r="B15">
        <f t="shared" si="0"/>
        <v>18.958835446275312</v>
      </c>
      <c r="C15">
        <f t="shared" si="1"/>
        <v>13.79551794554342</v>
      </c>
      <c r="D15">
        <v>5</v>
      </c>
      <c r="E15">
        <f t="shared" si="2"/>
        <v>40</v>
      </c>
    </row>
    <row r="16" spans="1:5" x14ac:dyDescent="0.25">
      <c r="A16">
        <f t="shared" si="3"/>
        <v>291.04473161178765</v>
      </c>
      <c r="B16">
        <f t="shared" si="0"/>
        <v>20.318755348835669</v>
      </c>
      <c r="C16">
        <f t="shared" si="1"/>
        <v>14.785072365878811</v>
      </c>
      <c r="D16">
        <v>6</v>
      </c>
      <c r="E16">
        <f t="shared" si="2"/>
        <v>33.333333333333336</v>
      </c>
    </row>
    <row r="17" spans="1:5" x14ac:dyDescent="0.25">
      <c r="A17">
        <f t="shared" si="3"/>
        <v>311.20410928620549</v>
      </c>
      <c r="B17">
        <f t="shared" si="0"/>
        <v>21.726145411122182</v>
      </c>
      <c r="C17">
        <f t="shared" si="1"/>
        <v>15.809168751739238</v>
      </c>
      <c r="D17">
        <v>7</v>
      </c>
      <c r="E17">
        <f t="shared" si="2"/>
        <v>28.571428571428573</v>
      </c>
    </row>
    <row r="18" spans="1:5" x14ac:dyDescent="0.25">
      <c r="A18">
        <f t="shared" si="3"/>
        <v>332.06718199176657</v>
      </c>
      <c r="B18">
        <f t="shared" si="0"/>
        <v>23.182662654302195</v>
      </c>
      <c r="C18">
        <f t="shared" si="1"/>
        <v>16.869012845181739</v>
      </c>
      <c r="D18">
        <v>8</v>
      </c>
      <c r="E18">
        <f t="shared" si="2"/>
        <v>25</v>
      </c>
    </row>
    <row r="19" spans="1:5" x14ac:dyDescent="0.25">
      <c r="A19">
        <f t="shared" si="3"/>
        <v>353.6585133189177</v>
      </c>
      <c r="B19">
        <f t="shared" si="0"/>
        <v>24.690021940493331</v>
      </c>
      <c r="C19">
        <f t="shared" si="1"/>
        <v>17.965852476601018</v>
      </c>
      <c r="D19">
        <v>9</v>
      </c>
      <c r="E19">
        <f t="shared" si="2"/>
        <v>22.222222222222221</v>
      </c>
    </row>
    <row r="20" spans="1:5" x14ac:dyDescent="0.25">
      <c r="A20">
        <f t="shared" si="3"/>
        <v>376.00352428916437</v>
      </c>
      <c r="B20">
        <f t="shared" si="0"/>
        <v>26.24999799179356</v>
      </c>
      <c r="C20">
        <f t="shared" si="1"/>
        <v>19.100979033889551</v>
      </c>
      <c r="D20">
        <v>10</v>
      </c>
      <c r="E20">
        <f t="shared" si="2"/>
        <v>20</v>
      </c>
    </row>
    <row r="21" spans="1:5" x14ac:dyDescent="0.25">
      <c r="A21">
        <f t="shared" si="3"/>
        <v>399.12852328506114</v>
      </c>
      <c r="B21">
        <f t="shared" si="0"/>
        <v>27.864427479788684</v>
      </c>
      <c r="C21">
        <f t="shared" si="1"/>
        <v>20.275728982881105</v>
      </c>
      <c r="D21">
        <v>11</v>
      </c>
      <c r="E21">
        <f t="shared" si="2"/>
        <v>18.181818181818183</v>
      </c>
    </row>
    <row r="22" spans="1:5" x14ac:dyDescent="0.25">
      <c r="A22">
        <f t="shared" si="3"/>
        <v>423.06073702495547</v>
      </c>
      <c r="B22">
        <f t="shared" si="0"/>
        <v>29.535211187997412</v>
      </c>
      <c r="C22">
        <f t="shared" si="1"/>
        <v>21.491485440867738</v>
      </c>
      <c r="D22">
        <v>12</v>
      </c>
      <c r="E22">
        <f t="shared" si="2"/>
        <v>16.666666666666668</v>
      </c>
    </row>
    <row r="23" spans="1:5" x14ac:dyDescent="0.25">
      <c r="A23">
        <f t="shared" si="3"/>
        <v>447.8283426189542</v>
      </c>
      <c r="B23">
        <f t="shared" si="0"/>
        <v>31.264316249799986</v>
      </c>
      <c r="C23">
        <f t="shared" si="1"/>
        <v>22.749679805042874</v>
      </c>
      <c r="D23">
        <v>13</v>
      </c>
      <c r="E23">
        <f t="shared" si="2"/>
        <v>15.384615384615385</v>
      </c>
    </row>
    <row r="24" spans="1:5" x14ac:dyDescent="0.25">
      <c r="A24">
        <f t="shared" si="3"/>
        <v>473.4605007438542</v>
      </c>
      <c r="B24">
        <f t="shared" si="0"/>
        <v>33.053778464485269</v>
      </c>
      <c r="C24">
        <f t="shared" si="1"/>
        <v>24.051793437787794</v>
      </c>
      <c r="D24">
        <v>14</v>
      </c>
      <c r="E24">
        <f t="shared" si="2"/>
        <v>14.285714285714286</v>
      </c>
    </row>
    <row r="25" spans="1:5" x14ac:dyDescent="0.25">
      <c r="A25">
        <f t="shared" si="3"/>
        <v>499.98738997609684</v>
      </c>
      <c r="B25">
        <f t="shared" si="0"/>
        <v>34.905704694143125</v>
      </c>
      <c r="C25">
        <f t="shared" si="1"/>
        <v>25.399359410785717</v>
      </c>
      <c r="D25">
        <v>15</v>
      </c>
      <c r="E25">
        <f t="shared" si="2"/>
        <v>13.333333333333334</v>
      </c>
    </row>
    <row r="26" spans="1:5" x14ac:dyDescent="0.25">
      <c r="A26">
        <f t="shared" si="3"/>
        <v>527.44024232316838</v>
      </c>
      <c r="B26">
        <f t="shared" si="0"/>
        <v>36.822275344224138</v>
      </c>
      <c r="C26">
        <f t="shared" si="1"/>
        <v>26.793964310016953</v>
      </c>
      <c r="D26">
        <v>16</v>
      </c>
      <c r="E26">
        <f t="shared" si="2"/>
        <v>12.5</v>
      </c>
    </row>
    <row r="27" spans="1:5" x14ac:dyDescent="0.25">
      <c r="A27">
        <f t="shared" si="3"/>
        <v>555.85137999528047</v>
      </c>
      <c r="B27">
        <f t="shared" si="0"/>
        <v>38.805746930687143</v>
      </c>
      <c r="C27">
        <f t="shared" si="1"/>
        <v>28.237250103760246</v>
      </c>
      <c r="D27">
        <v>17</v>
      </c>
      <c r="E27">
        <f t="shared" si="2"/>
        <v>11.764705882352942</v>
      </c>
    </row>
    <row r="28" spans="1:5" x14ac:dyDescent="0.25">
      <c r="A28">
        <f t="shared" si="3"/>
        <v>585.254253460624</v>
      </c>
      <c r="B28">
        <f t="shared" si="0"/>
        <v>40.858454736757224</v>
      </c>
      <c r="C28">
        <f t="shared" si="1"/>
        <v>29.730916075799698</v>
      </c>
      <c r="D28">
        <v>18</v>
      </c>
      <c r="E28">
        <f t="shared" si="2"/>
        <v>11.111111111111111</v>
      </c>
    </row>
    <row r="29" spans="1:5" x14ac:dyDescent="0.25">
      <c r="A29">
        <f t="shared" si="3"/>
        <v>615.68348082900263</v>
      </c>
      <c r="B29">
        <f t="shared" si="0"/>
        <v>42.982815562421926</v>
      </c>
      <c r="C29">
        <f t="shared" si="1"/>
        <v>31.27672082611333</v>
      </c>
      <c r="D29">
        <v>19</v>
      </c>
      <c r="E29">
        <f t="shared" si="2"/>
        <v>10.526315789473685</v>
      </c>
    </row>
    <row r="30" spans="1:5" x14ac:dyDescent="0.25">
      <c r="A30">
        <f t="shared" si="3"/>
        <v>647.17488861021354</v>
      </c>
      <c r="B30">
        <f t="shared" si="0"/>
        <v>45.181330569903096</v>
      </c>
      <c r="C30">
        <f t="shared" si="1"/>
        <v>32.87648434139885</v>
      </c>
      <c r="D30">
        <v>20</v>
      </c>
      <c r="E30">
        <f t="shared" si="2"/>
        <v>10</v>
      </c>
    </row>
    <row r="31" spans="1:5" x14ac:dyDescent="0.25">
      <c r="A31">
        <f t="shared" si="3"/>
        <v>679.76555389516511</v>
      </c>
      <c r="B31">
        <f t="shared" si="0"/>
        <v>47.456588228454379</v>
      </c>
      <c r="C31">
        <f t="shared" si="1"/>
        <v>34.532090137874384</v>
      </c>
      <c r="D31">
        <v>21</v>
      </c>
      <c r="E31">
        <f t="shared" si="2"/>
        <v>9.5238095238095237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19" sqref="G19"/>
    </sheetView>
  </sheetViews>
  <sheetFormatPr defaultRowHeight="15" x14ac:dyDescent="0.25"/>
  <cols>
    <col min="1" max="1" width="18.42578125" customWidth="1"/>
    <col min="2" max="2" width="11.28515625" customWidth="1"/>
    <col min="3" max="3" width="12" bestFit="1" customWidth="1"/>
    <col min="5" max="5" width="11.28515625" customWidth="1"/>
  </cols>
  <sheetData>
    <row r="1" spans="1:5" x14ac:dyDescent="0.25">
      <c r="B1" t="s">
        <v>15</v>
      </c>
      <c r="C1" t="s">
        <v>16</v>
      </c>
      <c r="D1" t="s">
        <v>14</v>
      </c>
      <c r="E1" t="s">
        <v>17</v>
      </c>
    </row>
    <row r="2" spans="1:5" x14ac:dyDescent="0.25">
      <c r="A2" t="s">
        <v>18</v>
      </c>
      <c r="B2">
        <v>0.5</v>
      </c>
      <c r="C2">
        <v>0.25</v>
      </c>
      <c r="D2">
        <v>0.17199999999999999</v>
      </c>
      <c r="E2">
        <f>D2/((B2/0.0254)*(C2/0.0254))*1000000</f>
        <v>887.74015999999983</v>
      </c>
    </row>
    <row r="3" spans="1:5" x14ac:dyDescent="0.25">
      <c r="B3" t="s">
        <v>20</v>
      </c>
      <c r="C3" t="s">
        <v>21</v>
      </c>
    </row>
    <row r="4" spans="1:5" x14ac:dyDescent="0.25">
      <c r="A4" t="s">
        <v>19</v>
      </c>
      <c r="B4">
        <f>23/2*SQRT(2)</f>
        <v>16.263455967290593</v>
      </c>
      <c r="C4">
        <f>PI()*(B4/0.0254)^2</f>
        <v>1287977.0241095237</v>
      </c>
    </row>
    <row r="5" spans="1:5" x14ac:dyDescent="0.25">
      <c r="B5" t="s">
        <v>23</v>
      </c>
    </row>
    <row r="6" spans="1:5" x14ac:dyDescent="0.25">
      <c r="A6" t="s">
        <v>22</v>
      </c>
      <c r="B6">
        <f>10*2</f>
        <v>20</v>
      </c>
    </row>
    <row r="7" spans="1:5" x14ac:dyDescent="0.25">
      <c r="B7" t="s">
        <v>17</v>
      </c>
    </row>
    <row r="8" spans="1:5" x14ac:dyDescent="0.25">
      <c r="A8" t="s">
        <v>24</v>
      </c>
      <c r="B8">
        <f>B6/C4*1000000</f>
        <v>15.528227309666116</v>
      </c>
    </row>
    <row r="10" spans="1:5" x14ac:dyDescent="0.25">
      <c r="A10" t="s">
        <v>25</v>
      </c>
      <c r="B10">
        <v>10</v>
      </c>
    </row>
    <row r="11" spans="1:5" x14ac:dyDescent="0.25">
      <c r="A11" t="s">
        <v>26</v>
      </c>
      <c r="B11">
        <f>10</f>
        <v>10</v>
      </c>
    </row>
    <row r="12" spans="1:5" x14ac:dyDescent="0.25">
      <c r="A12" t="s">
        <v>27</v>
      </c>
      <c r="B12">
        <v>160</v>
      </c>
    </row>
    <row r="13" spans="1:5" x14ac:dyDescent="0.25">
      <c r="A13" t="s">
        <v>29</v>
      </c>
      <c r="B13">
        <v>10</v>
      </c>
    </row>
    <row r="14" spans="1:5" x14ac:dyDescent="0.25">
      <c r="A14" t="s">
        <v>30</v>
      </c>
      <c r="B14">
        <v>10</v>
      </c>
    </row>
    <row r="16" spans="1:5" x14ac:dyDescent="0.25">
      <c r="A16" t="s">
        <v>28</v>
      </c>
      <c r="B16">
        <f>B12/360*2*PI()</f>
        <v>2.7925268031909272</v>
      </c>
    </row>
    <row r="18" spans="1:7" x14ac:dyDescent="0.25">
      <c r="A18" t="s">
        <v>31</v>
      </c>
      <c r="B18" t="s">
        <v>34</v>
      </c>
      <c r="C18" t="s">
        <v>7</v>
      </c>
      <c r="D18" t="s">
        <v>10</v>
      </c>
      <c r="E18" t="s">
        <v>12</v>
      </c>
      <c r="F18" t="s">
        <v>35</v>
      </c>
      <c r="G18" t="s">
        <v>36</v>
      </c>
    </row>
    <row r="19" spans="1:7" x14ac:dyDescent="0.25">
      <c r="A19">
        <v>200</v>
      </c>
      <c r="B19">
        <v>10</v>
      </c>
      <c r="C19">
        <f>A19*B$16</f>
        <v>558.50536063818538</v>
      </c>
      <c r="D19">
        <f>C19/B19*B10</f>
        <v>558.50536063818538</v>
      </c>
      <c r="E19">
        <f>B11^2/D19</f>
        <v>0.17904931097838228</v>
      </c>
      <c r="F19">
        <f>E19/B8*1000000</f>
        <v>11530.569936139875</v>
      </c>
      <c r="G19">
        <f>F19/(B16*A19)</f>
        <v>20.645406022538939</v>
      </c>
    </row>
    <row r="20" spans="1:7" x14ac:dyDescent="0.25">
      <c r="A20">
        <f>A19+G19</f>
        <v>220.64540602253894</v>
      </c>
      <c r="B20">
        <v>200</v>
      </c>
      <c r="C20">
        <f>A20*B$16</f>
        <v>616.15821031888481</v>
      </c>
    </row>
    <row r="21" spans="1:7" x14ac:dyDescent="0.25">
      <c r="A21">
        <f>A20+G20</f>
        <v>220.64540602253894</v>
      </c>
      <c r="B21">
        <v>10</v>
      </c>
      <c r="C21">
        <f>A21*B$16</f>
        <v>616.15821031888481</v>
      </c>
    </row>
    <row r="22" spans="1:7" x14ac:dyDescent="0.25">
      <c r="A22">
        <f>A21+G21</f>
        <v>220.64540602253894</v>
      </c>
      <c r="B22">
        <v>10</v>
      </c>
      <c r="C22">
        <f>A22*B$16</f>
        <v>616.15821031888481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E7" sqref="E7"/>
    </sheetView>
  </sheetViews>
  <sheetFormatPr defaultRowHeight="15" x14ac:dyDescent="0.25"/>
  <sheetData>
    <row r="2" spans="1:10" x14ac:dyDescent="0.25">
      <c r="A2" t="s">
        <v>25</v>
      </c>
      <c r="B2">
        <v>10</v>
      </c>
    </row>
    <row r="3" spans="1:10" x14ac:dyDescent="0.25">
      <c r="A3" t="s">
        <v>40</v>
      </c>
      <c r="B3">
        <v>10.5</v>
      </c>
    </row>
    <row r="4" spans="1:10" x14ac:dyDescent="0.25">
      <c r="A4" t="s">
        <v>25</v>
      </c>
      <c r="B4">
        <f>B2*B3</f>
        <v>105</v>
      </c>
    </row>
    <row r="5" spans="1:10" x14ac:dyDescent="0.25">
      <c r="A5" t="s">
        <v>41</v>
      </c>
      <c r="B5">
        <v>10</v>
      </c>
    </row>
    <row r="6" spans="1:10" x14ac:dyDescent="0.25">
      <c r="B6" s="1">
        <v>1.5E-5</v>
      </c>
    </row>
    <row r="7" spans="1:10" x14ac:dyDescent="0.25">
      <c r="A7" t="s">
        <v>42</v>
      </c>
      <c r="B7">
        <f>B5^2/B4</f>
        <v>0.95238095238095233</v>
      </c>
      <c r="E7">
        <f>23/2/0.0254</f>
        <v>452.75590551181102</v>
      </c>
      <c r="F7">
        <f>E7*SQRT(2)</f>
        <v>640.29354201931471</v>
      </c>
      <c r="G7">
        <f>F7-2/0.0254</f>
        <v>561.55338453899981</v>
      </c>
    </row>
    <row r="10" spans="1:10" x14ac:dyDescent="0.25">
      <c r="A10" t="s">
        <v>37</v>
      </c>
      <c r="B10" t="s">
        <v>38</v>
      </c>
      <c r="C10" t="s">
        <v>39</v>
      </c>
      <c r="E10" t="s">
        <v>42</v>
      </c>
      <c r="F10" t="s">
        <v>43</v>
      </c>
      <c r="H10" t="s">
        <v>45</v>
      </c>
      <c r="I10" t="s">
        <v>44</v>
      </c>
    </row>
    <row r="11" spans="1:10" x14ac:dyDescent="0.25">
      <c r="A11">
        <f t="shared" ref="A11:A14" si="0">360/D11-10</f>
        <v>170</v>
      </c>
      <c r="B11">
        <v>160</v>
      </c>
      <c r="C11">
        <f>(B11*A11*PI()/100)/B$3</f>
        <v>81.382209692992731</v>
      </c>
      <c r="D11">
        <v>2</v>
      </c>
      <c r="E11">
        <f>B$7*D11</f>
        <v>1.9047619047619047</v>
      </c>
      <c r="F11" s="1">
        <f>E11/B$6</f>
        <v>126984.12698412697</v>
      </c>
      <c r="G11">
        <f>SQRT(F11/PI())</f>
        <v>201.04801169736913</v>
      </c>
      <c r="H11">
        <f>B11+C11/2</f>
        <v>200.69110484649636</v>
      </c>
      <c r="I11">
        <f>B11-C11/2</f>
        <v>119.30889515350364</v>
      </c>
    </row>
    <row r="12" spans="1:10" x14ac:dyDescent="0.25">
      <c r="A12">
        <f t="shared" si="0"/>
        <v>110</v>
      </c>
      <c r="B12">
        <v>255</v>
      </c>
      <c r="C12">
        <f>(B12*A12*PI()/100)/B$3</f>
        <v>83.925403745898763</v>
      </c>
      <c r="D12">
        <v>3</v>
      </c>
      <c r="E12">
        <f t="shared" ref="E12:E15" si="1">B$7*D12</f>
        <v>2.8571428571428568</v>
      </c>
      <c r="F12" s="1">
        <f>E12/B$6</f>
        <v>190476.19047619044</v>
      </c>
      <c r="G12">
        <f>SQRT(F12/PI())</f>
        <v>246.23252122982905</v>
      </c>
      <c r="H12">
        <f>B12+C12/2</f>
        <v>296.96270187294937</v>
      </c>
      <c r="I12">
        <f>B12-C12/2</f>
        <v>213.03729812705063</v>
      </c>
      <c r="J12">
        <f>I12-H11</f>
        <v>12.346193280554274</v>
      </c>
    </row>
    <row r="13" spans="1:10" x14ac:dyDescent="0.25">
      <c r="A13">
        <f t="shared" si="0"/>
        <v>80</v>
      </c>
      <c r="B13">
        <v>351</v>
      </c>
      <c r="C13">
        <f>(B13*A13*PI()/100)/B$3</f>
        <v>84.015163536001324</v>
      </c>
      <c r="D13">
        <v>4</v>
      </c>
      <c r="E13">
        <f t="shared" si="1"/>
        <v>3.8095238095238093</v>
      </c>
      <c r="F13" s="1">
        <f>E13/B$6</f>
        <v>253968.25396825394</v>
      </c>
      <c r="G13">
        <f>SQRT(F13/PI())</f>
        <v>284.32482483056413</v>
      </c>
      <c r="H13">
        <f>B13+C13/2</f>
        <v>393.00758176800065</v>
      </c>
      <c r="I13">
        <f>B13-C13/2</f>
        <v>308.99241823199935</v>
      </c>
      <c r="J13">
        <f t="shared" ref="J13:J15" si="2">I13-H12</f>
        <v>12.029716359049985</v>
      </c>
    </row>
    <row r="14" spans="1:10" x14ac:dyDescent="0.25">
      <c r="A14">
        <f t="shared" si="0"/>
        <v>62</v>
      </c>
      <c r="B14">
        <v>446</v>
      </c>
      <c r="C14">
        <f>(B14*A14*PI()/100)/B$3</f>
        <v>82.734590530538057</v>
      </c>
      <c r="D14">
        <v>5</v>
      </c>
      <c r="E14">
        <f t="shared" si="1"/>
        <v>4.7619047619047619</v>
      </c>
      <c r="F14" s="1">
        <f>E14/B$6</f>
        <v>317460.31746031746</v>
      </c>
      <c r="G14">
        <f>SQRT(F14/PI())</f>
        <v>317.88481800593075</v>
      </c>
      <c r="H14">
        <f>B14+C14/2</f>
        <v>487.36729526526904</v>
      </c>
      <c r="I14">
        <f>B14-C14/2</f>
        <v>404.63270473473096</v>
      </c>
      <c r="J14">
        <f t="shared" si="2"/>
        <v>11.625122966730316</v>
      </c>
    </row>
    <row r="15" spans="1:10" x14ac:dyDescent="0.25">
      <c r="A15">
        <f>360/D15-10</f>
        <v>41.428571428571431</v>
      </c>
      <c r="B15">
        <v>530</v>
      </c>
      <c r="C15">
        <f>(B15*A15*PI()/100)/B$3</f>
        <v>65.695617803639635</v>
      </c>
      <c r="D15">
        <v>7</v>
      </c>
      <c r="E15">
        <f t="shared" si="1"/>
        <v>6.6666666666666661</v>
      </c>
      <c r="F15" s="1">
        <f>E15/B$6</f>
        <v>444444.44444444438</v>
      </c>
      <c r="G15">
        <f>SQRT(F15/PI())</f>
        <v>376.1263890318375</v>
      </c>
      <c r="H15">
        <f>B15+C15/2</f>
        <v>562.8478089018198</v>
      </c>
      <c r="I15">
        <f>B15-C15/2</f>
        <v>497.1521910981802</v>
      </c>
      <c r="J15">
        <f t="shared" si="2"/>
        <v>9.7848958329111611</v>
      </c>
    </row>
    <row r="16" spans="1:10" x14ac:dyDescent="0.25">
      <c r="D16">
        <f>SUM(D11:D15)</f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K13" sqref="K13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30</v>
      </c>
    </row>
    <row r="9" spans="1:19" x14ac:dyDescent="0.25">
      <c r="E9" t="s">
        <v>49</v>
      </c>
      <c r="F9">
        <f>B19</f>
        <v>497.17330517899723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50</v>
      </c>
      <c r="H13">
        <f>F13+G13</f>
        <v>250</v>
      </c>
      <c r="I13">
        <f>F13+G13/2</f>
        <v>225</v>
      </c>
      <c r="J13">
        <f t="shared" ref="J13:J15" si="0">F$9/(I13)*180/PI()</f>
        <v>126.60414254811651</v>
      </c>
      <c r="K13">
        <f t="shared" ref="K13:K15" si="1">(F$9+70)/(I13)*180/PI()</f>
        <v>144.42949617440877</v>
      </c>
      <c r="L13">
        <f>PI()*(H13^2-F13^2)*J13/360</f>
        <v>24858.665258949866</v>
      </c>
      <c r="M13">
        <f t="shared" ref="M13:M15" si="2">TRUNC(360/K13)</f>
        <v>2</v>
      </c>
      <c r="N13">
        <f t="shared" ref="N13:N15" si="3">L13*M13</f>
        <v>49717.330517899733</v>
      </c>
      <c r="O13">
        <f t="shared" ref="O13:O15" si="4">G13*M13</f>
        <v>100</v>
      </c>
      <c r="P13">
        <f t="shared" ref="P13:P15" si="5">B$4^2*O13/(B$2*B$19)</f>
        <v>2.0113710643413776</v>
      </c>
      <c r="Q13">
        <f>PI()*(H13^2)</f>
        <v>196349.54084936206</v>
      </c>
      <c r="R13">
        <f t="shared" ref="R13:R15" si="6">P13/Q13</f>
        <v>1.0243828713021981E-5</v>
      </c>
      <c r="S13">
        <f t="shared" ref="S13:S15" si="7">N13/Q13</f>
        <v>0.25320828509623305</v>
      </c>
    </row>
    <row r="14" spans="1:19" x14ac:dyDescent="0.25">
      <c r="A14" t="s">
        <v>50</v>
      </c>
      <c r="B14">
        <f>B12^2*PI()</f>
        <v>988725.18153043324</v>
      </c>
      <c r="F14">
        <f>H13+F$8</f>
        <v>280</v>
      </c>
      <c r="G14">
        <v>80</v>
      </c>
      <c r="H14">
        <f>F14+G14</f>
        <v>360</v>
      </c>
      <c r="I14">
        <f>F14+G14/2</f>
        <v>320</v>
      </c>
      <c r="J14">
        <f t="shared" si="0"/>
        <v>89.018537729144441</v>
      </c>
      <c r="K14">
        <f t="shared" si="1"/>
        <v>101.5519894976312</v>
      </c>
      <c r="L14">
        <f>PI()*(H14^2-F14^2)*J14/360</f>
        <v>39773.864414319789</v>
      </c>
      <c r="M14">
        <f t="shared" si="2"/>
        <v>3</v>
      </c>
      <c r="N14">
        <f t="shared" si="3"/>
        <v>119321.59324295937</v>
      </c>
      <c r="O14">
        <f t="shared" si="4"/>
        <v>240</v>
      </c>
      <c r="P14">
        <f t="shared" si="5"/>
        <v>4.8272905544193057</v>
      </c>
      <c r="Q14">
        <f t="shared" ref="Q14:Q15" si="8">PI()*(H14^2-F14^2)</f>
        <v>160849.54386379741</v>
      </c>
      <c r="R14">
        <f t="shared" si="6"/>
        <v>3.001121693268158E-5</v>
      </c>
      <c r="S14">
        <f t="shared" si="7"/>
        <v>0.74182114774287033</v>
      </c>
    </row>
    <row r="15" spans="1:19" x14ac:dyDescent="0.25">
      <c r="A15" t="s">
        <v>51</v>
      </c>
      <c r="B15">
        <v>0.5</v>
      </c>
      <c r="F15">
        <f>H14+F$8</f>
        <v>390</v>
      </c>
      <c r="G15">
        <v>50</v>
      </c>
      <c r="H15">
        <f>F15+G15</f>
        <v>440</v>
      </c>
      <c r="I15">
        <f>F15+G15/2</f>
        <v>415</v>
      </c>
      <c r="J15">
        <f t="shared" si="0"/>
        <v>68.640800176689666</v>
      </c>
      <c r="K15">
        <f t="shared" si="1"/>
        <v>78.305148528293927</v>
      </c>
      <c r="L15">
        <f>PI()*(H15^2-F15^2)*J15/360</f>
        <v>24858.665258949855</v>
      </c>
      <c r="M15">
        <f t="shared" si="2"/>
        <v>4</v>
      </c>
      <c r="N15">
        <f t="shared" si="3"/>
        <v>99434.661035799421</v>
      </c>
      <c r="O15">
        <f t="shared" si="4"/>
        <v>200</v>
      </c>
      <c r="P15">
        <f t="shared" si="5"/>
        <v>4.0227421286827552</v>
      </c>
      <c r="Q15">
        <f t="shared" si="8"/>
        <v>130376.09512397641</v>
      </c>
      <c r="R15">
        <f t="shared" si="6"/>
        <v>3.08549057621144E-5</v>
      </c>
      <c r="S15">
        <f t="shared" si="7"/>
        <v>0.76267555751877403</v>
      </c>
    </row>
    <row r="16" spans="1:19" x14ac:dyDescent="0.25">
      <c r="A16" t="s">
        <v>52</v>
      </c>
      <c r="B16">
        <f>B14*B15</f>
        <v>494362.59076521662</v>
      </c>
      <c r="F16">
        <f>H15+F$8</f>
        <v>470</v>
      </c>
      <c r="G16">
        <f>H16-F16</f>
        <v>91</v>
      </c>
      <c r="H16">
        <v>561</v>
      </c>
      <c r="I16">
        <f>F16+G16/2</f>
        <v>515.5</v>
      </c>
      <c r="J16">
        <f>F$9/(I16)*180/PI()</f>
        <v>55.258840103445614</v>
      </c>
      <c r="K16">
        <f>(F$9+70)/(I16)*180/PI()</f>
        <v>63.039062345765231</v>
      </c>
      <c r="L16">
        <f>PI()*(H16^2-F16^2)*J16/360</f>
        <v>45242.770771288742</v>
      </c>
      <c r="M16">
        <f>TRUNC(360/K16)</f>
        <v>5</v>
      </c>
      <c r="N16">
        <f>L16*M16</f>
        <v>226213.85385644372</v>
      </c>
      <c r="O16">
        <f>G16*M16</f>
        <v>455</v>
      </c>
      <c r="P16">
        <f>B$4^2*O16/(B$2*B$19)</f>
        <v>9.1517383427532675</v>
      </c>
      <c r="Q16">
        <f>PI()*(H16^2-F16^2)</f>
        <v>294747.36435244797</v>
      </c>
      <c r="R16">
        <f>P16/Q16</f>
        <v>3.1049432326085054E-5</v>
      </c>
      <c r="S16">
        <f>N16/Q16</f>
        <v>0.76748389032563347</v>
      </c>
    </row>
    <row r="17" spans="1:16" x14ac:dyDescent="0.25">
      <c r="G17">
        <f>SUM(G13:G16)+F8*4</f>
        <v>391</v>
      </c>
      <c r="H17">
        <f>H16-F13</f>
        <v>361</v>
      </c>
      <c r="N17">
        <f>SUM(N13:N16)</f>
        <v>494687.4386531022</v>
      </c>
      <c r="O17">
        <f>SUM(O13:O16)</f>
        <v>995</v>
      </c>
      <c r="P17">
        <f>SUM(P13:P16)</f>
        <v>20.013142090196709</v>
      </c>
    </row>
    <row r="18" spans="1:16" x14ac:dyDescent="0.25">
      <c r="A18" t="s">
        <v>54</v>
      </c>
      <c r="B18">
        <f>SQRT(B16*B2/B3)</f>
        <v>994.34661035799445</v>
      </c>
      <c r="N18">
        <f>N17-B16</f>
        <v>324.84788788558217</v>
      </c>
      <c r="O18">
        <f>O17-B18</f>
        <v>0.65338964200554983</v>
      </c>
    </row>
    <row r="19" spans="1:16" x14ac:dyDescent="0.25">
      <c r="A19" t="s">
        <v>55</v>
      </c>
      <c r="B19">
        <f>B16/B18</f>
        <v>497.17330517899723</v>
      </c>
    </row>
    <row r="21" spans="1:16" x14ac:dyDescent="0.25">
      <c r="A21" t="s">
        <v>56</v>
      </c>
      <c r="B21">
        <f>B19/B11*180/PI()</f>
        <v>142.42966036663105</v>
      </c>
    </row>
    <row r="22" spans="1:16" x14ac:dyDescent="0.25">
      <c r="A22" t="s">
        <v>57</v>
      </c>
      <c r="B22">
        <f>B19/B12*180/PI()</f>
        <v>50.77706251929807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G16" sqref="G16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10</v>
      </c>
    </row>
    <row r="9" spans="1:19" x14ac:dyDescent="0.25">
      <c r="E9" t="s">
        <v>49</v>
      </c>
      <c r="F9">
        <f>B19</f>
        <v>544.62606847187362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40</v>
      </c>
      <c r="H13">
        <f>F13+G13</f>
        <v>240</v>
      </c>
      <c r="I13">
        <f>F13+G13/2</f>
        <v>220</v>
      </c>
      <c r="J13">
        <f t="shared" ref="J13:J15" si="0">F$9/(I13)*180/PI()</f>
        <v>141.83988698291523</v>
      </c>
      <c r="K13">
        <f t="shared" ref="K13:K15" si="1">(F$9+70)/(I13)*180/PI()</f>
        <v>160.0703622825323</v>
      </c>
      <c r="L13">
        <f>PI()*(H13^2-F13^2)*J13/360</f>
        <v>21785.042738874949</v>
      </c>
      <c r="M13">
        <f t="shared" ref="M13:M15" si="2">TRUNC(360/K13)</f>
        <v>2</v>
      </c>
      <c r="N13">
        <f t="shared" ref="N13:N15" si="3">L13*M13</f>
        <v>43570.085477749897</v>
      </c>
      <c r="O13">
        <f t="shared" ref="O13:O15" si="4">G13*M13</f>
        <v>80</v>
      </c>
      <c r="P13">
        <f t="shared" ref="P13:P15" si="5">B$4^2*O13/(B$2*B$19)</f>
        <v>1.468897737937263</v>
      </c>
      <c r="Q13">
        <f>PI()*(H13^2)</f>
        <v>180955.73684677208</v>
      </c>
      <c r="R13">
        <f t="shared" ref="R13:R15" si="6">P13/Q13</f>
        <v>8.1174422183756558E-6</v>
      </c>
      <c r="S13">
        <f t="shared" ref="S13:S15" si="7">N13/Q13</f>
        <v>0.24077758592778822</v>
      </c>
    </row>
    <row r="14" spans="1:19" x14ac:dyDescent="0.25">
      <c r="A14" t="s">
        <v>50</v>
      </c>
      <c r="B14">
        <f>B12^2*PI()</f>
        <v>988725.18153043324</v>
      </c>
      <c r="F14">
        <f>H13+F$8</f>
        <v>250</v>
      </c>
      <c r="G14">
        <v>80</v>
      </c>
      <c r="H14">
        <f>F14+G14</f>
        <v>330</v>
      </c>
      <c r="I14">
        <f>F14+G14/2</f>
        <v>290</v>
      </c>
      <c r="J14">
        <f t="shared" si="0"/>
        <v>107.60267288359086</v>
      </c>
      <c r="K14">
        <f t="shared" si="1"/>
        <v>121.43268862812796</v>
      </c>
      <c r="L14">
        <f>PI()*(H14^2-F14^2)*J14/360</f>
        <v>43570.08547774989</v>
      </c>
      <c r="M14">
        <f t="shared" si="2"/>
        <v>2</v>
      </c>
      <c r="N14">
        <f t="shared" si="3"/>
        <v>87140.17095549978</v>
      </c>
      <c r="O14">
        <f t="shared" si="4"/>
        <v>160</v>
      </c>
      <c r="P14">
        <f t="shared" si="5"/>
        <v>2.9377954758745259</v>
      </c>
      <c r="Q14">
        <f t="shared" ref="Q14:Q15" si="8">PI()*(H14^2-F14^2)</f>
        <v>145769.89912656639</v>
      </c>
      <c r="R14">
        <f t="shared" si="6"/>
        <v>2.0153649645622319E-5</v>
      </c>
      <c r="S14">
        <f t="shared" si="7"/>
        <v>0.59779262713106029</v>
      </c>
    </row>
    <row r="15" spans="1:19" x14ac:dyDescent="0.25">
      <c r="A15" t="s">
        <v>51</v>
      </c>
      <c r="B15">
        <v>0.6</v>
      </c>
      <c r="F15">
        <f>H14+F$8</f>
        <v>340</v>
      </c>
      <c r="G15">
        <v>100</v>
      </c>
      <c r="H15">
        <f>F15+G15</f>
        <v>440</v>
      </c>
      <c r="I15">
        <f>F15+G15/2</f>
        <v>390</v>
      </c>
      <c r="J15">
        <f t="shared" si="0"/>
        <v>80.012243939080378</v>
      </c>
      <c r="K15">
        <f t="shared" si="1"/>
        <v>90.296101800402838</v>
      </c>
      <c r="L15">
        <f>PI()*(H15^2-F15^2)*J15/360</f>
        <v>54462.606847187373</v>
      </c>
      <c r="M15">
        <f t="shared" si="2"/>
        <v>3</v>
      </c>
      <c r="N15">
        <f t="shared" si="3"/>
        <v>163387.82054156211</v>
      </c>
      <c r="O15">
        <f t="shared" si="4"/>
        <v>300</v>
      </c>
      <c r="P15">
        <f t="shared" si="5"/>
        <v>5.5083665172647356</v>
      </c>
      <c r="Q15">
        <f t="shared" si="8"/>
        <v>245044.22698000388</v>
      </c>
      <c r="R15">
        <f t="shared" si="6"/>
        <v>2.2479070758578734E-5</v>
      </c>
      <c r="S15">
        <f t="shared" si="7"/>
        <v>0.66676869949233653</v>
      </c>
    </row>
    <row r="16" spans="1:19" x14ac:dyDescent="0.25">
      <c r="A16" t="s">
        <v>52</v>
      </c>
      <c r="B16">
        <f>B14*B15</f>
        <v>593235.10891825997</v>
      </c>
      <c r="F16">
        <f>H15+F$8</f>
        <v>450</v>
      </c>
      <c r="G16">
        <f>H16-F16</f>
        <v>111</v>
      </c>
      <c r="H16">
        <v>561</v>
      </c>
      <c r="I16">
        <f>F16+G16/2</f>
        <v>505.5</v>
      </c>
      <c r="J16">
        <f>F$9/(I16)*180/PI()</f>
        <v>61.730514611753414</v>
      </c>
      <c r="K16">
        <f>(F$9+70)/(I16)*180/PI()</f>
        <v>69.664648273307833</v>
      </c>
      <c r="L16">
        <f>PI()*(H16^2-F16^2)*J16/360</f>
        <v>60453.49360037798</v>
      </c>
      <c r="M16">
        <f>TRUNC(360/K16)</f>
        <v>5</v>
      </c>
      <c r="N16">
        <f>L16*M16</f>
        <v>302267.46800188988</v>
      </c>
      <c r="O16">
        <f>G16*M16</f>
        <v>555</v>
      </c>
      <c r="P16">
        <f>B$4^2*O16/(B$2*B$19)</f>
        <v>10.190478056939762</v>
      </c>
      <c r="Q16">
        <f>PI()*(H16^2-F16^2)</f>
        <v>352552.66917850019</v>
      </c>
      <c r="R16">
        <f>P16/Q16</f>
        <v>2.8904838759794617E-5</v>
      </c>
      <c r="S16">
        <f>N16/Q16</f>
        <v>0.85736825849657516</v>
      </c>
    </row>
    <row r="17" spans="1:16" x14ac:dyDescent="0.25">
      <c r="G17">
        <f>SUM(G13:G16)+F8*4</f>
        <v>371</v>
      </c>
      <c r="H17">
        <f>H16-F13</f>
        <v>361</v>
      </c>
      <c r="N17">
        <f>SUM(N13:N16)</f>
        <v>596365.54497670173</v>
      </c>
      <c r="O17">
        <f>SUM(O13:O16)</f>
        <v>1095</v>
      </c>
      <c r="P17">
        <f>SUM(P13:P16)</f>
        <v>20.105537788016285</v>
      </c>
    </row>
    <row r="18" spans="1:16" x14ac:dyDescent="0.25">
      <c r="A18" t="s">
        <v>54</v>
      </c>
      <c r="B18">
        <f>SQRT(B16*B2/B3)</f>
        <v>1089.2521369437472</v>
      </c>
      <c r="N18">
        <f>N17-B16</f>
        <v>3130.4360584417591</v>
      </c>
      <c r="O18">
        <f>O17-B18</f>
        <v>5.7478630562527542</v>
      </c>
    </row>
    <row r="19" spans="1:16" x14ac:dyDescent="0.25">
      <c r="A19" t="s">
        <v>55</v>
      </c>
      <c r="B19">
        <f>B16/B18</f>
        <v>544.62606847187362</v>
      </c>
    </row>
    <row r="21" spans="1:16" x14ac:dyDescent="0.25">
      <c r="A21" t="s">
        <v>56</v>
      </c>
      <c r="B21">
        <f>B19/B11*180/PI()</f>
        <v>156.02387568120676</v>
      </c>
    </row>
    <row r="22" spans="1:16" x14ac:dyDescent="0.25">
      <c r="A22" t="s">
        <v>57</v>
      </c>
      <c r="B22">
        <f>B19/B12*180/PI()</f>
        <v>55.623485091339298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J13" sqref="J13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10</v>
      </c>
    </row>
    <row r="9" spans="1:19" x14ac:dyDescent="0.25">
      <c r="E9" t="s">
        <v>49</v>
      </c>
      <c r="F9">
        <f>B19</f>
        <v>530.83582842171973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40</v>
      </c>
      <c r="H13">
        <f>F13+G13</f>
        <v>240</v>
      </c>
      <c r="I13">
        <f>F13+G13/2</f>
        <v>220</v>
      </c>
      <c r="J13">
        <f t="shared" ref="J13" si="0">F$9/(I13)*180/PI()</f>
        <v>138.24842083134206</v>
      </c>
      <c r="K13">
        <f t="shared" ref="K13" si="1">(F$9+70)/(I13)*180/PI()</f>
        <v>156.47889613095916</v>
      </c>
      <c r="L13">
        <f>PI()*(H13^2-F13^2)*J13/360</f>
        <v>21233.433136868789</v>
      </c>
      <c r="M13">
        <f t="shared" ref="M13" si="2">TRUNC(360/K13)</f>
        <v>2</v>
      </c>
      <c r="N13">
        <f t="shared" ref="N13" si="3">L13*M13</f>
        <v>42466.866273737578</v>
      </c>
      <c r="O13">
        <f t="shared" ref="O13" si="4">G13*M13</f>
        <v>80</v>
      </c>
      <c r="P13">
        <f t="shared" ref="P13" si="5">B$4^2*O13/(B$2*B$19)</f>
        <v>1.5070572805504836</v>
      </c>
      <c r="Q13">
        <f>PI()*(H13^2)</f>
        <v>180955.73684677208</v>
      </c>
      <c r="R13">
        <f t="shared" ref="R13" si="6">P13/Q13</f>
        <v>8.3283199903555127E-6</v>
      </c>
      <c r="S13">
        <f t="shared" ref="S13" si="7">N13/Q13</f>
        <v>0.23468096128777202</v>
      </c>
    </row>
    <row r="14" spans="1:19" x14ac:dyDescent="0.25">
      <c r="A14" t="s">
        <v>50</v>
      </c>
      <c r="B14">
        <f>B12^2*PI()</f>
        <v>988725.18153043324</v>
      </c>
      <c r="F14">
        <f>H13+F$8</f>
        <v>250</v>
      </c>
      <c r="G14">
        <v>60</v>
      </c>
      <c r="H14">
        <f>F14+G14</f>
        <v>310</v>
      </c>
      <c r="I14">
        <f>F14+G14/2</f>
        <v>280</v>
      </c>
      <c r="J14">
        <f t="shared" ref="J14:J15" si="8">F$9/(I14)*180/PI()</f>
        <v>108.6237592246259</v>
      </c>
      <c r="K14">
        <f t="shared" ref="K14:K15" si="9">(F$9+70)/(I14)*180/PI()</f>
        <v>122.94770410289648</v>
      </c>
      <c r="L14">
        <f>PI()*(H14^2-F14^2)*J14/360</f>
        <v>31850.149705303182</v>
      </c>
      <c r="M14">
        <f t="shared" ref="M14:M15" si="10">TRUNC(360/K14)</f>
        <v>2</v>
      </c>
      <c r="N14">
        <f t="shared" ref="N14:N15" si="11">L14*M14</f>
        <v>63700.299410606363</v>
      </c>
      <c r="O14">
        <f t="shared" ref="O14:O15" si="12">G14*M14</f>
        <v>120</v>
      </c>
      <c r="P14">
        <f t="shared" ref="P14:P15" si="13">B$4^2*O14/(B$2*B$19)</f>
        <v>2.2605859208257253</v>
      </c>
      <c r="Q14">
        <f t="shared" ref="Q14:Q15" si="14">PI()*(H14^2-F14^2)</f>
        <v>105557.51316061705</v>
      </c>
      <c r="R14">
        <f t="shared" ref="R14:R15" si="15">P14/Q14</f>
        <v>2.1415679975199889E-5</v>
      </c>
      <c r="S14">
        <f t="shared" ref="S14:S15" si="16">N14/Q14</f>
        <v>0.60346532902569938</v>
      </c>
    </row>
    <row r="15" spans="1:19" x14ac:dyDescent="0.25">
      <c r="A15" t="s">
        <v>51</v>
      </c>
      <c r="B15">
        <v>0.56999999999999995</v>
      </c>
      <c r="F15">
        <f>H14+F$8</f>
        <v>320</v>
      </c>
      <c r="G15">
        <v>70</v>
      </c>
      <c r="H15">
        <f>F15+G15</f>
        <v>390</v>
      </c>
      <c r="I15">
        <f>F15+G15/2</f>
        <v>355</v>
      </c>
      <c r="J15">
        <f t="shared" si="8"/>
        <v>85.675077698296491</v>
      </c>
      <c r="K15">
        <f t="shared" si="9"/>
        <v>96.972837038904288</v>
      </c>
      <c r="L15">
        <f>PI()*(H15^2-F15^2)*J15/360</f>
        <v>37158.507989520389</v>
      </c>
      <c r="M15">
        <f t="shared" si="10"/>
        <v>3</v>
      </c>
      <c r="N15">
        <f t="shared" si="11"/>
        <v>111475.52396856117</v>
      </c>
      <c r="O15">
        <f t="shared" si="12"/>
        <v>210</v>
      </c>
      <c r="P15">
        <f t="shared" si="13"/>
        <v>3.9560253614450192</v>
      </c>
      <c r="Q15">
        <f t="shared" si="14"/>
        <v>156137.15488341273</v>
      </c>
      <c r="R15">
        <f t="shared" si="15"/>
        <v>2.5336860815729444E-5</v>
      </c>
      <c r="S15">
        <f t="shared" si="16"/>
        <v>0.71395898081913756</v>
      </c>
    </row>
    <row r="16" spans="1:19" x14ac:dyDescent="0.25">
      <c r="A16" t="s">
        <v>52</v>
      </c>
      <c r="B16">
        <f>B14*B15</f>
        <v>563573.35347234691</v>
      </c>
      <c r="F16">
        <f>H15+F$8</f>
        <v>400</v>
      </c>
      <c r="G16">
        <v>100</v>
      </c>
      <c r="H16">
        <f>F16+G16</f>
        <v>500</v>
      </c>
      <c r="I16">
        <f>F16+G16/2</f>
        <v>450</v>
      </c>
      <c r="J16">
        <f t="shared" ref="J16" si="17">F$9/(I16)*180/PI()</f>
        <v>67.588116850878336</v>
      </c>
      <c r="K16">
        <f t="shared" ref="K16" si="18">(F$9+70)/(I16)*180/PI()</f>
        <v>76.500793664024485</v>
      </c>
      <c r="L16">
        <f>PI()*(H16^2-F16^2)*J16/360</f>
        <v>53083.582842171978</v>
      </c>
      <c r="M16">
        <f t="shared" ref="M16" si="19">TRUNC(360/K16)</f>
        <v>4</v>
      </c>
      <c r="N16">
        <f t="shared" ref="N16" si="20">L16*M16</f>
        <v>212334.33136868791</v>
      </c>
      <c r="O16">
        <f t="shared" ref="O16" si="21">G16*M16</f>
        <v>400</v>
      </c>
      <c r="P16">
        <f t="shared" ref="P16" si="22">B$4^2*O16/(B$2*B$19)</f>
        <v>7.5352864027524173</v>
      </c>
      <c r="Q16">
        <f t="shared" ref="Q16" si="23">PI()*(H16^2-F16^2)</f>
        <v>282743.3388230814</v>
      </c>
      <c r="R16">
        <f t="shared" ref="R16" si="24">P16/Q16</f>
        <v>2.6650623969137637E-5</v>
      </c>
      <c r="S16">
        <f t="shared" ref="S16" si="25">N16/Q16</f>
        <v>0.75097907612087045</v>
      </c>
    </row>
    <row r="17" spans="1:19" x14ac:dyDescent="0.25">
      <c r="F17">
        <f>H16+F$8</f>
        <v>510</v>
      </c>
      <c r="G17">
        <f>H17-F17</f>
        <v>51</v>
      </c>
      <c r="H17">
        <v>561</v>
      </c>
      <c r="I17">
        <f>F17+G17/2</f>
        <v>535.5</v>
      </c>
      <c r="J17">
        <f>F$9/(I17)*180/PI()</f>
        <v>56.796736849477597</v>
      </c>
      <c r="K17">
        <f>(F$9+70)/(I17)*180/PI()</f>
        <v>64.286381230272667</v>
      </c>
      <c r="L17">
        <f>PI()*(H17^2-F17^2)*J17/360</f>
        <v>27072.627249507703</v>
      </c>
      <c r="M17">
        <f>TRUNC(360/K17)</f>
        <v>5</v>
      </c>
      <c r="N17">
        <f>L17*M17</f>
        <v>135363.13624753852</v>
      </c>
      <c r="O17">
        <f>G17*M17</f>
        <v>255</v>
      </c>
      <c r="P17">
        <f>B$4^2*O17/(B$2*B$19)</f>
        <v>4.8037450817546663</v>
      </c>
      <c r="Q17">
        <f>PI()*(H17^2-F17^2)</f>
        <v>171596.93233172808</v>
      </c>
      <c r="R17">
        <f>P17/Q17</f>
        <v>2.7994352908758027E-5</v>
      </c>
      <c r="S17">
        <f>N17/Q17</f>
        <v>0.78884356735385552</v>
      </c>
    </row>
    <row r="18" spans="1:19" x14ac:dyDescent="0.25">
      <c r="A18" t="s">
        <v>54</v>
      </c>
      <c r="B18">
        <f>SQRT(B16*B2/B3)</f>
        <v>1061.6716568434395</v>
      </c>
      <c r="G18">
        <f>SUM(G13:G17)+F8*4</f>
        <v>361</v>
      </c>
      <c r="H18">
        <f>H17-F13</f>
        <v>361</v>
      </c>
      <c r="N18">
        <f>SUM(N13:N17)</f>
        <v>565340.15726913151</v>
      </c>
      <c r="O18">
        <f>SUM(O13:O17)</f>
        <v>1065</v>
      </c>
      <c r="P18">
        <f>SUM(P13:P17)</f>
        <v>20.062700047328313</v>
      </c>
    </row>
    <row r="19" spans="1:19" x14ac:dyDescent="0.25">
      <c r="A19" t="s">
        <v>55</v>
      </c>
      <c r="B19">
        <f>B16/B18</f>
        <v>530.83582842171973</v>
      </c>
      <c r="N19">
        <f>N18-B16</f>
        <v>1766.803796784603</v>
      </c>
      <c r="O19">
        <f>O18-B18</f>
        <v>3.3283431565605497</v>
      </c>
    </row>
    <row r="21" spans="1:19" x14ac:dyDescent="0.25">
      <c r="A21" t="s">
        <v>56</v>
      </c>
      <c r="B21">
        <f>B19/B11*180/PI()</f>
        <v>152.07326291447626</v>
      </c>
    </row>
    <row r="22" spans="1:19" x14ac:dyDescent="0.25">
      <c r="A22" t="s">
        <v>57</v>
      </c>
      <c r="B22">
        <f>B19/B12*180/PI()</f>
        <v>54.215066992683155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1"/>
  <sheetViews>
    <sheetView workbookViewId="0">
      <selection activeCell="A31" sqref="A31"/>
    </sheetView>
  </sheetViews>
  <sheetFormatPr defaultRowHeight="15" x14ac:dyDescent="0.25"/>
  <sheetData>
    <row r="3" spans="1:3" x14ac:dyDescent="0.25">
      <c r="A3" t="s">
        <v>4</v>
      </c>
      <c r="B3" t="s">
        <v>32</v>
      </c>
      <c r="C3" t="s">
        <v>33</v>
      </c>
    </row>
    <row r="4" spans="1:3" x14ac:dyDescent="0.25">
      <c r="A4" t="s">
        <v>2</v>
      </c>
    </row>
    <row r="5" spans="1:3" x14ac:dyDescent="0.25">
      <c r="A5">
        <v>195</v>
      </c>
      <c r="B5">
        <f>A5*PI()</f>
        <v>612.61056745000963</v>
      </c>
      <c r="C5">
        <f>A5*PI()/2</f>
        <v>306.30528372500481</v>
      </c>
    </row>
    <row r="6" spans="1:3" x14ac:dyDescent="0.25">
      <c r="A6">
        <v>196</v>
      </c>
      <c r="B6">
        <f t="shared" ref="B6:B30" si="0">A6*PI()</f>
        <v>615.75216010359941</v>
      </c>
      <c r="C6">
        <f t="shared" ref="C6:C15" si="1">A6*PI()/2</f>
        <v>307.8760800517997</v>
      </c>
    </row>
    <row r="7" spans="1:3" x14ac:dyDescent="0.25">
      <c r="A7">
        <v>197</v>
      </c>
      <c r="B7">
        <f t="shared" si="0"/>
        <v>618.89375275718919</v>
      </c>
      <c r="C7">
        <f t="shared" si="1"/>
        <v>309.4468763785946</v>
      </c>
    </row>
    <row r="8" spans="1:3" x14ac:dyDescent="0.25">
      <c r="A8">
        <v>198</v>
      </c>
      <c r="B8">
        <f t="shared" si="0"/>
        <v>622.03534541077909</v>
      </c>
      <c r="C8">
        <f t="shared" si="1"/>
        <v>311.01767270538954</v>
      </c>
    </row>
    <row r="9" spans="1:3" x14ac:dyDescent="0.25">
      <c r="A9">
        <v>199</v>
      </c>
      <c r="B9">
        <f t="shared" si="0"/>
        <v>625.17693806436887</v>
      </c>
      <c r="C9">
        <f t="shared" si="1"/>
        <v>312.58846903218443</v>
      </c>
    </row>
    <row r="10" spans="1:3" x14ac:dyDescent="0.25">
      <c r="A10">
        <v>200</v>
      </c>
      <c r="B10">
        <f t="shared" si="0"/>
        <v>628.31853071795865</v>
      </c>
      <c r="C10">
        <f t="shared" si="1"/>
        <v>314.15926535897933</v>
      </c>
    </row>
    <row r="11" spans="1:3" x14ac:dyDescent="0.25">
      <c r="A11">
        <v>201</v>
      </c>
      <c r="B11">
        <f t="shared" si="0"/>
        <v>631.46012337154843</v>
      </c>
      <c r="C11">
        <f t="shared" si="1"/>
        <v>315.73006168577422</v>
      </c>
    </row>
    <row r="12" spans="1:3" x14ac:dyDescent="0.25">
      <c r="A12">
        <v>202</v>
      </c>
      <c r="B12">
        <f t="shared" si="0"/>
        <v>634.60171602513822</v>
      </c>
      <c r="C12">
        <f t="shared" si="1"/>
        <v>317.30085801256911</v>
      </c>
    </row>
    <row r="13" spans="1:3" x14ac:dyDescent="0.25">
      <c r="A13">
        <v>203</v>
      </c>
      <c r="B13">
        <f t="shared" si="0"/>
        <v>637.743308678728</v>
      </c>
      <c r="C13">
        <f t="shared" si="1"/>
        <v>318.871654339364</v>
      </c>
    </row>
    <row r="14" spans="1:3" x14ac:dyDescent="0.25">
      <c r="A14">
        <v>204</v>
      </c>
      <c r="B14">
        <f t="shared" si="0"/>
        <v>640.88490133231778</v>
      </c>
      <c r="C14">
        <f t="shared" si="1"/>
        <v>320.44245066615889</v>
      </c>
    </row>
    <row r="15" spans="1:3" x14ac:dyDescent="0.25">
      <c r="A15">
        <v>205</v>
      </c>
      <c r="B15">
        <f t="shared" si="0"/>
        <v>644.02649398590756</v>
      </c>
      <c r="C15">
        <f t="shared" si="1"/>
        <v>322.01324699295378</v>
      </c>
    </row>
    <row r="16" spans="1:3" x14ac:dyDescent="0.25">
      <c r="A16">
        <v>206</v>
      </c>
      <c r="B16">
        <f t="shared" si="0"/>
        <v>647.16808663949735</v>
      </c>
      <c r="C16">
        <f t="shared" ref="C16:C30" si="2">A16*PI()/2</f>
        <v>323.58404331974867</v>
      </c>
    </row>
    <row r="17" spans="1:3" x14ac:dyDescent="0.25">
      <c r="A17">
        <v>207</v>
      </c>
      <c r="B17">
        <f t="shared" si="0"/>
        <v>650.30967929308713</v>
      </c>
      <c r="C17">
        <f t="shared" si="2"/>
        <v>325.15483964654356</v>
      </c>
    </row>
    <row r="18" spans="1:3" x14ac:dyDescent="0.25">
      <c r="A18">
        <v>208</v>
      </c>
      <c r="B18">
        <f t="shared" si="0"/>
        <v>653.45127194667702</v>
      </c>
      <c r="C18">
        <f t="shared" si="2"/>
        <v>326.72563597333851</v>
      </c>
    </row>
    <row r="19" spans="1:3" x14ac:dyDescent="0.25">
      <c r="A19">
        <v>209</v>
      </c>
      <c r="B19">
        <f t="shared" si="0"/>
        <v>656.59286460026681</v>
      </c>
      <c r="C19">
        <f t="shared" si="2"/>
        <v>328.2964323001334</v>
      </c>
    </row>
    <row r="20" spans="1:3" x14ac:dyDescent="0.25">
      <c r="A20">
        <v>210</v>
      </c>
      <c r="B20">
        <f t="shared" si="0"/>
        <v>659.73445725385659</v>
      </c>
      <c r="C20">
        <f t="shared" si="2"/>
        <v>329.86722862692829</v>
      </c>
    </row>
    <row r="21" spans="1:3" x14ac:dyDescent="0.25">
      <c r="A21">
        <v>211</v>
      </c>
      <c r="B21">
        <f t="shared" si="0"/>
        <v>662.87604990744637</v>
      </c>
      <c r="C21">
        <f t="shared" si="2"/>
        <v>331.43802495372319</v>
      </c>
    </row>
    <row r="22" spans="1:3" x14ac:dyDescent="0.25">
      <c r="A22">
        <v>212</v>
      </c>
      <c r="B22">
        <f t="shared" si="0"/>
        <v>666.01764256103615</v>
      </c>
      <c r="C22">
        <f t="shared" si="2"/>
        <v>333.00882128051808</v>
      </c>
    </row>
    <row r="23" spans="1:3" x14ac:dyDescent="0.25">
      <c r="A23">
        <v>213</v>
      </c>
      <c r="B23">
        <f t="shared" si="0"/>
        <v>669.15923521462594</v>
      </c>
      <c r="C23">
        <f t="shared" si="2"/>
        <v>334.57961760731297</v>
      </c>
    </row>
    <row r="24" spans="1:3" x14ac:dyDescent="0.25">
      <c r="A24">
        <v>214</v>
      </c>
      <c r="B24">
        <f t="shared" si="0"/>
        <v>672.30082786821572</v>
      </c>
      <c r="C24">
        <f t="shared" si="2"/>
        <v>336.15041393410786</v>
      </c>
    </row>
    <row r="25" spans="1:3" x14ac:dyDescent="0.25">
      <c r="A25">
        <v>215</v>
      </c>
      <c r="B25">
        <f t="shared" si="0"/>
        <v>675.4424205218055</v>
      </c>
      <c r="C25">
        <f t="shared" si="2"/>
        <v>337.72121026090275</v>
      </c>
    </row>
    <row r="26" spans="1:3" x14ac:dyDescent="0.25">
      <c r="A26">
        <v>216</v>
      </c>
      <c r="B26">
        <f t="shared" si="0"/>
        <v>678.58401317539528</v>
      </c>
      <c r="C26">
        <f t="shared" si="2"/>
        <v>339.29200658769764</v>
      </c>
    </row>
    <row r="27" spans="1:3" x14ac:dyDescent="0.25">
      <c r="A27">
        <v>217</v>
      </c>
      <c r="B27">
        <f t="shared" si="0"/>
        <v>681.72560582898507</v>
      </c>
      <c r="C27">
        <f t="shared" si="2"/>
        <v>340.86280291449253</v>
      </c>
    </row>
    <row r="28" spans="1:3" x14ac:dyDescent="0.25">
      <c r="A28">
        <v>218</v>
      </c>
      <c r="B28">
        <f t="shared" si="0"/>
        <v>684.86719848257485</v>
      </c>
      <c r="C28">
        <f t="shared" si="2"/>
        <v>342.43359924128742</v>
      </c>
    </row>
    <row r="29" spans="1:3" x14ac:dyDescent="0.25">
      <c r="A29">
        <v>219</v>
      </c>
      <c r="B29">
        <f t="shared" si="0"/>
        <v>688.00879113616475</v>
      </c>
      <c r="C29">
        <f t="shared" si="2"/>
        <v>344.00439556808237</v>
      </c>
    </row>
    <row r="30" spans="1:3" x14ac:dyDescent="0.25">
      <c r="A30">
        <v>220</v>
      </c>
      <c r="B30">
        <f t="shared" si="0"/>
        <v>691.15038378975453</v>
      </c>
      <c r="C30">
        <f t="shared" si="2"/>
        <v>345.57519189487726</v>
      </c>
    </row>
    <row r="31" spans="1:3" x14ac:dyDescent="0.25">
      <c r="A31">
        <f>AVERAGE(A5:A30)</f>
        <v>207.5</v>
      </c>
      <c r="B31">
        <f>AVERAGE(B5:B30)</f>
        <v>651.88047561988219</v>
      </c>
      <c r="C31">
        <f>AVERAGE(C5:C30)</f>
        <v>325.9402378099411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element calc</vt:lpstr>
      <vt:lpstr>2rings</vt:lpstr>
      <vt:lpstr>Sheet1</vt:lpstr>
      <vt:lpstr>Sheet3</vt:lpstr>
      <vt:lpstr>Sheet5</vt:lpstr>
      <vt:lpstr>4-rings (2)</vt:lpstr>
      <vt:lpstr>4-rings</vt:lpstr>
      <vt:lpstr>5-rings</vt:lpstr>
      <vt:lpstr>Sheet4</vt:lpstr>
      <vt:lpstr>Sheet2</vt:lpstr>
      <vt:lpstr>even8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2022-01-10T21:02:34Z</dcterms:created>
  <dcterms:modified xsi:type="dcterms:W3CDTF">2022-08-18T13:38:16Z</dcterms:modified>
</cp:coreProperties>
</file>