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checkCompatibility="1" autoCompressPictures="0"/>
  <bookViews>
    <workbookView xWindow="9260" yWindow="540" windowWidth="23680" windowHeight="19720" tabRatio="500" activeTab="2"/>
  </bookViews>
  <sheets>
    <sheet name="Flow Rates" sheetId="1" r:id="rId1"/>
    <sheet name="EVAC" sheetId="2" r:id="rId2"/>
    <sheet name="EVAC-defined Volume" sheetId="3" r:id="rId3"/>
  </sheets>
  <definedNames>
    <definedName name="_xlnm.Print_Area" localSheetId="2">'EVAC-defined Volume'!$L$10:$W$26</definedName>
    <definedName name="_xlnm.Print_Area" localSheetId="0">'Flow Rates'!$A$100:$Q$123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3" i="3" l="1"/>
  <c r="Q22" i="3"/>
  <c r="G114" i="1"/>
  <c r="G113" i="1"/>
  <c r="G112" i="1"/>
  <c r="G111" i="1"/>
  <c r="G110" i="1"/>
  <c r="G108" i="1"/>
  <c r="G107" i="1"/>
  <c r="G106" i="1"/>
  <c r="G105" i="1"/>
  <c r="G104" i="1"/>
  <c r="F114" i="1"/>
  <c r="F113" i="1"/>
  <c r="F112" i="1"/>
  <c r="F111" i="1"/>
  <c r="F110" i="1"/>
  <c r="F108" i="1"/>
  <c r="F106" i="1"/>
  <c r="F105" i="1"/>
  <c r="F104" i="1"/>
  <c r="H110" i="1"/>
  <c r="H114" i="1"/>
  <c r="H108" i="1"/>
  <c r="H107" i="1"/>
  <c r="H106" i="1"/>
  <c r="H105" i="1"/>
  <c r="H104" i="1"/>
  <c r="E104" i="1"/>
  <c r="E114" i="1"/>
  <c r="E113" i="1"/>
  <c r="E112" i="1"/>
  <c r="E111" i="1"/>
  <c r="E110" i="1"/>
  <c r="E107" i="1"/>
  <c r="E106" i="1"/>
  <c r="E105" i="1"/>
  <c r="D113" i="1"/>
  <c r="D112" i="1"/>
  <c r="D110" i="1"/>
  <c r="D108" i="1"/>
  <c r="D107" i="1"/>
  <c r="D106" i="1"/>
  <c r="D105" i="1"/>
  <c r="D104" i="1"/>
  <c r="C114" i="1"/>
  <c r="C113" i="1"/>
  <c r="C110" i="1"/>
  <c r="C108" i="1"/>
  <c r="C107" i="1"/>
  <c r="C106" i="1"/>
  <c r="C105" i="1"/>
  <c r="C104" i="1"/>
  <c r="D111" i="1"/>
  <c r="N15" i="3"/>
  <c r="N14" i="3"/>
  <c r="C10" i="3"/>
  <c r="D10" i="3"/>
  <c r="H74" i="1"/>
  <c r="H75" i="1"/>
  <c r="H76" i="1"/>
  <c r="H77" i="1"/>
  <c r="H78" i="1"/>
  <c r="H79" i="1"/>
  <c r="G80" i="1"/>
  <c r="G79" i="1"/>
  <c r="G78" i="1"/>
  <c r="G77" i="1"/>
  <c r="G76" i="1"/>
  <c r="G75" i="1"/>
  <c r="G74" i="1"/>
  <c r="F80" i="1"/>
  <c r="F79" i="1"/>
  <c r="F78" i="1"/>
  <c r="F77" i="1"/>
  <c r="F76" i="1"/>
  <c r="F75" i="1"/>
  <c r="F74" i="1"/>
  <c r="E75" i="1"/>
  <c r="E74" i="1"/>
  <c r="D77" i="1"/>
  <c r="D78" i="1"/>
  <c r="D79" i="1"/>
  <c r="D80" i="1"/>
  <c r="D75" i="1"/>
  <c r="D74" i="1"/>
  <c r="B81" i="1"/>
  <c r="B80" i="1"/>
  <c r="B79" i="1"/>
  <c r="B78" i="1"/>
  <c r="B77" i="1"/>
  <c r="B76" i="1"/>
  <c r="B75" i="1"/>
  <c r="C80" i="1"/>
  <c r="C79" i="1"/>
  <c r="C78" i="1"/>
  <c r="C77" i="1"/>
  <c r="C76" i="1"/>
  <c r="C74" i="1"/>
  <c r="Q21" i="3"/>
  <c r="Q20" i="3"/>
  <c r="R20" i="3"/>
  <c r="R18" i="3"/>
  <c r="R16" i="3"/>
  <c r="R14" i="3"/>
  <c r="U21" i="3"/>
  <c r="U14" i="3"/>
  <c r="N21" i="3"/>
  <c r="N20" i="3"/>
  <c r="N17" i="3"/>
  <c r="N16" i="3"/>
  <c r="C2" i="3"/>
  <c r="C4" i="3"/>
  <c r="D4" i="3"/>
  <c r="C14" i="3"/>
  <c r="V21" i="3"/>
  <c r="U20" i="3"/>
  <c r="V20" i="3"/>
  <c r="N19" i="3"/>
  <c r="U19" i="3"/>
  <c r="V19" i="3"/>
  <c r="Q19" i="3"/>
  <c r="N18" i="3"/>
  <c r="U18" i="3"/>
  <c r="V18" i="3"/>
  <c r="Q18" i="3"/>
  <c r="U17" i="3"/>
  <c r="V17" i="3"/>
  <c r="Q17" i="3"/>
  <c r="U16" i="3"/>
  <c r="V16" i="3"/>
  <c r="Q16" i="3"/>
  <c r="U15" i="3"/>
  <c r="V15" i="3"/>
  <c r="Q15" i="3"/>
  <c r="V14" i="3"/>
  <c r="Q14" i="3"/>
  <c r="C7" i="3"/>
  <c r="D7" i="3"/>
  <c r="C8" i="3"/>
  <c r="D8" i="3"/>
  <c r="C20" i="3"/>
  <c r="C19" i="3"/>
  <c r="C18" i="3"/>
  <c r="C17" i="3"/>
  <c r="C6" i="3"/>
  <c r="D6" i="3"/>
  <c r="C16" i="3"/>
  <c r="C5" i="3"/>
  <c r="D5" i="3"/>
  <c r="C15" i="3"/>
  <c r="I17" i="3"/>
  <c r="J17" i="3"/>
  <c r="I16" i="3"/>
  <c r="J16" i="3"/>
  <c r="I15" i="3"/>
  <c r="J15" i="3"/>
  <c r="I14" i="3"/>
  <c r="J14" i="3"/>
  <c r="I19" i="3"/>
  <c r="J19" i="3"/>
  <c r="I20" i="3"/>
  <c r="J20" i="3"/>
  <c r="I21" i="3"/>
  <c r="J21" i="3"/>
  <c r="I18" i="3"/>
  <c r="J18" i="3"/>
  <c r="B9" i="3"/>
  <c r="C9" i="3"/>
  <c r="D9" i="3"/>
  <c r="F20" i="3"/>
  <c r="F19" i="3"/>
  <c r="F24" i="3"/>
  <c r="F23" i="3"/>
  <c r="F22" i="3"/>
  <c r="F18" i="3"/>
  <c r="F14" i="3"/>
  <c r="F15" i="3"/>
  <c r="F16" i="3"/>
  <c r="F17" i="3"/>
  <c r="C27" i="2"/>
  <c r="B27" i="2"/>
  <c r="B25" i="2"/>
  <c r="B14" i="2"/>
  <c r="B40" i="1"/>
  <c r="B38" i="1"/>
  <c r="B36" i="1"/>
  <c r="B35" i="1"/>
  <c r="F41" i="1"/>
  <c r="F39" i="1"/>
  <c r="F37" i="1"/>
  <c r="F36" i="1"/>
  <c r="F35" i="1"/>
  <c r="G41" i="1"/>
  <c r="G39" i="1"/>
  <c r="G37" i="1"/>
  <c r="G36" i="1"/>
  <c r="G35" i="1"/>
  <c r="C41" i="1"/>
  <c r="C39" i="1"/>
  <c r="C37" i="1"/>
  <c r="C36" i="1"/>
  <c r="C35" i="1"/>
  <c r="E41" i="1"/>
  <c r="E39" i="1"/>
  <c r="D41" i="1"/>
  <c r="D39" i="1"/>
  <c r="D37" i="1"/>
  <c r="D35" i="1"/>
  <c r="B10" i="2"/>
  <c r="C9" i="2"/>
  <c r="C8" i="2"/>
  <c r="C7" i="2"/>
  <c r="B12" i="2"/>
  <c r="B11" i="2"/>
  <c r="B9" i="2"/>
  <c r="B8" i="2"/>
  <c r="B7" i="2"/>
  <c r="B6" i="2"/>
</calcChain>
</file>

<file path=xl/comments1.xml><?xml version="1.0" encoding="utf-8"?>
<comments xmlns="http://schemas.openxmlformats.org/spreadsheetml/2006/main">
  <authors>
    <author>Ax Me</author>
  </authors>
  <commentList>
    <comment ref="L22" authorId="0">
      <text>
        <r>
          <rPr>
            <b/>
            <sz val="9"/>
            <color indexed="81"/>
            <rFont val="Calibri"/>
            <family val="2"/>
          </rPr>
          <t>Ax Me:</t>
        </r>
        <r>
          <rPr>
            <sz val="9"/>
            <color indexed="81"/>
            <rFont val="Calibri"/>
            <family val="2"/>
          </rPr>
          <t xml:space="preserve">
Run 9/17/2013</t>
        </r>
      </text>
    </comment>
    <comment ref="L23" authorId="0">
      <text>
        <r>
          <rPr>
            <b/>
            <sz val="9"/>
            <color indexed="81"/>
            <rFont val="Calibri"/>
            <family val="2"/>
          </rPr>
          <t>Ax Me:</t>
        </r>
        <r>
          <rPr>
            <sz val="9"/>
            <color indexed="81"/>
            <rFont val="Calibri"/>
            <family val="2"/>
          </rPr>
          <t xml:space="preserve">
run 9/17/2013</t>
        </r>
      </text>
    </comment>
  </commentList>
</comments>
</file>

<file path=xl/sharedStrings.xml><?xml version="1.0" encoding="utf-8"?>
<sst xmlns="http://schemas.openxmlformats.org/spreadsheetml/2006/main" count="176" uniqueCount="113">
  <si>
    <t>G2 #1</t>
  </si>
  <si>
    <t>G2 #2</t>
  </si>
  <si>
    <t>Puck:  Version 1.0</t>
  </si>
  <si>
    <t>Accel #1 v1.0</t>
  </si>
  <si>
    <t>Accel #2 v1.0</t>
  </si>
  <si>
    <t>Puck Version 1.1</t>
  </si>
  <si>
    <t>Puck EVAC</t>
  </si>
  <si>
    <t>Evac Type</t>
  </si>
  <si>
    <t>Bladder</t>
  </si>
  <si>
    <t>Air (Intake)</t>
  </si>
  <si>
    <t>Residual SW</t>
  </si>
  <si>
    <t>PSI</t>
  </si>
  <si>
    <t>PSI end</t>
  </si>
  <si>
    <t xml:space="preserve">Bladder </t>
  </si>
  <si>
    <t>Comments</t>
  </si>
  <si>
    <t>fixture leaked bad seal</t>
  </si>
  <si>
    <t xml:space="preserve">Lots blowback from intake/exaust removing puck </t>
  </si>
  <si>
    <t>Volume (filled-afterEVAC)</t>
  </si>
  <si>
    <t>Volume (Filled-Empty)</t>
  </si>
  <si>
    <t>Accel v1.0</t>
  </si>
  <si>
    <t>Accel v1.0--&gt;G2</t>
  </si>
  <si>
    <t>Accel v1.1</t>
  </si>
  <si>
    <t>Accel v1.1--&gt;G2</t>
  </si>
  <si>
    <t>G2</t>
  </si>
  <si>
    <t>G2--&gt;G2</t>
  </si>
  <si>
    <t>6/26/13 Filtration Rate Comparison:  SW room filtration</t>
  </si>
  <si>
    <t>Air via Intake</t>
  </si>
  <si>
    <t>Air via Bladder (no Diaphram)</t>
  </si>
  <si>
    <t>ND</t>
  </si>
  <si>
    <t>0.119 (0.061-0.155, 0.454)</t>
  </si>
  <si>
    <t>Air (Intake</t>
  </si>
  <si>
    <t>Air-Bladder</t>
  </si>
  <si>
    <t>june 10-12  V1.0</t>
  </si>
  <si>
    <t>0.135 (0.099-0.149, 0.327)</t>
  </si>
  <si>
    <t>Accel V1.2 (F3)</t>
  </si>
  <si>
    <t>Accel V1.1* (F2)</t>
  </si>
  <si>
    <t>Accel V1.0 (F1)</t>
  </si>
  <si>
    <t>Accel F3 spacer</t>
  </si>
  <si>
    <t>Accel F3 no spacer</t>
  </si>
  <si>
    <t>MW water: Filtration Rate comparison</t>
  </si>
  <si>
    <t>0.061 (0.54-0.07)</t>
  </si>
  <si>
    <t xml:space="preserve">Puck </t>
  </si>
  <si>
    <t>Tubing</t>
  </si>
  <si>
    <t>delta (g)</t>
  </si>
  <si>
    <t>T0 (g)</t>
  </si>
  <si>
    <t>PSI (t0)</t>
  </si>
  <si>
    <t xml:space="preserve">Water </t>
  </si>
  <si>
    <t>volume (ml)</t>
  </si>
  <si>
    <t>yellow</t>
  </si>
  <si>
    <t>Green</t>
  </si>
  <si>
    <t xml:space="preserve">pink </t>
  </si>
  <si>
    <t>Red</t>
  </si>
  <si>
    <t>yellow + Green</t>
  </si>
  <si>
    <t>hieght inches</t>
  </si>
  <si>
    <t>volume (in)^3</t>
  </si>
  <si>
    <t>red</t>
  </si>
  <si>
    <t>STP</t>
  </si>
  <si>
    <t>yellow+green</t>
  </si>
  <si>
    <t>green</t>
  </si>
  <si>
    <t xml:space="preserve">STP- amount of air have to put into X volume </t>
  </si>
  <si>
    <t>to reach 60psig</t>
  </si>
  <si>
    <t xml:space="preserve">*** Puck Version F1 used.  Seawater from SW room.  Filtered ~ 100ml per test. </t>
  </si>
  <si>
    <t xml:space="preserve">also in puck evac.   Some leaking when bladdar extended too far and prevented seal on orings in fixture.  </t>
  </si>
  <si>
    <t>red+pink</t>
  </si>
  <si>
    <t>red+ pink + puck</t>
  </si>
  <si>
    <t xml:space="preserve">4 pushes 1.5ml with 3cc syringe </t>
  </si>
  <si>
    <t xml:space="preserve">BEST RESULTS with the 4 pushes of 1.5 ml with 3cc Syringe. </t>
  </si>
  <si>
    <t>The exhaust was open the whole time and short tubing length pointed to waste</t>
  </si>
  <si>
    <t xml:space="preserve">Intake was cycled with 2 way stop cock.  </t>
  </si>
  <si>
    <t xml:space="preserve">Some residual sw out with first push.  The build up till 3-4 where the bubble point was broken. </t>
  </si>
  <si>
    <t xml:space="preserve">July 31, 2013  Test to see if a defined volume of air at 60psig will clear a puck of seawater (Puck Evac) --0.22um filter. </t>
  </si>
  <si>
    <t>Puck Evac</t>
  </si>
  <si>
    <t>T-final (g)</t>
  </si>
  <si>
    <t>Water Source</t>
  </si>
  <si>
    <t>100ml seawater</t>
  </si>
  <si>
    <t>di Water</t>
  </si>
  <si>
    <t>Full T- (done 6/10/2013)</t>
  </si>
  <si>
    <t>Intake/Exhaust Lines to fixture</t>
  </si>
  <si>
    <t>radius</t>
  </si>
  <si>
    <t>1/16"X1/8"X1/32" tubing used</t>
  </si>
  <si>
    <t>Volume =pi*r^2*h</t>
  </si>
  <si>
    <t>Volume Air</t>
  </si>
  <si>
    <t xml:space="preserve">Tubing </t>
  </si>
  <si>
    <t>Volume (ml)</t>
  </si>
  <si>
    <t>(STP-tubing)</t>
  </si>
  <si>
    <t xml:space="preserve">Had difficultly with leaking pucks-- mainly from "bladder" seating both when filtration was intiated and </t>
  </si>
  <si>
    <t xml:space="preserve">Results of "leaky" fixtures not reported. </t>
  </si>
  <si>
    <t>Puck Version 1.0</t>
  </si>
  <si>
    <t>EVAC type</t>
  </si>
  <si>
    <t>Presurized Air- white+pink</t>
  </si>
  <si>
    <t>Presurized Air- pink</t>
  </si>
  <si>
    <t>400ml seawater</t>
  </si>
  <si>
    <t>350ml seawater</t>
  </si>
  <si>
    <t>Diaphram -pressurized air-pink</t>
  </si>
  <si>
    <t>Average</t>
  </si>
  <si>
    <t>resi. Volume</t>
  </si>
  <si>
    <t>8/27/2013 MW water:  Filtration Rate comparison::Water sat 1-2 days</t>
  </si>
  <si>
    <t>Accel F4</t>
  </si>
  <si>
    <t>Accel 4 2nd day</t>
  </si>
  <si>
    <t>G2-2nd Day</t>
  </si>
  <si>
    <t>Issue:  Evac volume is more regular.  More consistent results.  Lots bubble</t>
  </si>
  <si>
    <t>formation on the top of the fixture that limits flow through the puck.</t>
  </si>
  <si>
    <t xml:space="preserve">Last one was worse than this photo. </t>
  </si>
  <si>
    <t xml:space="preserve">See filters  in notebook.  </t>
  </si>
  <si>
    <t>pink + white</t>
  </si>
  <si>
    <t>Puck Version 4.0 -8/28-29/2013</t>
  </si>
  <si>
    <t xml:space="preserve">9/17/2013 MW water:  Filtration Rate </t>
  </si>
  <si>
    <t>Accel F4-Fixture</t>
  </si>
  <si>
    <t>Accel F4-fixture</t>
  </si>
  <si>
    <t>Accel F4-Cartridge</t>
  </si>
  <si>
    <t>AccelF4+Ti Cartridge</t>
  </si>
  <si>
    <t xml:space="preserve">4 pushes 1.5ml with 3cc syringe in cartridge </t>
  </si>
  <si>
    <t>500 ml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</si>
</sst>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2" borderId="1" xfId="0" applyFill="1" applyBorder="1"/>
    <xf numFmtId="15" fontId="0" fillId="0" borderId="0" xfId="0" applyNumberFormat="1"/>
    <xf numFmtId="16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Fill="1" applyBorder="1"/>
    <xf numFmtId="164" fontId="0" fillId="0" borderId="0" xfId="0" applyNumberFormat="1"/>
    <xf numFmtId="49" fontId="0" fillId="0" borderId="1" xfId="0" applyNumberFormat="1" applyBorder="1" applyAlignment="1">
      <alignment wrapText="1"/>
    </xf>
  </cellXfs>
  <cellStyles count="1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0.2um</a:t>
            </a:r>
            <a:r>
              <a:rPr lang="en-US" baseline="0"/>
              <a:t> Filtration Rate:  G2 and Accel  Fixtures</a:t>
            </a:r>
          </a:p>
          <a:p>
            <a:pPr>
              <a:defRPr/>
            </a:pPr>
            <a:r>
              <a:rPr lang="en-US" baseline="0"/>
              <a:t>SC Wharf Water, 22psi intake only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Rates'!$B$5</c:f>
              <c:strCache>
                <c:ptCount val="1"/>
                <c:pt idx="0">
                  <c:v>Accel #1 v1.0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Rates'!$A$6:$A$11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110.0</c:v>
                </c:pt>
                <c:pt idx="4">
                  <c:v>260.0</c:v>
                </c:pt>
                <c:pt idx="5">
                  <c:v>300.0</c:v>
                </c:pt>
              </c:numCache>
            </c:numRef>
          </c:xVal>
          <c:yVal>
            <c:numRef>
              <c:f>'Flow Rates'!$B$6:$B$11</c:f>
              <c:numCache>
                <c:formatCode>0.00</c:formatCode>
                <c:ptCount val="6"/>
                <c:pt idx="0">
                  <c:v>3.0</c:v>
                </c:pt>
                <c:pt idx="2">
                  <c:v>26.25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Rates'!$C$5</c:f>
              <c:strCache>
                <c:ptCount val="1"/>
                <c:pt idx="0">
                  <c:v>Accel #2 v1.0</c:v>
                </c:pt>
              </c:strCache>
            </c:strRef>
          </c:tx>
          <c:spPr>
            <a:ln w="47625">
              <a:noFill/>
            </a:ln>
          </c:spPr>
          <c:marker>
            <c:spPr>
              <a:noFill/>
              <a:ln>
                <a:solidFill>
                  <a:schemeClr val="accent2"/>
                </a:solidFill>
              </a:ln>
            </c:spPr>
          </c:marker>
          <c:xVal>
            <c:numRef>
              <c:f>'Flow Rates'!$A$6:$A$11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110.0</c:v>
                </c:pt>
                <c:pt idx="4">
                  <c:v>260.0</c:v>
                </c:pt>
                <c:pt idx="5">
                  <c:v>300.0</c:v>
                </c:pt>
              </c:numCache>
            </c:numRef>
          </c:xVal>
          <c:yVal>
            <c:numRef>
              <c:f>'Flow Rates'!$C$6:$C$11</c:f>
              <c:numCache>
                <c:formatCode>0.00</c:formatCode>
                <c:ptCount val="6"/>
                <c:pt idx="0">
                  <c:v>2.55</c:v>
                </c:pt>
                <c:pt idx="1">
                  <c:v>8.217000000000001</c:v>
                </c:pt>
                <c:pt idx="2">
                  <c:v>26.467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Rates'!$D$5</c:f>
              <c:strCache>
                <c:ptCount val="1"/>
                <c:pt idx="0">
                  <c:v>G2 #1</c:v>
                </c:pt>
              </c:strCache>
            </c:strRef>
          </c:tx>
          <c:spPr>
            <a:ln w="47625">
              <a:noFill/>
            </a:ln>
          </c:spPr>
          <c:marker>
            <c:spPr>
              <a:noFill/>
            </c:spPr>
          </c:marker>
          <c:xVal>
            <c:numRef>
              <c:f>'Flow Rates'!$A$6:$A$11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110.0</c:v>
                </c:pt>
                <c:pt idx="4">
                  <c:v>260.0</c:v>
                </c:pt>
                <c:pt idx="5">
                  <c:v>300.0</c:v>
                </c:pt>
              </c:numCache>
            </c:numRef>
          </c:xVal>
          <c:yVal>
            <c:numRef>
              <c:f>'Flow Rates'!$D$6:$D$11</c:f>
              <c:numCache>
                <c:formatCode>0.00</c:formatCode>
                <c:ptCount val="6"/>
                <c:pt idx="0">
                  <c:v>2.68</c:v>
                </c:pt>
                <c:pt idx="1">
                  <c:v>9.75</c:v>
                </c:pt>
                <c:pt idx="2">
                  <c:v>42.417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'Flow Rates'!$E$5</c:f>
              <c:strCache>
                <c:ptCount val="1"/>
                <c:pt idx="0">
                  <c:v>G2 #2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Rates'!$A$6:$A$11</c:f>
              <c:numCache>
                <c:formatCode>General</c:formatCode>
                <c:ptCount val="6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110.0</c:v>
                </c:pt>
                <c:pt idx="4">
                  <c:v>260.0</c:v>
                </c:pt>
                <c:pt idx="5">
                  <c:v>300.0</c:v>
                </c:pt>
              </c:numCache>
            </c:numRef>
          </c:xVal>
          <c:yVal>
            <c:numRef>
              <c:f>'Flow Rates'!$E$6:$E$11</c:f>
              <c:numCache>
                <c:formatCode>General</c:formatCode>
                <c:ptCount val="6"/>
                <c:pt idx="3" formatCode="0.00">
                  <c:v>2.85</c:v>
                </c:pt>
                <c:pt idx="4" formatCode="0.00">
                  <c:v>19.5</c:v>
                </c:pt>
                <c:pt idx="5" formatCode="0.00">
                  <c:v>35.0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196872"/>
        <c:axId val="2132211304"/>
      </c:scatterChart>
      <c:valAx>
        <c:axId val="2132196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SW (ml)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2211304"/>
        <c:crosses val="autoZero"/>
        <c:crossBetween val="midCat"/>
      </c:valAx>
      <c:valAx>
        <c:axId val="2132211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(minutes)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132196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0.2um Filtration</a:t>
            </a:r>
            <a:r>
              <a:rPr lang="en-US" baseline="0"/>
              <a:t> Rate:  G2 and Accel Pucks</a:t>
            </a:r>
          </a:p>
          <a:p>
            <a:pPr>
              <a:defRPr/>
            </a:pPr>
            <a:r>
              <a:rPr lang="en-US" baseline="0"/>
              <a:t>SW room, 20um prescreened, 22psi on intake only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Rates'!$B$34</c:f>
              <c:strCache>
                <c:ptCount val="1"/>
                <c:pt idx="0">
                  <c:v>Accel v1.0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Rates'!$B$35:$B$41</c:f>
              <c:numCache>
                <c:formatCode>0.0</c:formatCode>
                <c:ptCount val="7"/>
                <c:pt idx="0">
                  <c:v>2.133333333333333</c:v>
                </c:pt>
                <c:pt idx="1">
                  <c:v>4.466666666666666</c:v>
                </c:pt>
                <c:pt idx="3">
                  <c:v>8.133333333333333</c:v>
                </c:pt>
                <c:pt idx="4">
                  <c:v>9.5</c:v>
                </c:pt>
                <c:pt idx="5">
                  <c:v>11.08333333333333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Rates'!$C$34</c:f>
              <c:strCache>
                <c:ptCount val="1"/>
                <c:pt idx="0">
                  <c:v>Accel v1.0--&gt;G2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Rates'!$C$35:$C$41</c:f>
              <c:numCache>
                <c:formatCode>0.0</c:formatCode>
                <c:ptCount val="7"/>
                <c:pt idx="0">
                  <c:v>4.283333333333333</c:v>
                </c:pt>
                <c:pt idx="1">
                  <c:v>9.583333333333333</c:v>
                </c:pt>
                <c:pt idx="2">
                  <c:v>14.16666666666667</c:v>
                </c:pt>
                <c:pt idx="4">
                  <c:v>19.41666666666667</c:v>
                </c:pt>
                <c:pt idx="6">
                  <c:v>24.78333333333333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Rates'!$D$34</c:f>
              <c:strCache>
                <c:ptCount val="1"/>
                <c:pt idx="0">
                  <c:v>Accel v1.1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Rates'!$D$35:$D$41</c:f>
              <c:numCache>
                <c:formatCode>0.0</c:formatCode>
                <c:ptCount val="7"/>
                <c:pt idx="0">
                  <c:v>0.733333333333333</c:v>
                </c:pt>
                <c:pt idx="2">
                  <c:v>2.233333333333333</c:v>
                </c:pt>
                <c:pt idx="4">
                  <c:v>2.916666666666666</c:v>
                </c:pt>
                <c:pt idx="6">
                  <c:v>3.666666666666666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'Flow Rates'!$E$34</c:f>
              <c:strCache>
                <c:ptCount val="1"/>
                <c:pt idx="0">
                  <c:v>Accel v1.1--&gt;G2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Rates'!$E$35:$E$41</c:f>
              <c:numCache>
                <c:formatCode>0.0</c:formatCode>
                <c:ptCount val="7"/>
                <c:pt idx="0">
                  <c:v>3.0</c:v>
                </c:pt>
                <c:pt idx="1">
                  <c:v>6.5</c:v>
                </c:pt>
                <c:pt idx="2">
                  <c:v>10.0</c:v>
                </c:pt>
                <c:pt idx="4">
                  <c:v>13.75</c:v>
                </c:pt>
                <c:pt idx="6">
                  <c:v>17.71666666666666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'Flow Rates'!$F$34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Rates'!$F$35:$F$41</c:f>
              <c:numCache>
                <c:formatCode>0.0</c:formatCode>
                <c:ptCount val="7"/>
                <c:pt idx="0">
                  <c:v>1.633333333333333</c:v>
                </c:pt>
                <c:pt idx="1">
                  <c:v>3.416666666666666</c:v>
                </c:pt>
                <c:pt idx="2">
                  <c:v>5.416666666666666</c:v>
                </c:pt>
                <c:pt idx="4">
                  <c:v>7.483333333333333</c:v>
                </c:pt>
                <c:pt idx="6">
                  <c:v>9.633333333333333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'Flow Rates'!$G$34</c:f>
              <c:strCache>
                <c:ptCount val="1"/>
                <c:pt idx="0">
                  <c:v>G2--&gt;G2</c:v>
                </c:pt>
              </c:strCache>
            </c:strRef>
          </c:tx>
          <c:spPr>
            <a:ln w="47625">
              <a:noFill/>
            </a:ln>
          </c:spPr>
          <c:marker>
            <c:spPr>
              <a:noFill/>
            </c:spPr>
          </c:marke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Rates'!$G$35:$G$41</c:f>
              <c:numCache>
                <c:formatCode>0.0</c:formatCode>
                <c:ptCount val="7"/>
                <c:pt idx="0">
                  <c:v>4.383333333333333</c:v>
                </c:pt>
                <c:pt idx="1">
                  <c:v>9.25</c:v>
                </c:pt>
                <c:pt idx="2">
                  <c:v>14.3</c:v>
                </c:pt>
                <c:pt idx="4">
                  <c:v>19.38333333333333</c:v>
                </c:pt>
                <c:pt idx="6">
                  <c:v>24.83333333333333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285672"/>
        <c:axId val="2132293112"/>
      </c:scatterChart>
      <c:valAx>
        <c:axId val="2132285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Seawater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2293112"/>
        <c:crosses val="autoZero"/>
        <c:crossBetween val="midCat"/>
      </c:valAx>
      <c:valAx>
        <c:axId val="2132293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(minutes)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322856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0.2um Filtration</a:t>
            </a:r>
            <a:r>
              <a:rPr lang="en-US" baseline="0"/>
              <a:t> Rate:  G2 and Accel Pucks</a:t>
            </a:r>
          </a:p>
          <a:p>
            <a:pPr>
              <a:defRPr/>
            </a:pPr>
            <a:r>
              <a:rPr lang="en-US" baseline="0"/>
              <a:t>SW room, 20um prescreened, 22psi on intake only</a:t>
            </a:r>
            <a:endParaRPr lang="en-US"/>
          </a:p>
        </c:rich>
      </c:tx>
      <c:layout>
        <c:manualLayout>
          <c:xMode val="edge"/>
          <c:yMode val="edge"/>
          <c:x val="0.0556185476815398"/>
          <c:y val="0.029806259314456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Rates'!$B$34</c:f>
              <c:strCache>
                <c:ptCount val="1"/>
                <c:pt idx="0">
                  <c:v>Accel v1.0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Rates'!$B$35:$B$41</c:f>
              <c:numCache>
                <c:formatCode>0.0</c:formatCode>
                <c:ptCount val="7"/>
                <c:pt idx="0">
                  <c:v>2.133333333333333</c:v>
                </c:pt>
                <c:pt idx="1">
                  <c:v>4.466666666666666</c:v>
                </c:pt>
                <c:pt idx="3">
                  <c:v>8.133333333333333</c:v>
                </c:pt>
                <c:pt idx="4">
                  <c:v>9.5</c:v>
                </c:pt>
                <c:pt idx="5">
                  <c:v>11.08333333333333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Rates'!$C$34</c:f>
              <c:strCache>
                <c:ptCount val="1"/>
                <c:pt idx="0">
                  <c:v>Accel v1.0--&gt;G2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Rates'!$C$35:$C$41</c:f>
              <c:numCache>
                <c:formatCode>0.0</c:formatCode>
                <c:ptCount val="7"/>
                <c:pt idx="0">
                  <c:v>4.283333333333333</c:v>
                </c:pt>
                <c:pt idx="1">
                  <c:v>9.583333333333333</c:v>
                </c:pt>
                <c:pt idx="2">
                  <c:v>14.16666666666667</c:v>
                </c:pt>
                <c:pt idx="4">
                  <c:v>19.41666666666667</c:v>
                </c:pt>
                <c:pt idx="6">
                  <c:v>24.78333333333333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Rates'!$D$34</c:f>
              <c:strCache>
                <c:ptCount val="1"/>
                <c:pt idx="0">
                  <c:v>Accel v1.1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Rates'!$D$35:$D$41</c:f>
              <c:numCache>
                <c:formatCode>0.0</c:formatCode>
                <c:ptCount val="7"/>
                <c:pt idx="0">
                  <c:v>0.733333333333333</c:v>
                </c:pt>
                <c:pt idx="2">
                  <c:v>2.233333333333333</c:v>
                </c:pt>
                <c:pt idx="4">
                  <c:v>2.916666666666666</c:v>
                </c:pt>
                <c:pt idx="6">
                  <c:v>3.666666666666666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'Flow Rates'!$F$34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Rates'!$F$35:$F$41</c:f>
              <c:numCache>
                <c:formatCode>0.0</c:formatCode>
                <c:ptCount val="7"/>
                <c:pt idx="0">
                  <c:v>1.633333333333333</c:v>
                </c:pt>
                <c:pt idx="1">
                  <c:v>3.416666666666666</c:v>
                </c:pt>
                <c:pt idx="2">
                  <c:v>5.416666666666666</c:v>
                </c:pt>
                <c:pt idx="4">
                  <c:v>7.483333333333333</c:v>
                </c:pt>
                <c:pt idx="6">
                  <c:v>9.633333333333333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'Flow Rates'!$G$34</c:f>
              <c:strCache>
                <c:ptCount val="1"/>
                <c:pt idx="0">
                  <c:v>G2--&gt;G2</c:v>
                </c:pt>
              </c:strCache>
            </c:strRef>
          </c:tx>
          <c:spPr>
            <a:ln w="47625">
              <a:noFill/>
            </a:ln>
          </c:spPr>
          <c:marker>
            <c:spPr>
              <a:noFill/>
            </c:spPr>
          </c:marke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Rates'!$G$35:$G$41</c:f>
              <c:numCache>
                <c:formatCode>0.0</c:formatCode>
                <c:ptCount val="7"/>
                <c:pt idx="0">
                  <c:v>4.383333333333333</c:v>
                </c:pt>
                <c:pt idx="1">
                  <c:v>9.25</c:v>
                </c:pt>
                <c:pt idx="2">
                  <c:v>14.3</c:v>
                </c:pt>
                <c:pt idx="4">
                  <c:v>19.38333333333333</c:v>
                </c:pt>
                <c:pt idx="6">
                  <c:v>24.83333333333333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269544"/>
        <c:axId val="2132266424"/>
      </c:scatterChart>
      <c:valAx>
        <c:axId val="2132269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Seawater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2266424"/>
        <c:crosses val="autoZero"/>
        <c:crossBetween val="midCat"/>
      </c:valAx>
      <c:valAx>
        <c:axId val="2132266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(minutes)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322695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0.2um Filtration</a:t>
            </a:r>
            <a:r>
              <a:rPr lang="en-US" baseline="0"/>
              <a:t> Rate:  G2 and Accel Pucks</a:t>
            </a:r>
          </a:p>
          <a:p>
            <a:pPr>
              <a:defRPr/>
            </a:pPr>
            <a:r>
              <a:rPr lang="en-US" baseline="0"/>
              <a:t>SW room, 20um prescreened, 22psi on intake only</a:t>
            </a:r>
            <a:endParaRPr lang="en-US"/>
          </a:p>
        </c:rich>
      </c:tx>
      <c:layout>
        <c:manualLayout>
          <c:xMode val="edge"/>
          <c:yMode val="edge"/>
          <c:x val="0.0556185476815398"/>
          <c:y val="0.029806259314456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Rates'!$B$34</c:f>
              <c:strCache>
                <c:ptCount val="1"/>
                <c:pt idx="0">
                  <c:v>Accel v1.0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Rates'!$B$35:$B$41</c:f>
              <c:numCache>
                <c:formatCode>0.0</c:formatCode>
                <c:ptCount val="7"/>
                <c:pt idx="0">
                  <c:v>2.133333333333333</c:v>
                </c:pt>
                <c:pt idx="1">
                  <c:v>4.466666666666666</c:v>
                </c:pt>
                <c:pt idx="3">
                  <c:v>8.133333333333333</c:v>
                </c:pt>
                <c:pt idx="4">
                  <c:v>9.5</c:v>
                </c:pt>
                <c:pt idx="5">
                  <c:v>11.08333333333333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'Flow Rates'!$D$34</c:f>
              <c:strCache>
                <c:ptCount val="1"/>
                <c:pt idx="0">
                  <c:v>Accel v1.1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Rates'!$D$35:$D$41</c:f>
              <c:numCache>
                <c:formatCode>0.0</c:formatCode>
                <c:ptCount val="7"/>
                <c:pt idx="0">
                  <c:v>0.733333333333333</c:v>
                </c:pt>
                <c:pt idx="2">
                  <c:v>2.233333333333333</c:v>
                </c:pt>
                <c:pt idx="4">
                  <c:v>2.916666666666666</c:v>
                </c:pt>
                <c:pt idx="6">
                  <c:v>3.666666666666666</c:v>
                </c:pt>
              </c:numCache>
            </c:numRef>
          </c:yVal>
          <c:smooth val="0"/>
        </c:ser>
        <c:ser>
          <c:idx val="4"/>
          <c:order val="2"/>
          <c:tx>
            <c:strRef>
              <c:f>'Flow Rates'!$F$34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Rates'!$A$35:$A$41</c:f>
              <c:numCache>
                <c:formatCode>General</c:formatCode>
                <c:ptCount val="7"/>
                <c:pt idx="0">
                  <c:v>100.0</c:v>
                </c:pt>
                <c:pt idx="1">
                  <c:v>200.0</c:v>
                </c:pt>
                <c:pt idx="2">
                  <c:v>300.0</c:v>
                </c:pt>
                <c:pt idx="3">
                  <c:v>350.0</c:v>
                </c:pt>
                <c:pt idx="4">
                  <c:v>400.0</c:v>
                </c:pt>
                <c:pt idx="5">
                  <c:v>450.0</c:v>
                </c:pt>
                <c:pt idx="6">
                  <c:v>500.0</c:v>
                </c:pt>
              </c:numCache>
            </c:numRef>
          </c:xVal>
          <c:yVal>
            <c:numRef>
              <c:f>'Flow Rates'!$F$35:$F$41</c:f>
              <c:numCache>
                <c:formatCode>0.0</c:formatCode>
                <c:ptCount val="7"/>
                <c:pt idx="0">
                  <c:v>1.633333333333333</c:v>
                </c:pt>
                <c:pt idx="1">
                  <c:v>3.416666666666666</c:v>
                </c:pt>
                <c:pt idx="2">
                  <c:v>5.416666666666666</c:v>
                </c:pt>
                <c:pt idx="4">
                  <c:v>7.483333333333333</c:v>
                </c:pt>
                <c:pt idx="6">
                  <c:v>9.633333333333333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183240"/>
        <c:axId val="-2142332920"/>
      </c:scatterChart>
      <c:valAx>
        <c:axId val="-214318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Seawater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2332920"/>
        <c:crosses val="autoZero"/>
        <c:crossBetween val="midCat"/>
      </c:valAx>
      <c:valAx>
        <c:axId val="-2142332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(minutes)</a:t>
                </a:r>
                <a:endParaRPr lang="en-US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-21431832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Filtration Rate Acce</a:t>
            </a:r>
            <a:r>
              <a:rPr lang="en-US" baseline="0"/>
              <a:t>l Flat v3 vs G2</a:t>
            </a:r>
          </a:p>
          <a:p>
            <a:pPr>
              <a:defRPr/>
            </a:pPr>
            <a:r>
              <a:rPr lang="en-US" baseline="0"/>
              <a:t>Monterey Wharf 7/10/13</a:t>
            </a:r>
          </a:p>
          <a:p>
            <a:pPr>
              <a:defRPr/>
            </a:pPr>
            <a:r>
              <a:rPr lang="en-US" baseline="0"/>
              <a:t>0.2um Filter 20psi on intake only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Rates'!$B$48</c:f>
              <c:strCache>
                <c:ptCount val="1"/>
                <c:pt idx="0">
                  <c:v>Accel F3 spacer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Rates'!$A$49:$A$52</c:f>
              <c:numCache>
                <c:formatCode>General</c:formatCode>
                <c:ptCount val="4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</c:numCache>
            </c:numRef>
          </c:xVal>
          <c:yVal>
            <c:numRef>
              <c:f>'Flow Rates'!$B$49:$B$52</c:f>
              <c:numCache>
                <c:formatCode>General</c:formatCode>
                <c:ptCount val="4"/>
                <c:pt idx="0">
                  <c:v>2.18</c:v>
                </c:pt>
                <c:pt idx="1">
                  <c:v>5.72</c:v>
                </c:pt>
                <c:pt idx="2">
                  <c:v>9.62</c:v>
                </c:pt>
                <c:pt idx="3">
                  <c:v>15.0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Rates'!$C$48</c:f>
              <c:strCache>
                <c:ptCount val="1"/>
                <c:pt idx="0">
                  <c:v>Accel F3 no spacer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Rates'!$A$49:$A$52</c:f>
              <c:numCache>
                <c:formatCode>General</c:formatCode>
                <c:ptCount val="4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</c:numCache>
            </c:numRef>
          </c:xVal>
          <c:yVal>
            <c:numRef>
              <c:f>'Flow Rates'!$C$49:$C$52</c:f>
              <c:numCache>
                <c:formatCode>General</c:formatCode>
                <c:ptCount val="4"/>
                <c:pt idx="0">
                  <c:v>2.22</c:v>
                </c:pt>
                <c:pt idx="1">
                  <c:v>5.18</c:v>
                </c:pt>
                <c:pt idx="2">
                  <c:v>9.0</c:v>
                </c:pt>
                <c:pt idx="3">
                  <c:v>13.83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Rates'!$D$48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Rates'!$A$49:$A$52</c:f>
              <c:numCache>
                <c:formatCode>General</c:formatCode>
                <c:ptCount val="4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</c:numCache>
            </c:numRef>
          </c:xVal>
          <c:yVal>
            <c:numRef>
              <c:f>'Flow Rates'!$D$49:$D$52</c:f>
              <c:numCache>
                <c:formatCode>General</c:formatCode>
                <c:ptCount val="4"/>
                <c:pt idx="0">
                  <c:v>1.58</c:v>
                </c:pt>
                <c:pt idx="1">
                  <c:v>3.0</c:v>
                </c:pt>
                <c:pt idx="2">
                  <c:v>5.07</c:v>
                </c:pt>
                <c:pt idx="3">
                  <c:v>7.6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227192"/>
        <c:axId val="-2142999752"/>
      </c:scatterChart>
      <c:valAx>
        <c:axId val="-2143227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</a:t>
                </a:r>
                <a:r>
                  <a:rPr lang="en-US" baseline="0"/>
                  <a:t> Seawater Filtered (ml)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2142999752"/>
        <c:crosses val="autoZero"/>
        <c:crossBetween val="midCat"/>
      </c:valAx>
      <c:valAx>
        <c:axId val="-2142999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-2143227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Filtration Rate Acce</a:t>
            </a:r>
            <a:r>
              <a:rPr lang="en-US" baseline="0"/>
              <a:t>l Flat v4 vs G2</a:t>
            </a:r>
          </a:p>
          <a:p>
            <a:pPr>
              <a:defRPr/>
            </a:pPr>
            <a:r>
              <a:rPr lang="en-US" baseline="0"/>
              <a:t>Monterey Wharf 8/27/13</a:t>
            </a:r>
          </a:p>
          <a:p>
            <a:pPr>
              <a:defRPr/>
            </a:pPr>
            <a:r>
              <a:rPr lang="en-US" baseline="0"/>
              <a:t>0.2um Filter 22psi on intake only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Rates'!$B$73</c:f>
              <c:strCache>
                <c:ptCount val="1"/>
                <c:pt idx="0">
                  <c:v>Accel F4</c:v>
                </c:pt>
              </c:strCache>
            </c:strRef>
          </c:tx>
          <c:spPr>
            <a:ln w="47625">
              <a:noFill/>
            </a:ln>
          </c:spP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Rates'!$B$74:$B$81</c:f>
              <c:numCache>
                <c:formatCode>0.0</c:formatCode>
                <c:ptCount val="8"/>
                <c:pt idx="1">
                  <c:v>1.466666666666667</c:v>
                </c:pt>
                <c:pt idx="2">
                  <c:v>2.333333333333333</c:v>
                </c:pt>
                <c:pt idx="3">
                  <c:v>3.333333333333333</c:v>
                </c:pt>
                <c:pt idx="4">
                  <c:v>4.416666666666666</c:v>
                </c:pt>
                <c:pt idx="5">
                  <c:v>5.466666666666666</c:v>
                </c:pt>
                <c:pt idx="6">
                  <c:v>6.95</c:v>
                </c:pt>
                <c:pt idx="7">
                  <c:v>8.233333333333332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Rates'!$C$73</c:f>
              <c:strCache>
                <c:ptCount val="1"/>
                <c:pt idx="0">
                  <c:v>Accel F4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Rates'!$C$74:$C$81</c:f>
              <c:numCache>
                <c:formatCode>0.0</c:formatCode>
                <c:ptCount val="8"/>
                <c:pt idx="0">
                  <c:v>0.933333333333333</c:v>
                </c:pt>
                <c:pt idx="1">
                  <c:v>2.0</c:v>
                </c:pt>
                <c:pt idx="2">
                  <c:v>3.066666666666667</c:v>
                </c:pt>
                <c:pt idx="3">
                  <c:v>4.45</c:v>
                </c:pt>
                <c:pt idx="4">
                  <c:v>5.85</c:v>
                </c:pt>
                <c:pt idx="5">
                  <c:v>7.433333333333333</c:v>
                </c:pt>
                <c:pt idx="6">
                  <c:v>9.133333333333333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Rates'!$D$73</c:f>
              <c:strCache>
                <c:ptCount val="1"/>
                <c:pt idx="0">
                  <c:v>Accel F4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Rates'!$D$74:$D$81</c:f>
              <c:numCache>
                <c:formatCode>0.0</c:formatCode>
                <c:ptCount val="8"/>
                <c:pt idx="0">
                  <c:v>0.966666666666667</c:v>
                </c:pt>
                <c:pt idx="1">
                  <c:v>1.9</c:v>
                </c:pt>
                <c:pt idx="3">
                  <c:v>4.55</c:v>
                </c:pt>
                <c:pt idx="4">
                  <c:v>5.883333333333332</c:v>
                </c:pt>
                <c:pt idx="5">
                  <c:v>7.666666666666667</c:v>
                </c:pt>
                <c:pt idx="6">
                  <c:v>9.366666666666667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'Flow Rates'!$E$73</c:f>
              <c:strCache>
                <c:ptCount val="1"/>
                <c:pt idx="0">
                  <c:v>Accel 4 2nd day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Rates'!$E$74:$E$81</c:f>
              <c:numCache>
                <c:formatCode>0.0</c:formatCode>
                <c:ptCount val="8"/>
                <c:pt idx="0">
                  <c:v>1.6</c:v>
                </c:pt>
                <c:pt idx="1">
                  <c:v>3.816666666666666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'Flow Rates'!$F$73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marker>
            <c:symbol val="dash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Rates'!$F$74:$F$81</c:f>
              <c:numCache>
                <c:formatCode>0.0</c:formatCode>
                <c:ptCount val="8"/>
                <c:pt idx="0">
                  <c:v>0.333333333333333</c:v>
                </c:pt>
                <c:pt idx="1">
                  <c:v>0.766666666666667</c:v>
                </c:pt>
                <c:pt idx="2">
                  <c:v>1.2</c:v>
                </c:pt>
                <c:pt idx="3">
                  <c:v>1.65</c:v>
                </c:pt>
                <c:pt idx="4">
                  <c:v>2.15</c:v>
                </c:pt>
                <c:pt idx="5">
                  <c:v>2.6</c:v>
                </c:pt>
                <c:pt idx="6">
                  <c:v>3.133333333333333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'Flow Rates'!$G$73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marker>
            <c:symbol val="dash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Rates'!$G$74:$G$81</c:f>
              <c:numCache>
                <c:formatCode>0.0</c:formatCode>
                <c:ptCount val="8"/>
                <c:pt idx="0">
                  <c:v>0.533333333333333</c:v>
                </c:pt>
                <c:pt idx="1">
                  <c:v>1.116666666666667</c:v>
                </c:pt>
                <c:pt idx="2">
                  <c:v>1.8</c:v>
                </c:pt>
                <c:pt idx="3">
                  <c:v>2.516666666666667</c:v>
                </c:pt>
                <c:pt idx="4">
                  <c:v>3.683333333333333</c:v>
                </c:pt>
                <c:pt idx="5">
                  <c:v>4.15</c:v>
                </c:pt>
                <c:pt idx="6">
                  <c:v>4.916666666666666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'Flow Rates'!$H$73</c:f>
              <c:strCache>
                <c:ptCount val="1"/>
                <c:pt idx="0">
                  <c:v>G2-2nd Day</c:v>
                </c:pt>
              </c:strCache>
            </c:strRef>
          </c:tx>
          <c:spPr>
            <a:ln w="47625">
              <a:noFill/>
            </a:ln>
          </c:spPr>
          <c:marker>
            <c:symbol val="dash"/>
            <c:size val="9"/>
          </c:marker>
          <c:xVal>
            <c:numRef>
              <c:f>'Flow Rates'!$A$74:$A$81</c:f>
              <c:numCache>
                <c:formatCode>0.0</c:formatCode>
                <c:ptCount val="8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300.0</c:v>
                </c:pt>
                <c:pt idx="6">
                  <c:v>350.0</c:v>
                </c:pt>
                <c:pt idx="7">
                  <c:v>400.0</c:v>
                </c:pt>
              </c:numCache>
            </c:numRef>
          </c:xVal>
          <c:yVal>
            <c:numRef>
              <c:f>'Flow Rates'!$H$74:$H$81</c:f>
              <c:numCache>
                <c:formatCode>0.0</c:formatCode>
                <c:ptCount val="8"/>
                <c:pt idx="0">
                  <c:v>0.266666666666667</c:v>
                </c:pt>
                <c:pt idx="1">
                  <c:v>0.633333333333333</c:v>
                </c:pt>
                <c:pt idx="2">
                  <c:v>0.966666666666667</c:v>
                </c:pt>
                <c:pt idx="3">
                  <c:v>1.383333333333333</c:v>
                </c:pt>
                <c:pt idx="4">
                  <c:v>1.783333333333333</c:v>
                </c:pt>
                <c:pt idx="5">
                  <c:v>2.2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494872"/>
        <c:axId val="-2142489208"/>
      </c:scatterChart>
      <c:valAx>
        <c:axId val="-2142494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</a:t>
                </a:r>
                <a:r>
                  <a:rPr lang="en-US" baseline="0"/>
                  <a:t> Seawater Filtered (ml)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-2142489208"/>
        <c:crosses val="autoZero"/>
        <c:crossBetween val="midCat"/>
      </c:valAx>
      <c:valAx>
        <c:axId val="-2142489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-21424948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Filtration Rate Acce</a:t>
            </a:r>
            <a:r>
              <a:rPr lang="en-US" baseline="0"/>
              <a:t>l vF4 in Cartridge or Fixture vs G2</a:t>
            </a:r>
          </a:p>
          <a:p>
            <a:pPr>
              <a:defRPr/>
            </a:pPr>
            <a:r>
              <a:rPr lang="en-US" baseline="0"/>
              <a:t>Monterey Wharf 9/17/13</a:t>
            </a:r>
          </a:p>
          <a:p>
            <a:pPr>
              <a:defRPr/>
            </a:pPr>
            <a:r>
              <a:rPr lang="en-US" baseline="0"/>
              <a:t>0.2um Filter 22psi on intake only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'Flow Rates'!$B$103</c:f>
              <c:strCache>
                <c:ptCount val="1"/>
                <c:pt idx="0">
                  <c:v>Accel F4-Fixture</c:v>
                </c:pt>
              </c:strCache>
            </c:strRef>
          </c:tx>
          <c:spPr>
            <a:ln w="47625">
              <a:noFill/>
            </a:ln>
          </c:spPr>
          <c:marker>
            <c:symbol val="x"/>
            <c:size val="9"/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Rates'!$B$104:$B$114</c:f>
              <c:numCache>
                <c:formatCode>0.0</c:formatCode>
                <c:ptCount val="11"/>
                <c:pt idx="0">
                  <c:v>5.0</c:v>
                </c:pt>
                <c:pt idx="1">
                  <c:v>12.0</c:v>
                </c:pt>
                <c:pt idx="2">
                  <c:v>17.0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'Flow Rates'!$C$103</c:f>
              <c:strCache>
                <c:ptCount val="1"/>
                <c:pt idx="0">
                  <c:v>Accel F4-fixture</c:v>
                </c:pt>
              </c:strCache>
            </c:strRef>
          </c:tx>
          <c:spPr>
            <a:ln w="47625">
              <a:noFill/>
            </a:ln>
          </c:spPr>
          <c:marker>
            <c:symbol val="x"/>
            <c:size val="9"/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Rates'!$C$104:$C$114</c:f>
              <c:numCache>
                <c:formatCode>0.0</c:formatCode>
                <c:ptCount val="11"/>
                <c:pt idx="0">
                  <c:v>0.766666666666667</c:v>
                </c:pt>
                <c:pt idx="1">
                  <c:v>1.85</c:v>
                </c:pt>
                <c:pt idx="2">
                  <c:v>2.85</c:v>
                </c:pt>
                <c:pt idx="3">
                  <c:v>4.133333333333333</c:v>
                </c:pt>
                <c:pt idx="4">
                  <c:v>5.566666666666666</c:v>
                </c:pt>
                <c:pt idx="6">
                  <c:v>7.266666666666666</c:v>
                </c:pt>
                <c:pt idx="7">
                  <c:v>9.0</c:v>
                </c:pt>
                <c:pt idx="8">
                  <c:v>11.0</c:v>
                </c:pt>
                <c:pt idx="9">
                  <c:v>13.3</c:v>
                </c:pt>
                <c:pt idx="10">
                  <c:v>16.06666666666667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'Flow Rates'!$D$103</c:f>
              <c:strCache>
                <c:ptCount val="1"/>
                <c:pt idx="0">
                  <c:v>Accel F4-Cartridge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9"/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Rates'!$D$104:$D$114</c:f>
              <c:numCache>
                <c:formatCode>0.0</c:formatCode>
                <c:ptCount val="11"/>
                <c:pt idx="0">
                  <c:v>0.8</c:v>
                </c:pt>
                <c:pt idx="1">
                  <c:v>1.75</c:v>
                </c:pt>
                <c:pt idx="2">
                  <c:v>2.8</c:v>
                </c:pt>
                <c:pt idx="3">
                  <c:v>4.016666666666666</c:v>
                </c:pt>
                <c:pt idx="4">
                  <c:v>5.383333333333333</c:v>
                </c:pt>
                <c:pt idx="6">
                  <c:v>7.1</c:v>
                </c:pt>
                <c:pt idx="7">
                  <c:v>9.366666666666667</c:v>
                </c:pt>
                <c:pt idx="8">
                  <c:v>10.45</c:v>
                </c:pt>
                <c:pt idx="9">
                  <c:v>12.55</c:v>
                </c:pt>
                <c:pt idx="10">
                  <c:v>15.0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'Flow Rates'!$E$103</c:f>
              <c:strCache>
                <c:ptCount val="1"/>
                <c:pt idx="0">
                  <c:v>Accel F4-Cartridge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9"/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Rates'!$E$104:$E$114</c:f>
              <c:numCache>
                <c:formatCode>0.0</c:formatCode>
                <c:ptCount val="11"/>
                <c:pt idx="0">
                  <c:v>0.933333333333333</c:v>
                </c:pt>
                <c:pt idx="1">
                  <c:v>1.7</c:v>
                </c:pt>
                <c:pt idx="2">
                  <c:v>2.7</c:v>
                </c:pt>
                <c:pt idx="3">
                  <c:v>3.916666666666666</c:v>
                </c:pt>
                <c:pt idx="5">
                  <c:v>5.9</c:v>
                </c:pt>
                <c:pt idx="6">
                  <c:v>6.683333333333333</c:v>
                </c:pt>
                <c:pt idx="7">
                  <c:v>8.433333333333333</c:v>
                </c:pt>
                <c:pt idx="8">
                  <c:v>10.21666666666667</c:v>
                </c:pt>
                <c:pt idx="9">
                  <c:v>12.41666666666667</c:v>
                </c:pt>
                <c:pt idx="10">
                  <c:v>14.78333333333333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'Flow Rates'!$F$103</c:f>
              <c:strCache>
                <c:ptCount val="1"/>
                <c:pt idx="0">
                  <c:v>AccelF4+Ti Cartridge</c:v>
                </c:pt>
              </c:strCache>
            </c:strRef>
          </c:tx>
          <c:spPr>
            <a:ln w="47625">
              <a:noFill/>
            </a:ln>
          </c:spPr>
          <c:marker>
            <c:symbol val="square"/>
            <c:size val="9"/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Rates'!$F$104:$F$114</c:f>
              <c:numCache>
                <c:formatCode>0.0</c:formatCode>
                <c:ptCount val="11"/>
                <c:pt idx="0">
                  <c:v>0.516666666666667</c:v>
                </c:pt>
                <c:pt idx="1">
                  <c:v>1.166666666666667</c:v>
                </c:pt>
                <c:pt idx="2">
                  <c:v>1.966666666666667</c:v>
                </c:pt>
                <c:pt idx="3">
                  <c:v>3.0</c:v>
                </c:pt>
                <c:pt idx="4">
                  <c:v>3.666666666666666</c:v>
                </c:pt>
                <c:pt idx="6">
                  <c:v>4.666666666666667</c:v>
                </c:pt>
                <c:pt idx="7">
                  <c:v>5.783333333333333</c:v>
                </c:pt>
                <c:pt idx="8">
                  <c:v>7.083333333333333</c:v>
                </c:pt>
                <c:pt idx="9">
                  <c:v>8.55</c:v>
                </c:pt>
                <c:pt idx="10">
                  <c:v>9.966666666666666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'Flow Rates'!$G$103</c:f>
              <c:strCache>
                <c:ptCount val="1"/>
                <c:pt idx="0">
                  <c:v>AccelF4+Ti Cartridge</c:v>
                </c:pt>
              </c:strCache>
            </c:strRef>
          </c:tx>
          <c:spPr>
            <a:ln w="47625">
              <a:noFill/>
            </a:ln>
          </c:spPr>
          <c:marker>
            <c:symbol val="square"/>
            <c:size val="9"/>
            <c:spPr>
              <a:noFill/>
            </c:spPr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Rates'!$G$104:$G$114</c:f>
              <c:numCache>
                <c:formatCode>0.0</c:formatCode>
                <c:ptCount val="11"/>
                <c:pt idx="0">
                  <c:v>0.566666666666667</c:v>
                </c:pt>
                <c:pt idx="1">
                  <c:v>1.366666666666667</c:v>
                </c:pt>
                <c:pt idx="2">
                  <c:v>2.15</c:v>
                </c:pt>
                <c:pt idx="3">
                  <c:v>3.133333333333333</c:v>
                </c:pt>
                <c:pt idx="4">
                  <c:v>4.2</c:v>
                </c:pt>
                <c:pt idx="6">
                  <c:v>5.483333333333333</c:v>
                </c:pt>
                <c:pt idx="7">
                  <c:v>6.766666666666666</c:v>
                </c:pt>
                <c:pt idx="8">
                  <c:v>8.166666666666666</c:v>
                </c:pt>
                <c:pt idx="9">
                  <c:v>9.916666666666666</c:v>
                </c:pt>
                <c:pt idx="10">
                  <c:v>11.76666666666667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'Flow Rates'!$H$103</c:f>
              <c:strCache>
                <c:ptCount val="1"/>
                <c:pt idx="0">
                  <c:v>G2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9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'Flow Rates'!$A$104:$A$114</c:f>
              <c:numCache>
                <c:formatCode>0.0</c:formatCode>
                <c:ptCount val="11"/>
                <c:pt idx="0">
                  <c:v>50.0</c:v>
                </c:pt>
                <c:pt idx="1">
                  <c:v>100.0</c:v>
                </c:pt>
                <c:pt idx="2">
                  <c:v>150.0</c:v>
                </c:pt>
                <c:pt idx="3">
                  <c:v>200.0</c:v>
                </c:pt>
                <c:pt idx="4">
                  <c:v>250.0</c:v>
                </c:pt>
                <c:pt idx="5">
                  <c:v>270.0</c:v>
                </c:pt>
                <c:pt idx="6">
                  <c:v>300.0</c:v>
                </c:pt>
                <c:pt idx="7">
                  <c:v>350.0</c:v>
                </c:pt>
                <c:pt idx="8">
                  <c:v>400.0</c:v>
                </c:pt>
                <c:pt idx="9">
                  <c:v>450.0</c:v>
                </c:pt>
                <c:pt idx="10">
                  <c:v>500.0</c:v>
                </c:pt>
              </c:numCache>
            </c:numRef>
          </c:xVal>
          <c:yVal>
            <c:numRef>
              <c:f>'Flow Rates'!$H$104:$H$114</c:f>
              <c:numCache>
                <c:formatCode>0.0</c:formatCode>
                <c:ptCount val="11"/>
                <c:pt idx="0">
                  <c:v>0.65</c:v>
                </c:pt>
                <c:pt idx="1">
                  <c:v>1.383333333333333</c:v>
                </c:pt>
                <c:pt idx="2">
                  <c:v>2.283333333333333</c:v>
                </c:pt>
                <c:pt idx="3">
                  <c:v>3.283333333333333</c:v>
                </c:pt>
                <c:pt idx="4">
                  <c:v>4.433333333333333</c:v>
                </c:pt>
                <c:pt idx="6">
                  <c:v>5.766666666666666</c:v>
                </c:pt>
                <c:pt idx="10">
                  <c:v>12.3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034264"/>
        <c:axId val="-2143028936"/>
      </c:scatterChart>
      <c:valAx>
        <c:axId val="-2143034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</a:t>
                </a:r>
                <a:r>
                  <a:rPr lang="en-US" baseline="0"/>
                  <a:t> Seawater Filtered (ml)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-2143028936"/>
        <c:crosses val="autoZero"/>
        <c:crossBetween val="midCat"/>
      </c:valAx>
      <c:valAx>
        <c:axId val="-21430289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  <a:r>
                  <a:rPr lang="en-US" baseline="0"/>
                  <a:t> (min)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-21430342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Residual</a:t>
            </a:r>
            <a:r>
              <a:rPr lang="en-US" baseline="0"/>
              <a:t> Seawater vs Air purge at 60PSIg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'EVAC-defined Volume'!$F$14:$F$21</c:f>
              <c:numCache>
                <c:formatCode>General</c:formatCode>
                <c:ptCount val="8"/>
                <c:pt idx="0">
                  <c:v>0.171000000000001</c:v>
                </c:pt>
                <c:pt idx="1">
                  <c:v>0.163</c:v>
                </c:pt>
                <c:pt idx="2">
                  <c:v>0.122</c:v>
                </c:pt>
                <c:pt idx="3">
                  <c:v>0.0990000000000002</c:v>
                </c:pt>
                <c:pt idx="4">
                  <c:v>0.137</c:v>
                </c:pt>
                <c:pt idx="5">
                  <c:v>0.111000000000001</c:v>
                </c:pt>
                <c:pt idx="6">
                  <c:v>0.138</c:v>
                </c:pt>
                <c:pt idx="7">
                  <c:v>0.068</c:v>
                </c:pt>
              </c:numCache>
            </c:numRef>
          </c:xVal>
          <c:yVal>
            <c:numRef>
              <c:f>'EVAC-defined Volume'!$I$14:$I$21</c:f>
              <c:numCache>
                <c:formatCode>0.0</c:formatCode>
                <c:ptCount val="8"/>
                <c:pt idx="0">
                  <c:v>1.285945584785714</c:v>
                </c:pt>
                <c:pt idx="1">
                  <c:v>2.58557144175</c:v>
                </c:pt>
                <c:pt idx="2">
                  <c:v>3.99173241830491</c:v>
                </c:pt>
                <c:pt idx="3">
                  <c:v>5.13694220305357</c:v>
                </c:pt>
                <c:pt idx="4">
                  <c:v>7.705413304580355</c:v>
                </c:pt>
                <c:pt idx="5">
                  <c:v>12.84235550763393</c:v>
                </c:pt>
                <c:pt idx="6">
                  <c:v>13.01335890986607</c:v>
                </c:pt>
                <c:pt idx="7">
                  <c:v>71.14285714285714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091752"/>
        <c:axId val="2134904856"/>
      </c:scatterChart>
      <c:valAx>
        <c:axId val="2135091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Residual SW volume (g)</a:t>
                </a:r>
              </a:p>
            </c:rich>
          </c:tx>
          <c:layout>
            <c:manualLayout>
              <c:xMode val="edge"/>
              <c:yMode val="edge"/>
              <c:x val="0.43916738731358"/>
              <c:y val="0.90759075907590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4904856"/>
        <c:crosses val="autoZero"/>
        <c:crossBetween val="midCat"/>
      </c:valAx>
      <c:valAx>
        <c:axId val="2134904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Mass</a:t>
                </a:r>
                <a:r>
                  <a:rPr lang="en-US" baseline="0"/>
                  <a:t> Air at STP for air Purge</a:t>
                </a:r>
                <a:endParaRPr lang="en-US"/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2135091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image" Target="../media/image1.JPG"/><Relationship Id="rId8" Type="http://schemas.openxmlformats.org/officeDocument/2006/relationships/chart" Target="../charts/chart7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431800</xdr:colOff>
      <xdr:row>12</xdr:row>
      <xdr:rowOff>44450</xdr:rowOff>
    </xdr:from>
    <xdr:to>
      <xdr:col>6</xdr:col>
      <xdr:colOff>495300</xdr:colOff>
      <xdr:row>27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20</xdr:row>
      <xdr:rowOff>44450</xdr:rowOff>
    </xdr:from>
    <xdr:to>
      <xdr:col>14</xdr:col>
      <xdr:colOff>355600</xdr:colOff>
      <xdr:row>42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457200</xdr:colOff>
      <xdr:row>20</xdr:row>
      <xdr:rowOff>38100</xdr:rowOff>
    </xdr:from>
    <xdr:to>
      <xdr:col>21</xdr:col>
      <xdr:colOff>393700</xdr:colOff>
      <xdr:row>42</xdr:row>
      <xdr:rowOff>107950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495300</xdr:colOff>
      <xdr:row>20</xdr:row>
      <xdr:rowOff>38100</xdr:rowOff>
    </xdr:from>
    <xdr:to>
      <xdr:col>28</xdr:col>
      <xdr:colOff>431800</xdr:colOff>
      <xdr:row>42</xdr:row>
      <xdr:rowOff>107950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279400</xdr:colOff>
      <xdr:row>43</xdr:row>
      <xdr:rowOff>50800</xdr:rowOff>
    </xdr:from>
    <xdr:to>
      <xdr:col>17</xdr:col>
      <xdr:colOff>165100</xdr:colOff>
      <xdr:row>64</xdr:row>
      <xdr:rowOff>177800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444500</xdr:colOff>
      <xdr:row>75</xdr:row>
      <xdr:rowOff>50800</xdr:rowOff>
    </xdr:from>
    <xdr:to>
      <xdr:col>16</xdr:col>
      <xdr:colOff>330200</xdr:colOff>
      <xdr:row>96</xdr:row>
      <xdr:rowOff>177800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406400</xdr:colOff>
      <xdr:row>84</xdr:row>
      <xdr:rowOff>88900</xdr:rowOff>
    </xdr:from>
    <xdr:to>
      <xdr:col>7</xdr:col>
      <xdr:colOff>698959</xdr:colOff>
      <xdr:row>97</xdr:row>
      <xdr:rowOff>59433</xdr:rowOff>
    </xdr:to>
    <xdr:pic>
      <xdr:nvPicPr>
        <xdr:cNvPr id="9" name="Picture 8" descr="photo copy.JPG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04" t="17052" r="16949" b="8686"/>
        <a:stretch/>
      </xdr:blipFill>
      <xdr:spPr>
        <a:xfrm>
          <a:off x="3517900" y="16090900"/>
          <a:ext cx="2476959" cy="2447033"/>
        </a:xfrm>
        <a:prstGeom prst="rect">
          <a:avLst/>
        </a:prstGeom>
      </xdr:spPr>
    </xdr:pic>
    <xdr:clientData/>
  </xdr:twoCellAnchor>
  <xdr:twoCellAnchor>
    <xdr:from>
      <xdr:col>8</xdr:col>
      <xdr:colOff>342900</xdr:colOff>
      <xdr:row>99</xdr:row>
      <xdr:rowOff>63500</xdr:rowOff>
    </xdr:from>
    <xdr:to>
      <xdr:col>16</xdr:col>
      <xdr:colOff>228600</xdr:colOff>
      <xdr:row>121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736600</xdr:colOff>
      <xdr:row>24</xdr:row>
      <xdr:rowOff>165100</xdr:rowOff>
    </xdr:from>
    <xdr:to>
      <xdr:col>7</xdr:col>
      <xdr:colOff>546100</xdr:colOff>
      <xdr:row>45</xdr:row>
      <xdr:rowOff>12700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H114"/>
  <sheetViews>
    <sheetView topLeftCell="A76" workbookViewId="0">
      <selection activeCell="B87" sqref="B87"/>
    </sheetView>
  </sheetViews>
  <sheetFormatPr baseColWidth="10" defaultRowHeight="15" x14ac:dyDescent="0"/>
  <cols>
    <col min="2" max="3" width="7.83203125" customWidth="1"/>
    <col min="4" max="4" width="8.5" customWidth="1"/>
    <col min="5" max="5" width="8.6640625" customWidth="1"/>
    <col min="6" max="8" width="10" customWidth="1"/>
  </cols>
  <sheetData>
    <row r="3" spans="1:5">
      <c r="A3" t="s">
        <v>2</v>
      </c>
    </row>
    <row r="5" spans="1:5">
      <c r="B5" t="s">
        <v>3</v>
      </c>
      <c r="C5" t="s">
        <v>4</v>
      </c>
      <c r="D5" t="s">
        <v>0</v>
      </c>
      <c r="E5" t="s">
        <v>1</v>
      </c>
    </row>
    <row r="6" spans="1:5">
      <c r="A6">
        <v>100</v>
      </c>
      <c r="B6" s="1">
        <v>3</v>
      </c>
      <c r="C6" s="1">
        <v>2.5499999999999998</v>
      </c>
      <c r="D6" s="1">
        <v>2.68</v>
      </c>
    </row>
    <row r="7" spans="1:5">
      <c r="A7">
        <v>200</v>
      </c>
      <c r="B7" s="1"/>
      <c r="C7" s="1">
        <v>8.2170000000000005</v>
      </c>
      <c r="D7" s="1">
        <v>9.75</v>
      </c>
    </row>
    <row r="8" spans="1:5">
      <c r="A8">
        <v>300</v>
      </c>
      <c r="B8" s="1">
        <v>26.25</v>
      </c>
      <c r="C8" s="1">
        <v>26.466999999999999</v>
      </c>
      <c r="D8" s="1">
        <v>42.417000000000002</v>
      </c>
    </row>
    <row r="9" spans="1:5">
      <c r="A9">
        <v>110</v>
      </c>
      <c r="E9" s="1">
        <v>2.85</v>
      </c>
    </row>
    <row r="10" spans="1:5">
      <c r="A10">
        <v>260</v>
      </c>
      <c r="E10" s="1">
        <v>19.5</v>
      </c>
    </row>
    <row r="11" spans="1:5">
      <c r="A11">
        <v>300</v>
      </c>
      <c r="E11" s="1">
        <v>35</v>
      </c>
    </row>
    <row r="32" spans="1:1">
      <c r="A32" t="s">
        <v>25</v>
      </c>
    </row>
    <row r="34" spans="1:7"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</row>
    <row r="35" spans="1:7">
      <c r="A35" s="2">
        <v>100</v>
      </c>
      <c r="B35" s="5">
        <f>2+8/60</f>
        <v>2.1333333333333333</v>
      </c>
      <c r="C35" s="5">
        <f>4+17/60</f>
        <v>4.2833333333333332</v>
      </c>
      <c r="D35" s="5">
        <f>44/60</f>
        <v>0.73333333333333328</v>
      </c>
      <c r="E35" s="5">
        <v>3</v>
      </c>
      <c r="F35" s="5">
        <f>1+38/60</f>
        <v>1.6333333333333333</v>
      </c>
      <c r="G35" s="5">
        <f>4+23/60</f>
        <v>4.3833333333333337</v>
      </c>
    </row>
    <row r="36" spans="1:7">
      <c r="A36" s="2">
        <v>200</v>
      </c>
      <c r="B36" s="5">
        <f>4+28/60</f>
        <v>4.4666666666666668</v>
      </c>
      <c r="C36" s="5">
        <f>9+35/60</f>
        <v>9.5833333333333339</v>
      </c>
      <c r="D36" s="5"/>
      <c r="E36" s="5">
        <v>6.5</v>
      </c>
      <c r="F36" s="5">
        <f>3+25/60</f>
        <v>3.4166666666666665</v>
      </c>
      <c r="G36" s="5">
        <f>9+15/60</f>
        <v>9.25</v>
      </c>
    </row>
    <row r="37" spans="1:7">
      <c r="A37" s="2">
        <v>300</v>
      </c>
      <c r="B37" s="5"/>
      <c r="C37" s="5">
        <f>14+10/60</f>
        <v>14.166666666666666</v>
      </c>
      <c r="D37" s="5">
        <f>2+14/60</f>
        <v>2.2333333333333334</v>
      </c>
      <c r="E37" s="5">
        <v>10</v>
      </c>
      <c r="F37" s="5">
        <f>5+25/60</f>
        <v>5.416666666666667</v>
      </c>
      <c r="G37" s="5">
        <f>14+18/60</f>
        <v>14.3</v>
      </c>
    </row>
    <row r="38" spans="1:7">
      <c r="A38" s="2">
        <v>350</v>
      </c>
      <c r="B38" s="5">
        <f>8+8/60</f>
        <v>8.1333333333333329</v>
      </c>
      <c r="C38" s="5"/>
      <c r="D38" s="5"/>
      <c r="E38" s="5"/>
      <c r="F38" s="5"/>
      <c r="G38" s="5"/>
    </row>
    <row r="39" spans="1:7">
      <c r="A39" s="2">
        <v>400</v>
      </c>
      <c r="B39" s="5">
        <v>9.5</v>
      </c>
      <c r="C39" s="5">
        <f>19+25/60</f>
        <v>19.416666666666668</v>
      </c>
      <c r="D39" s="5">
        <f>2+55/60</f>
        <v>2.9166666666666665</v>
      </c>
      <c r="E39" s="5">
        <f>13+45/60</f>
        <v>13.75</v>
      </c>
      <c r="F39" s="5">
        <f>7+29/60</f>
        <v>7.4833333333333334</v>
      </c>
      <c r="G39" s="5">
        <f>19+23/60</f>
        <v>19.383333333333333</v>
      </c>
    </row>
    <row r="40" spans="1:7">
      <c r="A40" s="2">
        <v>450</v>
      </c>
      <c r="B40" s="5">
        <f>11+5/60</f>
        <v>11.083333333333334</v>
      </c>
      <c r="C40" s="5"/>
      <c r="D40" s="5"/>
      <c r="E40" s="5"/>
      <c r="F40" s="5"/>
      <c r="G40" s="5"/>
    </row>
    <row r="41" spans="1:7">
      <c r="A41" s="2">
        <v>500</v>
      </c>
      <c r="B41" s="5"/>
      <c r="C41" s="5">
        <f>24+47/60</f>
        <v>24.783333333333335</v>
      </c>
      <c r="D41" s="5">
        <f>3+40/60</f>
        <v>3.6666666666666665</v>
      </c>
      <c r="E41" s="5">
        <f>17+43/60</f>
        <v>17.716666666666665</v>
      </c>
      <c r="F41" s="5">
        <f>9+38/60</f>
        <v>9.6333333333333329</v>
      </c>
      <c r="G41" s="5">
        <f>24+50/60</f>
        <v>24.833333333333332</v>
      </c>
    </row>
    <row r="42" spans="1:7">
      <c r="A42" s="2"/>
      <c r="B42" s="2"/>
      <c r="C42" s="2"/>
      <c r="D42" s="2"/>
      <c r="E42" s="2"/>
      <c r="F42" s="2"/>
      <c r="G42" s="2"/>
    </row>
    <row r="46" spans="1:7">
      <c r="A46" s="6">
        <v>41465</v>
      </c>
      <c r="B46" t="s">
        <v>39</v>
      </c>
    </row>
    <row r="48" spans="1:7">
      <c r="B48" t="s">
        <v>37</v>
      </c>
      <c r="C48" t="s">
        <v>38</v>
      </c>
      <c r="D48" t="s">
        <v>23</v>
      </c>
    </row>
    <row r="49" spans="1:4">
      <c r="A49">
        <v>50</v>
      </c>
      <c r="B49">
        <v>2.1800000000000002</v>
      </c>
      <c r="C49">
        <v>2.2200000000000002</v>
      </c>
      <c r="D49">
        <v>1.58</v>
      </c>
    </row>
    <row r="50" spans="1:4">
      <c r="A50">
        <v>100</v>
      </c>
      <c r="B50">
        <v>5.72</v>
      </c>
      <c r="C50">
        <v>5.18</v>
      </c>
      <c r="D50">
        <v>3</v>
      </c>
    </row>
    <row r="51" spans="1:4">
      <c r="A51">
        <v>150</v>
      </c>
      <c r="B51">
        <v>9.6199999999999992</v>
      </c>
      <c r="C51">
        <v>9</v>
      </c>
      <c r="D51">
        <v>5.07</v>
      </c>
    </row>
    <row r="52" spans="1:4">
      <c r="A52">
        <v>200</v>
      </c>
      <c r="B52">
        <v>15</v>
      </c>
      <c r="C52">
        <v>13.83</v>
      </c>
      <c r="D52">
        <v>7.6</v>
      </c>
    </row>
    <row r="72" spans="1:8">
      <c r="A72" t="s">
        <v>96</v>
      </c>
    </row>
    <row r="73" spans="1:8">
      <c r="A73" s="2"/>
      <c r="B73" s="2" t="s">
        <v>97</v>
      </c>
      <c r="C73" s="2" t="s">
        <v>97</v>
      </c>
      <c r="D73" s="2" t="s">
        <v>97</v>
      </c>
      <c r="E73" s="2" t="s">
        <v>98</v>
      </c>
      <c r="F73" s="2" t="s">
        <v>23</v>
      </c>
      <c r="G73" s="2" t="s">
        <v>23</v>
      </c>
      <c r="H73" s="2" t="s">
        <v>99</v>
      </c>
    </row>
    <row r="74" spans="1:8">
      <c r="A74" s="5">
        <v>50</v>
      </c>
      <c r="B74" s="5"/>
      <c r="C74" s="5">
        <f>56/60</f>
        <v>0.93333333333333335</v>
      </c>
      <c r="D74" s="5">
        <f>58/60</f>
        <v>0.96666666666666667</v>
      </c>
      <c r="E74" s="5">
        <f>1+36/60</f>
        <v>1.6</v>
      </c>
      <c r="F74" s="5">
        <f>20/60</f>
        <v>0.33333333333333331</v>
      </c>
      <c r="G74" s="5">
        <f>32/60</f>
        <v>0.53333333333333333</v>
      </c>
      <c r="H74" s="5">
        <f>16/60</f>
        <v>0.26666666666666666</v>
      </c>
    </row>
    <row r="75" spans="1:8">
      <c r="A75" s="5">
        <v>100</v>
      </c>
      <c r="B75" s="5">
        <f>1+28/60</f>
        <v>1.4666666666666668</v>
      </c>
      <c r="C75" s="5">
        <v>2</v>
      </c>
      <c r="D75" s="5">
        <f>1+54/60</f>
        <v>1.9</v>
      </c>
      <c r="E75" s="5">
        <f>3+49/60</f>
        <v>3.8166666666666664</v>
      </c>
      <c r="F75" s="5">
        <f>46/60</f>
        <v>0.76666666666666672</v>
      </c>
      <c r="G75" s="5">
        <f>1+7/60</f>
        <v>1.1166666666666667</v>
      </c>
      <c r="H75" s="5">
        <f>38/60</f>
        <v>0.6333333333333333</v>
      </c>
    </row>
    <row r="76" spans="1:8">
      <c r="A76" s="5">
        <v>150</v>
      </c>
      <c r="B76" s="5">
        <f>2+20/60</f>
        <v>2.3333333333333335</v>
      </c>
      <c r="C76" s="5">
        <f>3+4/60</f>
        <v>3.0666666666666669</v>
      </c>
      <c r="D76" s="5"/>
      <c r="E76" s="5"/>
      <c r="F76" s="5">
        <f>1+12/60</f>
        <v>1.2</v>
      </c>
      <c r="G76" s="5">
        <f>1+48/60</f>
        <v>1.8</v>
      </c>
      <c r="H76" s="5">
        <f>58/60</f>
        <v>0.96666666666666667</v>
      </c>
    </row>
    <row r="77" spans="1:8">
      <c r="A77" s="5">
        <v>200</v>
      </c>
      <c r="B77" s="5">
        <f>3+20/60</f>
        <v>3.3333333333333335</v>
      </c>
      <c r="C77" s="5">
        <f>4+27/60</f>
        <v>4.45</v>
      </c>
      <c r="D77" s="5">
        <f>4+33/60</f>
        <v>4.55</v>
      </c>
      <c r="E77" s="5"/>
      <c r="F77" s="5">
        <f>1+39/60</f>
        <v>1.65</v>
      </c>
      <c r="G77" s="5">
        <f>2+31/60</f>
        <v>2.5166666666666666</v>
      </c>
      <c r="H77" s="5">
        <f>1+23/60</f>
        <v>1.3833333333333333</v>
      </c>
    </row>
    <row r="78" spans="1:8">
      <c r="A78" s="5">
        <v>250</v>
      </c>
      <c r="B78" s="5">
        <f>4+25/60</f>
        <v>4.416666666666667</v>
      </c>
      <c r="C78" s="5">
        <f>5+51/60</f>
        <v>5.85</v>
      </c>
      <c r="D78" s="5">
        <f>5+53/60</f>
        <v>5.8833333333333329</v>
      </c>
      <c r="E78" s="5"/>
      <c r="F78" s="5">
        <f>2+9/60</f>
        <v>2.15</v>
      </c>
      <c r="G78" s="5">
        <f>3+41/60</f>
        <v>3.6833333333333336</v>
      </c>
      <c r="H78" s="5">
        <f>1+47/60</f>
        <v>1.7833333333333332</v>
      </c>
    </row>
    <row r="79" spans="1:8">
      <c r="A79" s="5">
        <v>300</v>
      </c>
      <c r="B79" s="5">
        <f>5+28/60</f>
        <v>5.4666666666666668</v>
      </c>
      <c r="C79" s="5">
        <f>7+26/60</f>
        <v>7.4333333333333336</v>
      </c>
      <c r="D79" s="5">
        <f>7+40/60</f>
        <v>7.666666666666667</v>
      </c>
      <c r="E79" s="5"/>
      <c r="F79" s="5">
        <f>2+36/60</f>
        <v>2.6</v>
      </c>
      <c r="G79" s="5">
        <f>4+9/60</f>
        <v>4.1500000000000004</v>
      </c>
      <c r="H79" s="5">
        <f>2+12/60</f>
        <v>2.2000000000000002</v>
      </c>
    </row>
    <row r="80" spans="1:8">
      <c r="A80" s="5">
        <v>350</v>
      </c>
      <c r="B80" s="5">
        <f>6+57/60</f>
        <v>6.95</v>
      </c>
      <c r="C80" s="5">
        <f>9+8/60</f>
        <v>9.1333333333333329</v>
      </c>
      <c r="D80" s="5">
        <f>9+22/60</f>
        <v>9.3666666666666671</v>
      </c>
      <c r="E80" s="5"/>
      <c r="F80" s="5">
        <f>3+8/60</f>
        <v>3.1333333333333333</v>
      </c>
      <c r="G80" s="5">
        <f>4+55/60</f>
        <v>4.916666666666667</v>
      </c>
      <c r="H80" s="5"/>
    </row>
    <row r="81" spans="1:8">
      <c r="A81" s="5">
        <v>400</v>
      </c>
      <c r="B81" s="5">
        <f>8+14/60</f>
        <v>8.2333333333333325</v>
      </c>
      <c r="C81" s="5"/>
      <c r="D81" s="5"/>
      <c r="E81" s="5"/>
      <c r="F81" s="5"/>
      <c r="G81" s="5"/>
      <c r="H81" s="5"/>
    </row>
    <row r="83" spans="1:8">
      <c r="B83" t="s">
        <v>100</v>
      </c>
    </row>
    <row r="84" spans="1:8">
      <c r="B84" t="s">
        <v>101</v>
      </c>
    </row>
    <row r="85" spans="1:8">
      <c r="B85" t="s">
        <v>103</v>
      </c>
    </row>
    <row r="86" spans="1:8">
      <c r="B86" t="s">
        <v>102</v>
      </c>
    </row>
    <row r="102" spans="1:8">
      <c r="A102" t="s">
        <v>106</v>
      </c>
    </row>
    <row r="103" spans="1:8" ht="45">
      <c r="A103" s="2"/>
      <c r="B103" s="15" t="s">
        <v>107</v>
      </c>
      <c r="C103" s="15" t="s">
        <v>108</v>
      </c>
      <c r="D103" s="15" t="s">
        <v>109</v>
      </c>
      <c r="E103" s="15" t="s">
        <v>109</v>
      </c>
      <c r="F103" s="15" t="s">
        <v>110</v>
      </c>
      <c r="G103" s="15" t="s">
        <v>110</v>
      </c>
      <c r="H103" s="15" t="s">
        <v>23</v>
      </c>
    </row>
    <row r="104" spans="1:8">
      <c r="A104" s="5">
        <v>50</v>
      </c>
      <c r="B104" s="5">
        <v>5</v>
      </c>
      <c r="C104" s="5">
        <f>46/60</f>
        <v>0.76666666666666672</v>
      </c>
      <c r="D104" s="5">
        <f>48/60</f>
        <v>0.8</v>
      </c>
      <c r="E104" s="5">
        <f>56/60</f>
        <v>0.93333333333333335</v>
      </c>
      <c r="F104" s="5">
        <f>31/60</f>
        <v>0.51666666666666672</v>
      </c>
      <c r="G104" s="5">
        <f>34/60</f>
        <v>0.56666666666666665</v>
      </c>
      <c r="H104" s="5">
        <f>39/60</f>
        <v>0.65</v>
      </c>
    </row>
    <row r="105" spans="1:8">
      <c r="A105" s="5">
        <v>100</v>
      </c>
      <c r="B105" s="5">
        <v>12</v>
      </c>
      <c r="C105" s="5">
        <f>1+51/60</f>
        <v>1.85</v>
      </c>
      <c r="D105" s="5">
        <f>1+45/60</f>
        <v>1.75</v>
      </c>
      <c r="E105" s="5">
        <f>1+42/60</f>
        <v>1.7</v>
      </c>
      <c r="F105" s="5">
        <f>1+10/60</f>
        <v>1.1666666666666667</v>
      </c>
      <c r="G105" s="5">
        <f>1+22/60</f>
        <v>1.3666666666666667</v>
      </c>
      <c r="H105" s="5">
        <f>1+23/60</f>
        <v>1.3833333333333333</v>
      </c>
    </row>
    <row r="106" spans="1:8">
      <c r="A106" s="5">
        <v>150</v>
      </c>
      <c r="B106" s="5">
        <v>17</v>
      </c>
      <c r="C106" s="5">
        <f>2+51/60</f>
        <v>2.85</v>
      </c>
      <c r="D106" s="5">
        <f>2+48/60</f>
        <v>2.8</v>
      </c>
      <c r="E106" s="5">
        <f>2+42/60</f>
        <v>2.7</v>
      </c>
      <c r="F106" s="5">
        <f>1+58/60</f>
        <v>1.9666666666666668</v>
      </c>
      <c r="G106" s="5">
        <f>2+9/60</f>
        <v>2.15</v>
      </c>
      <c r="H106" s="5">
        <f>2+17/60</f>
        <v>2.2833333333333332</v>
      </c>
    </row>
    <row r="107" spans="1:8">
      <c r="A107" s="5">
        <v>200</v>
      </c>
      <c r="B107" s="5"/>
      <c r="C107" s="5">
        <f>4+8/60</f>
        <v>4.1333333333333337</v>
      </c>
      <c r="D107" s="5">
        <f>4+1/60</f>
        <v>4.0166666666666666</v>
      </c>
      <c r="E107" s="5">
        <f>3+55/60</f>
        <v>3.9166666666666665</v>
      </c>
      <c r="F107" s="5">
        <v>3</v>
      </c>
      <c r="G107" s="5">
        <f>3+8/60</f>
        <v>3.1333333333333333</v>
      </c>
      <c r="H107" s="5">
        <f>3+17/60</f>
        <v>3.2833333333333332</v>
      </c>
    </row>
    <row r="108" spans="1:8">
      <c r="A108" s="5">
        <v>250</v>
      </c>
      <c r="B108" s="5"/>
      <c r="C108" s="5">
        <f>5+34/60</f>
        <v>5.5666666666666664</v>
      </c>
      <c r="D108" s="5">
        <f>5+23/60</f>
        <v>5.3833333333333337</v>
      </c>
      <c r="E108" s="5"/>
      <c r="F108" s="5">
        <f>3+40/60</f>
        <v>3.6666666666666665</v>
      </c>
      <c r="G108" s="5">
        <f>4+12/60</f>
        <v>4.2</v>
      </c>
      <c r="H108" s="5">
        <f>4+26/60</f>
        <v>4.4333333333333336</v>
      </c>
    </row>
    <row r="109" spans="1:8">
      <c r="A109" s="5">
        <v>270</v>
      </c>
      <c r="B109" s="5"/>
      <c r="C109" s="5"/>
      <c r="D109" s="5"/>
      <c r="E109" s="5">
        <v>5.9</v>
      </c>
      <c r="F109" s="14"/>
      <c r="G109" s="5"/>
      <c r="H109" s="5"/>
    </row>
    <row r="110" spans="1:8">
      <c r="A110" s="5">
        <v>300</v>
      </c>
      <c r="B110" s="5"/>
      <c r="C110" s="5">
        <f>7+16/60</f>
        <v>7.2666666666666666</v>
      </c>
      <c r="D110" s="5">
        <f>7+6/60</f>
        <v>7.1</v>
      </c>
      <c r="E110" s="5">
        <f>6+41/60</f>
        <v>6.6833333333333336</v>
      </c>
      <c r="F110" s="5">
        <f>4+40/60</f>
        <v>4.666666666666667</v>
      </c>
      <c r="G110" s="5">
        <f>5+29/60</f>
        <v>5.4833333333333334</v>
      </c>
      <c r="H110" s="5">
        <f>5+46/60</f>
        <v>5.7666666666666666</v>
      </c>
    </row>
    <row r="111" spans="1:8">
      <c r="A111" s="5">
        <v>350</v>
      </c>
      <c r="B111" s="5"/>
      <c r="C111" s="5">
        <v>9</v>
      </c>
      <c r="D111" s="5">
        <f>9+22/60</f>
        <v>9.3666666666666671</v>
      </c>
      <c r="E111" s="5">
        <f>8+26/60</f>
        <v>8.4333333333333336</v>
      </c>
      <c r="F111" s="5">
        <f>5+47/60</f>
        <v>5.7833333333333332</v>
      </c>
      <c r="G111" s="5">
        <f>6+46/60</f>
        <v>6.7666666666666666</v>
      </c>
      <c r="H111" s="5"/>
    </row>
    <row r="112" spans="1:8">
      <c r="A112" s="5">
        <v>400</v>
      </c>
      <c r="B112" s="5"/>
      <c r="C112" s="5">
        <v>11</v>
      </c>
      <c r="D112" s="5">
        <f>10+27/60</f>
        <v>10.45</v>
      </c>
      <c r="E112" s="5">
        <f>10+13/60</f>
        <v>10.216666666666667</v>
      </c>
      <c r="F112" s="5">
        <f>7+5/60</f>
        <v>7.083333333333333</v>
      </c>
      <c r="G112" s="5">
        <f>8+10/60</f>
        <v>8.1666666666666661</v>
      </c>
      <c r="H112" s="5"/>
    </row>
    <row r="113" spans="1:8">
      <c r="A113" s="13">
        <v>450</v>
      </c>
      <c r="B113" s="5"/>
      <c r="C113" s="5">
        <f>13+18/60</f>
        <v>13.3</v>
      </c>
      <c r="D113" s="5">
        <f>12+33/60</f>
        <v>12.55</v>
      </c>
      <c r="E113" s="5">
        <f>12+25/60</f>
        <v>12.416666666666666</v>
      </c>
      <c r="F113" s="5">
        <f>8+33/60</f>
        <v>8.5500000000000007</v>
      </c>
      <c r="G113" s="5">
        <f>9+55/60</f>
        <v>9.9166666666666661</v>
      </c>
      <c r="H113" s="5"/>
    </row>
    <row r="114" spans="1:8">
      <c r="A114" s="13">
        <v>500</v>
      </c>
      <c r="B114" s="5"/>
      <c r="C114" s="5">
        <f>16+4/60</f>
        <v>16.066666666666666</v>
      </c>
      <c r="D114" s="5">
        <v>15</v>
      </c>
      <c r="E114" s="5">
        <f>14+47/60</f>
        <v>14.783333333333333</v>
      </c>
      <c r="F114" s="5">
        <f>9+58/60</f>
        <v>9.9666666666666668</v>
      </c>
      <c r="G114" s="5">
        <f>11+46/60</f>
        <v>11.766666666666667</v>
      </c>
      <c r="H114" s="5">
        <f>12+18/60</f>
        <v>12.3</v>
      </c>
    </row>
  </sheetData>
  <phoneticPr fontId="3" type="noConversion"/>
  <pageMargins left="0.75" right="0.75" top="1" bottom="1" header="0.5" footer="0.5"/>
  <pageSetup scale="66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9"/>
  <sheetViews>
    <sheetView topLeftCell="A7" workbookViewId="0">
      <selection activeCell="B38" sqref="B38"/>
    </sheetView>
  </sheetViews>
  <sheetFormatPr baseColWidth="10" defaultRowHeight="15" x14ac:dyDescent="0"/>
  <cols>
    <col min="1" max="1" width="26" customWidth="1"/>
    <col min="2" max="2" width="22.33203125" customWidth="1"/>
    <col min="3" max="3" width="23.33203125" customWidth="1"/>
    <col min="4" max="4" width="19.33203125" customWidth="1"/>
    <col min="7" max="7" width="43.6640625" customWidth="1"/>
  </cols>
  <sheetData>
    <row r="1" spans="1:7">
      <c r="A1" t="s">
        <v>6</v>
      </c>
    </row>
    <row r="2" spans="1:7">
      <c r="A2" t="s">
        <v>5</v>
      </c>
    </row>
    <row r="3" spans="1:7">
      <c r="A3" s="4">
        <v>41450</v>
      </c>
    </row>
    <row r="5" spans="1:7">
      <c r="A5" t="s">
        <v>7</v>
      </c>
      <c r="B5" t="s">
        <v>10</v>
      </c>
      <c r="C5" t="s">
        <v>17</v>
      </c>
      <c r="D5" t="s">
        <v>18</v>
      </c>
      <c r="E5" t="s">
        <v>11</v>
      </c>
      <c r="F5" t="s">
        <v>12</v>
      </c>
      <c r="G5" t="s">
        <v>14</v>
      </c>
    </row>
    <row r="6" spans="1:7">
      <c r="A6" s="2" t="s">
        <v>8</v>
      </c>
      <c r="B6" s="2">
        <f>12.176-11.722</f>
        <v>0.45400000000000063</v>
      </c>
      <c r="C6" s="2"/>
      <c r="D6" s="2"/>
      <c r="E6" s="2">
        <v>60</v>
      </c>
      <c r="F6" s="2">
        <v>48.6</v>
      </c>
      <c r="G6" s="2" t="s">
        <v>16</v>
      </c>
    </row>
    <row r="7" spans="1:7">
      <c r="A7" s="2" t="s">
        <v>8</v>
      </c>
      <c r="B7" s="2">
        <f>11.802-11.728</f>
        <v>7.3999999999999844E-2</v>
      </c>
      <c r="C7" s="2">
        <f>59.541-59.105</f>
        <v>0.43599999999999994</v>
      </c>
      <c r="D7" s="2">
        <v>1.236</v>
      </c>
      <c r="E7" s="2">
        <v>60</v>
      </c>
      <c r="F7" s="2">
        <v>48.6</v>
      </c>
      <c r="G7" s="2"/>
    </row>
    <row r="8" spans="1:7">
      <c r="A8" s="2" t="s">
        <v>8</v>
      </c>
      <c r="B8" s="2">
        <f>12.037-11.926</f>
        <v>0.11100000000000065</v>
      </c>
      <c r="C8" s="2">
        <f>59.604-59.27</f>
        <v>0.33399999999999608</v>
      </c>
      <c r="D8" s="2">
        <v>0.45600000000000002</v>
      </c>
      <c r="E8" s="2">
        <v>60.5</v>
      </c>
      <c r="F8" s="2">
        <v>50.8</v>
      </c>
      <c r="G8" s="2"/>
    </row>
    <row r="9" spans="1:7">
      <c r="A9" s="2" t="s">
        <v>13</v>
      </c>
      <c r="B9" s="2">
        <f>12.058-11.922</f>
        <v>0.13599999999999923</v>
      </c>
      <c r="C9" s="2">
        <f>59.694-59.359</f>
        <v>0.33500000000000085</v>
      </c>
      <c r="D9" s="2">
        <v>0.61499999999999999</v>
      </c>
      <c r="E9" s="2">
        <v>59.2</v>
      </c>
      <c r="F9" s="2">
        <v>49.6</v>
      </c>
      <c r="G9" s="2" t="s">
        <v>15</v>
      </c>
    </row>
    <row r="10" spans="1:7">
      <c r="A10" s="2" t="s">
        <v>8</v>
      </c>
      <c r="B10" s="2">
        <f>12.069-11.914</f>
        <v>0.15500000000000114</v>
      </c>
      <c r="C10" s="2"/>
      <c r="D10" s="2"/>
      <c r="E10" s="2">
        <v>60</v>
      </c>
      <c r="F10" s="2"/>
      <c r="G10" s="2" t="s">
        <v>15</v>
      </c>
    </row>
    <row r="11" spans="1:7">
      <c r="A11" s="3" t="s">
        <v>8</v>
      </c>
      <c r="B11" s="3">
        <f>11.963-11.902</f>
        <v>6.0999999999999943E-2</v>
      </c>
      <c r="C11" s="2"/>
      <c r="D11" s="2"/>
      <c r="E11" s="2">
        <v>60.2</v>
      </c>
      <c r="F11" s="2">
        <v>50.4</v>
      </c>
      <c r="G11" s="2"/>
    </row>
    <row r="12" spans="1:7">
      <c r="A12" s="3" t="s">
        <v>9</v>
      </c>
      <c r="B12" s="3">
        <f>11.957-11.89</f>
        <v>6.7000000000000171E-2</v>
      </c>
      <c r="C12" s="2"/>
      <c r="D12" s="2"/>
      <c r="E12" s="2">
        <v>60.2</v>
      </c>
      <c r="F12" s="2">
        <v>0.09</v>
      </c>
      <c r="G12" s="2"/>
    </row>
    <row r="14" spans="1:7">
      <c r="B14">
        <f>AVERAGE(B7:B10)</f>
        <v>0.11900000000000022</v>
      </c>
    </row>
    <row r="16" spans="1:7">
      <c r="A16" t="s">
        <v>32</v>
      </c>
    </row>
    <row r="17" spans="2:4">
      <c r="B17" t="s">
        <v>8</v>
      </c>
      <c r="C17" t="s">
        <v>30</v>
      </c>
      <c r="D17" t="s">
        <v>31</v>
      </c>
    </row>
    <row r="18" spans="2:4">
      <c r="B18">
        <v>0.14599999999999999</v>
      </c>
      <c r="C18">
        <v>6.8000000000000005E-2</v>
      </c>
      <c r="D18">
        <v>7.5999999999999998E-2</v>
      </c>
    </row>
    <row r="19" spans="2:4">
      <c r="B19">
        <v>0.18</v>
      </c>
      <c r="C19">
        <v>6.5000000000000002E-2</v>
      </c>
    </row>
    <row r="20" spans="2:4">
      <c r="B20">
        <v>7.9000000000000001E-2</v>
      </c>
    </row>
    <row r="21" spans="2:4">
      <c r="B21">
        <v>0.14699999999999999</v>
      </c>
    </row>
    <row r="22" spans="2:4">
      <c r="B22">
        <v>9.9000000000000005E-2</v>
      </c>
    </row>
    <row r="23" spans="2:4">
      <c r="B23">
        <v>0.14899999999999999</v>
      </c>
    </row>
    <row r="24" spans="2:4">
      <c r="B24">
        <v>0.14899999999999999</v>
      </c>
    </row>
    <row r="25" spans="2:4">
      <c r="B25">
        <f>11.96-11.633</f>
        <v>0.32700000000000173</v>
      </c>
    </row>
    <row r="27" spans="2:4">
      <c r="B27">
        <f>AVERAGE(B18:B24)</f>
        <v>0.13557142857142856</v>
      </c>
      <c r="C27">
        <f>AVERAGE(C18:C24)</f>
        <v>6.6500000000000004E-2</v>
      </c>
    </row>
    <row r="36" spans="1:4">
      <c r="A36" s="2"/>
      <c r="B36" s="7" t="s">
        <v>36</v>
      </c>
      <c r="C36" s="7" t="s">
        <v>35</v>
      </c>
      <c r="D36" s="7" t="s">
        <v>34</v>
      </c>
    </row>
    <row r="37" spans="1:4">
      <c r="A37" s="2" t="s">
        <v>8</v>
      </c>
      <c r="B37" s="2" t="s">
        <v>33</v>
      </c>
      <c r="C37" s="7" t="s">
        <v>29</v>
      </c>
      <c r="D37" s="7" t="s">
        <v>40</v>
      </c>
    </row>
    <row r="38" spans="1:4">
      <c r="A38" s="2" t="s">
        <v>26</v>
      </c>
      <c r="B38" s="7">
        <v>6.7000000000000004E-2</v>
      </c>
      <c r="C38" s="7">
        <v>6.7000000000000004E-2</v>
      </c>
      <c r="D38" s="7">
        <v>5.3999999999999999E-2</v>
      </c>
    </row>
    <row r="39" spans="1:4">
      <c r="A39" s="2" t="s">
        <v>27</v>
      </c>
      <c r="B39" s="7">
        <v>7.5999999999999998E-2</v>
      </c>
      <c r="C39" s="7" t="s">
        <v>28</v>
      </c>
      <c r="D39" s="7" t="s">
        <v>28</v>
      </c>
    </row>
  </sheetData>
  <phoneticPr fontId="3" type="noConversion"/>
  <pageMargins left="0.75" right="0.75" top="1" bottom="1" header="0.5" footer="0.5"/>
  <pageSetup scale="8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56"/>
  <sheetViews>
    <sheetView tabSelected="1" topLeftCell="J1" workbookViewId="0">
      <selection activeCell="M32" sqref="M32"/>
    </sheetView>
  </sheetViews>
  <sheetFormatPr baseColWidth="10" defaultRowHeight="15" x14ac:dyDescent="0"/>
  <cols>
    <col min="1" max="1" width="26.6640625" customWidth="1"/>
    <col min="2" max="2" width="19" customWidth="1"/>
    <col min="3" max="3" width="13.1640625" customWidth="1"/>
    <col min="12" max="12" width="34.6640625" customWidth="1"/>
    <col min="13" max="13" width="15.5" customWidth="1"/>
  </cols>
  <sheetData>
    <row r="1" spans="1:22">
      <c r="A1" t="s">
        <v>70</v>
      </c>
    </row>
    <row r="2" spans="1:22">
      <c r="A2" t="s">
        <v>79</v>
      </c>
      <c r="B2" t="s">
        <v>80</v>
      </c>
      <c r="C2">
        <f>1/32</f>
        <v>3.125E-2</v>
      </c>
      <c r="D2" t="s">
        <v>78</v>
      </c>
    </row>
    <row r="3" spans="1:22">
      <c r="A3" s="2"/>
      <c r="B3" s="2" t="s">
        <v>53</v>
      </c>
      <c r="C3" s="2" t="s">
        <v>54</v>
      </c>
      <c r="D3" s="2" t="s">
        <v>47</v>
      </c>
      <c r="F3" t="s">
        <v>59</v>
      </c>
    </row>
    <row r="4" spans="1:22">
      <c r="A4" s="2" t="s">
        <v>48</v>
      </c>
      <c r="B4" s="2">
        <v>5</v>
      </c>
      <c r="C4" s="2">
        <f>3.1416*$C$2^2*B4</f>
        <v>1.533984375E-2</v>
      </c>
      <c r="D4" s="2">
        <f>C4*25.4^3/1000</f>
        <v>0.25137500128124995</v>
      </c>
      <c r="F4" t="s">
        <v>60</v>
      </c>
    </row>
    <row r="5" spans="1:22">
      <c r="A5" s="2" t="s">
        <v>49</v>
      </c>
      <c r="B5" s="2">
        <v>10</v>
      </c>
      <c r="C5" s="2">
        <f t="shared" ref="C5:C9" si="0">3.1416*$C$2^2*B5</f>
        <v>3.06796875E-2</v>
      </c>
      <c r="D5" s="2">
        <f>C5*25.4^3/1000</f>
        <v>0.50275000256249991</v>
      </c>
    </row>
    <row r="6" spans="1:22">
      <c r="A6" s="2" t="s">
        <v>52</v>
      </c>
      <c r="B6" s="2">
        <v>15.5</v>
      </c>
      <c r="C6" s="2">
        <f t="shared" si="0"/>
        <v>4.7553515625000001E-2</v>
      </c>
      <c r="D6" s="2">
        <f t="shared" ref="D6:D9" si="1">C6*25.4^3/1000</f>
        <v>0.77926250397187491</v>
      </c>
    </row>
    <row r="7" spans="1:22">
      <c r="A7" s="2" t="s">
        <v>50</v>
      </c>
      <c r="B7" s="2">
        <v>20</v>
      </c>
      <c r="C7" s="2">
        <f t="shared" si="0"/>
        <v>6.1359375000000001E-2</v>
      </c>
      <c r="D7" s="2">
        <f t="shared" si="1"/>
        <v>1.0055000051249998</v>
      </c>
    </row>
    <row r="8" spans="1:22">
      <c r="A8" s="2" t="s">
        <v>51</v>
      </c>
      <c r="B8" s="2">
        <v>30</v>
      </c>
      <c r="C8" s="2">
        <f t="shared" si="0"/>
        <v>9.2039062500000005E-2</v>
      </c>
      <c r="D8" s="2">
        <f t="shared" si="1"/>
        <v>1.5082500076874998</v>
      </c>
    </row>
    <row r="9" spans="1:22">
      <c r="A9" s="9" t="s">
        <v>77</v>
      </c>
      <c r="B9" s="2">
        <f>2+3/8</f>
        <v>2.375</v>
      </c>
      <c r="C9" s="2">
        <f t="shared" si="0"/>
        <v>7.2864257812499996E-3</v>
      </c>
      <c r="D9" s="2">
        <f t="shared" si="1"/>
        <v>0.11940312560859373</v>
      </c>
    </row>
    <row r="10" spans="1:22">
      <c r="A10" s="9" t="s">
        <v>104</v>
      </c>
      <c r="B10" s="9">
        <v>71</v>
      </c>
      <c r="C10" s="2">
        <f t="shared" ref="C10" si="2">3.1416*$C$2^2*B10</f>
        <v>0.21782578124999999</v>
      </c>
      <c r="D10" s="2">
        <f t="shared" ref="D10" si="3">C10*25.4^3/1000</f>
        <v>3.5695250181937497</v>
      </c>
    </row>
    <row r="12" spans="1:22">
      <c r="A12" s="2" t="s">
        <v>87</v>
      </c>
      <c r="B12" s="2"/>
      <c r="C12" s="7" t="s">
        <v>82</v>
      </c>
      <c r="D12" s="7" t="s">
        <v>41</v>
      </c>
      <c r="E12" s="7" t="s">
        <v>41</v>
      </c>
      <c r="F12" s="7" t="s">
        <v>41</v>
      </c>
      <c r="G12" s="7" t="s">
        <v>71</v>
      </c>
      <c r="H12" s="7" t="s">
        <v>46</v>
      </c>
      <c r="I12" s="7" t="s">
        <v>83</v>
      </c>
      <c r="J12" s="10" t="s">
        <v>81</v>
      </c>
      <c r="L12" s="2" t="s">
        <v>105</v>
      </c>
      <c r="M12" s="2"/>
      <c r="N12" s="7" t="s">
        <v>82</v>
      </c>
      <c r="O12" s="7" t="s">
        <v>41</v>
      </c>
      <c r="P12" s="7" t="s">
        <v>41</v>
      </c>
      <c r="Q12" s="7" t="s">
        <v>41</v>
      </c>
      <c r="R12" s="7" t="s">
        <v>94</v>
      </c>
      <c r="S12" s="7" t="s">
        <v>71</v>
      </c>
      <c r="T12" s="7" t="s">
        <v>46</v>
      </c>
      <c r="U12" s="7" t="s">
        <v>83</v>
      </c>
      <c r="V12" s="10" t="s">
        <v>81</v>
      </c>
    </row>
    <row r="13" spans="1:22">
      <c r="A13" s="2" t="s">
        <v>42</v>
      </c>
      <c r="B13" s="2" t="s">
        <v>73</v>
      </c>
      <c r="C13" s="7" t="s">
        <v>83</v>
      </c>
      <c r="D13" s="7" t="s">
        <v>44</v>
      </c>
      <c r="E13" s="7" t="s">
        <v>72</v>
      </c>
      <c r="F13" s="7" t="s">
        <v>43</v>
      </c>
      <c r="G13" s="7" t="s">
        <v>45</v>
      </c>
      <c r="H13" s="7" t="s">
        <v>47</v>
      </c>
      <c r="I13" s="7" t="s">
        <v>56</v>
      </c>
      <c r="J13" s="2" t="s">
        <v>84</v>
      </c>
      <c r="L13" s="2" t="s">
        <v>88</v>
      </c>
      <c r="M13" s="2" t="s">
        <v>73</v>
      </c>
      <c r="N13" s="7" t="s">
        <v>83</v>
      </c>
      <c r="O13" s="7" t="s">
        <v>44</v>
      </c>
      <c r="P13" s="7" t="s">
        <v>72</v>
      </c>
      <c r="Q13" s="7" t="s">
        <v>43</v>
      </c>
      <c r="R13" s="7" t="s">
        <v>95</v>
      </c>
      <c r="S13" s="7" t="s">
        <v>45</v>
      </c>
      <c r="T13" s="7" t="s">
        <v>47</v>
      </c>
      <c r="U13" s="7" t="s">
        <v>56</v>
      </c>
      <c r="V13" s="2" t="s">
        <v>84</v>
      </c>
    </row>
    <row r="14" spans="1:22">
      <c r="A14" s="2" t="s">
        <v>48</v>
      </c>
      <c r="B14" s="2" t="s">
        <v>74</v>
      </c>
      <c r="C14" s="11">
        <f>D4</f>
        <v>0.25137500128124995</v>
      </c>
      <c r="D14" s="7">
        <v>11.731999999999999</v>
      </c>
      <c r="E14" s="7">
        <v>11.903</v>
      </c>
      <c r="F14" s="7">
        <f t="shared" ref="F14:F20" si="4">E14-D14</f>
        <v>0.17100000000000115</v>
      </c>
      <c r="G14" s="7">
        <v>60.5</v>
      </c>
      <c r="H14" s="7"/>
      <c r="I14" s="11">
        <f t="shared" ref="I14:I21" si="5">(C14*(G14+14.7))/14.7</f>
        <v>1.2859455847857142</v>
      </c>
      <c r="J14" s="11">
        <f t="shared" ref="J14:J21" si="6">I14-C14</f>
        <v>1.0345705835044643</v>
      </c>
      <c r="L14" s="2" t="s">
        <v>89</v>
      </c>
      <c r="M14" s="2" t="s">
        <v>75</v>
      </c>
      <c r="N14" s="11">
        <f>D10</f>
        <v>3.5695250181937497</v>
      </c>
      <c r="O14" s="7">
        <v>16.783999999999999</v>
      </c>
      <c r="P14" s="7">
        <v>16.856000000000002</v>
      </c>
      <c r="Q14" s="7">
        <f t="shared" ref="Q14:Q19" si="7">P14-O14</f>
        <v>7.2000000000002728E-2</v>
      </c>
      <c r="R14" s="7">
        <f>AVERAGE(Q14:Q15)</f>
        <v>7.5500000000001677E-2</v>
      </c>
      <c r="S14" s="7">
        <v>61.8</v>
      </c>
      <c r="T14" s="7"/>
      <c r="U14" s="11">
        <f t="shared" ref="U14:U21" si="8">(N14*(S14+14.7))/14.7</f>
        <v>18.576099584477678</v>
      </c>
      <c r="V14" s="11">
        <f t="shared" ref="V14:V21" si="9">U14-N14</f>
        <v>15.006574566283929</v>
      </c>
    </row>
    <row r="15" spans="1:22">
      <c r="A15" s="2" t="s">
        <v>58</v>
      </c>
      <c r="B15" s="2" t="s">
        <v>74</v>
      </c>
      <c r="C15" s="11">
        <f>D5</f>
        <v>0.50275000256249991</v>
      </c>
      <c r="D15" s="7">
        <v>11.938000000000001</v>
      </c>
      <c r="E15" s="7">
        <v>12.101000000000001</v>
      </c>
      <c r="F15" s="7">
        <f t="shared" si="4"/>
        <v>0.16300000000000026</v>
      </c>
      <c r="G15" s="7">
        <v>60.9</v>
      </c>
      <c r="H15" s="7"/>
      <c r="I15" s="11">
        <f t="shared" si="5"/>
        <v>2.5855714417499995</v>
      </c>
      <c r="J15" s="11">
        <f t="shared" si="6"/>
        <v>2.0828214391874997</v>
      </c>
      <c r="L15" s="2" t="s">
        <v>89</v>
      </c>
      <c r="M15" s="2" t="s">
        <v>75</v>
      </c>
      <c r="N15" s="11">
        <f>D10</f>
        <v>3.5695250181937497</v>
      </c>
      <c r="O15" s="7">
        <v>16.780999999999999</v>
      </c>
      <c r="P15" s="7">
        <v>16.86</v>
      </c>
      <c r="Q15" s="7">
        <f t="shared" si="7"/>
        <v>7.9000000000000625E-2</v>
      </c>
      <c r="R15" s="7"/>
      <c r="S15" s="7">
        <v>61</v>
      </c>
      <c r="T15" s="7"/>
      <c r="U15" s="11">
        <f t="shared" si="8"/>
        <v>18.381839719541961</v>
      </c>
      <c r="V15" s="11">
        <f t="shared" si="9"/>
        <v>14.812314701348212</v>
      </c>
    </row>
    <row r="16" spans="1:22">
      <c r="A16" s="2" t="s">
        <v>57</v>
      </c>
      <c r="B16" s="2" t="s">
        <v>74</v>
      </c>
      <c r="C16" s="11">
        <f>D6</f>
        <v>0.77926250397187491</v>
      </c>
      <c r="D16" s="7">
        <v>11.932</v>
      </c>
      <c r="E16" s="7">
        <v>12.054</v>
      </c>
      <c r="F16" s="7">
        <f t="shared" si="4"/>
        <v>0.12199999999999989</v>
      </c>
      <c r="G16" s="7">
        <v>60.6</v>
      </c>
      <c r="H16" s="7">
        <v>0.7</v>
      </c>
      <c r="I16" s="11">
        <f t="shared" si="5"/>
        <v>3.9917324183049105</v>
      </c>
      <c r="J16" s="11">
        <f t="shared" si="6"/>
        <v>3.2124699143330355</v>
      </c>
      <c r="L16" s="2" t="s">
        <v>90</v>
      </c>
      <c r="M16" s="2" t="s">
        <v>75</v>
      </c>
      <c r="N16" s="11">
        <f>D7</f>
        <v>1.0055000051249998</v>
      </c>
      <c r="O16" s="7">
        <v>16.777999999999999</v>
      </c>
      <c r="P16" s="7">
        <v>16.91</v>
      </c>
      <c r="Q16" s="7">
        <f t="shared" si="7"/>
        <v>0.13200000000000145</v>
      </c>
      <c r="R16" s="7">
        <f>AVERAGE(Q16:Q17)</f>
        <v>0.12400000000000055</v>
      </c>
      <c r="S16" s="7">
        <v>60.4</v>
      </c>
      <c r="T16" s="7"/>
      <c r="U16" s="11">
        <f t="shared" si="8"/>
        <v>5.1369422030535699</v>
      </c>
      <c r="V16" s="11">
        <f t="shared" si="9"/>
        <v>4.1314421979285703</v>
      </c>
    </row>
    <row r="17" spans="1:22">
      <c r="A17" s="2" t="s">
        <v>50</v>
      </c>
      <c r="B17" s="2" t="s">
        <v>74</v>
      </c>
      <c r="C17" s="11">
        <f>D7</f>
        <v>1.0055000051249998</v>
      </c>
      <c r="D17" s="7">
        <v>11.922000000000001</v>
      </c>
      <c r="E17" s="7">
        <v>12.021000000000001</v>
      </c>
      <c r="F17" s="7">
        <f t="shared" si="4"/>
        <v>9.9000000000000199E-2</v>
      </c>
      <c r="G17" s="7">
        <v>60.4</v>
      </c>
      <c r="H17" s="7">
        <v>0.76</v>
      </c>
      <c r="I17" s="11">
        <f t="shared" si="5"/>
        <v>5.1369422030535699</v>
      </c>
      <c r="J17" s="11">
        <f t="shared" si="6"/>
        <v>4.1314421979285703</v>
      </c>
      <c r="L17" s="2" t="s">
        <v>90</v>
      </c>
      <c r="M17" s="2" t="s">
        <v>91</v>
      </c>
      <c r="N17" s="11">
        <f>D7</f>
        <v>1.0055000051249998</v>
      </c>
      <c r="O17" s="7">
        <v>16.783000000000001</v>
      </c>
      <c r="P17" s="7">
        <v>16.899000000000001</v>
      </c>
      <c r="Q17" s="7">
        <f t="shared" si="7"/>
        <v>0.11599999999999966</v>
      </c>
      <c r="R17" s="7"/>
      <c r="S17" s="7">
        <v>60.6</v>
      </c>
      <c r="T17" s="7"/>
      <c r="U17" s="11">
        <f t="shared" si="8"/>
        <v>5.1506224752321428</v>
      </c>
      <c r="V17" s="11">
        <f t="shared" si="9"/>
        <v>4.1451224701071432</v>
      </c>
    </row>
    <row r="18" spans="1:22">
      <c r="A18" s="2" t="s">
        <v>55</v>
      </c>
      <c r="B18" s="2" t="s">
        <v>74</v>
      </c>
      <c r="C18" s="11">
        <f>D8</f>
        <v>1.5082500076874998</v>
      </c>
      <c r="D18" s="7">
        <v>11.923999999999999</v>
      </c>
      <c r="E18" s="7">
        <v>12.061</v>
      </c>
      <c r="F18" s="7">
        <f t="shared" si="4"/>
        <v>0.13700000000000045</v>
      </c>
      <c r="G18" s="7">
        <v>60.4</v>
      </c>
      <c r="H18" s="7">
        <v>0.75</v>
      </c>
      <c r="I18" s="11">
        <f t="shared" si="5"/>
        <v>7.7054133045803557</v>
      </c>
      <c r="J18" s="11">
        <f t="shared" si="6"/>
        <v>6.1971632968928558</v>
      </c>
      <c r="L18" s="8" t="s">
        <v>65</v>
      </c>
      <c r="M18" s="2" t="s">
        <v>92</v>
      </c>
      <c r="N18" s="11">
        <f>O8</f>
        <v>0</v>
      </c>
      <c r="O18" s="7">
        <v>16.785</v>
      </c>
      <c r="P18" s="7">
        <v>16.844999999999999</v>
      </c>
      <c r="Q18" s="7">
        <f t="shared" si="7"/>
        <v>5.9999999999998721E-2</v>
      </c>
      <c r="R18" s="7">
        <f>AVERAGE(Q18:Q19)</f>
        <v>5.7999999999999829E-2</v>
      </c>
      <c r="S18" s="7"/>
      <c r="T18" s="7"/>
      <c r="U18" s="11">
        <f t="shared" si="8"/>
        <v>0</v>
      </c>
      <c r="V18" s="11">
        <f t="shared" si="9"/>
        <v>0</v>
      </c>
    </row>
    <row r="19" spans="1:22">
      <c r="A19" s="2" t="s">
        <v>63</v>
      </c>
      <c r="B19" s="2" t="s">
        <v>75</v>
      </c>
      <c r="C19" s="11">
        <f>D8+D7</f>
        <v>2.5137500128124994</v>
      </c>
      <c r="D19" s="7">
        <v>11.686999999999999</v>
      </c>
      <c r="E19" s="7">
        <v>11.798</v>
      </c>
      <c r="F19" s="7">
        <f t="shared" si="4"/>
        <v>0.11100000000000065</v>
      </c>
      <c r="G19" s="7">
        <v>60.4</v>
      </c>
      <c r="H19" s="7"/>
      <c r="I19" s="11">
        <f t="shared" si="5"/>
        <v>12.842355507633926</v>
      </c>
      <c r="J19" s="11">
        <f t="shared" si="6"/>
        <v>10.328605494821426</v>
      </c>
      <c r="L19" s="8" t="s">
        <v>65</v>
      </c>
      <c r="M19" s="2" t="s">
        <v>92</v>
      </c>
      <c r="N19" s="11">
        <f>O8+O7</f>
        <v>0</v>
      </c>
      <c r="O19" s="7">
        <v>16.785</v>
      </c>
      <c r="P19" s="7">
        <v>16.841000000000001</v>
      </c>
      <c r="Q19" s="7">
        <f t="shared" si="7"/>
        <v>5.6000000000000938E-2</v>
      </c>
      <c r="R19" s="7"/>
      <c r="S19" s="7"/>
      <c r="T19" s="7"/>
      <c r="U19" s="11">
        <f t="shared" si="8"/>
        <v>0</v>
      </c>
      <c r="V19" s="11">
        <f t="shared" si="9"/>
        <v>0</v>
      </c>
    </row>
    <row r="20" spans="1:22">
      <c r="A20" s="2" t="s">
        <v>64</v>
      </c>
      <c r="B20" s="2" t="s">
        <v>75</v>
      </c>
      <c r="C20" s="11">
        <f>D7+D8</f>
        <v>2.5137500128124994</v>
      </c>
      <c r="D20" s="7">
        <v>11.865</v>
      </c>
      <c r="E20" s="7">
        <v>12.003</v>
      </c>
      <c r="F20" s="7">
        <f t="shared" si="4"/>
        <v>0.1379999999999999</v>
      </c>
      <c r="G20" s="7">
        <v>61.4</v>
      </c>
      <c r="H20" s="7"/>
      <c r="I20" s="11">
        <f t="shared" si="5"/>
        <v>13.013358909866069</v>
      </c>
      <c r="J20" s="11">
        <f t="shared" si="6"/>
        <v>10.499608897053569</v>
      </c>
      <c r="L20" s="2" t="s">
        <v>93</v>
      </c>
      <c r="M20" s="2" t="s">
        <v>74</v>
      </c>
      <c r="N20" s="11">
        <f>D7</f>
        <v>1.0055000051249998</v>
      </c>
      <c r="O20" s="7">
        <v>16.783000000000001</v>
      </c>
      <c r="P20" s="7">
        <v>16.838000000000001</v>
      </c>
      <c r="Q20" s="7">
        <f>P20-O20</f>
        <v>5.4999999999999716E-2</v>
      </c>
      <c r="R20" s="7">
        <f>AVERAGE(Q20:Q21)</f>
        <v>4.2500000000000426E-2</v>
      </c>
      <c r="S20" s="7">
        <v>61.6</v>
      </c>
      <c r="T20" s="7"/>
      <c r="U20" s="11">
        <f t="shared" si="8"/>
        <v>5.2190238361249994</v>
      </c>
      <c r="V20" s="11">
        <f t="shared" si="9"/>
        <v>4.2135238309999998</v>
      </c>
    </row>
    <row r="21" spans="1:22">
      <c r="A21" s="2" t="s">
        <v>76</v>
      </c>
      <c r="B21" s="2" t="s">
        <v>75</v>
      </c>
      <c r="C21" s="11">
        <v>14</v>
      </c>
      <c r="D21" s="7"/>
      <c r="E21" s="7"/>
      <c r="F21" s="7">
        <v>6.8000000000000005E-2</v>
      </c>
      <c r="G21" s="7">
        <v>60</v>
      </c>
      <c r="H21" s="7"/>
      <c r="I21" s="11">
        <f t="shared" si="5"/>
        <v>71.142857142857139</v>
      </c>
      <c r="J21" s="11">
        <f t="shared" si="6"/>
        <v>57.142857142857139</v>
      </c>
      <c r="L21" s="2" t="s">
        <v>93</v>
      </c>
      <c r="M21" s="2" t="s">
        <v>75</v>
      </c>
      <c r="N21" s="11">
        <f>D7</f>
        <v>1.0055000051249998</v>
      </c>
      <c r="O21" s="7">
        <v>16.831</v>
      </c>
      <c r="P21" s="7">
        <v>16.861000000000001</v>
      </c>
      <c r="Q21" s="7">
        <f>P21-O21</f>
        <v>3.0000000000001137E-2</v>
      </c>
      <c r="R21" s="7"/>
      <c r="S21" s="7">
        <v>60.4</v>
      </c>
      <c r="T21" s="7"/>
      <c r="U21" s="11">
        <f t="shared" si="8"/>
        <v>5.1369422030535699</v>
      </c>
      <c r="V21" s="11">
        <f t="shared" si="9"/>
        <v>4.1314421979285703</v>
      </c>
    </row>
    <row r="22" spans="1:22">
      <c r="A22" s="8" t="s">
        <v>65</v>
      </c>
      <c r="B22" s="8" t="s">
        <v>75</v>
      </c>
      <c r="C22" s="12"/>
      <c r="D22" s="12">
        <v>11.881</v>
      </c>
      <c r="E22" s="12">
        <v>11.926</v>
      </c>
      <c r="F22" s="12">
        <f t="shared" ref="F22:F24" si="10">E22-D22</f>
        <v>4.4999999999999929E-2</v>
      </c>
      <c r="G22" s="7"/>
      <c r="H22" s="7"/>
      <c r="I22" s="7"/>
      <c r="J22" s="7"/>
      <c r="L22" s="8" t="s">
        <v>111</v>
      </c>
      <c r="M22" s="9" t="s">
        <v>112</v>
      </c>
      <c r="N22" s="2"/>
      <c r="O22" s="7">
        <v>16.809999999999999</v>
      </c>
      <c r="P22" s="7">
        <v>16.867999999999999</v>
      </c>
      <c r="Q22" s="7">
        <f>P22-O22</f>
        <v>5.7999999999999829E-2</v>
      </c>
      <c r="R22" s="2"/>
      <c r="S22" s="2"/>
      <c r="T22" s="2"/>
      <c r="U22" s="2"/>
      <c r="V22" s="2"/>
    </row>
    <row r="23" spans="1:22">
      <c r="A23" s="8" t="s">
        <v>65</v>
      </c>
      <c r="B23" s="8" t="s">
        <v>75</v>
      </c>
      <c r="C23" s="12"/>
      <c r="D23" s="12">
        <v>11.881</v>
      </c>
      <c r="E23" s="12">
        <v>11.929</v>
      </c>
      <c r="F23" s="12">
        <f t="shared" si="10"/>
        <v>4.8000000000000043E-2</v>
      </c>
      <c r="G23" s="7"/>
      <c r="H23" s="7"/>
      <c r="I23" s="7"/>
      <c r="J23" s="7"/>
      <c r="L23" s="8" t="s">
        <v>111</v>
      </c>
      <c r="M23" s="9" t="s">
        <v>112</v>
      </c>
      <c r="N23" s="2"/>
      <c r="O23" s="7">
        <v>16.82</v>
      </c>
      <c r="P23" s="7">
        <v>16.888000000000002</v>
      </c>
      <c r="Q23" s="7">
        <f>P23-O23</f>
        <v>6.8000000000001393E-2</v>
      </c>
      <c r="R23" s="2"/>
      <c r="S23" s="2"/>
      <c r="T23" s="2"/>
      <c r="U23" s="2"/>
      <c r="V23" s="2"/>
    </row>
    <row r="24" spans="1:22">
      <c r="A24" s="8" t="s">
        <v>65</v>
      </c>
      <c r="B24" s="8" t="s">
        <v>75</v>
      </c>
      <c r="C24" s="12"/>
      <c r="D24" s="12">
        <v>11.926</v>
      </c>
      <c r="E24" s="12">
        <v>11.981</v>
      </c>
      <c r="F24" s="12">
        <f t="shared" si="10"/>
        <v>5.4999999999999716E-2</v>
      </c>
      <c r="G24" s="7"/>
      <c r="H24" s="7"/>
      <c r="I24" s="7"/>
      <c r="J24" s="7"/>
    </row>
    <row r="47" spans="1:1">
      <c r="A47" t="s">
        <v>61</v>
      </c>
    </row>
    <row r="48" spans="1:1">
      <c r="A48" t="s">
        <v>85</v>
      </c>
    </row>
    <row r="49" spans="1:1">
      <c r="A49" t="s">
        <v>62</v>
      </c>
    </row>
    <row r="50" spans="1:1">
      <c r="A50" t="s">
        <v>86</v>
      </c>
    </row>
    <row r="53" spans="1:1">
      <c r="A53" t="s">
        <v>66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</sheetData>
  <sortState ref="A14:J21">
    <sortCondition ref="C14:C21"/>
  </sortState>
  <phoneticPr fontId="3" type="noConversion"/>
  <pageMargins left="0.75" right="0.75" top="1" bottom="1" header="0.5" footer="0.5"/>
  <pageSetup scale="72" orientation="landscape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Flow Rates</vt:lpstr>
      <vt:lpstr>EVAC</vt:lpstr>
      <vt:lpstr>EVAC-defined Volume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Ax Me</cp:lastModifiedBy>
  <cp:lastPrinted>2013-09-17T23:21:45Z</cp:lastPrinted>
  <dcterms:created xsi:type="dcterms:W3CDTF">2013-06-12T21:49:49Z</dcterms:created>
  <dcterms:modified xsi:type="dcterms:W3CDTF">2013-09-17T23:53:11Z</dcterms:modified>
</cp:coreProperties>
</file>