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Default Extension="png" ContentType="image/png"/>
  <Override PartName="/xl/charts/chart2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worksheets/sheet1.xml" ContentType="application/vnd.openxmlformats-officedocument.spreadsheetml.workshee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8195" windowHeight="8295" activeTab="2"/>
  </bookViews>
  <sheets>
    <sheet name="Calc-Deploy 1" sheetId="1" r:id="rId1"/>
    <sheet name="Graphs-Deploy 1" sheetId="2" r:id="rId2"/>
    <sheet name="Calc-Deploy 2" sheetId="4" r:id="rId3"/>
    <sheet name="Graphs-Deploy 2" sheetId="5" r:id="rId4"/>
    <sheet name="Calc-Deploy 3" sheetId="6" r:id="rId5"/>
    <sheet name="Graphs-Deploy 3" sheetId="7" r:id="rId6"/>
    <sheet name="Conversions" sheetId="3" r:id="rId7"/>
    <sheet name="Polar Plots" sheetId="8" r:id="rId8"/>
  </sheets>
  <calcPr calcId="125725"/>
</workbook>
</file>

<file path=xl/calcChain.xml><?xml version="1.0" encoding="utf-8"?>
<calcChain xmlns="http://schemas.openxmlformats.org/spreadsheetml/2006/main">
  <c r="AH107" i="4"/>
  <c r="AI107" s="1"/>
  <c r="AI108" s="1"/>
  <c r="AI109" s="1"/>
  <c r="AI110" s="1"/>
  <c r="AI111" s="1"/>
  <c r="AI112" s="1"/>
  <c r="AI113" s="1"/>
  <c r="AI114" s="1"/>
  <c r="AI115" s="1"/>
  <c r="AI116" s="1"/>
  <c r="AI117" s="1"/>
  <c r="AK107"/>
  <c r="AJ107" s="1"/>
  <c r="AL107"/>
  <c r="AM107"/>
  <c r="AN107"/>
  <c r="AH108"/>
  <c r="AK108"/>
  <c r="AJ108" s="1"/>
  <c r="AL108"/>
  <c r="AM108"/>
  <c r="AN108"/>
  <c r="AH109"/>
  <c r="AK109"/>
  <c r="AJ109" s="1"/>
  <c r="AL109"/>
  <c r="AM109" s="1"/>
  <c r="AN109"/>
  <c r="AH110"/>
  <c r="AK110"/>
  <c r="AJ110" s="1"/>
  <c r="AL110"/>
  <c r="AM110"/>
  <c r="AN110"/>
  <c r="AH111"/>
  <c r="AK111"/>
  <c r="AJ111" s="1"/>
  <c r="AL111"/>
  <c r="AM111"/>
  <c r="AN111"/>
  <c r="AH112"/>
  <c r="AK112"/>
  <c r="AJ112" s="1"/>
  <c r="AL112"/>
  <c r="AM112"/>
  <c r="AN112"/>
  <c r="AH113"/>
  <c r="AK113"/>
  <c r="AJ113" s="1"/>
  <c r="AL113"/>
  <c r="AM113"/>
  <c r="AN113"/>
  <c r="AH114"/>
  <c r="AJ114"/>
  <c r="AK114"/>
  <c r="AL114"/>
  <c r="AM114" s="1"/>
  <c r="AN114"/>
  <c r="Z114"/>
  <c r="AA114"/>
  <c r="Z113"/>
  <c r="AA113"/>
  <c r="Z112"/>
  <c r="AA112"/>
  <c r="Z111"/>
  <c r="AA111"/>
  <c r="Z110"/>
  <c r="AA110"/>
  <c r="Z109"/>
  <c r="AA109"/>
  <c r="Z108"/>
  <c r="AA108"/>
  <c r="N39"/>
  <c r="M39" s="1"/>
  <c r="L39"/>
  <c r="K39"/>
  <c r="O39" s="1"/>
  <c r="N37"/>
  <c r="M37" s="1"/>
  <c r="L37"/>
  <c r="K37"/>
  <c r="O37" s="1"/>
  <c r="D40"/>
  <c r="C40"/>
  <c r="D39"/>
  <c r="C39"/>
  <c r="AK117"/>
  <c r="AJ117" s="1"/>
  <c r="AH117"/>
  <c r="AL117" s="1"/>
  <c r="AK116"/>
  <c r="AJ116" s="1"/>
  <c r="AH116"/>
  <c r="AL116" s="1"/>
  <c r="AK115"/>
  <c r="AJ115" s="1"/>
  <c r="AH115"/>
  <c r="AL115" s="1"/>
  <c r="AA118"/>
  <c r="Z118"/>
  <c r="AA117"/>
  <c r="Z117"/>
  <c r="AA116"/>
  <c r="Z116"/>
  <c r="AA115"/>
  <c r="Z115"/>
  <c r="K35"/>
  <c r="L35" s="1"/>
  <c r="L36" s="1"/>
  <c r="N35"/>
  <c r="M35" s="1"/>
  <c r="O35"/>
  <c r="P35" s="1"/>
  <c r="Q35"/>
  <c r="K36"/>
  <c r="N36"/>
  <c r="M36" s="1"/>
  <c r="O36"/>
  <c r="P36"/>
  <c r="Q36"/>
  <c r="C37"/>
  <c r="D37"/>
  <c r="BC21"/>
  <c r="BB21"/>
  <c r="AX21"/>
  <c r="AY21"/>
  <c r="BC20"/>
  <c r="BB20"/>
  <c r="AX20"/>
  <c r="AY20"/>
  <c r="AH102"/>
  <c r="AI102" s="1"/>
  <c r="AI103" s="1"/>
  <c r="AI104" s="1"/>
  <c r="AI105" s="1"/>
  <c r="AI106" s="1"/>
  <c r="AK102"/>
  <c r="AJ102" s="1"/>
  <c r="AL102"/>
  <c r="AM102"/>
  <c r="AN102"/>
  <c r="AH103"/>
  <c r="AK103"/>
  <c r="AJ103" s="1"/>
  <c r="AL103"/>
  <c r="AM103"/>
  <c r="AN103"/>
  <c r="AH104"/>
  <c r="AK104"/>
  <c r="AJ104" s="1"/>
  <c r="AL104"/>
  <c r="AM104"/>
  <c r="AN104"/>
  <c r="AH105"/>
  <c r="AK105"/>
  <c r="AJ105" s="1"/>
  <c r="AL105"/>
  <c r="AM105"/>
  <c r="AN105"/>
  <c r="AH106"/>
  <c r="AK106"/>
  <c r="AJ106" s="1"/>
  <c r="AL106"/>
  <c r="AM106"/>
  <c r="AN106"/>
  <c r="Z103"/>
  <c r="AA103"/>
  <c r="Z104"/>
  <c r="AA104"/>
  <c r="Z105"/>
  <c r="AA105"/>
  <c r="Z106"/>
  <c r="AA106"/>
  <c r="Z107"/>
  <c r="AA107"/>
  <c r="C36"/>
  <c r="D36"/>
  <c r="AH98"/>
  <c r="AK98"/>
  <c r="AJ98" s="1"/>
  <c r="AH99"/>
  <c r="AJ99"/>
  <c r="AK99"/>
  <c r="AH100"/>
  <c r="AK100"/>
  <c r="AJ100" s="1"/>
  <c r="AH101"/>
  <c r="AK101"/>
  <c r="AJ101" s="1"/>
  <c r="Z99"/>
  <c r="AA99"/>
  <c r="Z100"/>
  <c r="AA100"/>
  <c r="AL99" s="1"/>
  <c r="Z101"/>
  <c r="AA101"/>
  <c r="AL100" s="1"/>
  <c r="Z102"/>
  <c r="AA102"/>
  <c r="AL101" s="1"/>
  <c r="BH28"/>
  <c r="BG28"/>
  <c r="BL28"/>
  <c r="BK28"/>
  <c r="AX19"/>
  <c r="AY19"/>
  <c r="BB19"/>
  <c r="BC19"/>
  <c r="AH12"/>
  <c r="BC18"/>
  <c r="AZ5" s="1"/>
  <c r="BB18"/>
  <c r="AY5" s="1"/>
  <c r="BB5" s="1"/>
  <c r="BC5" s="1"/>
  <c r="AX18"/>
  <c r="AY18"/>
  <c r="AH83"/>
  <c r="AK83"/>
  <c r="AJ83" s="1"/>
  <c r="AH84"/>
  <c r="AK84"/>
  <c r="AJ84" s="1"/>
  <c r="AH85"/>
  <c r="AL85" s="1"/>
  <c r="AK85"/>
  <c r="AJ85" s="1"/>
  <c r="AH86"/>
  <c r="AK86"/>
  <c r="AJ86" s="1"/>
  <c r="AH87"/>
  <c r="AL87" s="1"/>
  <c r="AK87"/>
  <c r="AJ87" s="1"/>
  <c r="AH88"/>
  <c r="AK88"/>
  <c r="AJ88" s="1"/>
  <c r="AH89"/>
  <c r="AL89" s="1"/>
  <c r="AK89"/>
  <c r="AJ89" s="1"/>
  <c r="AH90"/>
  <c r="AK90"/>
  <c r="AJ90" s="1"/>
  <c r="AH91"/>
  <c r="AL91" s="1"/>
  <c r="AK91"/>
  <c r="AJ91" s="1"/>
  <c r="AH92"/>
  <c r="AK92"/>
  <c r="AJ92" s="1"/>
  <c r="AH93"/>
  <c r="AL93" s="1"/>
  <c r="AK93"/>
  <c r="AJ93" s="1"/>
  <c r="AH94"/>
  <c r="AK94"/>
  <c r="AJ94" s="1"/>
  <c r="AH95"/>
  <c r="AL95" s="1"/>
  <c r="AK95"/>
  <c r="AJ95" s="1"/>
  <c r="AH96"/>
  <c r="AK96"/>
  <c r="AJ96" s="1"/>
  <c r="AH97"/>
  <c r="AL97" s="1"/>
  <c r="AK97"/>
  <c r="AJ97" s="1"/>
  <c r="Z84"/>
  <c r="AA84"/>
  <c r="Z85"/>
  <c r="AA85"/>
  <c r="AL84" s="1"/>
  <c r="Z86"/>
  <c r="AA86"/>
  <c r="Z87"/>
  <c r="AA87"/>
  <c r="AL86" s="1"/>
  <c r="Z88"/>
  <c r="AA88"/>
  <c r="Z89"/>
  <c r="AA89"/>
  <c r="AL88" s="1"/>
  <c r="Z90"/>
  <c r="AA90"/>
  <c r="Z91"/>
  <c r="AA91"/>
  <c r="AL90" s="1"/>
  <c r="Z92"/>
  <c r="AA92"/>
  <c r="Z93"/>
  <c r="AA93"/>
  <c r="AL92" s="1"/>
  <c r="Z94"/>
  <c r="AA94"/>
  <c r="Z95"/>
  <c r="AA95"/>
  <c r="AL94" s="1"/>
  <c r="Z96"/>
  <c r="AA96"/>
  <c r="Z97"/>
  <c r="AA97"/>
  <c r="AL96" s="1"/>
  <c r="Z98"/>
  <c r="AA98"/>
  <c r="K31"/>
  <c r="M31"/>
  <c r="N31"/>
  <c r="K32"/>
  <c r="N32"/>
  <c r="M32" s="1"/>
  <c r="K33"/>
  <c r="M33"/>
  <c r="N33"/>
  <c r="K34"/>
  <c r="O34" s="1"/>
  <c r="N34"/>
  <c r="M34" s="1"/>
  <c r="C32"/>
  <c r="D32"/>
  <c r="O31" s="1"/>
  <c r="C33"/>
  <c r="D33"/>
  <c r="O32" s="1"/>
  <c r="C34"/>
  <c r="D34"/>
  <c r="O33" s="1"/>
  <c r="C35"/>
  <c r="D35"/>
  <c r="AH82"/>
  <c r="AK82"/>
  <c r="AJ82" s="1"/>
  <c r="Z83"/>
  <c r="AA83"/>
  <c r="AL82" s="1"/>
  <c r="K29"/>
  <c r="N29"/>
  <c r="M29" s="1"/>
  <c r="K30"/>
  <c r="N30"/>
  <c r="M30" s="1"/>
  <c r="C30"/>
  <c r="D30"/>
  <c r="C31"/>
  <c r="D31"/>
  <c r="O30" s="1"/>
  <c r="AH77"/>
  <c r="AL77" s="1"/>
  <c r="AK77"/>
  <c r="AJ77" s="1"/>
  <c r="AH78"/>
  <c r="AK78"/>
  <c r="AJ78" s="1"/>
  <c r="AH79"/>
  <c r="AL79" s="1"/>
  <c r="AK79"/>
  <c r="AJ79" s="1"/>
  <c r="AH80"/>
  <c r="AK80"/>
  <c r="AJ80" s="1"/>
  <c r="AH81"/>
  <c r="AK81"/>
  <c r="AJ81" s="1"/>
  <c r="Z79"/>
  <c r="AA79"/>
  <c r="AL78" s="1"/>
  <c r="Z80"/>
  <c r="AA80"/>
  <c r="Z81"/>
  <c r="AA81"/>
  <c r="AL80" s="1"/>
  <c r="Z82"/>
  <c r="AA82"/>
  <c r="AL81" s="1"/>
  <c r="Z78"/>
  <c r="AA78"/>
  <c r="AH76"/>
  <c r="AK76"/>
  <c r="AJ76" s="1"/>
  <c r="Z77"/>
  <c r="AA77"/>
  <c r="AL76" s="1"/>
  <c r="BB17"/>
  <c r="BC17"/>
  <c r="AX17"/>
  <c r="AY17"/>
  <c r="AH74"/>
  <c r="AK74"/>
  <c r="AJ74" s="1"/>
  <c r="AH75"/>
  <c r="AL75" s="1"/>
  <c r="AK75"/>
  <c r="AJ75" s="1"/>
  <c r="Z75"/>
  <c r="AA75"/>
  <c r="Z76"/>
  <c r="AA76"/>
  <c r="BH27"/>
  <c r="BG27"/>
  <c r="P39" l="1"/>
  <c r="Q39"/>
  <c r="Q37"/>
  <c r="P37"/>
  <c r="AM115"/>
  <c r="AN115"/>
  <c r="AN116"/>
  <c r="AM116"/>
  <c r="AM117"/>
  <c r="AN117"/>
  <c r="AN76"/>
  <c r="AM76"/>
  <c r="AM81"/>
  <c r="AN81"/>
  <c r="AN80"/>
  <c r="AM80"/>
  <c r="AN78"/>
  <c r="AM78"/>
  <c r="V30"/>
  <c r="Q30"/>
  <c r="P30"/>
  <c r="U30"/>
  <c r="AN82"/>
  <c r="AM82"/>
  <c r="P33"/>
  <c r="Q33"/>
  <c r="V33"/>
  <c r="U33"/>
  <c r="P32"/>
  <c r="V32"/>
  <c r="Q32"/>
  <c r="U32"/>
  <c r="P31"/>
  <c r="Q31"/>
  <c r="V31"/>
  <c r="U31"/>
  <c r="AN96"/>
  <c r="AM96"/>
  <c r="AN94"/>
  <c r="AM94"/>
  <c r="AN92"/>
  <c r="AM92"/>
  <c r="AN90"/>
  <c r="AM90"/>
  <c r="AN88"/>
  <c r="AM88"/>
  <c r="AN86"/>
  <c r="AM86"/>
  <c r="AN84"/>
  <c r="AM84"/>
  <c r="AM79"/>
  <c r="AN79"/>
  <c r="AM77"/>
  <c r="AN77"/>
  <c r="P34"/>
  <c r="V34"/>
  <c r="Q34"/>
  <c r="U34"/>
  <c r="AM97"/>
  <c r="AN97"/>
  <c r="AM95"/>
  <c r="AN95"/>
  <c r="AM93"/>
  <c r="AN93"/>
  <c r="AM91"/>
  <c r="AN91"/>
  <c r="AM89"/>
  <c r="AN89"/>
  <c r="AM87"/>
  <c r="AN87"/>
  <c r="AM85"/>
  <c r="AN85"/>
  <c r="AL98"/>
  <c r="AL83"/>
  <c r="AM101"/>
  <c r="AN101"/>
  <c r="AN100"/>
  <c r="AM100"/>
  <c r="AM99"/>
  <c r="AN99"/>
  <c r="AN98"/>
  <c r="AM98"/>
  <c r="AM75"/>
  <c r="AN75"/>
  <c r="AU85" l="1"/>
  <c r="AT85"/>
  <c r="AU89"/>
  <c r="AT89"/>
  <c r="AU91"/>
  <c r="AT91"/>
  <c r="AU95"/>
  <c r="AT95"/>
  <c r="AU77"/>
  <c r="AT77"/>
  <c r="AT75"/>
  <c r="AU75"/>
  <c r="AM83"/>
  <c r="AN83"/>
  <c r="AU84"/>
  <c r="AT84"/>
  <c r="AU86"/>
  <c r="AT86"/>
  <c r="AU88"/>
  <c r="AT88"/>
  <c r="AU90"/>
  <c r="AT90"/>
  <c r="AU92"/>
  <c r="AT92"/>
  <c r="AU94"/>
  <c r="AT94"/>
  <c r="AU96"/>
  <c r="AT96"/>
  <c r="AU82"/>
  <c r="AT82"/>
  <c r="AU78"/>
  <c r="AT78"/>
  <c r="AU80"/>
  <c r="AT80"/>
  <c r="AT76"/>
  <c r="AU76"/>
  <c r="AU87"/>
  <c r="AT87"/>
  <c r="AU93"/>
  <c r="AT93"/>
  <c r="AU97"/>
  <c r="AT97"/>
  <c r="AU79"/>
  <c r="AT79"/>
  <c r="AU81"/>
  <c r="AT81"/>
  <c r="BO30"/>
  <c r="BP30" s="1"/>
  <c r="BO29"/>
  <c r="BP29" s="1"/>
  <c r="BO28"/>
  <c r="BP28" s="1"/>
  <c r="BO27"/>
  <c r="BP27" s="1"/>
  <c r="AH59"/>
  <c r="AK59"/>
  <c r="AJ59" s="1"/>
  <c r="AH60"/>
  <c r="AK60"/>
  <c r="AJ60" s="1"/>
  <c r="AH61"/>
  <c r="AK61"/>
  <c r="AJ61" s="1"/>
  <c r="AH62"/>
  <c r="AK62"/>
  <c r="AJ62" s="1"/>
  <c r="AH63"/>
  <c r="AL63" s="1"/>
  <c r="AM63" s="1"/>
  <c r="AK63"/>
  <c r="AJ63" s="1"/>
  <c r="AH64"/>
  <c r="AK64"/>
  <c r="AJ64" s="1"/>
  <c r="AH65"/>
  <c r="AL65" s="1"/>
  <c r="AM65" s="1"/>
  <c r="AK65"/>
  <c r="AJ65" s="1"/>
  <c r="AH66"/>
  <c r="AK66"/>
  <c r="AJ66" s="1"/>
  <c r="AH67"/>
  <c r="AL67" s="1"/>
  <c r="AM67" s="1"/>
  <c r="AK67"/>
  <c r="AJ67" s="1"/>
  <c r="AH68"/>
  <c r="AK68"/>
  <c r="AJ68" s="1"/>
  <c r="AH69"/>
  <c r="AL69" s="1"/>
  <c r="AM69" s="1"/>
  <c r="AK69"/>
  <c r="AJ69" s="1"/>
  <c r="AH70"/>
  <c r="AK70"/>
  <c r="AJ70" s="1"/>
  <c r="AH71"/>
  <c r="AL71" s="1"/>
  <c r="AM71" s="1"/>
  <c r="AK71"/>
  <c r="AJ71" s="1"/>
  <c r="AH72"/>
  <c r="AK72"/>
  <c r="AJ72" s="1"/>
  <c r="AH73"/>
  <c r="AL73" s="1"/>
  <c r="AM73" s="1"/>
  <c r="AK73"/>
  <c r="AJ73" s="1"/>
  <c r="K25"/>
  <c r="N25"/>
  <c r="M25" s="1"/>
  <c r="K26"/>
  <c r="N26"/>
  <c r="M26" s="1"/>
  <c r="K27"/>
  <c r="N27"/>
  <c r="M27" s="1"/>
  <c r="K28"/>
  <c r="N28"/>
  <c r="M28" s="1"/>
  <c r="C26"/>
  <c r="D26"/>
  <c r="D27"/>
  <c r="O27" s="1"/>
  <c r="C27"/>
  <c r="C29"/>
  <c r="D29"/>
  <c r="C28"/>
  <c r="D28"/>
  <c r="Z60"/>
  <c r="AA60"/>
  <c r="Z61"/>
  <c r="AA61"/>
  <c r="AL60" s="1"/>
  <c r="Z62"/>
  <c r="AA62"/>
  <c r="AL61" s="1"/>
  <c r="AM61" s="1"/>
  <c r="Z63"/>
  <c r="AA63"/>
  <c r="AL62" s="1"/>
  <c r="Z64"/>
  <c r="AA64"/>
  <c r="Z65"/>
  <c r="AA65"/>
  <c r="AL64" s="1"/>
  <c r="Z66"/>
  <c r="AA66"/>
  <c r="Z67"/>
  <c r="AA67"/>
  <c r="AL66" s="1"/>
  <c r="Z68"/>
  <c r="AA68"/>
  <c r="Z69"/>
  <c r="AA69"/>
  <c r="AL68" s="1"/>
  <c r="Z70"/>
  <c r="AA70"/>
  <c r="Z71"/>
  <c r="AA71"/>
  <c r="AL70" s="1"/>
  <c r="Z72"/>
  <c r="AA72"/>
  <c r="Z73"/>
  <c r="AA73"/>
  <c r="AL72" s="1"/>
  <c r="Z74"/>
  <c r="AA74"/>
  <c r="AL74" s="1"/>
  <c r="AH58"/>
  <c r="AK58"/>
  <c r="AJ58" s="1"/>
  <c r="Z59"/>
  <c r="AA59"/>
  <c r="AL59" s="1"/>
  <c r="BO13"/>
  <c r="BO14"/>
  <c r="BO15"/>
  <c r="BO12"/>
  <c r="BG12"/>
  <c r="BH12"/>
  <c r="BG13"/>
  <c r="BH13"/>
  <c r="BG14"/>
  <c r="BH14"/>
  <c r="BG15"/>
  <c r="BH15"/>
  <c r="BG16"/>
  <c r="BH16"/>
  <c r="K24"/>
  <c r="N24"/>
  <c r="M24" s="1"/>
  <c r="C25"/>
  <c r="D25"/>
  <c r="AH54"/>
  <c r="AK54"/>
  <c r="AJ54" s="1"/>
  <c r="AH55"/>
  <c r="AK55"/>
  <c r="AJ55" s="1"/>
  <c r="AH56"/>
  <c r="AK56"/>
  <c r="AJ56" s="1"/>
  <c r="AL56"/>
  <c r="AM56" s="1"/>
  <c r="AH57"/>
  <c r="AK57"/>
  <c r="AJ57" s="1"/>
  <c r="Z56"/>
  <c r="AA56"/>
  <c r="Z57"/>
  <c r="AA57"/>
  <c r="Z58"/>
  <c r="AA58"/>
  <c r="Z55"/>
  <c r="AA55"/>
  <c r="AL54" s="1"/>
  <c r="AH53"/>
  <c r="AK53"/>
  <c r="AJ53" s="1"/>
  <c r="Z54"/>
  <c r="AA54"/>
  <c r="BB16"/>
  <c r="BC16"/>
  <c r="AX16"/>
  <c r="AY16"/>
  <c r="AH51"/>
  <c r="AK51"/>
  <c r="AJ51" s="1"/>
  <c r="AH52"/>
  <c r="AL52" s="1"/>
  <c r="AK52"/>
  <c r="AJ52" s="1"/>
  <c r="Z53"/>
  <c r="AA53"/>
  <c r="Z52"/>
  <c r="AA52"/>
  <c r="K23"/>
  <c r="N23"/>
  <c r="M23" s="1"/>
  <c r="C24"/>
  <c r="D24"/>
  <c r="K18"/>
  <c r="N18"/>
  <c r="M18" s="1"/>
  <c r="K19"/>
  <c r="N19"/>
  <c r="M19" s="1"/>
  <c r="K20"/>
  <c r="N20"/>
  <c r="M20" s="1"/>
  <c r="K21"/>
  <c r="N21"/>
  <c r="M21" s="1"/>
  <c r="K22"/>
  <c r="N22"/>
  <c r="M22" s="1"/>
  <c r="C22"/>
  <c r="D22"/>
  <c r="C23"/>
  <c r="D23"/>
  <c r="C19"/>
  <c r="D19"/>
  <c r="C20"/>
  <c r="D20"/>
  <c r="O19" s="1"/>
  <c r="C21"/>
  <c r="D21"/>
  <c r="AH50"/>
  <c r="AK50"/>
  <c r="AJ50" s="1"/>
  <c r="Z51"/>
  <c r="AA51"/>
  <c r="AH36"/>
  <c r="AK36"/>
  <c r="AJ36" s="1"/>
  <c r="AH37"/>
  <c r="AK37"/>
  <c r="AJ37" s="1"/>
  <c r="AH38"/>
  <c r="AK38"/>
  <c r="AJ38" s="1"/>
  <c r="AH39"/>
  <c r="AK39"/>
  <c r="AJ39" s="1"/>
  <c r="AH40"/>
  <c r="AK40"/>
  <c r="AJ40" s="1"/>
  <c r="AH41"/>
  <c r="AK41"/>
  <c r="AJ41" s="1"/>
  <c r="AH42"/>
  <c r="AK42"/>
  <c r="AJ42" s="1"/>
  <c r="AH43"/>
  <c r="AK43"/>
  <c r="AJ43" s="1"/>
  <c r="AH44"/>
  <c r="AK44"/>
  <c r="AJ44" s="1"/>
  <c r="AH45"/>
  <c r="AK45"/>
  <c r="AJ45" s="1"/>
  <c r="AH46"/>
  <c r="AK46"/>
  <c r="AJ46" s="1"/>
  <c r="AH47"/>
  <c r="AK47"/>
  <c r="AJ47" s="1"/>
  <c r="AH48"/>
  <c r="AK48"/>
  <c r="AJ48" s="1"/>
  <c r="AH49"/>
  <c r="AK49"/>
  <c r="AJ49" s="1"/>
  <c r="Z37"/>
  <c r="AA37"/>
  <c r="Z38"/>
  <c r="AA38"/>
  <c r="AL37" s="1"/>
  <c r="Z39"/>
  <c r="AA39"/>
  <c r="Z40"/>
  <c r="AA40"/>
  <c r="AL39" s="1"/>
  <c r="Z41"/>
  <c r="AA41"/>
  <c r="Z42"/>
  <c r="AA42"/>
  <c r="AL41" s="1"/>
  <c r="Z43"/>
  <c r="AA43"/>
  <c r="Z44"/>
  <c r="AA44"/>
  <c r="AL43" s="1"/>
  <c r="Z45"/>
  <c r="AA45"/>
  <c r="Z46"/>
  <c r="AA46"/>
  <c r="AL45" s="1"/>
  <c r="Z47"/>
  <c r="AA47"/>
  <c r="Z48"/>
  <c r="AA48"/>
  <c r="AL47" s="1"/>
  <c r="Z49"/>
  <c r="AA49"/>
  <c r="Z50"/>
  <c r="AA50"/>
  <c r="AL49" s="1"/>
  <c r="AH35"/>
  <c r="AK35"/>
  <c r="AJ35" s="1"/>
  <c r="Z36"/>
  <c r="AA36"/>
  <c r="AX15"/>
  <c r="AY15"/>
  <c r="BC15"/>
  <c r="BB15"/>
  <c r="K17"/>
  <c r="N17"/>
  <c r="M17" s="1"/>
  <c r="C18"/>
  <c r="D18"/>
  <c r="AH29"/>
  <c r="AK29"/>
  <c r="AJ29" s="1"/>
  <c r="AH30"/>
  <c r="AK30"/>
  <c r="AJ30" s="1"/>
  <c r="AH31"/>
  <c r="AK31"/>
  <c r="AJ31" s="1"/>
  <c r="AH32"/>
  <c r="AK32"/>
  <c r="AJ32" s="1"/>
  <c r="AH33"/>
  <c r="AK33"/>
  <c r="AJ33" s="1"/>
  <c r="AH34"/>
  <c r="AK34"/>
  <c r="AJ34" s="1"/>
  <c r="Z30"/>
  <c r="AA30"/>
  <c r="Z31"/>
  <c r="AA31"/>
  <c r="AL30" s="1"/>
  <c r="Z32"/>
  <c r="AA32"/>
  <c r="AL31" s="1"/>
  <c r="Z33"/>
  <c r="AA33"/>
  <c r="AL32" s="1"/>
  <c r="Z34"/>
  <c r="AA34"/>
  <c r="AL33" s="1"/>
  <c r="Z35"/>
  <c r="AA35"/>
  <c r="AL34" s="1"/>
  <c r="BB14"/>
  <c r="BC14"/>
  <c r="AX14"/>
  <c r="AY14"/>
  <c r="AH28"/>
  <c r="AK28"/>
  <c r="AJ28" s="1"/>
  <c r="Z29"/>
  <c r="AA29"/>
  <c r="AL29" s="1"/>
  <c r="AH27"/>
  <c r="AK27"/>
  <c r="AJ27" s="1"/>
  <c r="Z28"/>
  <c r="AA28"/>
  <c r="K16"/>
  <c r="N16"/>
  <c r="M16" s="1"/>
  <c r="C17"/>
  <c r="D17"/>
  <c r="AX13"/>
  <c r="AY13"/>
  <c r="BB13"/>
  <c r="BC13"/>
  <c r="K13"/>
  <c r="N13"/>
  <c r="M13" s="1"/>
  <c r="K14"/>
  <c r="N14"/>
  <c r="M14" s="1"/>
  <c r="K15"/>
  <c r="N15"/>
  <c r="M15" s="1"/>
  <c r="C14"/>
  <c r="D14"/>
  <c r="C15"/>
  <c r="D15"/>
  <c r="C16"/>
  <c r="D16"/>
  <c r="O15" s="1"/>
  <c r="AH13"/>
  <c r="AK13"/>
  <c r="AJ13" s="1"/>
  <c r="AH14"/>
  <c r="AK14"/>
  <c r="AJ14" s="1"/>
  <c r="AH15"/>
  <c r="AK15"/>
  <c r="AJ15" s="1"/>
  <c r="AH16"/>
  <c r="AK16"/>
  <c r="AJ16" s="1"/>
  <c r="AH17"/>
  <c r="AK17"/>
  <c r="AJ17" s="1"/>
  <c r="AH18"/>
  <c r="AK18"/>
  <c r="AJ18" s="1"/>
  <c r="AH19"/>
  <c r="AK19"/>
  <c r="AJ19" s="1"/>
  <c r="AH20"/>
  <c r="AK20"/>
  <c r="AJ20" s="1"/>
  <c r="AH21"/>
  <c r="AK21"/>
  <c r="AJ21" s="1"/>
  <c r="AH22"/>
  <c r="AK22"/>
  <c r="AJ22" s="1"/>
  <c r="AH23"/>
  <c r="AK23"/>
  <c r="AJ23" s="1"/>
  <c r="AH24"/>
  <c r="AK24"/>
  <c r="AJ24" s="1"/>
  <c r="AH25"/>
  <c r="AK25"/>
  <c r="AJ25" s="1"/>
  <c r="AH26"/>
  <c r="AK26"/>
  <c r="AJ26" s="1"/>
  <c r="Z14"/>
  <c r="AA14"/>
  <c r="Z15"/>
  <c r="AA15"/>
  <c r="AL14" s="1"/>
  <c r="Z16"/>
  <c r="AA16"/>
  <c r="AL15" s="1"/>
  <c r="Z17"/>
  <c r="AA17"/>
  <c r="AL16" s="1"/>
  <c r="Z18"/>
  <c r="AA18"/>
  <c r="AL17" s="1"/>
  <c r="Z19"/>
  <c r="AA19"/>
  <c r="AL18" s="1"/>
  <c r="Z20"/>
  <c r="AA20"/>
  <c r="AL19" s="1"/>
  <c r="Z21"/>
  <c r="AA21"/>
  <c r="AL20" s="1"/>
  <c r="Z22"/>
  <c r="AA22"/>
  <c r="AL21" s="1"/>
  <c r="Z23"/>
  <c r="AA23"/>
  <c r="AL22" s="1"/>
  <c r="Z24"/>
  <c r="AA24"/>
  <c r="AL23" s="1"/>
  <c r="Z25"/>
  <c r="AA25"/>
  <c r="AL24" s="1"/>
  <c r="Z26"/>
  <c r="AA26"/>
  <c r="AL25" s="1"/>
  <c r="Z27"/>
  <c r="AA27"/>
  <c r="AL26" s="1"/>
  <c r="AX12"/>
  <c r="AY12"/>
  <c r="BC12"/>
  <c r="BB12"/>
  <c r="BC11"/>
  <c r="BB11"/>
  <c r="AK12"/>
  <c r="AJ12" s="1"/>
  <c r="N12"/>
  <c r="M12" s="1"/>
  <c r="K12"/>
  <c r="C12"/>
  <c r="D12"/>
  <c r="Z13"/>
  <c r="AA13"/>
  <c r="AY11"/>
  <c r="AX11"/>
  <c r="AA12"/>
  <c r="Z12"/>
  <c r="D13"/>
  <c r="C13"/>
  <c r="Z109" i="1"/>
  <c r="AA109"/>
  <c r="Z108"/>
  <c r="AA108"/>
  <c r="AA107"/>
  <c r="Z107"/>
  <c r="AA104"/>
  <c r="Z104"/>
  <c r="D41"/>
  <c r="C41"/>
  <c r="AU18"/>
  <c r="AV18"/>
  <c r="AY18"/>
  <c r="AZ18"/>
  <c r="AK83"/>
  <c r="AH88"/>
  <c r="AI88"/>
  <c r="AI89" s="1"/>
  <c r="AI90" s="1"/>
  <c r="AI91" s="1"/>
  <c r="AI92" s="1"/>
  <c r="AI93" s="1"/>
  <c r="AI94" s="1"/>
  <c r="AK88"/>
  <c r="AJ88" s="1"/>
  <c r="AL88"/>
  <c r="AM88"/>
  <c r="AN88"/>
  <c r="AH89"/>
  <c r="AJ89"/>
  <c r="AK89"/>
  <c r="AL89"/>
  <c r="AM89" s="1"/>
  <c r="AN89"/>
  <c r="AH90"/>
  <c r="AK90"/>
  <c r="AJ90" s="1"/>
  <c r="AL90"/>
  <c r="AM90"/>
  <c r="AN90"/>
  <c r="AH91"/>
  <c r="AJ91"/>
  <c r="AK91"/>
  <c r="AL91"/>
  <c r="AM91" s="1"/>
  <c r="AN91"/>
  <c r="AH92"/>
  <c r="AK92"/>
  <c r="AJ92" s="1"/>
  <c r="AL92"/>
  <c r="AM92"/>
  <c r="AN92"/>
  <c r="AH93"/>
  <c r="AJ93"/>
  <c r="AK93"/>
  <c r="AL93"/>
  <c r="AM93" s="1"/>
  <c r="AN93"/>
  <c r="AH94"/>
  <c r="AK94"/>
  <c r="AJ94" s="1"/>
  <c r="AL94"/>
  <c r="AM94"/>
  <c r="AN94"/>
  <c r="Z89"/>
  <c r="AA89"/>
  <c r="Z90"/>
  <c r="AA90"/>
  <c r="Z91"/>
  <c r="AA91"/>
  <c r="Z92"/>
  <c r="AA92"/>
  <c r="Z93"/>
  <c r="AA93"/>
  <c r="Z94"/>
  <c r="AA94"/>
  <c r="Z95"/>
  <c r="AA95"/>
  <c r="K34"/>
  <c r="L34"/>
  <c r="L35" s="1"/>
  <c r="L36" s="1"/>
  <c r="N34"/>
  <c r="M34" s="1"/>
  <c r="O34"/>
  <c r="P34"/>
  <c r="Q34"/>
  <c r="K35"/>
  <c r="M35"/>
  <c r="N35"/>
  <c r="O35"/>
  <c r="P35" s="1"/>
  <c r="Q35"/>
  <c r="K36"/>
  <c r="N36"/>
  <c r="M36" s="1"/>
  <c r="O36"/>
  <c r="P36"/>
  <c r="Q36"/>
  <c r="C36"/>
  <c r="D36"/>
  <c r="C37"/>
  <c r="D37"/>
  <c r="C35"/>
  <c r="D35"/>
  <c r="AH87"/>
  <c r="AI87" s="1"/>
  <c r="AK87"/>
  <c r="AJ87" s="1"/>
  <c r="AL87"/>
  <c r="AM87"/>
  <c r="AN87"/>
  <c r="Z88"/>
  <c r="AA88"/>
  <c r="AY17"/>
  <c r="AZ17"/>
  <c r="AU17"/>
  <c r="AV17"/>
  <c r="K29"/>
  <c r="L29" s="1"/>
  <c r="L30" s="1"/>
  <c r="L31" s="1"/>
  <c r="L32" s="1"/>
  <c r="L33" s="1"/>
  <c r="N29"/>
  <c r="M29" s="1"/>
  <c r="O29"/>
  <c r="P29"/>
  <c r="Q29"/>
  <c r="K30"/>
  <c r="N30"/>
  <c r="M30" s="1"/>
  <c r="O30"/>
  <c r="P30"/>
  <c r="Q30"/>
  <c r="K31"/>
  <c r="N31"/>
  <c r="M31" s="1"/>
  <c r="O31"/>
  <c r="P31"/>
  <c r="Q31"/>
  <c r="K32"/>
  <c r="N32"/>
  <c r="M32" s="1"/>
  <c r="O32"/>
  <c r="P32"/>
  <c r="Q32"/>
  <c r="K33"/>
  <c r="N33"/>
  <c r="M33" s="1"/>
  <c r="O33"/>
  <c r="P33"/>
  <c r="Q33"/>
  <c r="C31"/>
  <c r="D31"/>
  <c r="C32"/>
  <c r="D32"/>
  <c r="C33"/>
  <c r="D33"/>
  <c r="C34"/>
  <c r="D34"/>
  <c r="AH73"/>
  <c r="AI73" s="1"/>
  <c r="AI74" s="1"/>
  <c r="AI75" s="1"/>
  <c r="AI76" s="1"/>
  <c r="AI77" s="1"/>
  <c r="AI78" s="1"/>
  <c r="AI79" s="1"/>
  <c r="AI80" s="1"/>
  <c r="AI81" s="1"/>
  <c r="AI82" s="1"/>
  <c r="AI83" s="1"/>
  <c r="AI84" s="1"/>
  <c r="AI85" s="1"/>
  <c r="AI86" s="1"/>
  <c r="AK73"/>
  <c r="AJ73" s="1"/>
  <c r="AL73"/>
  <c r="AM73"/>
  <c r="AN73"/>
  <c r="AH74"/>
  <c r="AK74"/>
  <c r="AJ74" s="1"/>
  <c r="AL74"/>
  <c r="AM74"/>
  <c r="AN74"/>
  <c r="AH75"/>
  <c r="AK75"/>
  <c r="AJ75" s="1"/>
  <c r="AL75"/>
  <c r="AM75"/>
  <c r="AN75"/>
  <c r="AH76"/>
  <c r="AK76"/>
  <c r="AJ76" s="1"/>
  <c r="AL76"/>
  <c r="AM76"/>
  <c r="AN76"/>
  <c r="AH77"/>
  <c r="AK77"/>
  <c r="AJ77" s="1"/>
  <c r="AL77"/>
  <c r="AM77"/>
  <c r="AN77"/>
  <c r="AH78"/>
  <c r="AK78"/>
  <c r="AJ78" s="1"/>
  <c r="AL78"/>
  <c r="AM78"/>
  <c r="AN78"/>
  <c r="AH79"/>
  <c r="AK79"/>
  <c r="AJ79" s="1"/>
  <c r="AL79"/>
  <c r="AM79"/>
  <c r="AN79"/>
  <c r="AH80"/>
  <c r="AK80"/>
  <c r="AJ80" s="1"/>
  <c r="AL80"/>
  <c r="AM80"/>
  <c r="AN80"/>
  <c r="AH81"/>
  <c r="AK81"/>
  <c r="AJ81" s="1"/>
  <c r="AL81"/>
  <c r="AM81"/>
  <c r="AN81"/>
  <c r="AH82"/>
  <c r="AK82"/>
  <c r="AJ82" s="1"/>
  <c r="AL82"/>
  <c r="AM82"/>
  <c r="AN82"/>
  <c r="AH83"/>
  <c r="AJ83"/>
  <c r="AL83"/>
  <c r="AM83"/>
  <c r="AN83"/>
  <c r="AH84"/>
  <c r="AK84"/>
  <c r="AJ84" s="1"/>
  <c r="AL84"/>
  <c r="AM84"/>
  <c r="AN84"/>
  <c r="AH85"/>
  <c r="AK85"/>
  <c r="AJ85" s="1"/>
  <c r="AL85"/>
  <c r="AM85"/>
  <c r="AN85"/>
  <c r="AH86"/>
  <c r="AK86"/>
  <c r="AJ86" s="1"/>
  <c r="AL86"/>
  <c r="AM86"/>
  <c r="AN86"/>
  <c r="Z77"/>
  <c r="AA77"/>
  <c r="Z78"/>
  <c r="AA78"/>
  <c r="Z79"/>
  <c r="AA79"/>
  <c r="Z80"/>
  <c r="AA80"/>
  <c r="Z81"/>
  <c r="AA81"/>
  <c r="Z82"/>
  <c r="AA82"/>
  <c r="Z83"/>
  <c r="AA83"/>
  <c r="Z84"/>
  <c r="AA84"/>
  <c r="Z85"/>
  <c r="AA85"/>
  <c r="Z86"/>
  <c r="AA86"/>
  <c r="Z87"/>
  <c r="AA87"/>
  <c r="Z76"/>
  <c r="AA76"/>
  <c r="Z75"/>
  <c r="AA75"/>
  <c r="Z74"/>
  <c r="AA74"/>
  <c r="C30"/>
  <c r="D30"/>
  <c r="AY16"/>
  <c r="AZ16"/>
  <c r="AU16"/>
  <c r="AV16"/>
  <c r="K27"/>
  <c r="L27" s="1"/>
  <c r="L28" s="1"/>
  <c r="M27"/>
  <c r="N27"/>
  <c r="O27"/>
  <c r="P27" s="1"/>
  <c r="Q27"/>
  <c r="K28"/>
  <c r="N28"/>
  <c r="M28" s="1"/>
  <c r="O28"/>
  <c r="P28"/>
  <c r="Q28"/>
  <c r="C28"/>
  <c r="D28"/>
  <c r="C29"/>
  <c r="D29"/>
  <c r="AH71"/>
  <c r="AI71" s="1"/>
  <c r="AI72" s="1"/>
  <c r="AK71"/>
  <c r="AJ71" s="1"/>
  <c r="AL71"/>
  <c r="AM71"/>
  <c r="AN71"/>
  <c r="AH72"/>
  <c r="AK72"/>
  <c r="AJ72" s="1"/>
  <c r="AL72"/>
  <c r="AM72"/>
  <c r="AN72"/>
  <c r="Z73"/>
  <c r="AA73"/>
  <c r="Z72"/>
  <c r="AA72"/>
  <c r="AH66"/>
  <c r="AI66"/>
  <c r="AI67" s="1"/>
  <c r="AI68" s="1"/>
  <c r="AI69" s="1"/>
  <c r="AI70" s="1"/>
  <c r="AK66"/>
  <c r="AJ66" s="1"/>
  <c r="AL66"/>
  <c r="AM66"/>
  <c r="AN66"/>
  <c r="AH67"/>
  <c r="AJ67"/>
  <c r="AK67"/>
  <c r="AL67"/>
  <c r="AM67" s="1"/>
  <c r="AN67"/>
  <c r="AH68"/>
  <c r="AK68"/>
  <c r="AJ68" s="1"/>
  <c r="AL68"/>
  <c r="AM68"/>
  <c r="AN68"/>
  <c r="AH69"/>
  <c r="AJ69"/>
  <c r="AK69"/>
  <c r="AL69"/>
  <c r="AM69" s="1"/>
  <c r="AN69"/>
  <c r="AH70"/>
  <c r="AK70"/>
  <c r="AJ70" s="1"/>
  <c r="AL70"/>
  <c r="AM70"/>
  <c r="AN70"/>
  <c r="Z67"/>
  <c r="AA67"/>
  <c r="Z68"/>
  <c r="AA68"/>
  <c r="Z69"/>
  <c r="AA69"/>
  <c r="Z70"/>
  <c r="AA70"/>
  <c r="Z71"/>
  <c r="AA71"/>
  <c r="AQ11"/>
  <c r="AP11"/>
  <c r="AO11"/>
  <c r="AH64"/>
  <c r="AI64" s="1"/>
  <c r="AI65" s="1"/>
  <c r="AK64"/>
  <c r="AJ64" s="1"/>
  <c r="AL64"/>
  <c r="AM64"/>
  <c r="AN64"/>
  <c r="AH65"/>
  <c r="AK65"/>
  <c r="AJ65" s="1"/>
  <c r="AL65"/>
  <c r="AM65"/>
  <c r="AN65"/>
  <c r="Z65"/>
  <c r="AA65"/>
  <c r="Z66"/>
  <c r="AA66"/>
  <c r="K26"/>
  <c r="L26" s="1"/>
  <c r="N26"/>
  <c r="M26" s="1"/>
  <c r="O26"/>
  <c r="P26"/>
  <c r="Q26"/>
  <c r="C27"/>
  <c r="D27"/>
  <c r="K25"/>
  <c r="L25" s="1"/>
  <c r="M25"/>
  <c r="N25"/>
  <c r="O25"/>
  <c r="P25" s="1"/>
  <c r="Q25"/>
  <c r="C26"/>
  <c r="D26"/>
  <c r="AH62"/>
  <c r="AI62" s="1"/>
  <c r="AI63" s="1"/>
  <c r="AJ62"/>
  <c r="AK62"/>
  <c r="AL62"/>
  <c r="AM62" s="1"/>
  <c r="AN62"/>
  <c r="AH63"/>
  <c r="AK63"/>
  <c r="AJ63" s="1"/>
  <c r="AL63"/>
  <c r="AM63"/>
  <c r="AN63"/>
  <c r="Z63"/>
  <c r="AA63"/>
  <c r="Z64"/>
  <c r="AA64"/>
  <c r="AH49"/>
  <c r="AI49" s="1"/>
  <c r="AI50" s="1"/>
  <c r="AI51" s="1"/>
  <c r="AI52" s="1"/>
  <c r="AI53" s="1"/>
  <c r="AI54" s="1"/>
  <c r="AI55" s="1"/>
  <c r="AI56" s="1"/>
  <c r="AI57" s="1"/>
  <c r="AI58" s="1"/>
  <c r="AI59" s="1"/>
  <c r="AI60" s="1"/>
  <c r="AI61" s="1"/>
  <c r="AJ49"/>
  <c r="AK49"/>
  <c r="AL49"/>
  <c r="AM49" s="1"/>
  <c r="AN49"/>
  <c r="AH50"/>
  <c r="AK50"/>
  <c r="AJ50" s="1"/>
  <c r="AL50"/>
  <c r="AM50"/>
  <c r="AN50"/>
  <c r="AH51"/>
  <c r="AJ51"/>
  <c r="AK51"/>
  <c r="AL51"/>
  <c r="AM51" s="1"/>
  <c r="AN51"/>
  <c r="AH52"/>
  <c r="AK52"/>
  <c r="AJ52" s="1"/>
  <c r="AL52"/>
  <c r="AM52"/>
  <c r="AN52"/>
  <c r="AH53"/>
  <c r="AJ53"/>
  <c r="AK53"/>
  <c r="AL53"/>
  <c r="AM53" s="1"/>
  <c r="AN53"/>
  <c r="AH54"/>
  <c r="AK54"/>
  <c r="AJ54" s="1"/>
  <c r="AL54"/>
  <c r="AM54"/>
  <c r="AN54"/>
  <c r="AH55"/>
  <c r="AJ55"/>
  <c r="AK55"/>
  <c r="AL55"/>
  <c r="AM55" s="1"/>
  <c r="AN55"/>
  <c r="AH56"/>
  <c r="AK56"/>
  <c r="AJ56" s="1"/>
  <c r="AL56"/>
  <c r="AM56"/>
  <c r="AN56"/>
  <c r="AH57"/>
  <c r="AJ57"/>
  <c r="AK57"/>
  <c r="AL57"/>
  <c r="AM57" s="1"/>
  <c r="AN57"/>
  <c r="AH58"/>
  <c r="AK58"/>
  <c r="AJ58" s="1"/>
  <c r="AL58"/>
  <c r="AM58"/>
  <c r="AN58"/>
  <c r="AH59"/>
  <c r="AJ59"/>
  <c r="AK59"/>
  <c r="AL59"/>
  <c r="AM59" s="1"/>
  <c r="AN59"/>
  <c r="AH60"/>
  <c r="AK60"/>
  <c r="AJ60" s="1"/>
  <c r="AL60"/>
  <c r="AM60"/>
  <c r="AN60"/>
  <c r="AH61"/>
  <c r="AJ61"/>
  <c r="AK61"/>
  <c r="AL61"/>
  <c r="AM61" s="1"/>
  <c r="AN61"/>
  <c r="K20"/>
  <c r="L20"/>
  <c r="L21" s="1"/>
  <c r="L22" s="1"/>
  <c r="L23" s="1"/>
  <c r="L24" s="1"/>
  <c r="N20"/>
  <c r="M20" s="1"/>
  <c r="O20"/>
  <c r="P20"/>
  <c r="Q20"/>
  <c r="K21"/>
  <c r="M21"/>
  <c r="N21"/>
  <c r="O21"/>
  <c r="P21" s="1"/>
  <c r="Q21"/>
  <c r="K22"/>
  <c r="N22"/>
  <c r="M22" s="1"/>
  <c r="O22"/>
  <c r="P22"/>
  <c r="Q22"/>
  <c r="K23"/>
  <c r="M23"/>
  <c r="N23"/>
  <c r="O23"/>
  <c r="P23" s="1"/>
  <c r="Q23"/>
  <c r="K24"/>
  <c r="N24"/>
  <c r="M24" s="1"/>
  <c r="O24"/>
  <c r="P24"/>
  <c r="Q24"/>
  <c r="C22"/>
  <c r="D22"/>
  <c r="C23"/>
  <c r="D23"/>
  <c r="C24"/>
  <c r="D24"/>
  <c r="C25"/>
  <c r="D25"/>
  <c r="Z62"/>
  <c r="AA62"/>
  <c r="Z61"/>
  <c r="AA61"/>
  <c r="Z60"/>
  <c r="AA60"/>
  <c r="Z59"/>
  <c r="AA59"/>
  <c r="Z58"/>
  <c r="AA58"/>
  <c r="Z57"/>
  <c r="AA57"/>
  <c r="Z56"/>
  <c r="AA56"/>
  <c r="Z55"/>
  <c r="AA55"/>
  <c r="Z54"/>
  <c r="AA54"/>
  <c r="Z53"/>
  <c r="AA53"/>
  <c r="Z52"/>
  <c r="AA52"/>
  <c r="Z51"/>
  <c r="AA51"/>
  <c r="Z50"/>
  <c r="AA50"/>
  <c r="AZ15"/>
  <c r="AY15"/>
  <c r="AU15"/>
  <c r="AV15"/>
  <c r="C21"/>
  <c r="D21"/>
  <c r="AH47"/>
  <c r="AI47" s="1"/>
  <c r="AI48" s="1"/>
  <c r="AK47"/>
  <c r="AJ47" s="1"/>
  <c r="AL47"/>
  <c r="AM47"/>
  <c r="AN47"/>
  <c r="AH48"/>
  <c r="AJ48"/>
  <c r="AK48"/>
  <c r="AL48"/>
  <c r="AM48" s="1"/>
  <c r="AN48"/>
  <c r="Z48"/>
  <c r="AA48"/>
  <c r="Z49"/>
  <c r="AA49"/>
  <c r="AR37"/>
  <c r="AS37"/>
  <c r="AR38"/>
  <c r="AS38"/>
  <c r="AR39"/>
  <c r="AS39"/>
  <c r="AR40"/>
  <c r="AS40"/>
  <c r="AR41"/>
  <c r="AS41"/>
  <c r="AR42"/>
  <c r="AS42"/>
  <c r="AR43"/>
  <c r="AS43"/>
  <c r="AR44"/>
  <c r="AS44"/>
  <c r="AR45"/>
  <c r="AS45"/>
  <c r="AR46"/>
  <c r="AS46"/>
  <c r="AU14"/>
  <c r="AV14"/>
  <c r="AH46"/>
  <c r="AI46" s="1"/>
  <c r="AK46"/>
  <c r="AJ46" s="1"/>
  <c r="AL46"/>
  <c r="AM46"/>
  <c r="AN46"/>
  <c r="Z47"/>
  <c r="AA47"/>
  <c r="K19"/>
  <c r="L19"/>
  <c r="N19"/>
  <c r="M19" s="1"/>
  <c r="O19"/>
  <c r="P19"/>
  <c r="Q19"/>
  <c r="C20"/>
  <c r="D20"/>
  <c r="AH42"/>
  <c r="AI42" s="1"/>
  <c r="AI43" s="1"/>
  <c r="AI44" s="1"/>
  <c r="AI45" s="1"/>
  <c r="AK42"/>
  <c r="AJ42" s="1"/>
  <c r="AL42"/>
  <c r="AM42"/>
  <c r="AN42"/>
  <c r="AH43"/>
  <c r="AK43"/>
  <c r="AJ43" s="1"/>
  <c r="AL43"/>
  <c r="AM43"/>
  <c r="AN43"/>
  <c r="AH44"/>
  <c r="AK44"/>
  <c r="AJ44" s="1"/>
  <c r="AL44"/>
  <c r="AM44"/>
  <c r="AN44"/>
  <c r="AH45"/>
  <c r="AK45"/>
  <c r="AJ45" s="1"/>
  <c r="AL45"/>
  <c r="AM45"/>
  <c r="AN45"/>
  <c r="Z44"/>
  <c r="AA44"/>
  <c r="Z45"/>
  <c r="AA45"/>
  <c r="Z46"/>
  <c r="AA46"/>
  <c r="Z43"/>
  <c r="AA43"/>
  <c r="AH30"/>
  <c r="AI30" s="1"/>
  <c r="AI31" s="1"/>
  <c r="AI32" s="1"/>
  <c r="AI33" s="1"/>
  <c r="AI34" s="1"/>
  <c r="AI35" s="1"/>
  <c r="AI36" s="1"/>
  <c r="AI37" s="1"/>
  <c r="AI38" s="1"/>
  <c r="AI39" s="1"/>
  <c r="AI40" s="1"/>
  <c r="AI41" s="1"/>
  <c r="AK30"/>
  <c r="AJ30" s="1"/>
  <c r="AL30"/>
  <c r="AM30"/>
  <c r="AN30"/>
  <c r="AH31"/>
  <c r="AJ31"/>
  <c r="AK31"/>
  <c r="AL31"/>
  <c r="AM31" s="1"/>
  <c r="AN31"/>
  <c r="AH32"/>
  <c r="AK32"/>
  <c r="AJ32" s="1"/>
  <c r="AL32"/>
  <c r="AM32"/>
  <c r="AN32"/>
  <c r="AH33"/>
  <c r="AJ33"/>
  <c r="AK33"/>
  <c r="AL33"/>
  <c r="AM33" s="1"/>
  <c r="AN33"/>
  <c r="AH34"/>
  <c r="AK34"/>
  <c r="AJ34" s="1"/>
  <c r="AL34"/>
  <c r="AM34"/>
  <c r="AN34"/>
  <c r="AH35"/>
  <c r="AJ35"/>
  <c r="AK35"/>
  <c r="AL35"/>
  <c r="AM35" s="1"/>
  <c r="AN35"/>
  <c r="AH36"/>
  <c r="AK36"/>
  <c r="AJ36" s="1"/>
  <c r="AL36"/>
  <c r="AM36"/>
  <c r="AN36"/>
  <c r="AH37"/>
  <c r="AJ37"/>
  <c r="AK37"/>
  <c r="AL37"/>
  <c r="AM37" s="1"/>
  <c r="AN37"/>
  <c r="AH38"/>
  <c r="AK38"/>
  <c r="AJ38" s="1"/>
  <c r="AL38"/>
  <c r="AM38" s="1"/>
  <c r="AN38"/>
  <c r="AH39"/>
  <c r="AJ39"/>
  <c r="AK39"/>
  <c r="AL39"/>
  <c r="AM39" s="1"/>
  <c r="AH40"/>
  <c r="AK40"/>
  <c r="AJ40" s="1"/>
  <c r="AL40"/>
  <c r="AM40"/>
  <c r="AN40"/>
  <c r="AH41"/>
  <c r="AJ41"/>
  <c r="AK41"/>
  <c r="AL41"/>
  <c r="AM41" s="1"/>
  <c r="AN41"/>
  <c r="Z31"/>
  <c r="AA31"/>
  <c r="Z32"/>
  <c r="AA32"/>
  <c r="Z33"/>
  <c r="AA33"/>
  <c r="Z34"/>
  <c r="AA34"/>
  <c r="Z35"/>
  <c r="AA35"/>
  <c r="Z36"/>
  <c r="AA36"/>
  <c r="Z37"/>
  <c r="AA37"/>
  <c r="Z38"/>
  <c r="AA38"/>
  <c r="Z39"/>
  <c r="AA39"/>
  <c r="Z40"/>
  <c r="AA40"/>
  <c r="Z41"/>
  <c r="AA41"/>
  <c r="Z42"/>
  <c r="AA42"/>
  <c r="AU13"/>
  <c r="AV13"/>
  <c r="AH23"/>
  <c r="AI23" s="1"/>
  <c r="AI24" s="1"/>
  <c r="AI25" s="1"/>
  <c r="AI26" s="1"/>
  <c r="AI27" s="1"/>
  <c r="AI28" s="1"/>
  <c r="AI29" s="1"/>
  <c r="AK23"/>
  <c r="AJ23" s="1"/>
  <c r="AL23"/>
  <c r="AM23"/>
  <c r="AN23"/>
  <c r="AH24"/>
  <c r="AK24"/>
  <c r="AJ24" s="1"/>
  <c r="AL24"/>
  <c r="AM24"/>
  <c r="AN24"/>
  <c r="AH25"/>
  <c r="AK25"/>
  <c r="AJ25" s="1"/>
  <c r="AL25"/>
  <c r="AM25"/>
  <c r="AN25"/>
  <c r="AH26"/>
  <c r="AK26"/>
  <c r="AJ26" s="1"/>
  <c r="AL26"/>
  <c r="AM26"/>
  <c r="AN26"/>
  <c r="AH27"/>
  <c r="AK27"/>
  <c r="AJ27" s="1"/>
  <c r="AL27"/>
  <c r="AM27"/>
  <c r="AN27"/>
  <c r="AH28"/>
  <c r="AK28"/>
  <c r="AJ28" s="1"/>
  <c r="AL28"/>
  <c r="AM28"/>
  <c r="AN28"/>
  <c r="AH29"/>
  <c r="AK29"/>
  <c r="AJ29" s="1"/>
  <c r="AL29"/>
  <c r="AM29"/>
  <c r="AN29"/>
  <c r="Z30"/>
  <c r="AA30"/>
  <c r="Z29"/>
  <c r="AA29"/>
  <c r="Z28"/>
  <c r="AA28"/>
  <c r="Z27"/>
  <c r="AA27"/>
  <c r="Z26"/>
  <c r="AA26"/>
  <c r="Z25"/>
  <c r="AA25"/>
  <c r="Z24"/>
  <c r="AA24"/>
  <c r="K14"/>
  <c r="L14" s="1"/>
  <c r="L15" s="1"/>
  <c r="L16" s="1"/>
  <c r="L17" s="1"/>
  <c r="L18" s="1"/>
  <c r="N14"/>
  <c r="M14" s="1"/>
  <c r="O14"/>
  <c r="P14"/>
  <c r="Q14"/>
  <c r="K15"/>
  <c r="M15"/>
  <c r="N15"/>
  <c r="O15"/>
  <c r="P15" s="1"/>
  <c r="Q15"/>
  <c r="K16"/>
  <c r="N16"/>
  <c r="M16" s="1"/>
  <c r="O16"/>
  <c r="P16"/>
  <c r="Q16"/>
  <c r="K17"/>
  <c r="M17"/>
  <c r="N17"/>
  <c r="O17"/>
  <c r="P17" s="1"/>
  <c r="Q17"/>
  <c r="K18"/>
  <c r="N18"/>
  <c r="M18" s="1"/>
  <c r="O18"/>
  <c r="P18"/>
  <c r="Q18"/>
  <c r="D15"/>
  <c r="D16"/>
  <c r="D17"/>
  <c r="D18"/>
  <c r="D19"/>
  <c r="C15"/>
  <c r="C16"/>
  <c r="C17"/>
  <c r="C18"/>
  <c r="C19"/>
  <c r="A3" i="8"/>
  <c r="B3"/>
  <c r="A4"/>
  <c r="B4"/>
  <c r="A5"/>
  <c r="B5"/>
  <c r="A6"/>
  <c r="B6"/>
  <c r="A7"/>
  <c r="B7"/>
  <c r="A8"/>
  <c r="B8"/>
  <c r="A9"/>
  <c r="B9"/>
  <c r="A10"/>
  <c r="B10"/>
  <c r="A11"/>
  <c r="B11"/>
  <c r="B2"/>
  <c r="A2"/>
  <c r="AU12" i="1"/>
  <c r="AV12"/>
  <c r="U13"/>
  <c r="V13"/>
  <c r="U14"/>
  <c r="V14"/>
  <c r="V12"/>
  <c r="U12"/>
  <c r="N13"/>
  <c r="M13" s="1"/>
  <c r="O13"/>
  <c r="P13"/>
  <c r="Q13"/>
  <c r="O12"/>
  <c r="P12" s="1"/>
  <c r="N12"/>
  <c r="M12" s="1"/>
  <c r="AH20"/>
  <c r="AI20"/>
  <c r="AI21" s="1"/>
  <c r="AI22" s="1"/>
  <c r="AK20"/>
  <c r="AJ20" s="1"/>
  <c r="AL20"/>
  <c r="AM20"/>
  <c r="AN20"/>
  <c r="AH21"/>
  <c r="AJ21"/>
  <c r="AK21"/>
  <c r="AL21"/>
  <c r="AM21" s="1"/>
  <c r="AN21"/>
  <c r="AH22"/>
  <c r="AK22"/>
  <c r="AJ22" s="1"/>
  <c r="AL22"/>
  <c r="AM22"/>
  <c r="AN22"/>
  <c r="L13"/>
  <c r="K13"/>
  <c r="D14"/>
  <c r="C14"/>
  <c r="AA23"/>
  <c r="Z23"/>
  <c r="AA22"/>
  <c r="Z22"/>
  <c r="AA21"/>
  <c r="Z21"/>
  <c r="AL19"/>
  <c r="AL18"/>
  <c r="AL17"/>
  <c r="AL16"/>
  <c r="AL15"/>
  <c r="AL14"/>
  <c r="AL13"/>
  <c r="AV11"/>
  <c r="AU11"/>
  <c r="L12"/>
  <c r="K12"/>
  <c r="AK19"/>
  <c r="AJ19" s="1"/>
  <c r="AH19"/>
  <c r="AK18"/>
  <c r="AJ18" s="1"/>
  <c r="AH18"/>
  <c r="AK17"/>
  <c r="AJ17" s="1"/>
  <c r="AH17"/>
  <c r="AK16"/>
  <c r="AJ16" s="1"/>
  <c r="AH16"/>
  <c r="AK15"/>
  <c r="AJ15" s="1"/>
  <c r="AH15"/>
  <c r="AK14"/>
  <c r="AJ14" s="1"/>
  <c r="AH14"/>
  <c r="AK13"/>
  <c r="AJ13" s="1"/>
  <c r="AI13"/>
  <c r="AI14" s="1"/>
  <c r="AI15" s="1"/>
  <c r="AI16" s="1"/>
  <c r="AI17" s="1"/>
  <c r="AI18" s="1"/>
  <c r="AI19" s="1"/>
  <c r="AH13"/>
  <c r="Z20"/>
  <c r="AA20"/>
  <c r="D13"/>
  <c r="C13"/>
  <c r="D12"/>
  <c r="C12"/>
  <c r="AA19"/>
  <c r="Z19"/>
  <c r="AA18"/>
  <c r="Z18"/>
  <c r="AA17"/>
  <c r="Z17"/>
  <c r="AA16"/>
  <c r="Z16"/>
  <c r="AA15"/>
  <c r="Z15"/>
  <c r="AA14"/>
  <c r="Z14"/>
  <c r="Z13"/>
  <c r="AA13"/>
  <c r="AG96" i="6"/>
  <c r="AH96" s="1"/>
  <c r="AH97" s="1"/>
  <c r="AI96"/>
  <c r="AJ96"/>
  <c r="AK96"/>
  <c r="AL96" s="1"/>
  <c r="AM96"/>
  <c r="AG97"/>
  <c r="AJ97"/>
  <c r="AI97" s="1"/>
  <c r="AK97"/>
  <c r="AL97"/>
  <c r="AM97"/>
  <c r="Y97"/>
  <c r="Z97"/>
  <c r="Y98"/>
  <c r="Z98"/>
  <c r="AG95"/>
  <c r="AH95" s="1"/>
  <c r="AJ95"/>
  <c r="AI95" s="1"/>
  <c r="AK95"/>
  <c r="AL95"/>
  <c r="AM95"/>
  <c r="Y96"/>
  <c r="Z96"/>
  <c r="K32"/>
  <c r="L32" s="1"/>
  <c r="N32"/>
  <c r="M32" s="1"/>
  <c r="O32"/>
  <c r="P32"/>
  <c r="Q32"/>
  <c r="C33"/>
  <c r="D33"/>
  <c r="AG94"/>
  <c r="AH94"/>
  <c r="AJ94"/>
  <c r="AI94" s="1"/>
  <c r="AK94"/>
  <c r="AL94"/>
  <c r="AM94"/>
  <c r="Y95"/>
  <c r="Z95"/>
  <c r="AG93"/>
  <c r="AH93" s="1"/>
  <c r="AI93"/>
  <c r="AJ93"/>
  <c r="AK93"/>
  <c r="AL93" s="1"/>
  <c r="AM93"/>
  <c r="Y94"/>
  <c r="Z94"/>
  <c r="AG92"/>
  <c r="AH92" s="1"/>
  <c r="AJ92"/>
  <c r="AI92" s="1"/>
  <c r="AK92"/>
  <c r="AL92"/>
  <c r="AM92"/>
  <c r="Y93"/>
  <c r="Z93"/>
  <c r="K31"/>
  <c r="L31" s="1"/>
  <c r="N31"/>
  <c r="M31" s="1"/>
  <c r="O31"/>
  <c r="P31"/>
  <c r="Q31"/>
  <c r="C32"/>
  <c r="D32"/>
  <c r="K29"/>
  <c r="L29" s="1"/>
  <c r="L30" s="1"/>
  <c r="N29"/>
  <c r="M29" s="1"/>
  <c r="O29"/>
  <c r="P29"/>
  <c r="Q29"/>
  <c r="K30"/>
  <c r="N30"/>
  <c r="M30" s="1"/>
  <c r="O30"/>
  <c r="P30"/>
  <c r="Q30"/>
  <c r="C31"/>
  <c r="D31"/>
  <c r="AG89"/>
  <c r="AH89" s="1"/>
  <c r="AH90" s="1"/>
  <c r="AH91" s="1"/>
  <c r="AI89"/>
  <c r="AJ89"/>
  <c r="AK89"/>
  <c r="AL89" s="1"/>
  <c r="AM89"/>
  <c r="AG90"/>
  <c r="AJ90"/>
  <c r="AI90" s="1"/>
  <c r="AK90"/>
  <c r="AL90"/>
  <c r="AM90"/>
  <c r="AG91"/>
  <c r="AI91"/>
  <c r="AJ91"/>
  <c r="AK91"/>
  <c r="AL91" s="1"/>
  <c r="AM91"/>
  <c r="Y92"/>
  <c r="Z92"/>
  <c r="Y91"/>
  <c r="Z91"/>
  <c r="Y90"/>
  <c r="Z90"/>
  <c r="BR15"/>
  <c r="BP15"/>
  <c r="BK15"/>
  <c r="BL15"/>
  <c r="BR14"/>
  <c r="BP14"/>
  <c r="BK14"/>
  <c r="BL14"/>
  <c r="C30"/>
  <c r="D30"/>
  <c r="AG86"/>
  <c r="AH86" s="1"/>
  <c r="AH87" s="1"/>
  <c r="AH88" s="1"/>
  <c r="AJ86"/>
  <c r="AI86" s="1"/>
  <c r="AK86"/>
  <c r="AL86"/>
  <c r="AM86"/>
  <c r="AG87"/>
  <c r="AI87"/>
  <c r="AJ87"/>
  <c r="AK87"/>
  <c r="AL87" s="1"/>
  <c r="AM87"/>
  <c r="AG88"/>
  <c r="AI88"/>
  <c r="AJ88"/>
  <c r="AK88"/>
  <c r="AL88" s="1"/>
  <c r="AM88"/>
  <c r="Y89"/>
  <c r="Z89"/>
  <c r="Y88"/>
  <c r="Z88"/>
  <c r="Y87"/>
  <c r="Z87"/>
  <c r="W2" i="8"/>
  <c r="J74"/>
  <c r="G74"/>
  <c r="H74" s="1"/>
  <c r="I74" s="1"/>
  <c r="F74"/>
  <c r="J73"/>
  <c r="G73"/>
  <c r="H73" s="1"/>
  <c r="I73" s="1"/>
  <c r="F73"/>
  <c r="J72"/>
  <c r="G72"/>
  <c r="H72" s="1"/>
  <c r="I72" s="1"/>
  <c r="F72"/>
  <c r="J71"/>
  <c r="G71"/>
  <c r="H71" s="1"/>
  <c r="I71" s="1"/>
  <c r="F71"/>
  <c r="J70"/>
  <c r="G70"/>
  <c r="H70" s="1"/>
  <c r="I70" s="1"/>
  <c r="F70"/>
  <c r="J69"/>
  <c r="G69"/>
  <c r="H69" s="1"/>
  <c r="I69" s="1"/>
  <c r="F69"/>
  <c r="J68"/>
  <c r="F68"/>
  <c r="G68" s="1"/>
  <c r="H68" s="1"/>
  <c r="I68" s="1"/>
  <c r="J67"/>
  <c r="G67"/>
  <c r="H67" s="1"/>
  <c r="I67" s="1"/>
  <c r="F67"/>
  <c r="J66"/>
  <c r="G66"/>
  <c r="H66" s="1"/>
  <c r="I66" s="1"/>
  <c r="F66"/>
  <c r="J65"/>
  <c r="F65"/>
  <c r="G65" s="1"/>
  <c r="H65" s="1"/>
  <c r="I65" s="1"/>
  <c r="J64"/>
  <c r="F64"/>
  <c r="G64" s="1"/>
  <c r="H64" s="1"/>
  <c r="I64" s="1"/>
  <c r="J63"/>
  <c r="G63"/>
  <c r="H63" s="1"/>
  <c r="I63" s="1"/>
  <c r="F63"/>
  <c r="J62"/>
  <c r="F62"/>
  <c r="G62" s="1"/>
  <c r="H62" s="1"/>
  <c r="I62" s="1"/>
  <c r="J61"/>
  <c r="F61"/>
  <c r="G61" s="1"/>
  <c r="H61" s="1"/>
  <c r="I61" s="1"/>
  <c r="J60"/>
  <c r="F60"/>
  <c r="G60" s="1"/>
  <c r="H60" s="1"/>
  <c r="I60" s="1"/>
  <c r="J59"/>
  <c r="G59"/>
  <c r="H59" s="1"/>
  <c r="I59" s="1"/>
  <c r="F59"/>
  <c r="J58"/>
  <c r="F58"/>
  <c r="G58" s="1"/>
  <c r="H58" s="1"/>
  <c r="I58" s="1"/>
  <c r="J57"/>
  <c r="F57"/>
  <c r="G57" s="1"/>
  <c r="H57" s="1"/>
  <c r="I57" s="1"/>
  <c r="J56"/>
  <c r="G56"/>
  <c r="H56" s="1"/>
  <c r="I56" s="1"/>
  <c r="F56"/>
  <c r="J55"/>
  <c r="G55"/>
  <c r="H55" s="1"/>
  <c r="I55" s="1"/>
  <c r="F55"/>
  <c r="J54"/>
  <c r="G54"/>
  <c r="H54" s="1"/>
  <c r="I54" s="1"/>
  <c r="F54"/>
  <c r="J53"/>
  <c r="G53"/>
  <c r="H53" s="1"/>
  <c r="I53" s="1"/>
  <c r="F53"/>
  <c r="J52"/>
  <c r="G52"/>
  <c r="H52" s="1"/>
  <c r="I52" s="1"/>
  <c r="F52"/>
  <c r="J51"/>
  <c r="G51"/>
  <c r="H51" s="1"/>
  <c r="I51" s="1"/>
  <c r="F51"/>
  <c r="J50"/>
  <c r="F50"/>
  <c r="G50" s="1"/>
  <c r="H50" s="1"/>
  <c r="I50" s="1"/>
  <c r="J49"/>
  <c r="F49"/>
  <c r="G49" s="1"/>
  <c r="H49" s="1"/>
  <c r="I49" s="1"/>
  <c r="J48"/>
  <c r="G48"/>
  <c r="H48" s="1"/>
  <c r="I48" s="1"/>
  <c r="F48"/>
  <c r="J47"/>
  <c r="F47"/>
  <c r="G47" s="1"/>
  <c r="H47" s="1"/>
  <c r="I47" s="1"/>
  <c r="J46"/>
  <c r="F46"/>
  <c r="G46" s="1"/>
  <c r="H46" s="1"/>
  <c r="I46" s="1"/>
  <c r="J45"/>
  <c r="F45"/>
  <c r="G45" s="1"/>
  <c r="H45" s="1"/>
  <c r="I45" s="1"/>
  <c r="J44"/>
  <c r="G44"/>
  <c r="H44" s="1"/>
  <c r="I44" s="1"/>
  <c r="F44"/>
  <c r="J43"/>
  <c r="F43"/>
  <c r="G43" s="1"/>
  <c r="H43" s="1"/>
  <c r="I43" s="1"/>
  <c r="J42"/>
  <c r="F42"/>
  <c r="G42" s="1"/>
  <c r="H42" s="1"/>
  <c r="I42" s="1"/>
  <c r="J41"/>
  <c r="G41"/>
  <c r="H41" s="1"/>
  <c r="I41" s="1"/>
  <c r="F41"/>
  <c r="J40"/>
  <c r="G40"/>
  <c r="H40" s="1"/>
  <c r="I40" s="1"/>
  <c r="F40"/>
  <c r="J39"/>
  <c r="G39"/>
  <c r="H39" s="1"/>
  <c r="I39" s="1"/>
  <c r="F39"/>
  <c r="J38"/>
  <c r="F38"/>
  <c r="G38" s="1"/>
  <c r="H38" s="1"/>
  <c r="I38" s="1"/>
  <c r="J37"/>
  <c r="G37"/>
  <c r="H37" s="1"/>
  <c r="I37" s="1"/>
  <c r="F37"/>
  <c r="J36"/>
  <c r="G36"/>
  <c r="H36" s="1"/>
  <c r="I36" s="1"/>
  <c r="F36"/>
  <c r="J35"/>
  <c r="F35"/>
  <c r="G35" s="1"/>
  <c r="H35" s="1"/>
  <c r="I35" s="1"/>
  <c r="J34"/>
  <c r="F34"/>
  <c r="G34" s="1"/>
  <c r="H34" s="1"/>
  <c r="I34" s="1"/>
  <c r="J33"/>
  <c r="F33"/>
  <c r="G33" s="1"/>
  <c r="H33" s="1"/>
  <c r="I33" s="1"/>
  <c r="J32"/>
  <c r="F32"/>
  <c r="G32" s="1"/>
  <c r="H32" s="1"/>
  <c r="I32" s="1"/>
  <c r="J31"/>
  <c r="F31"/>
  <c r="G31" s="1"/>
  <c r="H31" s="1"/>
  <c r="I31" s="1"/>
  <c r="J30"/>
  <c r="F30"/>
  <c r="G30" s="1"/>
  <c r="H30" s="1"/>
  <c r="I30" s="1"/>
  <c r="J29"/>
  <c r="G29"/>
  <c r="H29" s="1"/>
  <c r="I29" s="1"/>
  <c r="F29"/>
  <c r="J28"/>
  <c r="G28"/>
  <c r="H28" s="1"/>
  <c r="I28" s="1"/>
  <c r="F28"/>
  <c r="J27"/>
  <c r="G27"/>
  <c r="H27" s="1"/>
  <c r="I27" s="1"/>
  <c r="F27"/>
  <c r="J26"/>
  <c r="G26"/>
  <c r="H26" s="1"/>
  <c r="I26" s="1"/>
  <c r="F26"/>
  <c r="J25"/>
  <c r="G25"/>
  <c r="H25" s="1"/>
  <c r="I25" s="1"/>
  <c r="F25"/>
  <c r="J24"/>
  <c r="G24"/>
  <c r="H24" s="1"/>
  <c r="I24" s="1"/>
  <c r="F24"/>
  <c r="J23"/>
  <c r="F23"/>
  <c r="G23" s="1"/>
  <c r="H23" s="1"/>
  <c r="I23" s="1"/>
  <c r="J22"/>
  <c r="F22"/>
  <c r="G22" s="1"/>
  <c r="H22" s="1"/>
  <c r="I22" s="1"/>
  <c r="J21"/>
  <c r="G21"/>
  <c r="H21" s="1"/>
  <c r="I21" s="1"/>
  <c r="F21"/>
  <c r="J20"/>
  <c r="F20"/>
  <c r="G20" s="1"/>
  <c r="H20" s="1"/>
  <c r="I20" s="1"/>
  <c r="J19"/>
  <c r="F19"/>
  <c r="G19" s="1"/>
  <c r="H19" s="1"/>
  <c r="I19" s="1"/>
  <c r="J18"/>
  <c r="F18"/>
  <c r="G18" s="1"/>
  <c r="H18" s="1"/>
  <c r="I18" s="1"/>
  <c r="J17"/>
  <c r="G17"/>
  <c r="H17" s="1"/>
  <c r="I17" s="1"/>
  <c r="F17"/>
  <c r="J16"/>
  <c r="F16"/>
  <c r="G16" s="1"/>
  <c r="H16" s="1"/>
  <c r="I16" s="1"/>
  <c r="J15"/>
  <c r="F15"/>
  <c r="G15" s="1"/>
  <c r="H15" s="1"/>
  <c r="I15" s="1"/>
  <c r="J14"/>
  <c r="G14"/>
  <c r="H14" s="1"/>
  <c r="I14" s="1"/>
  <c r="F14"/>
  <c r="J13"/>
  <c r="G13"/>
  <c r="H13" s="1"/>
  <c r="I13" s="1"/>
  <c r="F13"/>
  <c r="J12"/>
  <c r="G12"/>
  <c r="H12" s="1"/>
  <c r="I12" s="1"/>
  <c r="F12"/>
  <c r="J11"/>
  <c r="G11"/>
  <c r="H11" s="1"/>
  <c r="I11" s="1"/>
  <c r="F11"/>
  <c r="J10"/>
  <c r="I10"/>
  <c r="G10"/>
  <c r="H10" s="1"/>
  <c r="F10"/>
  <c r="J9"/>
  <c r="G9"/>
  <c r="H9" s="1"/>
  <c r="I9" s="1"/>
  <c r="F9"/>
  <c r="J8"/>
  <c r="F8"/>
  <c r="G8" s="1"/>
  <c r="H8" s="1"/>
  <c r="I8" s="1"/>
  <c r="J7"/>
  <c r="G7"/>
  <c r="H7" s="1"/>
  <c r="I7" s="1"/>
  <c r="F7"/>
  <c r="E7"/>
  <c r="J6"/>
  <c r="F6"/>
  <c r="G6" s="1"/>
  <c r="H6" s="1"/>
  <c r="I6" s="1"/>
  <c r="J5"/>
  <c r="G5"/>
  <c r="H5" s="1"/>
  <c r="I5" s="1"/>
  <c r="F5"/>
  <c r="N4"/>
  <c r="J4"/>
  <c r="G4"/>
  <c r="H4" s="1"/>
  <c r="I4" s="1"/>
  <c r="F4"/>
  <c r="E4"/>
  <c r="J3"/>
  <c r="F3"/>
  <c r="G3" s="1"/>
  <c r="H3" s="1"/>
  <c r="E3"/>
  <c r="AV12" i="6"/>
  <c r="AM85"/>
  <c r="AG85"/>
  <c r="AH85"/>
  <c r="AJ85"/>
  <c r="AI85" s="1"/>
  <c r="AK85"/>
  <c r="AL85"/>
  <c r="Y86"/>
  <c r="Z86"/>
  <c r="AG79"/>
  <c r="AH79" s="1"/>
  <c r="AH80" s="1"/>
  <c r="AH81" s="1"/>
  <c r="AH82" s="1"/>
  <c r="AH83" s="1"/>
  <c r="AH84" s="1"/>
  <c r="AI79"/>
  <c r="AJ79"/>
  <c r="AK79"/>
  <c r="AL79" s="1"/>
  <c r="AM79"/>
  <c r="AG80"/>
  <c r="AJ80"/>
  <c r="AI80" s="1"/>
  <c r="AK80"/>
  <c r="AL80"/>
  <c r="AM80"/>
  <c r="AG81"/>
  <c r="AI81"/>
  <c r="AJ81"/>
  <c r="AK81"/>
  <c r="AL81" s="1"/>
  <c r="AM81"/>
  <c r="AG82"/>
  <c r="AJ82"/>
  <c r="AI82" s="1"/>
  <c r="AK82"/>
  <c r="AL82"/>
  <c r="AM82"/>
  <c r="AG83"/>
  <c r="AI83"/>
  <c r="AJ83"/>
  <c r="AG84"/>
  <c r="AJ84"/>
  <c r="AI84" s="1"/>
  <c r="AG72"/>
  <c r="AJ72"/>
  <c r="AI72" s="1"/>
  <c r="AG73"/>
  <c r="AJ73"/>
  <c r="AI73" s="1"/>
  <c r="AG74"/>
  <c r="AJ74"/>
  <c r="AI74" s="1"/>
  <c r="AG75"/>
  <c r="AJ75"/>
  <c r="AI75" s="1"/>
  <c r="AG76"/>
  <c r="AJ76"/>
  <c r="AI76" s="1"/>
  <c r="AG77"/>
  <c r="AJ77"/>
  <c r="AI77" s="1"/>
  <c r="AG78"/>
  <c r="AJ78"/>
  <c r="AI78" s="1"/>
  <c r="Y85"/>
  <c r="Z85"/>
  <c r="Y84"/>
  <c r="Z84"/>
  <c r="AK83" s="1"/>
  <c r="Y83"/>
  <c r="Z83"/>
  <c r="Y82"/>
  <c r="Z82"/>
  <c r="Y81"/>
  <c r="Z81"/>
  <c r="Y80"/>
  <c r="Z80"/>
  <c r="Y79"/>
  <c r="Z79"/>
  <c r="Y78"/>
  <c r="Z78"/>
  <c r="Y77"/>
  <c r="Z77"/>
  <c r="Y76"/>
  <c r="Z76"/>
  <c r="Y75"/>
  <c r="Z75"/>
  <c r="Y74"/>
  <c r="Z74"/>
  <c r="K26"/>
  <c r="N26"/>
  <c r="M26" s="1"/>
  <c r="K27"/>
  <c r="N27"/>
  <c r="M27" s="1"/>
  <c r="K28"/>
  <c r="N28"/>
  <c r="M28" s="1"/>
  <c r="C29"/>
  <c r="D29"/>
  <c r="C28"/>
  <c r="D28"/>
  <c r="C27"/>
  <c r="D27"/>
  <c r="Y73"/>
  <c r="Z73"/>
  <c r="AG71"/>
  <c r="AJ71"/>
  <c r="AI71" s="1"/>
  <c r="Y72"/>
  <c r="Z72"/>
  <c r="K25"/>
  <c r="N25"/>
  <c r="M25" s="1"/>
  <c r="AG70"/>
  <c r="AJ70"/>
  <c r="AI70" s="1"/>
  <c r="Y71"/>
  <c r="Z71"/>
  <c r="C26"/>
  <c r="D26"/>
  <c r="AG67"/>
  <c r="AJ67"/>
  <c r="AI67" s="1"/>
  <c r="AG68"/>
  <c r="AJ68"/>
  <c r="AI68" s="1"/>
  <c r="AG69"/>
  <c r="AJ69"/>
  <c r="AI69" s="1"/>
  <c r="Y70"/>
  <c r="Z70"/>
  <c r="Y69"/>
  <c r="Z69"/>
  <c r="Y68"/>
  <c r="Z68"/>
  <c r="AG65"/>
  <c r="AJ65"/>
  <c r="AI65" s="1"/>
  <c r="AG66"/>
  <c r="AJ66"/>
  <c r="AI66" s="1"/>
  <c r="Y67"/>
  <c r="Z67"/>
  <c r="Y66"/>
  <c r="Z66"/>
  <c r="K24"/>
  <c r="N24"/>
  <c r="M24" s="1"/>
  <c r="C25"/>
  <c r="D25"/>
  <c r="AG63"/>
  <c r="AJ63"/>
  <c r="AI63" s="1"/>
  <c r="AG64"/>
  <c r="AJ64"/>
  <c r="AI64" s="1"/>
  <c r="Y65"/>
  <c r="Z65"/>
  <c r="Y64"/>
  <c r="Z64"/>
  <c r="AG62"/>
  <c r="AJ62"/>
  <c r="AI62" s="1"/>
  <c r="Y63"/>
  <c r="Z63"/>
  <c r="K21"/>
  <c r="N21"/>
  <c r="M21" s="1"/>
  <c r="K22"/>
  <c r="M22"/>
  <c r="N22"/>
  <c r="K23"/>
  <c r="N23"/>
  <c r="M23" s="1"/>
  <c r="C24"/>
  <c r="D24"/>
  <c r="C23"/>
  <c r="D23"/>
  <c r="C22"/>
  <c r="D22"/>
  <c r="AG51"/>
  <c r="AJ51"/>
  <c r="AI51" s="1"/>
  <c r="AG52"/>
  <c r="AJ52"/>
  <c r="AI52" s="1"/>
  <c r="AG53"/>
  <c r="AJ53"/>
  <c r="AI53" s="1"/>
  <c r="AG54"/>
  <c r="AJ54"/>
  <c r="AI54" s="1"/>
  <c r="AG55"/>
  <c r="AJ55"/>
  <c r="AI55" s="1"/>
  <c r="AG56"/>
  <c r="AJ56"/>
  <c r="AI56" s="1"/>
  <c r="AG57"/>
  <c r="AJ57"/>
  <c r="AI57" s="1"/>
  <c r="AG58"/>
  <c r="AJ58"/>
  <c r="AI58" s="1"/>
  <c r="AG59"/>
  <c r="AJ59"/>
  <c r="AI59" s="1"/>
  <c r="AG60"/>
  <c r="AJ60"/>
  <c r="AI60" s="1"/>
  <c r="AG61"/>
  <c r="AJ61"/>
  <c r="AI61" s="1"/>
  <c r="Y62"/>
  <c r="Z62"/>
  <c r="Y61"/>
  <c r="Z61"/>
  <c r="Y60"/>
  <c r="Z60"/>
  <c r="Y59"/>
  <c r="Z59"/>
  <c r="Y58"/>
  <c r="Z58"/>
  <c r="Y57"/>
  <c r="Z57"/>
  <c r="Y56"/>
  <c r="Z56"/>
  <c r="Y55"/>
  <c r="Z55"/>
  <c r="Y54"/>
  <c r="Z54"/>
  <c r="Y53"/>
  <c r="Z53"/>
  <c r="Y52"/>
  <c r="Z52"/>
  <c r="K20"/>
  <c r="N20"/>
  <c r="M20" s="1"/>
  <c r="AG48"/>
  <c r="AJ48"/>
  <c r="AI48" s="1"/>
  <c r="AG49"/>
  <c r="AJ49"/>
  <c r="AI49" s="1"/>
  <c r="AG50"/>
  <c r="AJ50"/>
  <c r="Y49"/>
  <c r="Z49"/>
  <c r="Y50"/>
  <c r="Z50"/>
  <c r="Y51"/>
  <c r="Z51"/>
  <c r="C21"/>
  <c r="D21"/>
  <c r="AG46"/>
  <c r="AJ46"/>
  <c r="AI46" s="1"/>
  <c r="AG47"/>
  <c r="AJ47"/>
  <c r="Y48"/>
  <c r="Z48"/>
  <c r="Y47"/>
  <c r="Z47"/>
  <c r="K19"/>
  <c r="N19"/>
  <c r="M19" s="1"/>
  <c r="C20"/>
  <c r="D20"/>
  <c r="AG45"/>
  <c r="AJ45"/>
  <c r="AI45" s="1"/>
  <c r="Y46"/>
  <c r="Z46"/>
  <c r="AG44"/>
  <c r="AJ44"/>
  <c r="AI44" s="1"/>
  <c r="Y45"/>
  <c r="Z45"/>
  <c r="AG43"/>
  <c r="AJ43"/>
  <c r="AI43" s="1"/>
  <c r="Y44"/>
  <c r="Z44"/>
  <c r="K18"/>
  <c r="N18"/>
  <c r="M18" s="1"/>
  <c r="C19"/>
  <c r="D19"/>
  <c r="BR13"/>
  <c r="BP13"/>
  <c r="BL13"/>
  <c r="BK13"/>
  <c r="BB13"/>
  <c r="BC13"/>
  <c r="AG41"/>
  <c r="AJ41"/>
  <c r="AI41" s="1"/>
  <c r="AG42"/>
  <c r="AJ42"/>
  <c r="AI42" s="1"/>
  <c r="Y43"/>
  <c r="Z43"/>
  <c r="Y42"/>
  <c r="Z42"/>
  <c r="AG40"/>
  <c r="AJ40"/>
  <c r="Y41"/>
  <c r="Z41"/>
  <c r="AV11"/>
  <c r="AM54" i="4" l="1"/>
  <c r="AN54"/>
  <c r="AM72"/>
  <c r="AN72"/>
  <c r="AM70"/>
  <c r="AN70"/>
  <c r="AM68"/>
  <c r="AN68"/>
  <c r="AM66"/>
  <c r="AN66"/>
  <c r="AM64"/>
  <c r="AN64"/>
  <c r="AM62"/>
  <c r="AN62"/>
  <c r="AM60"/>
  <c r="AN60"/>
  <c r="O28"/>
  <c r="O29"/>
  <c r="AL57"/>
  <c r="AL55"/>
  <c r="AM55" s="1"/>
  <c r="AN56"/>
  <c r="O24"/>
  <c r="P24" s="1"/>
  <c r="AU83"/>
  <c r="AT83"/>
  <c r="AL13"/>
  <c r="O25"/>
  <c r="AM57"/>
  <c r="AN57"/>
  <c r="AN55"/>
  <c r="V24"/>
  <c r="U24"/>
  <c r="AM59"/>
  <c r="AN59"/>
  <c r="P28"/>
  <c r="Q28"/>
  <c r="Q27"/>
  <c r="V27"/>
  <c r="P27"/>
  <c r="U27"/>
  <c r="AN74"/>
  <c r="AM74"/>
  <c r="AL12"/>
  <c r="AL51"/>
  <c r="AN51" s="1"/>
  <c r="AL53"/>
  <c r="BP15"/>
  <c r="BP13"/>
  <c r="O26"/>
  <c r="AN73"/>
  <c r="AN71"/>
  <c r="AN69"/>
  <c r="AN67"/>
  <c r="AN65"/>
  <c r="AN63"/>
  <c r="AO62" s="1"/>
  <c r="AN61"/>
  <c r="BP12"/>
  <c r="BP14"/>
  <c r="AL58"/>
  <c r="AM51"/>
  <c r="AM53"/>
  <c r="AN53"/>
  <c r="AM25"/>
  <c r="AN25"/>
  <c r="AT25" s="1"/>
  <c r="AM23"/>
  <c r="AN23"/>
  <c r="AT23" s="1"/>
  <c r="AM21"/>
  <c r="AN21"/>
  <c r="AT21" s="1"/>
  <c r="AM19"/>
  <c r="AN19"/>
  <c r="AT19" s="1"/>
  <c r="AM17"/>
  <c r="AN17"/>
  <c r="AT17" s="1"/>
  <c r="AM15"/>
  <c r="AN15"/>
  <c r="AT15" s="1"/>
  <c r="AM33"/>
  <c r="AN33"/>
  <c r="AM31"/>
  <c r="AN31"/>
  <c r="AM52"/>
  <c r="AN52"/>
  <c r="O16"/>
  <c r="AL27"/>
  <c r="AN27" s="1"/>
  <c r="O17"/>
  <c r="AL35"/>
  <c r="AN35" s="1"/>
  <c r="AL36"/>
  <c r="AL50"/>
  <c r="AM50" s="1"/>
  <c r="O22"/>
  <c r="O20"/>
  <c r="Q20" s="1"/>
  <c r="O12"/>
  <c r="Q12" s="1"/>
  <c r="O14"/>
  <c r="U14" s="1"/>
  <c r="O13"/>
  <c r="P13" s="1"/>
  <c r="AL48"/>
  <c r="AN48" s="1"/>
  <c r="AL46"/>
  <c r="AN46" s="1"/>
  <c r="AL44"/>
  <c r="AM44" s="1"/>
  <c r="AL42"/>
  <c r="AN42" s="1"/>
  <c r="AL40"/>
  <c r="AN40" s="1"/>
  <c r="AL38"/>
  <c r="AN38" s="1"/>
  <c r="O18"/>
  <c r="Q18" s="1"/>
  <c r="O21"/>
  <c r="Q21" s="1"/>
  <c r="P14"/>
  <c r="U13"/>
  <c r="V13"/>
  <c r="AM48"/>
  <c r="AM46"/>
  <c r="AN44"/>
  <c r="AM42"/>
  <c r="AM40"/>
  <c r="AM38"/>
  <c r="P19"/>
  <c r="Q19"/>
  <c r="V19"/>
  <c r="V18"/>
  <c r="P21"/>
  <c r="V21"/>
  <c r="AN13"/>
  <c r="AM13"/>
  <c r="AM26"/>
  <c r="AN26"/>
  <c r="AM24"/>
  <c r="AN24"/>
  <c r="AM22"/>
  <c r="AN22"/>
  <c r="AM20"/>
  <c r="AN20"/>
  <c r="AM18"/>
  <c r="AN18"/>
  <c r="AM16"/>
  <c r="AN16"/>
  <c r="AM14"/>
  <c r="AN14"/>
  <c r="U15"/>
  <c r="P15"/>
  <c r="V15"/>
  <c r="Q15"/>
  <c r="P16"/>
  <c r="U16"/>
  <c r="Q16"/>
  <c r="V16"/>
  <c r="AN29"/>
  <c r="AM29"/>
  <c r="AM34"/>
  <c r="AN34"/>
  <c r="AM32"/>
  <c r="AN32"/>
  <c r="AM30"/>
  <c r="AN30"/>
  <c r="P17"/>
  <c r="U17"/>
  <c r="Q17"/>
  <c r="V17"/>
  <c r="AM35"/>
  <c r="AM49"/>
  <c r="AN49"/>
  <c r="AM47"/>
  <c r="AN47"/>
  <c r="AM45"/>
  <c r="AN45"/>
  <c r="AM43"/>
  <c r="AN43"/>
  <c r="AM41"/>
  <c r="AN41"/>
  <c r="AM39"/>
  <c r="AN39"/>
  <c r="AM37"/>
  <c r="AN37"/>
  <c r="AM36"/>
  <c r="AN36"/>
  <c r="P22"/>
  <c r="Q22"/>
  <c r="V22"/>
  <c r="P20"/>
  <c r="V20"/>
  <c r="AU23"/>
  <c r="AU19"/>
  <c r="AU15"/>
  <c r="AL28"/>
  <c r="O23"/>
  <c r="U23" s="1"/>
  <c r="U22"/>
  <c r="U21"/>
  <c r="U19"/>
  <c r="U18"/>
  <c r="AN12"/>
  <c r="AI12"/>
  <c r="AI13" s="1"/>
  <c r="AI14" s="1"/>
  <c r="AI15" s="1"/>
  <c r="AI16" s="1"/>
  <c r="AI17" s="1"/>
  <c r="AI18" s="1"/>
  <c r="AI19" s="1"/>
  <c r="AI20" s="1"/>
  <c r="AI21" s="1"/>
  <c r="AI22" s="1"/>
  <c r="AI23" s="1"/>
  <c r="AI24" s="1"/>
  <c r="AI25" s="1"/>
  <c r="AI26" s="1"/>
  <c r="AI27" s="1"/>
  <c r="AI28" s="1"/>
  <c r="AI29" s="1"/>
  <c r="AI30" s="1"/>
  <c r="AI31" s="1"/>
  <c r="AI32" s="1"/>
  <c r="AI33" s="1"/>
  <c r="AI34" s="1"/>
  <c r="AI35" s="1"/>
  <c r="AI36" s="1"/>
  <c r="AI37" s="1"/>
  <c r="AI38" s="1"/>
  <c r="AI39" s="1"/>
  <c r="AI40" s="1"/>
  <c r="AI41" s="1"/>
  <c r="AI42" s="1"/>
  <c r="AI43" s="1"/>
  <c r="AI44" s="1"/>
  <c r="AI45" s="1"/>
  <c r="AI46" s="1"/>
  <c r="AI47" s="1"/>
  <c r="AI48" s="1"/>
  <c r="AI49" s="1"/>
  <c r="AI50" s="1"/>
  <c r="AI51" s="1"/>
  <c r="AI52" s="1"/>
  <c r="AI53" s="1"/>
  <c r="AI54" s="1"/>
  <c r="AI55" s="1"/>
  <c r="AI56" s="1"/>
  <c r="AI57" s="1"/>
  <c r="AI58" s="1"/>
  <c r="AI59" s="1"/>
  <c r="AI60" s="1"/>
  <c r="AI61" s="1"/>
  <c r="AI62" s="1"/>
  <c r="AI63" s="1"/>
  <c r="AI64" s="1"/>
  <c r="AI65" s="1"/>
  <c r="AI66" s="1"/>
  <c r="AI67" s="1"/>
  <c r="AI68" s="1"/>
  <c r="AI69" s="1"/>
  <c r="AI70" s="1"/>
  <c r="AI71" s="1"/>
  <c r="AI72" s="1"/>
  <c r="AI73" s="1"/>
  <c r="AI74" s="1"/>
  <c r="AI75" s="1"/>
  <c r="AI76" s="1"/>
  <c r="AI77" s="1"/>
  <c r="AI78" s="1"/>
  <c r="AI79" s="1"/>
  <c r="AI80" s="1"/>
  <c r="AI81" s="1"/>
  <c r="AI82" s="1"/>
  <c r="AI83" s="1"/>
  <c r="AI84" s="1"/>
  <c r="AI85" s="1"/>
  <c r="AI86" s="1"/>
  <c r="AI87" s="1"/>
  <c r="AI88" s="1"/>
  <c r="AI89" s="1"/>
  <c r="AI90" s="1"/>
  <c r="AI91" s="1"/>
  <c r="AI92" s="1"/>
  <c r="AI93" s="1"/>
  <c r="AI94" s="1"/>
  <c r="AI95" s="1"/>
  <c r="AI96" s="1"/>
  <c r="AI97" s="1"/>
  <c r="AI98" s="1"/>
  <c r="AI99" s="1"/>
  <c r="AI100" s="1"/>
  <c r="AI101" s="1"/>
  <c r="AM12"/>
  <c r="L12"/>
  <c r="L13" s="1"/>
  <c r="L14" s="1"/>
  <c r="L15" s="1"/>
  <c r="L16" s="1"/>
  <c r="L17" s="1"/>
  <c r="L18" s="1"/>
  <c r="L19" s="1"/>
  <c r="L20" s="1"/>
  <c r="L21" s="1"/>
  <c r="L22" s="1"/>
  <c r="L23" s="1"/>
  <c r="L24" s="1"/>
  <c r="L25" s="1"/>
  <c r="L26" s="1"/>
  <c r="L27" s="1"/>
  <c r="L28" s="1"/>
  <c r="L29" s="1"/>
  <c r="L30" s="1"/>
  <c r="L31" s="1"/>
  <c r="L32" s="1"/>
  <c r="L33" s="1"/>
  <c r="L34" s="1"/>
  <c r="U12"/>
  <c r="V12"/>
  <c r="AN39" i="1"/>
  <c r="Q12"/>
  <c r="AM13"/>
  <c r="AN13"/>
  <c r="AN14"/>
  <c r="AM14"/>
  <c r="AM15"/>
  <c r="AN15"/>
  <c r="AN16"/>
  <c r="AM16"/>
  <c r="AM17"/>
  <c r="AN17"/>
  <c r="AN18"/>
  <c r="AM18"/>
  <c r="AM19"/>
  <c r="AN19"/>
  <c r="L108" i="8"/>
  <c r="L105"/>
  <c r="L102"/>
  <c r="L99"/>
  <c r="L96"/>
  <c r="L93"/>
  <c r="L90"/>
  <c r="L87"/>
  <c r="L84"/>
  <c r="L81"/>
  <c r="L78"/>
  <c r="L75"/>
  <c r="L72"/>
  <c r="L66"/>
  <c r="L60"/>
  <c r="L54"/>
  <c r="L48"/>
  <c r="L42"/>
  <c r="L36"/>
  <c r="L30"/>
  <c r="L24"/>
  <c r="L18"/>
  <c r="L12"/>
  <c r="L69"/>
  <c r="L63"/>
  <c r="L57"/>
  <c r="L51"/>
  <c r="L45"/>
  <c r="L39"/>
  <c r="L33"/>
  <c r="L27"/>
  <c r="L21"/>
  <c r="L15"/>
  <c r="L9"/>
  <c r="L6"/>
  <c r="L3"/>
  <c r="I3"/>
  <c r="N108"/>
  <c r="N105"/>
  <c r="N102"/>
  <c r="N99"/>
  <c r="N96"/>
  <c r="N93"/>
  <c r="N90"/>
  <c r="N87"/>
  <c r="N84"/>
  <c r="N81"/>
  <c r="N78"/>
  <c r="N75"/>
  <c r="N73"/>
  <c r="N72"/>
  <c r="N67"/>
  <c r="N66"/>
  <c r="N61"/>
  <c r="N60"/>
  <c r="N55"/>
  <c r="N54"/>
  <c r="N49"/>
  <c r="N48"/>
  <c r="N43"/>
  <c r="N42"/>
  <c r="N37"/>
  <c r="N36"/>
  <c r="N31"/>
  <c r="N30"/>
  <c r="N25"/>
  <c r="N24"/>
  <c r="N19"/>
  <c r="N18"/>
  <c r="N13"/>
  <c r="N12"/>
  <c r="N7"/>
  <c r="N109"/>
  <c r="N106"/>
  <c r="N103"/>
  <c r="N100"/>
  <c r="N97"/>
  <c r="N94"/>
  <c r="N91"/>
  <c r="N88"/>
  <c r="N85"/>
  <c r="N82"/>
  <c r="N79"/>
  <c r="N76"/>
  <c r="N70"/>
  <c r="N69"/>
  <c r="N64"/>
  <c r="N63"/>
  <c r="N58"/>
  <c r="N57"/>
  <c r="N52"/>
  <c r="N51"/>
  <c r="N46"/>
  <c r="N45"/>
  <c r="N40"/>
  <c r="N39"/>
  <c r="N34"/>
  <c r="N33"/>
  <c r="N28"/>
  <c r="N27"/>
  <c r="N22"/>
  <c r="N21"/>
  <c r="N16"/>
  <c r="N15"/>
  <c r="N10"/>
  <c r="N9"/>
  <c r="N3"/>
  <c r="N6"/>
  <c r="AL83" i="6"/>
  <c r="AM83"/>
  <c r="AK84"/>
  <c r="AK49"/>
  <c r="O28"/>
  <c r="P28" s="1"/>
  <c r="AK47"/>
  <c r="O20"/>
  <c r="P20" s="1"/>
  <c r="AK48"/>
  <c r="AK51"/>
  <c r="BA51" s="1"/>
  <c r="AK52"/>
  <c r="AK53"/>
  <c r="BA53" s="1"/>
  <c r="AK54"/>
  <c r="AK55"/>
  <c r="BA55" s="1"/>
  <c r="AK56"/>
  <c r="AK57"/>
  <c r="AL57" s="1"/>
  <c r="AK58"/>
  <c r="AK59"/>
  <c r="AL59" s="1"/>
  <c r="AK60"/>
  <c r="AK61"/>
  <c r="AL61" s="1"/>
  <c r="O21"/>
  <c r="O22"/>
  <c r="P22" s="1"/>
  <c r="O23"/>
  <c r="AK62"/>
  <c r="AL62" s="1"/>
  <c r="AK72"/>
  <c r="O26"/>
  <c r="P26" s="1"/>
  <c r="AK73"/>
  <c r="AK75"/>
  <c r="AL75" s="1"/>
  <c r="AK76"/>
  <c r="AK77"/>
  <c r="AM77" s="1"/>
  <c r="AK74"/>
  <c r="AK43"/>
  <c r="AZ43" s="1"/>
  <c r="AK44"/>
  <c r="AK45"/>
  <c r="AZ45" s="1"/>
  <c r="AK46"/>
  <c r="AK50"/>
  <c r="AL50" s="1"/>
  <c r="AK63"/>
  <c r="AK64"/>
  <c r="AL64" s="1"/>
  <c r="O24"/>
  <c r="AK65"/>
  <c r="AM65" s="1"/>
  <c r="AK66"/>
  <c r="AL66" s="1"/>
  <c r="O25"/>
  <c r="P25" s="1"/>
  <c r="O27"/>
  <c r="AK78"/>
  <c r="AL78" s="1"/>
  <c r="AL72"/>
  <c r="AM72"/>
  <c r="AM73"/>
  <c r="AL73"/>
  <c r="AM75"/>
  <c r="AL76"/>
  <c r="AM76"/>
  <c r="AL77"/>
  <c r="AL74"/>
  <c r="AM74"/>
  <c r="AK67"/>
  <c r="AK68"/>
  <c r="AL68" s="1"/>
  <c r="AK69"/>
  <c r="AK70"/>
  <c r="AM70" s="1"/>
  <c r="AK71"/>
  <c r="AL47"/>
  <c r="AZ47"/>
  <c r="AM47"/>
  <c r="BA47"/>
  <c r="Q20"/>
  <c r="AZ49"/>
  <c r="AM49"/>
  <c r="BA49"/>
  <c r="AL49"/>
  <c r="AL48"/>
  <c r="AZ48"/>
  <c r="BA48"/>
  <c r="AM48"/>
  <c r="AM51"/>
  <c r="AL51"/>
  <c r="BA52"/>
  <c r="AL52"/>
  <c r="AZ52"/>
  <c r="AM52"/>
  <c r="AM53"/>
  <c r="AL53"/>
  <c r="BA54"/>
  <c r="AL54"/>
  <c r="AZ54"/>
  <c r="AM54"/>
  <c r="AM55"/>
  <c r="AL55"/>
  <c r="BA56"/>
  <c r="AL56"/>
  <c r="AZ56"/>
  <c r="AM56"/>
  <c r="BA57"/>
  <c r="AM57"/>
  <c r="BA58"/>
  <c r="AM58"/>
  <c r="AZ58"/>
  <c r="AL58"/>
  <c r="BA59"/>
  <c r="AZ59"/>
  <c r="BA60"/>
  <c r="AL60"/>
  <c r="AZ60"/>
  <c r="AM60"/>
  <c r="BA61"/>
  <c r="AM61"/>
  <c r="P21"/>
  <c r="Q21"/>
  <c r="Q22"/>
  <c r="P23"/>
  <c r="Q23"/>
  <c r="AM62"/>
  <c r="AL67"/>
  <c r="AM67"/>
  <c r="AM68"/>
  <c r="AM69"/>
  <c r="AL69"/>
  <c r="Q25"/>
  <c r="AL70"/>
  <c r="AL71"/>
  <c r="AM71"/>
  <c r="P27"/>
  <c r="Q27"/>
  <c r="AM43"/>
  <c r="AL43"/>
  <c r="AZ44"/>
  <c r="AL44"/>
  <c r="BA44"/>
  <c r="AM44"/>
  <c r="AM45"/>
  <c r="AL45"/>
  <c r="AZ46"/>
  <c r="AL46"/>
  <c r="BA46"/>
  <c r="AM46"/>
  <c r="AZ50"/>
  <c r="AM50"/>
  <c r="AM63"/>
  <c r="AL63"/>
  <c r="AM64"/>
  <c r="P24"/>
  <c r="Q24"/>
  <c r="AL65"/>
  <c r="Q26"/>
  <c r="AI40"/>
  <c r="AK41"/>
  <c r="AI47"/>
  <c r="Q28"/>
  <c r="AK42"/>
  <c r="O19"/>
  <c r="AI50"/>
  <c r="AM66"/>
  <c r="AM41"/>
  <c r="AL42"/>
  <c r="BP12"/>
  <c r="BR12"/>
  <c r="BK12"/>
  <c r="BL12"/>
  <c r="BB12"/>
  <c r="BC12"/>
  <c r="K17"/>
  <c r="N17"/>
  <c r="M17" s="1"/>
  <c r="C18"/>
  <c r="D18"/>
  <c r="O18" s="1"/>
  <c r="K15"/>
  <c r="N15"/>
  <c r="M15" s="1"/>
  <c r="K16"/>
  <c r="N16"/>
  <c r="M16" s="1"/>
  <c r="C17"/>
  <c r="D17"/>
  <c r="C16"/>
  <c r="D16"/>
  <c r="AG27"/>
  <c r="AJ27"/>
  <c r="AG28"/>
  <c r="AJ28"/>
  <c r="AG29"/>
  <c r="AJ29"/>
  <c r="AG30"/>
  <c r="AJ30"/>
  <c r="AG31"/>
  <c r="AJ31"/>
  <c r="AG32"/>
  <c r="AJ32"/>
  <c r="AG33"/>
  <c r="AJ33"/>
  <c r="AG34"/>
  <c r="AJ34"/>
  <c r="AG35"/>
  <c r="AJ35"/>
  <c r="AG36"/>
  <c r="AJ36"/>
  <c r="AG37"/>
  <c r="AJ37"/>
  <c r="AG38"/>
  <c r="AJ38"/>
  <c r="AG39"/>
  <c r="AJ39"/>
  <c r="Y40"/>
  <c r="Z40"/>
  <c r="AK40" s="1"/>
  <c r="Y39"/>
  <c r="Z39"/>
  <c r="Y38"/>
  <c r="Z38"/>
  <c r="Y37"/>
  <c r="Z37"/>
  <c r="Y36"/>
  <c r="Z36"/>
  <c r="Y35"/>
  <c r="Z35"/>
  <c r="Y34"/>
  <c r="Z34"/>
  <c r="Y33"/>
  <c r="Z33"/>
  <c r="Y32"/>
  <c r="Z32"/>
  <c r="Y31"/>
  <c r="Z31"/>
  <c r="Y30"/>
  <c r="Z30"/>
  <c r="Y29"/>
  <c r="Z29"/>
  <c r="Y28"/>
  <c r="Z28"/>
  <c r="AG26"/>
  <c r="AJ26"/>
  <c r="Y27"/>
  <c r="Z27"/>
  <c r="AG21"/>
  <c r="AJ21"/>
  <c r="AG22"/>
  <c r="AJ22"/>
  <c r="AG23"/>
  <c r="AJ23"/>
  <c r="AG24"/>
  <c r="AJ24"/>
  <c r="AG25"/>
  <c r="AJ25"/>
  <c r="AG20"/>
  <c r="AJ20"/>
  <c r="Q11" i="8" s="1"/>
  <c r="S11" s="1"/>
  <c r="T11" s="1"/>
  <c r="K13" i="6"/>
  <c r="N13"/>
  <c r="M13" s="1"/>
  <c r="K14"/>
  <c r="N14"/>
  <c r="M14" s="1"/>
  <c r="C14"/>
  <c r="D14"/>
  <c r="C15"/>
  <c r="D15"/>
  <c r="Y25"/>
  <c r="Z25"/>
  <c r="Y26"/>
  <c r="Z26"/>
  <c r="Y22"/>
  <c r="Z22"/>
  <c r="Y23"/>
  <c r="Z23"/>
  <c r="Y24"/>
  <c r="Z24"/>
  <c r="Y21"/>
  <c r="Z21"/>
  <c r="AG18"/>
  <c r="AJ18"/>
  <c r="AG19"/>
  <c r="AJ19"/>
  <c r="Z20"/>
  <c r="Y20"/>
  <c r="N12"/>
  <c r="M12" s="1"/>
  <c r="K12"/>
  <c r="C13"/>
  <c r="D13"/>
  <c r="Y19"/>
  <c r="Z19"/>
  <c r="AG17"/>
  <c r="AJ17"/>
  <c r="Y18"/>
  <c r="Z18"/>
  <c r="AG14"/>
  <c r="AJ14"/>
  <c r="AG15"/>
  <c r="AJ15"/>
  <c r="AG16"/>
  <c r="AJ16"/>
  <c r="Z17"/>
  <c r="Y17"/>
  <c r="BI11"/>
  <c r="BH11"/>
  <c r="Y13"/>
  <c r="Z13"/>
  <c r="Y14"/>
  <c r="Z14"/>
  <c r="Y15"/>
  <c r="Z15"/>
  <c r="Y16"/>
  <c r="Z16"/>
  <c r="AK15" s="1"/>
  <c r="AG13"/>
  <c r="AJ13"/>
  <c r="AJ12"/>
  <c r="Q3" i="8" s="1"/>
  <c r="S3" s="1"/>
  <c r="T3" s="1"/>
  <c r="AG12" i="6"/>
  <c r="AH12"/>
  <c r="D12"/>
  <c r="C12"/>
  <c r="BR11"/>
  <c r="BP11"/>
  <c r="BL11"/>
  <c r="BK11"/>
  <c r="BC11"/>
  <c r="BB11"/>
  <c r="Z12"/>
  <c r="Y12"/>
  <c r="AP62" i="4"/>
  <c r="AT37" l="1"/>
  <c r="AU37"/>
  <c r="AT39"/>
  <c r="AU39"/>
  <c r="AT41"/>
  <c r="AU41"/>
  <c r="AT43"/>
  <c r="AU43"/>
  <c r="AT45"/>
  <c r="AU45"/>
  <c r="AT47"/>
  <c r="AU47"/>
  <c r="AT49"/>
  <c r="AU49"/>
  <c r="AT38"/>
  <c r="AU38"/>
  <c r="AT42"/>
  <c r="AU42"/>
  <c r="AT46"/>
  <c r="AU46"/>
  <c r="AT61"/>
  <c r="AU61"/>
  <c r="AT65"/>
  <c r="AU65"/>
  <c r="AT69"/>
  <c r="AU69"/>
  <c r="AT73"/>
  <c r="AU73"/>
  <c r="AT74"/>
  <c r="AU74"/>
  <c r="AT56"/>
  <c r="AU56"/>
  <c r="V28"/>
  <c r="U28"/>
  <c r="P18"/>
  <c r="Q14"/>
  <c r="Q24"/>
  <c r="AT44"/>
  <c r="AU44"/>
  <c r="AT40"/>
  <c r="AU40"/>
  <c r="AT48"/>
  <c r="AU48"/>
  <c r="AT52"/>
  <c r="AU52"/>
  <c r="AT53"/>
  <c r="AU53"/>
  <c r="AT63"/>
  <c r="AU63"/>
  <c r="AT67"/>
  <c r="AU67"/>
  <c r="AT71"/>
  <c r="AU71"/>
  <c r="AT51"/>
  <c r="AU51"/>
  <c r="AT59"/>
  <c r="AU59"/>
  <c r="AT55"/>
  <c r="AU55"/>
  <c r="AT57"/>
  <c r="AU57"/>
  <c r="P25"/>
  <c r="U25"/>
  <c r="Q25"/>
  <c r="V25"/>
  <c r="P29"/>
  <c r="V29"/>
  <c r="U29"/>
  <c r="Q29"/>
  <c r="AT60"/>
  <c r="AU60"/>
  <c r="AT62"/>
  <c r="AU62"/>
  <c r="AT64"/>
  <c r="AU64"/>
  <c r="AT66"/>
  <c r="AU66"/>
  <c r="AT68"/>
  <c r="AU68"/>
  <c r="AT70"/>
  <c r="AU70"/>
  <c r="AT72"/>
  <c r="AU72"/>
  <c r="AT54"/>
  <c r="AU54"/>
  <c r="AN58"/>
  <c r="AM58"/>
  <c r="P26"/>
  <c r="V26"/>
  <c r="Q26"/>
  <c r="U26"/>
  <c r="AM27"/>
  <c r="V14"/>
  <c r="AU31"/>
  <c r="AT31"/>
  <c r="AU33"/>
  <c r="AT33"/>
  <c r="P12"/>
  <c r="U20"/>
  <c r="AN50"/>
  <c r="AU17"/>
  <c r="AU21"/>
  <c r="AU25"/>
  <c r="Q13"/>
  <c r="P23"/>
  <c r="Q23"/>
  <c r="V23"/>
  <c r="AT36"/>
  <c r="AU36"/>
  <c r="AT30"/>
  <c r="AU30"/>
  <c r="AT32"/>
  <c r="AU32"/>
  <c r="AT34"/>
  <c r="AU34"/>
  <c r="AT14"/>
  <c r="AU14"/>
  <c r="AT16"/>
  <c r="AU16"/>
  <c r="AT18"/>
  <c r="AU18"/>
  <c r="AT20"/>
  <c r="AU20"/>
  <c r="AT22"/>
  <c r="AU22"/>
  <c r="AT24"/>
  <c r="AU24"/>
  <c r="AT26"/>
  <c r="AU26"/>
  <c r="AU12"/>
  <c r="AT12"/>
  <c r="AN28"/>
  <c r="AM28"/>
  <c r="AT35"/>
  <c r="AU35"/>
  <c r="AT29"/>
  <c r="AU29"/>
  <c r="AT27"/>
  <c r="AU27"/>
  <c r="AT13"/>
  <c r="AU13"/>
  <c r="AS12"/>
  <c r="AQ62"/>
  <c r="AR12"/>
  <c r="L7" i="8"/>
  <c r="M7" s="1"/>
  <c r="M6"/>
  <c r="M15"/>
  <c r="L16"/>
  <c r="M16" s="1"/>
  <c r="M27"/>
  <c r="L28"/>
  <c r="M28" s="1"/>
  <c r="M39"/>
  <c r="L40"/>
  <c r="M40" s="1"/>
  <c r="M51"/>
  <c r="L52"/>
  <c r="M52" s="1"/>
  <c r="M63"/>
  <c r="L64"/>
  <c r="M64" s="1"/>
  <c r="L13"/>
  <c r="M13" s="1"/>
  <c r="M12"/>
  <c r="L25"/>
  <c r="M25" s="1"/>
  <c r="M24"/>
  <c r="L37"/>
  <c r="M37" s="1"/>
  <c r="M36"/>
  <c r="L49"/>
  <c r="M49" s="1"/>
  <c r="M48"/>
  <c r="L61"/>
  <c r="M61" s="1"/>
  <c r="M60"/>
  <c r="L73"/>
  <c r="M73" s="1"/>
  <c r="M72"/>
  <c r="L79"/>
  <c r="M79" s="1"/>
  <c r="M78"/>
  <c r="L85"/>
  <c r="M85" s="1"/>
  <c r="M84"/>
  <c r="L91"/>
  <c r="M91" s="1"/>
  <c r="M90"/>
  <c r="L97"/>
  <c r="M97" s="1"/>
  <c r="M96"/>
  <c r="L103"/>
  <c r="M103" s="1"/>
  <c r="M102"/>
  <c r="L109"/>
  <c r="M109" s="1"/>
  <c r="M108"/>
  <c r="L4"/>
  <c r="M4" s="1"/>
  <c r="M3"/>
  <c r="M9"/>
  <c r="L10"/>
  <c r="M10" s="1"/>
  <c r="M21"/>
  <c r="L22"/>
  <c r="M22" s="1"/>
  <c r="M33"/>
  <c r="L34"/>
  <c r="M34" s="1"/>
  <c r="M45"/>
  <c r="L46"/>
  <c r="M46" s="1"/>
  <c r="M57"/>
  <c r="L58"/>
  <c r="M58" s="1"/>
  <c r="M69"/>
  <c r="L70"/>
  <c r="M70" s="1"/>
  <c r="L19"/>
  <c r="M19" s="1"/>
  <c r="M18"/>
  <c r="L31"/>
  <c r="M31" s="1"/>
  <c r="M30"/>
  <c r="L43"/>
  <c r="M43" s="1"/>
  <c r="M42"/>
  <c r="L55"/>
  <c r="M55" s="1"/>
  <c r="M54"/>
  <c r="L67"/>
  <c r="M67" s="1"/>
  <c r="M66"/>
  <c r="L76"/>
  <c r="M76" s="1"/>
  <c r="M75"/>
  <c r="L82"/>
  <c r="M82" s="1"/>
  <c r="M81"/>
  <c r="L88"/>
  <c r="M88" s="1"/>
  <c r="M87"/>
  <c r="L94"/>
  <c r="M94" s="1"/>
  <c r="M93"/>
  <c r="L100"/>
  <c r="M100" s="1"/>
  <c r="M99"/>
  <c r="L106"/>
  <c r="M106" s="1"/>
  <c r="M105"/>
  <c r="AL84" i="6"/>
  <c r="AM84"/>
  <c r="AO81" s="1"/>
  <c r="AP81" s="1"/>
  <c r="AN81"/>
  <c r="BA50"/>
  <c r="BA45"/>
  <c r="BA43"/>
  <c r="AZ61"/>
  <c r="AM59"/>
  <c r="AZ57"/>
  <c r="AZ55"/>
  <c r="AZ53"/>
  <c r="AZ51"/>
  <c r="AM78"/>
  <c r="AI12"/>
  <c r="AK22"/>
  <c r="AL22" s="1"/>
  <c r="AI16"/>
  <c r="Q7" i="8"/>
  <c r="S7" s="1"/>
  <c r="T7" s="1"/>
  <c r="AI15" i="6"/>
  <c r="Q6" i="8"/>
  <c r="S6" s="1"/>
  <c r="T6" s="1"/>
  <c r="AI14" i="6"/>
  <c r="Q5" i="8"/>
  <c r="S5" s="1"/>
  <c r="T5" s="1"/>
  <c r="AI17" i="6"/>
  <c r="Q8" i="8"/>
  <c r="S8" s="1"/>
  <c r="T8" s="1"/>
  <c r="AI19" i="6"/>
  <c r="Q10" i="8"/>
  <c r="S10" s="1"/>
  <c r="T10" s="1"/>
  <c r="AI18" i="6"/>
  <c r="Q9" i="8"/>
  <c r="S9" s="1"/>
  <c r="T9" s="1"/>
  <c r="AZ42" i="6"/>
  <c r="BA42"/>
  <c r="AZ41"/>
  <c r="BA41"/>
  <c r="P18"/>
  <c r="Q18"/>
  <c r="AI13"/>
  <c r="Q4" i="8"/>
  <c r="S4" s="1"/>
  <c r="T4" s="1"/>
  <c r="AI25" i="6"/>
  <c r="AI24"/>
  <c r="AI23"/>
  <c r="AI21"/>
  <c r="Q12" i="8"/>
  <c r="S12" s="1"/>
  <c r="T12" s="1"/>
  <c r="AI26" i="6"/>
  <c r="AZ40"/>
  <c r="BA40"/>
  <c r="AI39"/>
  <c r="AI38"/>
  <c r="AI37"/>
  <c r="AI36"/>
  <c r="AI35"/>
  <c r="AI34"/>
  <c r="AI33"/>
  <c r="AI32"/>
  <c r="AI31"/>
  <c r="AI30"/>
  <c r="AI29"/>
  <c r="AI28"/>
  <c r="AI27"/>
  <c r="P19"/>
  <c r="Q19"/>
  <c r="AO43"/>
  <c r="AN43"/>
  <c r="AO53"/>
  <c r="AN53"/>
  <c r="AO48"/>
  <c r="AN48"/>
  <c r="AK21"/>
  <c r="AL21" s="1"/>
  <c r="AQ12"/>
  <c r="AK20"/>
  <c r="BA20" s="1"/>
  <c r="AI20"/>
  <c r="AI22"/>
  <c r="AK26"/>
  <c r="O17"/>
  <c r="P17" s="1"/>
  <c r="AM42"/>
  <c r="AL41"/>
  <c r="Q17"/>
  <c r="BA21"/>
  <c r="AM21"/>
  <c r="R12" i="8" s="1"/>
  <c r="U12" s="1"/>
  <c r="BA15" i="6"/>
  <c r="AZ15"/>
  <c r="AZ20"/>
  <c r="BA22"/>
  <c r="BA26"/>
  <c r="AZ26"/>
  <c r="AL40"/>
  <c r="AM40"/>
  <c r="AK28"/>
  <c r="AL28" s="1"/>
  <c r="AK30"/>
  <c r="AK32"/>
  <c r="AM32" s="1"/>
  <c r="AK34"/>
  <c r="AK36"/>
  <c r="AM36" s="1"/>
  <c r="AK38"/>
  <c r="AK24"/>
  <c r="AM24" s="1"/>
  <c r="AK25"/>
  <c r="AK23"/>
  <c r="AL23" s="1"/>
  <c r="AK39"/>
  <c r="AL39" s="1"/>
  <c r="AK37"/>
  <c r="AL37" s="1"/>
  <c r="AK35"/>
  <c r="AK33"/>
  <c r="AM33" s="1"/>
  <c r="AK31"/>
  <c r="AL31" s="1"/>
  <c r="AK29"/>
  <c r="AM29" s="1"/>
  <c r="AK27"/>
  <c r="AR12"/>
  <c r="AM25"/>
  <c r="AM23"/>
  <c r="AM37"/>
  <c r="AL35"/>
  <c r="AL33"/>
  <c r="AL29"/>
  <c r="AL27"/>
  <c r="AM20"/>
  <c r="R11" i="8" s="1"/>
  <c r="U11" s="1"/>
  <c r="W11" s="1"/>
  <c r="AM26" i="6"/>
  <c r="AL26"/>
  <c r="AL30"/>
  <c r="AM30"/>
  <c r="AL34"/>
  <c r="AM34"/>
  <c r="AM38"/>
  <c r="AL38"/>
  <c r="O14"/>
  <c r="P14" s="1"/>
  <c r="O15"/>
  <c r="P15" s="1"/>
  <c r="O16"/>
  <c r="P16" s="1"/>
  <c r="AK14"/>
  <c r="AL14" s="1"/>
  <c r="Q16"/>
  <c r="AK19"/>
  <c r="AK17"/>
  <c r="AK18"/>
  <c r="O13"/>
  <c r="P13" s="1"/>
  <c r="AM15"/>
  <c r="R6" i="8" s="1"/>
  <c r="U6" s="1"/>
  <c r="V6" s="1"/>
  <c r="AL15" i="6"/>
  <c r="AM19"/>
  <c r="R10" i="8" s="1"/>
  <c r="U10" s="1"/>
  <c r="V10" s="1"/>
  <c r="AH13" i="6"/>
  <c r="AK16"/>
  <c r="AH14"/>
  <c r="AH15" s="1"/>
  <c r="AH16" s="1"/>
  <c r="AH17" s="1"/>
  <c r="AH18" s="1"/>
  <c r="AH19" s="1"/>
  <c r="AH20" s="1"/>
  <c r="AH21" s="1"/>
  <c r="AH22" s="1"/>
  <c r="AH23" s="1"/>
  <c r="AH24" s="1"/>
  <c r="AH25" s="1"/>
  <c r="AH26" s="1"/>
  <c r="AH27" s="1"/>
  <c r="AH28" s="1"/>
  <c r="AH29" s="1"/>
  <c r="AH30" s="1"/>
  <c r="AH31" s="1"/>
  <c r="AH32" s="1"/>
  <c r="AH33" s="1"/>
  <c r="AH34" s="1"/>
  <c r="AH35" s="1"/>
  <c r="AH36" s="1"/>
  <c r="AH37" s="1"/>
  <c r="AH38" s="1"/>
  <c r="AH39" s="1"/>
  <c r="AH40" s="1"/>
  <c r="AH41" s="1"/>
  <c r="AH42" s="1"/>
  <c r="AH43" s="1"/>
  <c r="AH44" s="1"/>
  <c r="AH45" s="1"/>
  <c r="AH46" s="1"/>
  <c r="AH47" s="1"/>
  <c r="AH48" s="1"/>
  <c r="AH49" s="1"/>
  <c r="AH50" s="1"/>
  <c r="AH51" s="1"/>
  <c r="AH52" s="1"/>
  <c r="AH53" s="1"/>
  <c r="AH54" s="1"/>
  <c r="AH55" s="1"/>
  <c r="AH56" s="1"/>
  <c r="AH57" s="1"/>
  <c r="AH58" s="1"/>
  <c r="AH59" s="1"/>
  <c r="AH60" s="1"/>
  <c r="AH61" s="1"/>
  <c r="AH62" s="1"/>
  <c r="AH63" s="1"/>
  <c r="AH64" s="1"/>
  <c r="AH65" s="1"/>
  <c r="AH66" s="1"/>
  <c r="AH67" s="1"/>
  <c r="AH68" s="1"/>
  <c r="AH69" s="1"/>
  <c r="AH70" s="1"/>
  <c r="AH71" s="1"/>
  <c r="AH72" s="1"/>
  <c r="AH73" s="1"/>
  <c r="AH74" s="1"/>
  <c r="AH75" s="1"/>
  <c r="AH76" s="1"/>
  <c r="AH77" s="1"/>
  <c r="AH78" s="1"/>
  <c r="O12"/>
  <c r="P12" s="1"/>
  <c r="AK13"/>
  <c r="L12"/>
  <c r="L13" s="1"/>
  <c r="L14" s="1"/>
  <c r="L15" s="1"/>
  <c r="L16" s="1"/>
  <c r="L17" s="1"/>
  <c r="L18" s="1"/>
  <c r="L19" s="1"/>
  <c r="L20" s="1"/>
  <c r="L21" s="1"/>
  <c r="L22" s="1"/>
  <c r="L23" s="1"/>
  <c r="L24" s="1"/>
  <c r="L25" s="1"/>
  <c r="L26" s="1"/>
  <c r="L27" s="1"/>
  <c r="L28" s="1"/>
  <c r="AM13"/>
  <c r="R4" i="8" s="1"/>
  <c r="U4" s="1"/>
  <c r="AK12" i="6"/>
  <c r="AT50" i="4" l="1"/>
  <c r="AU50"/>
  <c r="AO57"/>
  <c r="AT58"/>
  <c r="AU58"/>
  <c r="AT28"/>
  <c r="AU28"/>
  <c r="R12"/>
  <c r="S12"/>
  <c r="V4" i="8"/>
  <c r="W12"/>
  <c r="V12"/>
  <c r="W4"/>
  <c r="W10"/>
  <c r="W6"/>
  <c r="V11"/>
  <c r="O106"/>
  <c r="P106"/>
  <c r="O100"/>
  <c r="P100"/>
  <c r="O94"/>
  <c r="P94"/>
  <c r="O88"/>
  <c r="P88"/>
  <c r="O82"/>
  <c r="P82"/>
  <c r="O76"/>
  <c r="P76"/>
  <c r="P67"/>
  <c r="O67"/>
  <c r="P55"/>
  <c r="O55"/>
  <c r="P43"/>
  <c r="O43"/>
  <c r="P31"/>
  <c r="O31"/>
  <c r="P19"/>
  <c r="O19"/>
  <c r="O69"/>
  <c r="P69"/>
  <c r="O57"/>
  <c r="P57"/>
  <c r="O45"/>
  <c r="P45"/>
  <c r="O33"/>
  <c r="P33"/>
  <c r="O21"/>
  <c r="P21"/>
  <c r="O9"/>
  <c r="P9"/>
  <c r="O4"/>
  <c r="P4"/>
  <c r="O109"/>
  <c r="P109"/>
  <c r="O103"/>
  <c r="P103"/>
  <c r="O97"/>
  <c r="P97"/>
  <c r="O91"/>
  <c r="P91"/>
  <c r="O85"/>
  <c r="P85"/>
  <c r="O79"/>
  <c r="P79"/>
  <c r="P73"/>
  <c r="O73"/>
  <c r="P61"/>
  <c r="O61"/>
  <c r="P49"/>
  <c r="O49"/>
  <c r="P37"/>
  <c r="O37"/>
  <c r="P25"/>
  <c r="O25"/>
  <c r="P13"/>
  <c r="O13"/>
  <c r="O63"/>
  <c r="P63"/>
  <c r="O51"/>
  <c r="P51"/>
  <c r="O39"/>
  <c r="P39"/>
  <c r="O27"/>
  <c r="P27"/>
  <c r="O15"/>
  <c r="P15"/>
  <c r="P7"/>
  <c r="O7"/>
  <c r="P105"/>
  <c r="O105"/>
  <c r="P99"/>
  <c r="O99"/>
  <c r="P93"/>
  <c r="O93"/>
  <c r="P87"/>
  <c r="O87"/>
  <c r="P81"/>
  <c r="O81"/>
  <c r="P75"/>
  <c r="O75"/>
  <c r="P66"/>
  <c r="O66"/>
  <c r="P54"/>
  <c r="O54"/>
  <c r="P42"/>
  <c r="O42"/>
  <c r="P30"/>
  <c r="O30"/>
  <c r="P18"/>
  <c r="O18"/>
  <c r="O70"/>
  <c r="P70"/>
  <c r="O58"/>
  <c r="P58"/>
  <c r="O46"/>
  <c r="P46"/>
  <c r="O34"/>
  <c r="P34"/>
  <c r="O22"/>
  <c r="P22"/>
  <c r="O10"/>
  <c r="P10"/>
  <c r="P3"/>
  <c r="O3"/>
  <c r="P108"/>
  <c r="O108"/>
  <c r="P102"/>
  <c r="O102"/>
  <c r="P96"/>
  <c r="O96"/>
  <c r="P90"/>
  <c r="O90"/>
  <c r="P84"/>
  <c r="O84"/>
  <c r="P78"/>
  <c r="O78"/>
  <c r="P72"/>
  <c r="O72"/>
  <c r="P60"/>
  <c r="O60"/>
  <c r="P48"/>
  <c r="O48"/>
  <c r="P36"/>
  <c r="O36"/>
  <c r="P24"/>
  <c r="O24"/>
  <c r="P12"/>
  <c r="O12"/>
  <c r="O64"/>
  <c r="P64"/>
  <c r="O52"/>
  <c r="P52"/>
  <c r="O40"/>
  <c r="P40"/>
  <c r="O28"/>
  <c r="P28"/>
  <c r="O16"/>
  <c r="P16"/>
  <c r="P6"/>
  <c r="O6"/>
  <c r="AM22" i="6"/>
  <c r="AL20"/>
  <c r="AL24"/>
  <c r="AZ22"/>
  <c r="AZ21"/>
  <c r="AP48"/>
  <c r="AN58"/>
  <c r="AO58"/>
  <c r="AP43"/>
  <c r="Q14"/>
  <c r="AP53"/>
  <c r="AP58"/>
  <c r="AL13"/>
  <c r="BA13"/>
  <c r="AZ13"/>
  <c r="AM18"/>
  <c r="R9" i="8" s="1"/>
  <c r="U9" s="1"/>
  <c r="W9" s="1"/>
  <c r="BA18" i="6"/>
  <c r="AZ18"/>
  <c r="AL19"/>
  <c r="BA19"/>
  <c r="AZ19"/>
  <c r="BA14"/>
  <c r="AZ14"/>
  <c r="BA27"/>
  <c r="AZ27"/>
  <c r="BA31"/>
  <c r="AZ31"/>
  <c r="BA35"/>
  <c r="AZ35"/>
  <c r="BA39"/>
  <c r="AZ39"/>
  <c r="BA25"/>
  <c r="AZ25"/>
  <c r="BA36"/>
  <c r="AZ36"/>
  <c r="BA32"/>
  <c r="AZ32"/>
  <c r="BA28"/>
  <c r="AZ28"/>
  <c r="AM12"/>
  <c r="R3" i="8" s="1"/>
  <c r="U3" s="1"/>
  <c r="BA12" i="6"/>
  <c r="AZ12"/>
  <c r="BA16"/>
  <c r="AZ16"/>
  <c r="AL17"/>
  <c r="BA17"/>
  <c r="AZ17"/>
  <c r="BA29"/>
  <c r="AZ29"/>
  <c r="BA33"/>
  <c r="AZ33"/>
  <c r="BA37"/>
  <c r="AZ37"/>
  <c r="BA23"/>
  <c r="AZ23"/>
  <c r="BA24"/>
  <c r="AZ24"/>
  <c r="BA38"/>
  <c r="AZ38"/>
  <c r="BA34"/>
  <c r="AZ34"/>
  <c r="BA30"/>
  <c r="AZ30"/>
  <c r="AL18"/>
  <c r="AM14"/>
  <c r="R5" i="8" s="1"/>
  <c r="U5" s="1"/>
  <c r="V5" s="1"/>
  <c r="Q15" i="6"/>
  <c r="AL36"/>
  <c r="AL32"/>
  <c r="AM28"/>
  <c r="AM27"/>
  <c r="AM31"/>
  <c r="AM35"/>
  <c r="AM39"/>
  <c r="AL25"/>
  <c r="Q12"/>
  <c r="Q13"/>
  <c r="AM17"/>
  <c r="R8" i="8" s="1"/>
  <c r="U8" s="1"/>
  <c r="V8" s="1"/>
  <c r="AL16" i="6"/>
  <c r="AM16"/>
  <c r="AL12"/>
  <c r="T12" i="4" l="1"/>
  <c r="W8" i="8"/>
  <c r="V9"/>
  <c r="W5"/>
  <c r="W3"/>
  <c r="V3"/>
  <c r="AO12" i="6"/>
  <c r="R7" i="8"/>
  <c r="U7" s="1"/>
  <c r="AO38" i="6"/>
  <c r="S12"/>
  <c r="AN38"/>
  <c r="AP38" s="1"/>
  <c r="R12"/>
  <c r="T12" s="1"/>
  <c r="AN12"/>
  <c r="AP12" s="1"/>
  <c r="W7" i="8" l="1"/>
  <c r="V7"/>
  <c r="AO47" i="4" l="1"/>
  <c r="AO42"/>
  <c r="AP47"/>
  <c r="AP52"/>
  <c r="AR16" i="1" l="1"/>
  <c r="AS16"/>
  <c r="AP57" i="4"/>
  <c r="AO17"/>
  <c r="AP27"/>
  <c r="AP42"/>
  <c r="AQ42" s="1"/>
  <c r="AP32"/>
  <c r="AO32"/>
  <c r="AP37"/>
  <c r="AO37"/>
  <c r="AQ47"/>
  <c r="AO52"/>
  <c r="AQ52" s="1"/>
  <c r="AO27"/>
  <c r="AP17"/>
  <c r="V19" i="1"/>
  <c r="U19"/>
  <c r="V20"/>
  <c r="U20"/>
  <c r="V21"/>
  <c r="U21"/>
  <c r="V22"/>
  <c r="U22"/>
  <c r="AQ27" i="4" l="1"/>
  <c r="AR31" i="1"/>
  <c r="AS31"/>
  <c r="AR33"/>
  <c r="AS33"/>
  <c r="AR34"/>
  <c r="AS34"/>
  <c r="AR13"/>
  <c r="AS13"/>
  <c r="AR27"/>
  <c r="AS27"/>
  <c r="AR26"/>
  <c r="AS26"/>
  <c r="AR24"/>
  <c r="AS24"/>
  <c r="AR15"/>
  <c r="AS15"/>
  <c r="AR21"/>
  <c r="AS21"/>
  <c r="AR36"/>
  <c r="AS36"/>
  <c r="AR30"/>
  <c r="AS30"/>
  <c r="AR18"/>
  <c r="AS18"/>
  <c r="AR14"/>
  <c r="AS14"/>
  <c r="AR20"/>
  <c r="AS20"/>
  <c r="AR29"/>
  <c r="AS29"/>
  <c r="AR25"/>
  <c r="AS25"/>
  <c r="AR23"/>
  <c r="AS23"/>
  <c r="AR17"/>
  <c r="AS17"/>
  <c r="AR22"/>
  <c r="AS22"/>
  <c r="AR35"/>
  <c r="AS35"/>
  <c r="AR32"/>
  <c r="AS32"/>
  <c r="AR28"/>
  <c r="AS28"/>
  <c r="AR19"/>
  <c r="AS19"/>
  <c r="R12"/>
  <c r="S12"/>
  <c r="AQ57" i="4"/>
  <c r="AP22"/>
  <c r="AO22"/>
  <c r="AQ37"/>
  <c r="AQ32"/>
  <c r="AQ17"/>
  <c r="V28" i="1"/>
  <c r="U28"/>
  <c r="V30"/>
  <c r="U30"/>
  <c r="V34"/>
  <c r="U34"/>
  <c r="V29"/>
  <c r="U29"/>
  <c r="V26"/>
  <c r="U26"/>
  <c r="V31"/>
  <c r="U31"/>
  <c r="V33"/>
  <c r="U33"/>
  <c r="V27"/>
  <c r="U27"/>
  <c r="V17"/>
  <c r="U17"/>
  <c r="V35"/>
  <c r="U35"/>
  <c r="V23"/>
  <c r="U23"/>
  <c r="V18"/>
  <c r="U18"/>
  <c r="V15"/>
  <c r="U15"/>
  <c r="V36"/>
  <c r="U36"/>
  <c r="V24"/>
  <c r="U24"/>
  <c r="V25"/>
  <c r="U25"/>
  <c r="V32"/>
  <c r="U32"/>
  <c r="V16"/>
  <c r="U16"/>
  <c r="AQ22" i="4" l="1"/>
  <c r="T12" i="1"/>
</calcChain>
</file>

<file path=xl/sharedStrings.xml><?xml version="1.0" encoding="utf-8"?>
<sst xmlns="http://schemas.openxmlformats.org/spreadsheetml/2006/main" count="253" uniqueCount="95">
  <si>
    <t>UTC Date</t>
  </si>
  <si>
    <t>UTC</t>
  </si>
  <si>
    <t>Latitude</t>
  </si>
  <si>
    <t>Longitude</t>
  </si>
  <si>
    <t>Ship N Latitude</t>
  </si>
  <si>
    <t>Ship W Longitude</t>
  </si>
  <si>
    <t>Distance Between Fixes (km)</t>
  </si>
  <si>
    <t>Summed Distance (km)</t>
  </si>
  <si>
    <t>Initial Bearing (radians)</t>
  </si>
  <si>
    <t>Initial Bearing (deg)</t>
  </si>
  <si>
    <t>Drift Rate (km/hr)</t>
  </si>
  <si>
    <t>Drift Rate (cm/sec)</t>
  </si>
  <si>
    <t>Drift Rate (knotts)</t>
  </si>
  <si>
    <t>Local Date</t>
  </si>
  <si>
    <t>Local Time</t>
  </si>
  <si>
    <t>Event</t>
  </si>
  <si>
    <t>Fix Number</t>
  </si>
  <si>
    <t>Melo 300034012947970</t>
  </si>
  <si>
    <t>Sable 300034013901100</t>
  </si>
  <si>
    <t>Battery Voltage      (V x 100)</t>
  </si>
  <si>
    <t>Deployment 1</t>
  </si>
  <si>
    <t>Avg Rate of Drift (Kn)</t>
  </si>
  <si>
    <t>Std Dev of Drift (kn)</t>
  </si>
  <si>
    <t>Coef Var   (%)</t>
  </si>
  <si>
    <t>Latitude N</t>
  </si>
  <si>
    <t>Longitude W</t>
  </si>
  <si>
    <t>Signal Strength</t>
  </si>
  <si>
    <t>Deployment 2</t>
  </si>
  <si>
    <t>Deployment 3</t>
  </si>
  <si>
    <t>Polar plot</t>
  </si>
  <si>
    <t>X = Velocity * COS (Bearing)</t>
  </si>
  <si>
    <t>Y = Velocity * SIN (Bearing)</t>
  </si>
  <si>
    <t>Polar Plot (X)</t>
  </si>
  <si>
    <t>Polar Plot &amp;Y)</t>
  </si>
  <si>
    <t>Polar Plot (Y)</t>
  </si>
  <si>
    <t>Wind Speed (Kn)</t>
  </si>
  <si>
    <t>Wind Speed (m/sec)</t>
  </si>
  <si>
    <t>Wind Bearing From (Deg)</t>
  </si>
  <si>
    <t>Wind Bearing To (Deg)</t>
  </si>
  <si>
    <t>Station N Latitude</t>
  </si>
  <si>
    <t>Station W Longitude</t>
  </si>
  <si>
    <t>Distance from Station (Km)</t>
  </si>
  <si>
    <t>Distance from Station (Nm)</t>
  </si>
  <si>
    <t xml:space="preserve"> </t>
  </si>
  <si>
    <t>Sediment Trap Lat</t>
  </si>
  <si>
    <t>Sediment Tram Lon</t>
  </si>
  <si>
    <t>Local Date/Time</t>
  </si>
  <si>
    <t>Interval</t>
  </si>
  <si>
    <t>PLRPLT_BASE</t>
  </si>
  <si>
    <t>PLRPLT_SPOKES</t>
  </si>
  <si>
    <t>NIntervals</t>
  </si>
  <si>
    <t>Value</t>
  </si>
  <si>
    <t>MinAxisValue</t>
  </si>
  <si>
    <t>MaxAxisValue</t>
  </si>
  <si>
    <t>Radius</t>
  </si>
  <si>
    <t>Clockwise</t>
  </si>
  <si>
    <t>StartAngle</t>
  </si>
  <si>
    <t>Radians</t>
  </si>
  <si>
    <t>ReverseAxis</t>
  </si>
  <si>
    <t>Display Spokes</t>
  </si>
  <si>
    <t>Display Spoke Labels</t>
  </si>
  <si>
    <t>Display Gridlines</t>
  </si>
  <si>
    <t>Display Data Lines</t>
  </si>
  <si>
    <t>Display Data Markers</t>
  </si>
  <si>
    <t>Display Legend</t>
  </si>
  <si>
    <t>Display Axis</t>
  </si>
  <si>
    <t>MinDataValue</t>
  </si>
  <si>
    <t>MaxDataValue</t>
  </si>
  <si>
    <t>DataRange</t>
  </si>
  <si>
    <t>DataChanged</t>
  </si>
  <si>
    <t>Drift (kn)</t>
  </si>
  <si>
    <t>Angle (deg)</t>
  </si>
  <si>
    <t>='Polar Plots'!$A$1:$B$75</t>
  </si>
  <si>
    <t>24-25</t>
  </si>
  <si>
    <t>&lt;---Surface Float Retireved</t>
  </si>
  <si>
    <t>ESP N Latitude</t>
  </si>
  <si>
    <t>ESP W Longitude</t>
  </si>
  <si>
    <t>Melo 300034012291980</t>
  </si>
  <si>
    <t>K</t>
  </si>
  <si>
    <t>N</t>
  </si>
  <si>
    <t>A</t>
  </si>
  <si>
    <t>dist betw fixes</t>
  </si>
  <si>
    <t>drift rate</t>
  </si>
  <si>
    <t>ESP</t>
  </si>
  <si>
    <t>Gas Array</t>
  </si>
  <si>
    <t>Ship</t>
  </si>
  <si>
    <t>Latest Lat</t>
  </si>
  <si>
    <t>Latest Lon</t>
  </si>
  <si>
    <t>to Ship (km)</t>
  </si>
  <si>
    <t>Dist  SID</t>
  </si>
  <si>
    <t>to Ship (nm)</t>
  </si>
  <si>
    <t>Incub 1</t>
  </si>
  <si>
    <t>Incub 2</t>
  </si>
  <si>
    <t>Incub 3</t>
  </si>
  <si>
    <t>Incub 4</t>
  </si>
</sst>
</file>

<file path=xl/styles.xml><?xml version="1.0" encoding="utf-8"?>
<styleSheet xmlns="http://schemas.openxmlformats.org/spreadsheetml/2006/main">
  <numFmts count="11">
    <numFmt numFmtId="164" formatCode="mm/dd/yy;@"/>
    <numFmt numFmtId="165" formatCode="m/d/yyyy;@"/>
    <numFmt numFmtId="166" formatCode="h:mm:ss;@"/>
    <numFmt numFmtId="167" formatCode="0.000000"/>
    <numFmt numFmtId="168" formatCode="0.000"/>
    <numFmt numFmtId="169" formatCode="0.00000"/>
    <numFmt numFmtId="170" formatCode="0.0"/>
    <numFmt numFmtId="171" formatCode="h:mm;@"/>
    <numFmt numFmtId="172" formatCode="General\°"/>
    <numFmt numFmtId="173" formatCode="0.0000"/>
    <numFmt numFmtId="174" formatCode="m/d/yy\ h:mm;@"/>
  </numFmts>
  <fonts count="21">
    <font>
      <sz val="11"/>
      <color theme="1"/>
      <name val="Calibri"/>
      <family val="2"/>
      <scheme val="minor"/>
    </font>
    <font>
      <b/>
      <sz val="10"/>
      <name val="Arial"/>
      <family val="2"/>
    </font>
    <font>
      <sz val="10"/>
      <name val="Arial"/>
      <family val="2"/>
    </font>
    <font>
      <sz val="9.75"/>
      <name val="Arial"/>
      <family val="2"/>
    </font>
    <font>
      <b/>
      <sz val="12"/>
      <color theme="1"/>
      <name val="Calibri"/>
      <family val="2"/>
      <scheme val="minor"/>
    </font>
    <font>
      <b/>
      <sz val="14"/>
      <color theme="1"/>
      <name val="Calibri"/>
      <family val="2"/>
      <scheme val="minor"/>
    </font>
    <font>
      <sz val="11"/>
      <color rgb="FF000000"/>
      <name val="Calibri"/>
      <family val="2"/>
      <scheme val="minor"/>
    </font>
    <font>
      <b/>
      <sz val="11"/>
      <color rgb="FF0000FF"/>
      <name val="Calibri"/>
      <family val="2"/>
      <scheme val="minor"/>
    </font>
    <font>
      <b/>
      <sz val="16"/>
      <color theme="1"/>
      <name val="Calibri"/>
      <family val="2"/>
      <scheme val="minor"/>
    </font>
    <font>
      <b/>
      <sz val="12"/>
      <color theme="1"/>
      <name val="Arial"/>
      <family val="2"/>
    </font>
    <font>
      <b/>
      <sz val="11"/>
      <color theme="1"/>
      <name val="Arial"/>
      <family val="2"/>
    </font>
    <font>
      <b/>
      <sz val="11"/>
      <color rgb="FFFF0000"/>
      <name val="Calibri"/>
      <family val="2"/>
      <scheme val="minor"/>
    </font>
    <font>
      <b/>
      <sz val="14"/>
      <color rgb="FFFF0000"/>
      <name val="Arial Rounded MT Bold"/>
      <family val="2"/>
    </font>
    <font>
      <sz val="11"/>
      <color theme="1"/>
      <name val="Calibri"/>
      <family val="2"/>
      <scheme val="minor"/>
    </font>
    <font>
      <i/>
      <sz val="11"/>
      <color rgb="FF7F7F7F"/>
      <name val="Calibri"/>
      <family val="2"/>
      <scheme val="minor"/>
    </font>
    <font>
      <b/>
      <sz val="11"/>
      <color theme="1"/>
      <name val="Calibri"/>
      <family val="2"/>
      <scheme val="minor"/>
    </font>
    <font>
      <sz val="11"/>
      <color rgb="FFFF0000"/>
      <name val="Calibri"/>
      <family val="2"/>
      <scheme val="minor"/>
    </font>
    <font>
      <sz val="12"/>
      <color theme="1"/>
      <name val="Times New Roman"/>
      <family val="1"/>
    </font>
    <font>
      <sz val="11"/>
      <name val="Calibri"/>
      <family val="2"/>
      <scheme val="minor"/>
    </font>
    <font>
      <b/>
      <sz val="12"/>
      <color rgb="FFFF0000"/>
      <name val="Calibri"/>
      <family val="2"/>
      <scheme val="minor"/>
    </font>
    <font>
      <sz val="11"/>
      <color rgb="FF0070C0"/>
      <name val="Calibri"/>
      <family val="2"/>
      <scheme val="minor"/>
    </font>
  </fonts>
  <fills count="5">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6" tint="0.59999389629810485"/>
        <bgColor indexed="65"/>
      </patternFill>
    </fill>
  </fills>
  <borders count="26">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13" fillId="2" borderId="8" applyNumberFormat="0" applyFont="0" applyAlignment="0" applyProtection="0"/>
    <xf numFmtId="0" fontId="13" fillId="3" borderId="0" applyNumberFormat="0" applyBorder="0" applyAlignment="0" applyProtection="0"/>
    <xf numFmtId="0" fontId="13" fillId="4" borderId="0" applyNumberFormat="0" applyBorder="0" applyAlignment="0" applyProtection="0"/>
  </cellStyleXfs>
  <cellXfs count="162">
    <xf numFmtId="0" fontId="0" fillId="0" borderId="0" xfId="0"/>
    <xf numFmtId="164" fontId="1"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165" fontId="1" fillId="0" borderId="1" xfId="0" applyNumberFormat="1" applyFont="1" applyBorder="1" applyAlignment="1">
      <alignment horizontal="center" vertical="center" wrapText="1"/>
    </xf>
    <xf numFmtId="166" fontId="1" fillId="0" borderId="3" xfId="0" applyNumberFormat="1" applyFont="1" applyBorder="1" applyAlignment="1">
      <alignment horizontal="center" vertical="center" wrapText="1"/>
    </xf>
    <xf numFmtId="167" fontId="1" fillId="0" borderId="2" xfId="0" applyNumberFormat="1" applyFont="1" applyBorder="1" applyAlignment="1">
      <alignment horizontal="center" vertical="center" wrapText="1"/>
    </xf>
    <xf numFmtId="167" fontId="1" fillId="0" borderId="4" xfId="0" applyNumberFormat="1" applyFont="1" applyBorder="1" applyAlignment="1">
      <alignment horizontal="center" vertical="center" wrapText="1"/>
    </xf>
    <xf numFmtId="168" fontId="1" fillId="0" borderId="1" xfId="0" applyNumberFormat="1" applyFont="1" applyBorder="1" applyAlignment="1">
      <alignment horizontal="center" vertical="center" wrapText="1"/>
    </xf>
    <xf numFmtId="168"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164" fontId="1" fillId="0" borderId="2" xfId="0" applyNumberFormat="1" applyFont="1" applyBorder="1" applyAlignment="1">
      <alignment horizontal="center" vertical="center"/>
    </xf>
    <xf numFmtId="164" fontId="0" fillId="0" borderId="0" xfId="0" applyNumberFormat="1" applyFill="1"/>
    <xf numFmtId="166" fontId="0" fillId="0" borderId="0" xfId="0" applyNumberFormat="1" applyFill="1"/>
    <xf numFmtId="14" fontId="0" fillId="0" borderId="0" xfId="0" applyNumberFormat="1"/>
    <xf numFmtId="168" fontId="0" fillId="0" borderId="0" xfId="0" quotePrefix="1" applyNumberFormat="1" applyFill="1" applyAlignment="1">
      <alignment horizontal="center"/>
    </xf>
    <xf numFmtId="2" fontId="0" fillId="0" borderId="0" xfId="0" applyNumberFormat="1" applyFill="1"/>
    <xf numFmtId="167" fontId="3" fillId="0" borderId="0" xfId="1" applyNumberFormat="1" applyFont="1"/>
    <xf numFmtId="0" fontId="1" fillId="0" borderId="3" xfId="0" applyFont="1" applyBorder="1" applyAlignment="1">
      <alignment horizontal="center" vertical="center"/>
    </xf>
    <xf numFmtId="0" fontId="4" fillId="0" borderId="0" xfId="0" applyFont="1"/>
    <xf numFmtId="20" fontId="0" fillId="0" borderId="0" xfId="0" applyNumberFormat="1"/>
    <xf numFmtId="169" fontId="0" fillId="0" borderId="0" xfId="0" applyNumberFormat="1"/>
    <xf numFmtId="169" fontId="1" fillId="0" borderId="2" xfId="0" applyNumberFormat="1" applyFont="1" applyBorder="1" applyAlignment="1">
      <alignment horizontal="center" vertical="center" wrapText="1"/>
    </xf>
    <xf numFmtId="0" fontId="0" fillId="0" borderId="0" xfId="0" applyNumberFormat="1"/>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168" fontId="0" fillId="0" borderId="0" xfId="0" applyNumberFormat="1"/>
    <xf numFmtId="170" fontId="0" fillId="0" borderId="0" xfId="0" applyNumberFormat="1"/>
    <xf numFmtId="168" fontId="1" fillId="0" borderId="3" xfId="0" applyNumberFormat="1" applyFont="1" applyBorder="1" applyAlignment="1">
      <alignment horizontal="center" vertical="center" wrapText="1"/>
    </xf>
    <xf numFmtId="168" fontId="6" fillId="0" borderId="0" xfId="0" applyNumberFormat="1" applyFont="1"/>
    <xf numFmtId="168" fontId="7" fillId="0" borderId="0" xfId="0" applyNumberFormat="1" applyFont="1"/>
    <xf numFmtId="170" fontId="7" fillId="0" borderId="0" xfId="0" applyNumberFormat="1" applyFont="1"/>
    <xf numFmtId="165" fontId="1" fillId="0" borderId="2" xfId="0" applyNumberFormat="1" applyFont="1" applyBorder="1" applyAlignment="1">
      <alignment horizontal="center" vertical="center" wrapText="1"/>
    </xf>
    <xf numFmtId="0" fontId="0" fillId="0" borderId="0" xfId="0" applyBorder="1"/>
    <xf numFmtId="0" fontId="8" fillId="0" borderId="0" xfId="0" applyFont="1"/>
    <xf numFmtId="14" fontId="1" fillId="0" borderId="1" xfId="0" applyNumberFormat="1" applyFont="1" applyBorder="1" applyAlignment="1">
      <alignment horizontal="center" vertical="center" wrapText="1"/>
    </xf>
    <xf numFmtId="0" fontId="4" fillId="0" borderId="5" xfId="0" applyFont="1" applyBorder="1"/>
    <xf numFmtId="0" fontId="0" fillId="0" borderId="5" xfId="0" applyBorder="1"/>
    <xf numFmtId="0" fontId="0" fillId="0" borderId="5" xfId="0" applyNumberFormat="1" applyBorder="1"/>
    <xf numFmtId="168" fontId="0" fillId="0" borderId="5" xfId="0" applyNumberFormat="1" applyBorder="1"/>
    <xf numFmtId="0" fontId="0" fillId="0" borderId="6" xfId="0" applyBorder="1"/>
    <xf numFmtId="164" fontId="0" fillId="0" borderId="6" xfId="0" applyNumberFormat="1" applyFill="1" applyBorder="1"/>
    <xf numFmtId="166" fontId="0" fillId="0" borderId="6" xfId="0" applyNumberFormat="1" applyFill="1" applyBorder="1"/>
    <xf numFmtId="0" fontId="0" fillId="0" borderId="6" xfId="0" applyNumberFormat="1" applyBorder="1"/>
    <xf numFmtId="20" fontId="0" fillId="0" borderId="6" xfId="0" applyNumberFormat="1" applyBorder="1"/>
    <xf numFmtId="168" fontId="0" fillId="0" borderId="6" xfId="0" quotePrefix="1" applyNumberFormat="1" applyFill="1" applyBorder="1" applyAlignment="1">
      <alignment horizontal="center"/>
    </xf>
    <xf numFmtId="2" fontId="0" fillId="0" borderId="6" xfId="0" applyNumberFormat="1" applyFill="1" applyBorder="1"/>
    <xf numFmtId="168" fontId="7" fillId="0" borderId="6" xfId="0" applyNumberFormat="1" applyFont="1" applyBorder="1"/>
    <xf numFmtId="170" fontId="7" fillId="0" borderId="6" xfId="0" applyNumberFormat="1" applyFont="1" applyBorder="1"/>
    <xf numFmtId="168" fontId="6" fillId="0" borderId="6" xfId="0" applyNumberFormat="1" applyFont="1" applyBorder="1"/>
    <xf numFmtId="14" fontId="0" fillId="0" borderId="6" xfId="0" applyNumberFormat="1" applyBorder="1"/>
    <xf numFmtId="168" fontId="0" fillId="0" borderId="6" xfId="0" applyNumberFormat="1" applyBorder="1"/>
    <xf numFmtId="168" fontId="7" fillId="0" borderId="5" xfId="0" applyNumberFormat="1" applyFont="1" applyBorder="1"/>
    <xf numFmtId="170" fontId="7" fillId="0" borderId="5" xfId="0" applyNumberFormat="1" applyFont="1" applyBorder="1"/>
    <xf numFmtId="20" fontId="0" fillId="0" borderId="6" xfId="0" applyNumberFormat="1" applyFill="1" applyBorder="1"/>
    <xf numFmtId="164" fontId="0" fillId="0" borderId="5" xfId="0" applyNumberFormat="1" applyFill="1" applyBorder="1"/>
    <xf numFmtId="166" fontId="0" fillId="0" borderId="5" xfId="0" applyNumberFormat="1" applyFill="1" applyBorder="1"/>
    <xf numFmtId="14" fontId="0" fillId="0" borderId="5" xfId="0" applyNumberFormat="1" applyBorder="1"/>
    <xf numFmtId="20" fontId="0" fillId="0" borderId="5" xfId="0" applyNumberFormat="1" applyBorder="1"/>
    <xf numFmtId="169" fontId="0" fillId="0" borderId="5" xfId="0" applyNumberFormat="1" applyBorder="1"/>
    <xf numFmtId="169" fontId="0" fillId="0" borderId="6" xfId="0" applyNumberFormat="1" applyBorder="1"/>
    <xf numFmtId="0" fontId="1" fillId="0" borderId="7" xfId="0" applyFont="1" applyBorder="1" applyAlignment="1">
      <alignment horizontal="center" vertical="center" wrapText="1"/>
    </xf>
    <xf numFmtId="0" fontId="0" fillId="0" borderId="0" xfId="0" quotePrefix="1"/>
    <xf numFmtId="168" fontId="1" fillId="0" borderId="4" xfId="0" applyNumberFormat="1" applyFont="1" applyBorder="1" applyAlignment="1">
      <alignment horizontal="center" vertical="center" wrapText="1"/>
    </xf>
    <xf numFmtId="167" fontId="0" fillId="0" borderId="0" xfId="0" applyNumberFormat="1"/>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4" fontId="0" fillId="0" borderId="0" xfId="0" applyNumberFormat="1"/>
    <xf numFmtId="4" fontId="9" fillId="0" borderId="2" xfId="0" applyNumberFormat="1" applyFont="1" applyBorder="1" applyAlignment="1">
      <alignment horizontal="center" vertical="center" wrapText="1"/>
    </xf>
    <xf numFmtId="169" fontId="11" fillId="0" borderId="0" xfId="0" applyNumberFormat="1" applyFont="1"/>
    <xf numFmtId="2" fontId="12" fillId="0" borderId="0" xfId="0" quotePrefix="1" applyNumberFormat="1" applyFont="1" applyFill="1" applyAlignment="1">
      <alignment horizontal="center"/>
    </xf>
    <xf numFmtId="2" fontId="12" fillId="0" borderId="0" xfId="0" applyNumberFormat="1" applyFont="1"/>
    <xf numFmtId="0" fontId="0" fillId="0" borderId="0" xfId="0" applyFill="1" applyBorder="1"/>
    <xf numFmtId="0" fontId="5" fillId="0" borderId="0" xfId="0" applyFont="1"/>
    <xf numFmtId="0" fontId="1" fillId="0" borderId="0" xfId="0" applyFont="1" applyFill="1" applyBorder="1" applyAlignment="1">
      <alignment horizontal="center" vertical="center" wrapText="1"/>
    </xf>
    <xf numFmtId="171" fontId="0" fillId="0" borderId="0" xfId="0" applyNumberFormat="1"/>
    <xf numFmtId="171" fontId="0" fillId="0" borderId="0" xfId="0" applyNumberFormat="1" applyBorder="1"/>
    <xf numFmtId="0" fontId="4" fillId="0" borderId="0" xfId="0" applyFont="1" applyBorder="1" applyAlignment="1">
      <alignment horizontal="center" vertical="center"/>
    </xf>
    <xf numFmtId="0" fontId="15" fillId="0" borderId="0" xfId="0" applyFont="1" applyAlignment="1">
      <alignment horizontal="center" vertical="center"/>
    </xf>
    <xf numFmtId="0" fontId="14" fillId="2" borderId="8" xfId="2" applyFont="1"/>
    <xf numFmtId="0" fontId="14" fillId="2" borderId="9" xfId="2" applyFont="1" applyBorder="1"/>
    <xf numFmtId="0" fontId="13" fillId="4" borderId="10" xfId="4" applyBorder="1"/>
    <xf numFmtId="0" fontId="13" fillId="4" borderId="11" xfId="4" applyBorder="1"/>
    <xf numFmtId="0" fontId="13" fillId="3" borderId="10" xfId="3" applyBorder="1"/>
    <xf numFmtId="0" fontId="13" fillId="3" borderId="11" xfId="3" applyBorder="1"/>
    <xf numFmtId="0" fontId="13" fillId="3" borderId="12" xfId="3" applyBorder="1"/>
    <xf numFmtId="0" fontId="13" fillId="4" borderId="13" xfId="4" applyBorder="1"/>
    <xf numFmtId="0" fontId="13" fillId="4" borderId="0" xfId="4" applyBorder="1"/>
    <xf numFmtId="172" fontId="13" fillId="4" borderId="0" xfId="4" applyNumberFormat="1" applyBorder="1"/>
    <xf numFmtId="0" fontId="13" fillId="3" borderId="13" xfId="3" applyBorder="1"/>
    <xf numFmtId="0" fontId="13" fillId="3" borderId="0" xfId="3" applyBorder="1"/>
    <xf numFmtId="0" fontId="13" fillId="3" borderId="0" xfId="3" applyNumberFormat="1" applyBorder="1"/>
    <xf numFmtId="0" fontId="13" fillId="3" borderId="14" xfId="3" applyBorder="1"/>
    <xf numFmtId="49" fontId="14" fillId="2" borderId="9" xfId="2" applyNumberFormat="1" applyFont="1" applyBorder="1"/>
    <xf numFmtId="0" fontId="13" fillId="4" borderId="15" xfId="4" applyBorder="1"/>
    <xf numFmtId="0" fontId="13" fillId="4" borderId="16" xfId="4" applyBorder="1"/>
    <xf numFmtId="172" fontId="13" fillId="4" borderId="16" xfId="4" applyNumberFormat="1" applyBorder="1"/>
    <xf numFmtId="172" fontId="0" fillId="0" borderId="0" xfId="0" applyNumberFormat="1"/>
    <xf numFmtId="0" fontId="13" fillId="3" borderId="15" xfId="3" applyBorder="1"/>
    <xf numFmtId="0" fontId="13" fillId="3" borderId="16" xfId="3" applyBorder="1"/>
    <xf numFmtId="0" fontId="13" fillId="3" borderId="16" xfId="3" applyNumberFormat="1" applyBorder="1"/>
    <xf numFmtId="0" fontId="13" fillId="3" borderId="17" xfId="3" applyBorder="1"/>
    <xf numFmtId="49" fontId="14" fillId="2" borderId="9" xfId="2" quotePrefix="1" applyNumberFormat="1" applyFont="1" applyBorder="1"/>
    <xf numFmtId="0" fontId="0" fillId="0" borderId="18" xfId="0" applyBorder="1"/>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2" fontId="0" fillId="0" borderId="0" xfId="0" applyNumberFormat="1"/>
    <xf numFmtId="2" fontId="0" fillId="0" borderId="21" xfId="0" applyNumberFormat="1" applyBorder="1"/>
    <xf numFmtId="2" fontId="0" fillId="0" borderId="23" xfId="0" applyNumberFormat="1" applyBorder="1"/>
    <xf numFmtId="2" fontId="0" fillId="0" borderId="0" xfId="0" applyNumberFormat="1" applyBorder="1"/>
    <xf numFmtId="2" fontId="0" fillId="0" borderId="24" xfId="0" applyNumberFormat="1" applyBorder="1"/>
    <xf numFmtId="164" fontId="0" fillId="0" borderId="0" xfId="0" applyNumberFormat="1" applyFill="1" applyBorder="1"/>
    <xf numFmtId="166" fontId="0" fillId="0" borderId="0" xfId="0" applyNumberFormat="1" applyFill="1" applyBorder="1"/>
    <xf numFmtId="4" fontId="0" fillId="0" borderId="0" xfId="0" applyNumberFormat="1" applyFill="1" applyBorder="1"/>
    <xf numFmtId="0" fontId="0" fillId="0" borderId="21" xfId="0" applyBorder="1"/>
    <xf numFmtId="14" fontId="0" fillId="0" borderId="21" xfId="0" applyNumberFormat="1" applyBorder="1"/>
    <xf numFmtId="0" fontId="0" fillId="0" borderId="6" xfId="0" applyFill="1" applyBorder="1"/>
    <xf numFmtId="173" fontId="0" fillId="0" borderId="0" xfId="0" applyNumberFormat="1"/>
    <xf numFmtId="173" fontId="0" fillId="0" borderId="0" xfId="0" applyNumberFormat="1" applyFill="1"/>
    <xf numFmtId="173" fontId="0" fillId="0" borderId="6" xfId="0" applyNumberFormat="1" applyBorder="1"/>
    <xf numFmtId="173" fontId="1" fillId="0" borderId="1" xfId="0" applyNumberFormat="1" applyFont="1" applyBorder="1" applyAlignment="1">
      <alignment horizontal="center" vertical="center" wrapText="1"/>
    </xf>
    <xf numFmtId="173" fontId="0" fillId="0" borderId="5" xfId="0" applyNumberFormat="1" applyBorder="1"/>
    <xf numFmtId="1" fontId="0" fillId="0" borderId="0" xfId="0" applyNumberFormat="1"/>
    <xf numFmtId="1" fontId="1" fillId="0" borderId="4" xfId="0" applyNumberFormat="1" applyFont="1" applyBorder="1" applyAlignment="1">
      <alignment horizontal="center" vertical="center" wrapText="1"/>
    </xf>
    <xf numFmtId="1" fontId="0" fillId="0" borderId="5" xfId="0" applyNumberFormat="1" applyBorder="1"/>
    <xf numFmtId="1" fontId="0" fillId="0" borderId="6" xfId="0" applyNumberFormat="1" applyBorder="1"/>
    <xf numFmtId="2" fontId="0" fillId="0" borderId="22" xfId="0" applyNumberFormat="1" applyFill="1" applyBorder="1"/>
    <xf numFmtId="164" fontId="0" fillId="0" borderId="22" xfId="0" applyNumberFormat="1" applyFill="1" applyBorder="1"/>
    <xf numFmtId="169" fontId="16" fillId="0" borderId="6" xfId="0" applyNumberFormat="1" applyFont="1" applyBorder="1"/>
    <xf numFmtId="20" fontId="15" fillId="0" borderId="6" xfId="0" applyNumberFormat="1" applyFont="1" applyBorder="1"/>
    <xf numFmtId="0" fontId="11" fillId="0" borderId="0" xfId="0" applyFont="1"/>
    <xf numFmtId="0" fontId="0" fillId="0" borderId="0" xfId="0" applyAlignment="1">
      <alignment horizontal="center" vertical="center"/>
    </xf>
    <xf numFmtId="0" fontId="0" fillId="0" borderId="0" xfId="0" quotePrefix="1" applyNumberFormat="1" applyFill="1" applyAlignment="1">
      <alignment horizontal="right"/>
    </xf>
    <xf numFmtId="0" fontId="1" fillId="0" borderId="0" xfId="0" applyFont="1"/>
    <xf numFmtId="0" fontId="0" fillId="0" borderId="0" xfId="0" applyNumberFormat="1" applyAlignment="1">
      <alignment horizontal="right"/>
    </xf>
    <xf numFmtId="0" fontId="0" fillId="0" borderId="0" xfId="0" applyAlignment="1">
      <alignment horizontal="right"/>
    </xf>
    <xf numFmtId="168" fontId="0" fillId="0" borderId="0" xfId="0" applyNumberFormat="1" applyBorder="1"/>
    <xf numFmtId="166" fontId="1" fillId="0" borderId="2" xfId="0" applyNumberFormat="1" applyFont="1" applyBorder="1" applyAlignment="1">
      <alignment horizontal="center" vertical="center" wrapText="1"/>
    </xf>
    <xf numFmtId="0" fontId="0" fillId="0" borderId="0" xfId="0" applyNumberFormat="1" applyAlignment="1"/>
    <xf numFmtId="0" fontId="0" fillId="0" borderId="0" xfId="0" quotePrefix="1" applyNumberFormat="1" applyFill="1" applyAlignment="1"/>
    <xf numFmtId="0" fontId="0" fillId="0" borderId="0" xfId="0" applyAlignment="1"/>
    <xf numFmtId="0" fontId="17" fillId="0" borderId="0" xfId="0" applyFont="1"/>
    <xf numFmtId="21" fontId="0" fillId="0" borderId="0" xfId="0" applyNumberFormat="1"/>
    <xf numFmtId="0" fontId="0" fillId="0" borderId="0" xfId="0" applyAlignment="1">
      <alignment wrapText="1"/>
    </xf>
    <xf numFmtId="174" fontId="0" fillId="0" borderId="0" xfId="0" applyNumberFormat="1"/>
    <xf numFmtId="0" fontId="1" fillId="0" borderId="4" xfId="0" applyNumberFormat="1" applyFont="1" applyBorder="1" applyAlignment="1">
      <alignment horizontal="right" vertical="center" wrapText="1"/>
    </xf>
    <xf numFmtId="168" fontId="18" fillId="0" borderId="6" xfId="0" applyNumberFormat="1" applyFont="1" applyBorder="1"/>
    <xf numFmtId="0" fontId="0" fillId="0" borderId="0" xfId="0" applyAlignment="1">
      <alignment horizontal="center"/>
    </xf>
    <xf numFmtId="0" fontId="15" fillId="0" borderId="0" xfId="0" applyFont="1" applyAlignment="1">
      <alignment horizontal="center"/>
    </xf>
    <xf numFmtId="2" fontId="19" fillId="0" borderId="6" xfId="0" quotePrefix="1" applyNumberFormat="1" applyFont="1" applyFill="1" applyBorder="1" applyAlignment="1">
      <alignment horizontal="center"/>
    </xf>
    <xf numFmtId="2" fontId="19" fillId="0" borderId="0" xfId="0" applyNumberFormat="1" applyFont="1"/>
    <xf numFmtId="164" fontId="20" fillId="0" borderId="6" xfId="0" applyNumberFormat="1" applyFont="1" applyFill="1" applyBorder="1"/>
    <xf numFmtId="166" fontId="20" fillId="0" borderId="6" xfId="0" applyNumberFormat="1" applyFont="1" applyFill="1" applyBorder="1"/>
    <xf numFmtId="168" fontId="0" fillId="0" borderId="0" xfId="0" applyNumberFormat="1" applyFill="1" applyBorder="1"/>
    <xf numFmtId="173" fontId="0" fillId="0" borderId="0" xfId="0" applyNumberFormat="1" applyBorder="1"/>
    <xf numFmtId="173" fontId="4" fillId="0" borderId="0" xfId="0" applyNumberFormat="1" applyFont="1" applyBorder="1" applyAlignment="1">
      <alignment horizontal="center" vertical="center"/>
    </xf>
    <xf numFmtId="0" fontId="5" fillId="0" borderId="0" xfId="0" applyFont="1" applyBorder="1" applyAlignment="1">
      <alignment horizontal="center"/>
    </xf>
    <xf numFmtId="173" fontId="5" fillId="0" borderId="0" xfId="0" applyNumberFormat="1" applyFont="1" applyBorder="1" applyAlignment="1">
      <alignment horizontal="center"/>
    </xf>
  </cellXfs>
  <cellStyles count="5">
    <cellStyle name="_Sheet1" xfId="1"/>
    <cellStyle name="40% - Accent1" xfId="3" builtinId="31"/>
    <cellStyle name="40% - Accent3" xfId="4" builtinId="39"/>
    <cellStyle name="Normal" xfId="0" builtinId="0"/>
    <cellStyle name="Note" xfId="2" builtinId="10"/>
  </cellStyles>
  <dxfs count="0"/>
  <tableStyles count="0" defaultTableStyle="TableStyleMedium9" defaultPivotStyle="PivotStyleLight16"/>
  <colors>
    <mruColors>
      <color rgb="FFD000B7"/>
      <color rgb="FFFF8000"/>
      <color rgb="FF0000FF"/>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Drift Rate Vectors (km/h)</a:t>
            </a:r>
          </a:p>
        </c:rich>
      </c:tx>
    </c:title>
    <c:plotArea>
      <c:layout>
        <c:manualLayout>
          <c:layoutTarget val="inner"/>
          <c:xMode val="edge"/>
          <c:yMode val="edge"/>
          <c:x val="0.10970769064825812"/>
          <c:y val="9.9067350074431237E-2"/>
          <c:w val="0.78133434005680757"/>
          <c:h val="0.82687294267663103"/>
        </c:manualLayout>
      </c:layout>
      <c:scatterChart>
        <c:scatterStyle val="lineMarker"/>
        <c:ser>
          <c:idx val="0"/>
          <c:order val="0"/>
          <c:tx>
            <c:v>Sable</c:v>
          </c:tx>
          <c:spPr>
            <a:ln w="28575">
              <a:noFill/>
              <a:prstDash val="sysDot"/>
            </a:ln>
          </c:spPr>
          <c:marker>
            <c:symbol val="circle"/>
            <c:size val="5"/>
            <c:spPr>
              <a:solidFill>
                <a:srgbClr val="FF0000"/>
              </a:solidFill>
              <a:ln>
                <a:solidFill>
                  <a:sysClr val="windowText" lastClr="000000"/>
                </a:solidFill>
              </a:ln>
            </c:spPr>
          </c:marker>
          <c:xVal>
            <c:numRef>
              <c:f>'Calc-Deploy 1'!$V$12:$V$60</c:f>
              <c:numCache>
                <c:formatCode>General</c:formatCode>
                <c:ptCount val="49"/>
                <c:pt idx="0">
                  <c:v>0.88204442436046648</c:v>
                </c:pt>
                <c:pt idx="1">
                  <c:v>0.41876863432244954</c:v>
                </c:pt>
                <c:pt idx="2">
                  <c:v>0.5437215139900804</c:v>
                </c:pt>
                <c:pt idx="3">
                  <c:v>0.59578485101067424</c:v>
                </c:pt>
                <c:pt idx="4">
                  <c:v>0.65334360880338826</c:v>
                </c:pt>
                <c:pt idx="5">
                  <c:v>0.7697866467929495</c:v>
                </c:pt>
                <c:pt idx="6">
                  <c:v>0.83244975503136354</c:v>
                </c:pt>
                <c:pt idx="7">
                  <c:v>0.63648311722799411</c:v>
                </c:pt>
                <c:pt idx="8">
                  <c:v>0.36225409547903098</c:v>
                </c:pt>
                <c:pt idx="9">
                  <c:v>0.38209145061610855</c:v>
                </c:pt>
                <c:pt idx="10">
                  <c:v>0.57709008532428452</c:v>
                </c:pt>
                <c:pt idx="11">
                  <c:v>0.54694017967948794</c:v>
                </c:pt>
                <c:pt idx="12">
                  <c:v>0.65801867899970257</c:v>
                </c:pt>
                <c:pt idx="13">
                  <c:v>0.80748193914345845</c:v>
                </c:pt>
                <c:pt idx="14">
                  <c:v>0.67172321354621489</c:v>
                </c:pt>
                <c:pt idx="15">
                  <c:v>0.35437295447685241</c:v>
                </c:pt>
                <c:pt idx="16">
                  <c:v>0.23423151367737038</c:v>
                </c:pt>
                <c:pt idx="17">
                  <c:v>0.3878804720998551</c:v>
                </c:pt>
                <c:pt idx="18">
                  <c:v>0.43888387200390616</c:v>
                </c:pt>
                <c:pt idx="19">
                  <c:v>0.46066481354709682</c:v>
                </c:pt>
                <c:pt idx="20">
                  <c:v>0.32894969972908694</c:v>
                </c:pt>
                <c:pt idx="21">
                  <c:v>0.40570210409085256</c:v>
                </c:pt>
                <c:pt idx="22">
                  <c:v>0.62078226884443177</c:v>
                </c:pt>
                <c:pt idx="23">
                  <c:v>0.42396811584713145</c:v>
                </c:pt>
                <c:pt idx="24">
                  <c:v>0.29682294102599627</c:v>
                </c:pt>
              </c:numCache>
            </c:numRef>
          </c:xVal>
          <c:yVal>
            <c:numRef>
              <c:f>'Calc-Deploy 1'!$U$12:$U$60</c:f>
              <c:numCache>
                <c:formatCode>General</c:formatCode>
                <c:ptCount val="49"/>
                <c:pt idx="0">
                  <c:v>0.26621468967872969</c:v>
                </c:pt>
                <c:pt idx="1">
                  <c:v>0.18979459002065074</c:v>
                </c:pt>
                <c:pt idx="2">
                  <c:v>0.41287279538461108</c:v>
                </c:pt>
                <c:pt idx="3">
                  <c:v>0.64187280021863791</c:v>
                </c:pt>
                <c:pt idx="4">
                  <c:v>0.68353505540669857</c:v>
                </c:pt>
                <c:pt idx="5">
                  <c:v>0.48673491971536553</c:v>
                </c:pt>
                <c:pt idx="6">
                  <c:v>0.38489064303422887</c:v>
                </c:pt>
                <c:pt idx="7">
                  <c:v>6.1246003841108648E-2</c:v>
                </c:pt>
                <c:pt idx="8">
                  <c:v>9.7496644201878216E-2</c:v>
                </c:pt>
                <c:pt idx="9">
                  <c:v>0.31396110315302411</c:v>
                </c:pt>
                <c:pt idx="10">
                  <c:v>0.62298343910053111</c:v>
                </c:pt>
                <c:pt idx="11">
                  <c:v>0.35635861839055727</c:v>
                </c:pt>
                <c:pt idx="12">
                  <c:v>0.19209192972364048</c:v>
                </c:pt>
                <c:pt idx="13">
                  <c:v>0.19053356993568937</c:v>
                </c:pt>
                <c:pt idx="14">
                  <c:v>0.13867421474115643</c:v>
                </c:pt>
                <c:pt idx="15">
                  <c:v>-2.5190931775160075E-2</c:v>
                </c:pt>
                <c:pt idx="16">
                  <c:v>-4.1136806784871027E-2</c:v>
                </c:pt>
                <c:pt idx="17">
                  <c:v>0.16367828329010883</c:v>
                </c:pt>
                <c:pt idx="18">
                  <c:v>0.32354722923993828</c:v>
                </c:pt>
                <c:pt idx="19">
                  <c:v>9.0833690543190501E-2</c:v>
                </c:pt>
                <c:pt idx="20">
                  <c:v>-4.7800686065647214E-3</c:v>
                </c:pt>
                <c:pt idx="21">
                  <c:v>0.14314468948050132</c:v>
                </c:pt>
                <c:pt idx="22">
                  <c:v>0.27173245489187675</c:v>
                </c:pt>
                <c:pt idx="23">
                  <c:v>-0.20865953407438081</c:v>
                </c:pt>
                <c:pt idx="24">
                  <c:v>-0.18171398684626403</c:v>
                </c:pt>
              </c:numCache>
            </c:numRef>
          </c:yVal>
        </c:ser>
        <c:ser>
          <c:idx val="1"/>
          <c:order val="1"/>
          <c:tx>
            <c:v>Melo</c:v>
          </c:tx>
          <c:spPr>
            <a:ln w="28575">
              <a:solidFill>
                <a:srgbClr val="0000FF"/>
              </a:solidFill>
              <a:prstDash val="sysDot"/>
            </a:ln>
          </c:spPr>
          <c:marker>
            <c:symbol val="circle"/>
            <c:size val="5"/>
            <c:spPr>
              <a:solidFill>
                <a:srgbClr val="0000FF"/>
              </a:solidFill>
              <a:ln>
                <a:noFill/>
              </a:ln>
            </c:spPr>
          </c:marker>
          <c:xVal>
            <c:numRef>
              <c:f>'Calc-Deploy 1'!$AS$13:$AS$75</c:f>
              <c:numCache>
                <c:formatCode>General</c:formatCode>
                <c:ptCount val="63"/>
                <c:pt idx="0">
                  <c:v>1.1659021470076707</c:v>
                </c:pt>
                <c:pt idx="1">
                  <c:v>1.2911373524198597</c:v>
                </c:pt>
                <c:pt idx="2">
                  <c:v>1.1543030056543699</c:v>
                </c:pt>
                <c:pt idx="3">
                  <c:v>0.98724459426058364</c:v>
                </c:pt>
                <c:pt idx="4">
                  <c:v>0.91070840352100835</c:v>
                </c:pt>
                <c:pt idx="5">
                  <c:v>0.74264865173060712</c:v>
                </c:pt>
                <c:pt idx="6">
                  <c:v>0.51351962497141057</c:v>
                </c:pt>
                <c:pt idx="7">
                  <c:v>0.31555185471809349</c:v>
                </c:pt>
                <c:pt idx="8">
                  <c:v>0.41355910058357143</c:v>
                </c:pt>
                <c:pt idx="9">
                  <c:v>0.56694021261885386</c:v>
                </c:pt>
                <c:pt idx="10">
                  <c:v>0.55602761616460017</c:v>
                </c:pt>
                <c:pt idx="11">
                  <c:v>0.50894940095521279</c:v>
                </c:pt>
                <c:pt idx="12">
                  <c:v>0.5307958255686992</c:v>
                </c:pt>
                <c:pt idx="13">
                  <c:v>0.65279488309809053</c:v>
                </c:pt>
                <c:pt idx="14">
                  <c:v>0.61124890591484382</c:v>
                </c:pt>
                <c:pt idx="15">
                  <c:v>0.5961443444026221</c:v>
                </c:pt>
                <c:pt idx="16">
                  <c:v>0.66286300175644763</c:v>
                </c:pt>
                <c:pt idx="17">
                  <c:v>0.73040954199320163</c:v>
                </c:pt>
                <c:pt idx="18">
                  <c:v>0.71712607451124999</c:v>
                </c:pt>
                <c:pt idx="19">
                  <c:v>0.76712021094300331</c:v>
                </c:pt>
                <c:pt idx="20">
                  <c:v>0.8853451994717022</c:v>
                </c:pt>
                <c:pt idx="21">
                  <c:v>0.90819396033998612</c:v>
                </c:pt>
                <c:pt idx="22">
                  <c:v>0.81115981812814486</c:v>
                </c:pt>
                <c:pt idx="23">
                  <c:v>0.83032621494413794</c:v>
                </c:pt>
                <c:pt idx="24">
                  <c:v>0.7477996052421072</c:v>
                </c:pt>
                <c:pt idx="25">
                  <c:v>0.77472423405237412</c:v>
                </c:pt>
                <c:pt idx="26">
                  <c:v>0.88682027922909534</c:v>
                </c:pt>
                <c:pt idx="27">
                  <c:v>0.88556151925464999</c:v>
                </c:pt>
                <c:pt idx="28">
                  <c:v>0.80295736846147692</c:v>
                </c:pt>
                <c:pt idx="29">
                  <c:v>0.64574275044121487</c:v>
                </c:pt>
                <c:pt idx="30">
                  <c:v>0.51858498186711433</c:v>
                </c:pt>
                <c:pt idx="31">
                  <c:v>0.43105160529146336</c:v>
                </c:pt>
                <c:pt idx="32">
                  <c:v>0.36360756318750492</c:v>
                </c:pt>
                <c:pt idx="33">
                  <c:v>0.33380169316401764</c:v>
                </c:pt>
              </c:numCache>
            </c:numRef>
          </c:xVal>
          <c:yVal>
            <c:numRef>
              <c:f>'Calc-Deploy 1'!$AR$13:$AR$75</c:f>
              <c:numCache>
                <c:formatCode>General</c:formatCode>
                <c:ptCount val="63"/>
                <c:pt idx="0">
                  <c:v>0.78584113102553443</c:v>
                </c:pt>
                <c:pt idx="1">
                  <c:v>0.77127384021677392</c:v>
                </c:pt>
                <c:pt idx="2">
                  <c:v>0.54691760841753145</c:v>
                </c:pt>
                <c:pt idx="3">
                  <c:v>0.38065639518312056</c:v>
                </c:pt>
                <c:pt idx="4">
                  <c:v>0.25106997219563792</c:v>
                </c:pt>
                <c:pt idx="5">
                  <c:v>0.15751841819183049</c:v>
                </c:pt>
                <c:pt idx="6">
                  <c:v>9.9010715955537482E-2</c:v>
                </c:pt>
                <c:pt idx="7">
                  <c:v>0.16397149236302674</c:v>
                </c:pt>
                <c:pt idx="8">
                  <c:v>0.32375262714993691</c:v>
                </c:pt>
                <c:pt idx="9">
                  <c:v>0.3526644521648078</c:v>
                </c:pt>
                <c:pt idx="10">
                  <c:v>0.37091781032140442</c:v>
                </c:pt>
                <c:pt idx="11">
                  <c:v>0.52281612938521982</c:v>
                </c:pt>
                <c:pt idx="12">
                  <c:v>0.57859758940990136</c:v>
                </c:pt>
                <c:pt idx="13">
                  <c:v>0.65829964985472111</c:v>
                </c:pt>
                <c:pt idx="14">
                  <c:v>0.71203697136044963</c:v>
                </c:pt>
                <c:pt idx="15">
                  <c:v>0.70722364700502616</c:v>
                </c:pt>
                <c:pt idx="16">
                  <c:v>0.7186018141504541</c:v>
                </c:pt>
                <c:pt idx="17">
                  <c:v>0.59173169581420937</c:v>
                </c:pt>
                <c:pt idx="18">
                  <c:v>0.54620122667561566</c:v>
                </c:pt>
                <c:pt idx="19">
                  <c:v>0.50642217375868859</c:v>
                </c:pt>
                <c:pt idx="20">
                  <c:v>0.35111858554353337</c:v>
                </c:pt>
                <c:pt idx="21">
                  <c:v>0.31425104236557833</c:v>
                </c:pt>
                <c:pt idx="22">
                  <c:v>0.39699587518143853</c:v>
                </c:pt>
                <c:pt idx="23">
                  <c:v>0.44481158450992875</c:v>
                </c:pt>
                <c:pt idx="24">
                  <c:v>0.3917201167447798</c:v>
                </c:pt>
                <c:pt idx="25">
                  <c:v>0.39699380071171642</c:v>
                </c:pt>
                <c:pt idx="26">
                  <c:v>0.34029023206609449</c:v>
                </c:pt>
                <c:pt idx="27">
                  <c:v>0.31209736314849934</c:v>
                </c:pt>
                <c:pt idx="28">
                  <c:v>0.17904994353021339</c:v>
                </c:pt>
                <c:pt idx="29">
                  <c:v>1.8608863760804874E-2</c:v>
                </c:pt>
                <c:pt idx="30">
                  <c:v>-0.10170773135130164</c:v>
                </c:pt>
                <c:pt idx="31">
                  <c:v>-9.5765678407746024E-2</c:v>
                </c:pt>
                <c:pt idx="32">
                  <c:v>2.2620969986273366E-2</c:v>
                </c:pt>
                <c:pt idx="33">
                  <c:v>8.0940689105148345E-2</c:v>
                </c:pt>
              </c:numCache>
            </c:numRef>
          </c:yVal>
        </c:ser>
        <c:axId val="118056832"/>
        <c:axId val="92127232"/>
      </c:scatterChart>
      <c:valAx>
        <c:axId val="118056832"/>
        <c:scaling>
          <c:orientation val="minMax"/>
          <c:max val="1"/>
          <c:min val="-1"/>
        </c:scaling>
        <c:axPos val="b"/>
        <c:numFmt formatCode="General" sourceLinked="1"/>
        <c:tickLblPos val="nextTo"/>
        <c:crossAx val="92127232"/>
        <c:crosses val="autoZero"/>
        <c:crossBetween val="midCat"/>
        <c:majorUnit val="0.1"/>
        <c:minorUnit val="2.0000000000000011E-2"/>
      </c:valAx>
      <c:valAx>
        <c:axId val="92127232"/>
        <c:scaling>
          <c:orientation val="minMax"/>
          <c:max val="1"/>
          <c:min val="-1"/>
        </c:scaling>
        <c:axPos val="l"/>
        <c:majorGridlines/>
        <c:numFmt formatCode="General" sourceLinked="1"/>
        <c:tickLblPos val="nextTo"/>
        <c:crossAx val="118056832"/>
        <c:crosses val="autoZero"/>
        <c:crossBetween val="midCat"/>
      </c:valAx>
    </c:plotArea>
    <c:legend>
      <c:legendPos val="r"/>
      <c:layout>
        <c:manualLayout>
          <c:xMode val="edge"/>
          <c:yMode val="edge"/>
          <c:x val="0.11360807606055612"/>
          <c:y val="0.10000051231580701"/>
          <c:w val="0.13837404082451477"/>
          <c:h val="8.1141284156669005E-2"/>
        </c:manualLayout>
      </c:layout>
    </c:legend>
    <c:plotVisOnly val="1"/>
  </c:chart>
  <c:printSettings>
    <c:headerFooter/>
    <c:pageMargins b="0.75000000000000155" l="0.70000000000000062" r="0.70000000000000062" t="0.75000000000000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IPS</a:t>
            </a:r>
            <a:r>
              <a:rPr lang="en-US" baseline="0"/>
              <a:t> Track</a:t>
            </a:r>
            <a:endParaRPr lang="en-US"/>
          </a:p>
        </c:rich>
      </c:tx>
    </c:title>
    <c:plotArea>
      <c:layout>
        <c:manualLayout>
          <c:layoutTarget val="inner"/>
          <c:xMode val="edge"/>
          <c:yMode val="edge"/>
          <c:x val="7.7678805774278215E-2"/>
          <c:y val="0.1632207322207587"/>
          <c:w val="0.78625869422572181"/>
          <c:h val="0.77926914253828716"/>
        </c:manualLayout>
      </c:layout>
      <c:scatterChart>
        <c:scatterStyle val="lineMarker"/>
        <c:ser>
          <c:idx val="0"/>
          <c:order val="0"/>
          <c:tx>
            <c:v>Sable</c:v>
          </c:tx>
          <c:spPr>
            <a:ln w="19050">
              <a:solidFill>
                <a:srgbClr val="FF0000"/>
              </a:solidFill>
            </a:ln>
          </c:spPr>
          <c:marker>
            <c:symbol val="circle"/>
            <c:size val="5"/>
            <c:spPr>
              <a:solidFill>
                <a:srgbClr val="FF0000"/>
              </a:solidFill>
              <a:ln>
                <a:solidFill>
                  <a:schemeClr val="tx1"/>
                </a:solidFill>
              </a:ln>
            </c:spPr>
          </c:marker>
          <c:trendline>
            <c:trendlineType val="poly"/>
            <c:order val="3"/>
            <c:forward val="8.0000000000000043E-2"/>
            <c:dispRSqr val="1"/>
            <c:dispEq val="1"/>
            <c:trendlineLbl>
              <c:layout>
                <c:manualLayout>
                  <c:x val="0.22708329608213704"/>
                  <c:y val="-5.7403848141029624E-3"/>
                </c:manualLayout>
              </c:layout>
              <c:numFmt formatCode="General" sourceLinked="0"/>
            </c:trendlineLbl>
          </c:trendline>
          <c:xVal>
            <c:numRef>
              <c:f>'Graphs-Deploy 2'!$B$86:$B$120</c:f>
              <c:numCache>
                <c:formatCode>General</c:formatCode>
                <c:ptCount val="35"/>
              </c:numCache>
            </c:numRef>
          </c:xVal>
          <c:yVal>
            <c:numRef>
              <c:f>'Graphs-Deploy 2'!$C$86:$C$120</c:f>
              <c:numCache>
                <c:formatCode>General</c:formatCode>
                <c:ptCount val="35"/>
              </c:numCache>
            </c:numRef>
          </c:yVal>
        </c:ser>
        <c:ser>
          <c:idx val="1"/>
          <c:order val="1"/>
          <c:tx>
            <c:v>Melo</c:v>
          </c:tx>
          <c:spPr>
            <a:ln>
              <a:noFill/>
            </a:ln>
          </c:spPr>
          <c:marker>
            <c:symbol val="circle"/>
            <c:size val="5"/>
            <c:spPr>
              <a:solidFill>
                <a:srgbClr val="0000FF"/>
              </a:solidFill>
              <a:ln>
                <a:noFill/>
              </a:ln>
            </c:spPr>
          </c:marker>
          <c:xVal>
            <c:numRef>
              <c:f>'Graphs-Deploy 2'!$D$76:$D$121</c:f>
              <c:numCache>
                <c:formatCode>General</c:formatCode>
                <c:ptCount val="46"/>
              </c:numCache>
            </c:numRef>
          </c:xVal>
          <c:yVal>
            <c:numRef>
              <c:f>'Graphs-Deploy 2'!$E$76:$E$121</c:f>
              <c:numCache>
                <c:formatCode>General</c:formatCode>
                <c:ptCount val="46"/>
              </c:numCache>
            </c:numRef>
          </c:yVal>
        </c:ser>
        <c:axId val="118235904"/>
        <c:axId val="118251520"/>
      </c:scatterChart>
      <c:valAx>
        <c:axId val="118235904"/>
        <c:scaling>
          <c:orientation val="maxMin"/>
        </c:scaling>
        <c:axPos val="t"/>
        <c:title>
          <c:tx>
            <c:rich>
              <a:bodyPr/>
              <a:lstStyle/>
              <a:p>
                <a:pPr>
                  <a:defRPr sz="1400"/>
                </a:pPr>
                <a:r>
                  <a:rPr lang="en-US" sz="1400"/>
                  <a:t>Longitude W</a:t>
                </a:r>
              </a:p>
            </c:rich>
          </c:tx>
        </c:title>
        <c:numFmt formatCode="General" sourceLinked="1"/>
        <c:tickLblPos val="nextTo"/>
        <c:crossAx val="118251520"/>
        <c:crosses val="autoZero"/>
        <c:crossBetween val="midCat"/>
      </c:valAx>
      <c:valAx>
        <c:axId val="118251520"/>
        <c:scaling>
          <c:orientation val="maxMin"/>
        </c:scaling>
        <c:axPos val="r"/>
        <c:majorGridlines/>
        <c:title>
          <c:tx>
            <c:rich>
              <a:bodyPr rot="-5400000" vert="horz"/>
              <a:lstStyle/>
              <a:p>
                <a:pPr>
                  <a:defRPr sz="1400"/>
                </a:pPr>
                <a:r>
                  <a:rPr lang="en-US" sz="1400"/>
                  <a:t>Latitude S</a:t>
                </a:r>
              </a:p>
            </c:rich>
          </c:tx>
        </c:title>
        <c:numFmt formatCode="General" sourceLinked="1"/>
        <c:tickLblPos val="nextTo"/>
        <c:crossAx val="118235904"/>
        <c:crosses val="autoZero"/>
        <c:crossBetween val="midCat"/>
      </c:valAx>
    </c:plotArea>
    <c:legend>
      <c:legendPos val="r"/>
      <c:layout>
        <c:manualLayout>
          <c:xMode val="edge"/>
          <c:yMode val="edge"/>
          <c:x val="0.6796689320887852"/>
          <c:y val="0.17584706636079941"/>
          <c:w val="0.16669797134219641"/>
          <c:h val="0.11390811581623163"/>
        </c:manualLayout>
      </c:layout>
      <c:spPr>
        <a:solidFill>
          <a:schemeClr val="bg1"/>
        </a:solidFill>
        <a:ln>
          <a:solidFill>
            <a:sysClr val="windowText" lastClr="000000"/>
          </a:solidFill>
        </a:ln>
      </c:spPr>
    </c:legend>
    <c:plotVisOnly val="1"/>
  </c:chart>
  <c:printSettings>
    <c:headerFooter/>
    <c:pageMargins b="0.75000000000000178" l="0.70000000000000062" r="0.70000000000000062" t="0.7500000000000017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Drift Rate Vectors (km/h)</a:t>
            </a:r>
          </a:p>
        </c:rich>
      </c:tx>
    </c:title>
    <c:plotArea>
      <c:layout>
        <c:manualLayout>
          <c:layoutTarget val="inner"/>
          <c:xMode val="edge"/>
          <c:yMode val="edge"/>
          <c:x val="0.10970769064825812"/>
          <c:y val="9.9067350074431279E-2"/>
          <c:w val="0.78133434005680757"/>
          <c:h val="0.82687294267663103"/>
        </c:manualLayout>
      </c:layout>
      <c:scatterChart>
        <c:scatterStyle val="lineMarker"/>
        <c:ser>
          <c:idx val="0"/>
          <c:order val="0"/>
          <c:tx>
            <c:v>Sable</c:v>
          </c:tx>
          <c:spPr>
            <a:ln w="28575">
              <a:noFill/>
              <a:prstDash val="sysDot"/>
            </a:ln>
          </c:spPr>
          <c:marker>
            <c:symbol val="circle"/>
            <c:size val="5"/>
            <c:spPr>
              <a:solidFill>
                <a:srgbClr val="FF0000"/>
              </a:solidFill>
              <a:ln>
                <a:solidFill>
                  <a:sysClr val="windowText" lastClr="000000"/>
                </a:solidFill>
              </a:ln>
            </c:spPr>
          </c:marker>
          <c:xVal>
            <c:numRef>
              <c:f>'Calc-Deploy 2'!$V$12:$V$60</c:f>
              <c:numCache>
                <c:formatCode>General</c:formatCode>
                <c:ptCount val="49"/>
                <c:pt idx="0">
                  <c:v>-0.22472224209359951</c:v>
                </c:pt>
                <c:pt idx="1">
                  <c:v>-0.24369674169819491</c:v>
                </c:pt>
                <c:pt idx="2">
                  <c:v>3.8627154174307794E-2</c:v>
                </c:pt>
                <c:pt idx="3">
                  <c:v>-0.20121024444543834</c:v>
                </c:pt>
                <c:pt idx="4">
                  <c:v>-0.57732951284144507</c:v>
                </c:pt>
                <c:pt idx="5">
                  <c:v>-0.56759598549702628</c:v>
                </c:pt>
                <c:pt idx="6">
                  <c:v>-0.36073025536243103</c:v>
                </c:pt>
                <c:pt idx="7">
                  <c:v>3.4111988994814574E-2</c:v>
                </c:pt>
                <c:pt idx="8">
                  <c:v>0.20341146215930486</c:v>
                </c:pt>
                <c:pt idx="9">
                  <c:v>-0.33454496275862955</c:v>
                </c:pt>
                <c:pt idx="10">
                  <c:v>-0.53780419145127845</c:v>
                </c:pt>
                <c:pt idx="11">
                  <c:v>-0.45516195791061514</c:v>
                </c:pt>
                <c:pt idx="12">
                  <c:v>-0.52691724346690816</c:v>
                </c:pt>
                <c:pt idx="13">
                  <c:v>-0.40057174554714836</c:v>
                </c:pt>
                <c:pt idx="14">
                  <c:v>-0.24450606728106472</c:v>
                </c:pt>
                <c:pt idx="15">
                  <c:v>-0.34944337045793522</c:v>
                </c:pt>
                <c:pt idx="16">
                  <c:v>-0.55833725986778193</c:v>
                </c:pt>
                <c:pt idx="17">
                  <c:v>-0.61250679417440568</c:v>
                </c:pt>
                <c:pt idx="18">
                  <c:v>-0.61824157497712751</c:v>
                </c:pt>
                <c:pt idx="19">
                  <c:v>-0.38800588329744645</c:v>
                </c:pt>
                <c:pt idx="20">
                  <c:v>-0.36198477716004973</c:v>
                </c:pt>
                <c:pt idx="21">
                  <c:v>-0.40932647212008827</c:v>
                </c:pt>
                <c:pt idx="22">
                  <c:v>-0.54145002619102955</c:v>
                </c:pt>
              </c:numCache>
            </c:numRef>
          </c:xVal>
          <c:yVal>
            <c:numRef>
              <c:f>'Calc-Deploy 2'!$U$12:$U$60</c:f>
              <c:numCache>
                <c:formatCode>General</c:formatCode>
                <c:ptCount val="49"/>
                <c:pt idx="0">
                  <c:v>9.4522716264238776E-2</c:v>
                </c:pt>
                <c:pt idx="1">
                  <c:v>4.00438469043123E-2</c:v>
                </c:pt>
                <c:pt idx="2">
                  <c:v>0.18273336152014139</c:v>
                </c:pt>
                <c:pt idx="3">
                  <c:v>-0.29763197618624576</c:v>
                </c:pt>
                <c:pt idx="4">
                  <c:v>-0.41070796267133119</c:v>
                </c:pt>
                <c:pt idx="5">
                  <c:v>0.10656320109425188</c:v>
                </c:pt>
                <c:pt idx="6">
                  <c:v>0.25764849706847859</c:v>
                </c:pt>
                <c:pt idx="7">
                  <c:v>0.12747251669261886</c:v>
                </c:pt>
                <c:pt idx="8">
                  <c:v>2.0646606581974005E-2</c:v>
                </c:pt>
                <c:pt idx="9">
                  <c:v>-0.32431132870502122</c:v>
                </c:pt>
                <c:pt idx="10">
                  <c:v>-0.39508707338017085</c:v>
                </c:pt>
                <c:pt idx="11">
                  <c:v>6.4887474839663881E-2</c:v>
                </c:pt>
                <c:pt idx="12">
                  <c:v>0.29858407080692018</c:v>
                </c:pt>
                <c:pt idx="13">
                  <c:v>0.23253189287649345</c:v>
                </c:pt>
                <c:pt idx="14">
                  <c:v>-4.6325376100394965E-2</c:v>
                </c:pt>
                <c:pt idx="15">
                  <c:v>0.1232698244477427</c:v>
                </c:pt>
                <c:pt idx="16">
                  <c:v>-8.0177640066796507E-2</c:v>
                </c:pt>
                <c:pt idx="17">
                  <c:v>-6.8142632881139767E-2</c:v>
                </c:pt>
                <c:pt idx="18">
                  <c:v>0.46558542602810249</c:v>
                </c:pt>
                <c:pt idx="19">
                  <c:v>0.18869681062625226</c:v>
                </c:pt>
                <c:pt idx="20">
                  <c:v>-3.3344583053542119E-2</c:v>
                </c:pt>
                <c:pt idx="21">
                  <c:v>5.6728739040276623E-2</c:v>
                </c:pt>
                <c:pt idx="22">
                  <c:v>9.7282317431820042E-3</c:v>
                </c:pt>
              </c:numCache>
            </c:numRef>
          </c:yVal>
        </c:ser>
        <c:ser>
          <c:idx val="1"/>
          <c:order val="1"/>
          <c:tx>
            <c:v>Melo</c:v>
          </c:tx>
          <c:spPr>
            <a:ln w="28575">
              <a:noFill/>
              <a:prstDash val="sysDot"/>
            </a:ln>
          </c:spPr>
          <c:marker>
            <c:symbol val="circle"/>
            <c:size val="5"/>
            <c:spPr>
              <a:solidFill>
                <a:srgbClr val="0000FF"/>
              </a:solidFill>
              <a:ln>
                <a:noFill/>
              </a:ln>
            </c:spPr>
          </c:marker>
          <c:xVal>
            <c:numRef>
              <c:f>'Calc-Deploy 2'!$AU$12:$AU$150</c:f>
              <c:numCache>
                <c:formatCode>General</c:formatCode>
                <c:ptCount val="139"/>
                <c:pt idx="0">
                  <c:v>-0.17394141884737668</c:v>
                </c:pt>
                <c:pt idx="1">
                  <c:v>-0.27592664256755889</c:v>
                </c:pt>
                <c:pt idx="2">
                  <c:v>-0.23615821627597086</c:v>
                </c:pt>
                <c:pt idx="3">
                  <c:v>-9.9033550388433228E-2</c:v>
                </c:pt>
                <c:pt idx="4">
                  <c:v>-9.3127065901245504E-2</c:v>
                </c:pt>
                <c:pt idx="5">
                  <c:v>5.9853631143335362E-3</c:v>
                </c:pt>
                <c:pt idx="6">
                  <c:v>1.1774240041695059E-2</c:v>
                </c:pt>
                <c:pt idx="7">
                  <c:v>6.4221689173642538E-3</c:v>
                </c:pt>
                <c:pt idx="8">
                  <c:v>3.5278473282552396E-2</c:v>
                </c:pt>
                <c:pt idx="9">
                  <c:v>4.3527798349124215E-3</c:v>
                </c:pt>
                <c:pt idx="10">
                  <c:v>-7.9207759609932593E-2</c:v>
                </c:pt>
                <c:pt idx="11">
                  <c:v>-0.14664615677514101</c:v>
                </c:pt>
                <c:pt idx="12">
                  <c:v>-0.23372087323579399</c:v>
                </c:pt>
                <c:pt idx="13">
                  <c:v>-0.30601876963887942</c:v>
                </c:pt>
                <c:pt idx="14">
                  <c:v>-0.35810180839400568</c:v>
                </c:pt>
                <c:pt idx="15">
                  <c:v>-0.34256974472553942</c:v>
                </c:pt>
                <c:pt idx="16">
                  <c:v>-0.31488951331550513</c:v>
                </c:pt>
                <c:pt idx="17">
                  <c:v>-0.29385288841669283</c:v>
                </c:pt>
                <c:pt idx="18">
                  <c:v>-0.20958669484122225</c:v>
                </c:pt>
                <c:pt idx="19">
                  <c:v>-0.26007735768970525</c:v>
                </c:pt>
                <c:pt idx="20">
                  <c:v>-0.20430595896473916</c:v>
                </c:pt>
                <c:pt idx="21">
                  <c:v>-0.17900823752534809</c:v>
                </c:pt>
                <c:pt idx="22">
                  <c:v>-0.1766058538798061</c:v>
                </c:pt>
                <c:pt idx="23">
                  <c:v>-0.26116119036103164</c:v>
                </c:pt>
                <c:pt idx="24">
                  <c:v>-0.22524926869177467</c:v>
                </c:pt>
                <c:pt idx="25">
                  <c:v>-0.15091505008355802</c:v>
                </c:pt>
                <c:pt idx="26">
                  <c:v>-0.12531298688188469</c:v>
                </c:pt>
                <c:pt idx="27">
                  <c:v>-2.7203533665132021E-2</c:v>
                </c:pt>
                <c:pt idx="28">
                  <c:v>2.1218679899030975E-2</c:v>
                </c:pt>
                <c:pt idx="29">
                  <c:v>4.1741084018268031E-2</c:v>
                </c:pt>
                <c:pt idx="30">
                  <c:v>0.11612413021489516</c:v>
                </c:pt>
                <c:pt idx="31">
                  <c:v>0.1833456706805292</c:v>
                </c:pt>
                <c:pt idx="32">
                  <c:v>4.3346160312033102E-2</c:v>
                </c:pt>
                <c:pt idx="33">
                  <c:v>-7.6712957825775446E-2</c:v>
                </c:pt>
                <c:pt idx="34">
                  <c:v>-0.19902768257206471</c:v>
                </c:pt>
                <c:pt idx="35">
                  <c:v>-0.23922308958212632</c:v>
                </c:pt>
                <c:pt idx="36">
                  <c:v>-0.21111476282951847</c:v>
                </c:pt>
                <c:pt idx="37">
                  <c:v>-0.30774451962856342</c:v>
                </c:pt>
                <c:pt idx="38">
                  <c:v>-0.34521830883454213</c:v>
                </c:pt>
                <c:pt idx="39">
                  <c:v>-0.30822753865514968</c:v>
                </c:pt>
                <c:pt idx="40">
                  <c:v>-0.23442769711248226</c:v>
                </c:pt>
                <c:pt idx="41">
                  <c:v>-0.20124087635438026</c:v>
                </c:pt>
                <c:pt idx="42">
                  <c:v>-0.27276503115314349</c:v>
                </c:pt>
                <c:pt idx="43">
                  <c:v>-0.29001257232745992</c:v>
                </c:pt>
                <c:pt idx="44">
                  <c:v>-0.2829319739256913</c:v>
                </c:pt>
                <c:pt idx="45">
                  <c:v>-0.2522080467392554</c:v>
                </c:pt>
                <c:pt idx="46">
                  <c:v>-0.30413450470066011</c:v>
                </c:pt>
                <c:pt idx="47">
                  <c:v>-0.27345798446600789</c:v>
                </c:pt>
                <c:pt idx="48">
                  <c:v>-0.20401985078823501</c:v>
                </c:pt>
                <c:pt idx="49">
                  <c:v>-0.14215403171908203</c:v>
                </c:pt>
                <c:pt idx="50">
                  <c:v>-0.12458617020364467</c:v>
                </c:pt>
                <c:pt idx="51">
                  <c:v>-0.13271138956349746</c:v>
                </c:pt>
                <c:pt idx="52">
                  <c:v>-0.16210795865316094</c:v>
                </c:pt>
                <c:pt idx="53">
                  <c:v>-0.10021968394522607</c:v>
                </c:pt>
                <c:pt idx="54">
                  <c:v>-8.2861981678854016E-2</c:v>
                </c:pt>
                <c:pt idx="55">
                  <c:v>-0.1599994374334906</c:v>
                </c:pt>
                <c:pt idx="56">
                  <c:v>-0.20387597878285571</c:v>
                </c:pt>
                <c:pt idx="57">
                  <c:v>-0.20900847118100721</c:v>
                </c:pt>
                <c:pt idx="58">
                  <c:v>-0.22738074251150864</c:v>
                </c:pt>
                <c:pt idx="59">
                  <c:v>-0.26862178123056057</c:v>
                </c:pt>
                <c:pt idx="60">
                  <c:v>-0.2723701702492371</c:v>
                </c:pt>
                <c:pt idx="61">
                  <c:v>-0.33250235041639259</c:v>
                </c:pt>
                <c:pt idx="62">
                  <c:v>-0.28360989182402996</c:v>
                </c:pt>
                <c:pt idx="63">
                  <c:v>-0.24797692640335037</c:v>
                </c:pt>
                <c:pt idx="64">
                  <c:v>-0.39281821930832284</c:v>
                </c:pt>
                <c:pt idx="65">
                  <c:v>-0.39496896472968412</c:v>
                </c:pt>
                <c:pt idx="66">
                  <c:v>-0.36279499434897983</c:v>
                </c:pt>
                <c:pt idx="67">
                  <c:v>-0.29533534942157913</c:v>
                </c:pt>
                <c:pt idx="68">
                  <c:v>-0.33191982810057924</c:v>
                </c:pt>
                <c:pt idx="69">
                  <c:v>-0.26752762206781205</c:v>
                </c:pt>
                <c:pt idx="70">
                  <c:v>-0.17461296131075676</c:v>
                </c:pt>
                <c:pt idx="71">
                  <c:v>-0.17845280616688189</c:v>
                </c:pt>
                <c:pt idx="72">
                  <c:v>-0.27197586122871442</c:v>
                </c:pt>
                <c:pt idx="73">
                  <c:v>-0.1816774114169851</c:v>
                </c:pt>
                <c:pt idx="74">
                  <c:v>-0.13528213165639061</c:v>
                </c:pt>
                <c:pt idx="75">
                  <c:v>-0.18058667918090882</c:v>
                </c:pt>
                <c:pt idx="76">
                  <c:v>-0.19092273513636229</c:v>
                </c:pt>
                <c:pt idx="77">
                  <c:v>-0.24529953609899594</c:v>
                </c:pt>
                <c:pt idx="78">
                  <c:v>-0.16373254319948038</c:v>
                </c:pt>
                <c:pt idx="79">
                  <c:v>-0.23219691096996933</c:v>
                </c:pt>
                <c:pt idx="80">
                  <c:v>-0.30710097450820956</c:v>
                </c:pt>
                <c:pt idx="81">
                  <c:v>-0.35110441629298267</c:v>
                </c:pt>
                <c:pt idx="82">
                  <c:v>-0.34866580065141378</c:v>
                </c:pt>
                <c:pt idx="83">
                  <c:v>-0.29961594175245271</c:v>
                </c:pt>
                <c:pt idx="84">
                  <c:v>-0.28583566710833325</c:v>
                </c:pt>
                <c:pt idx="85">
                  <c:v>-0.22138181628463299</c:v>
                </c:pt>
              </c:numCache>
            </c:numRef>
          </c:xVal>
          <c:yVal>
            <c:numRef>
              <c:f>'Calc-Deploy 2'!$AT$12:$AT$150</c:f>
              <c:numCache>
                <c:formatCode>General</c:formatCode>
                <c:ptCount val="139"/>
                <c:pt idx="0">
                  <c:v>1.299465049904663E-2</c:v>
                </c:pt>
                <c:pt idx="1">
                  <c:v>-7.4949572987770524E-2</c:v>
                </c:pt>
                <c:pt idx="2">
                  <c:v>-8.9454123153452081E-2</c:v>
                </c:pt>
                <c:pt idx="3">
                  <c:v>4.0228402170023284E-2</c:v>
                </c:pt>
                <c:pt idx="4">
                  <c:v>9.5082548153245405E-2</c:v>
                </c:pt>
                <c:pt idx="5">
                  <c:v>0.12728778131255455</c:v>
                </c:pt>
                <c:pt idx="6">
                  <c:v>0.1500050776957495</c:v>
                </c:pt>
                <c:pt idx="7">
                  <c:v>0.16240706433993118</c:v>
                </c:pt>
                <c:pt idx="8">
                  <c:v>5.9847803630744427E-2</c:v>
                </c:pt>
                <c:pt idx="9">
                  <c:v>-1.6211188964099236E-2</c:v>
                </c:pt>
                <c:pt idx="10">
                  <c:v>-0.13701207617822325</c:v>
                </c:pt>
                <c:pt idx="11">
                  <c:v>-0.23563640938967878</c:v>
                </c:pt>
                <c:pt idx="12">
                  <c:v>-0.1869821841761117</c:v>
                </c:pt>
                <c:pt idx="13">
                  <c:v>-0.23201815146689067</c:v>
                </c:pt>
                <c:pt idx="14">
                  <c:v>-0.23589561520356153</c:v>
                </c:pt>
                <c:pt idx="15">
                  <c:v>-0.16003669441132781</c:v>
                </c:pt>
                <c:pt idx="16">
                  <c:v>1.5881959386576602E-2</c:v>
                </c:pt>
                <c:pt idx="17">
                  <c:v>0.17540557880713106</c:v>
                </c:pt>
                <c:pt idx="18">
                  <c:v>0.24869067986839016</c:v>
                </c:pt>
                <c:pt idx="19">
                  <c:v>0.26988550980090675</c:v>
                </c:pt>
                <c:pt idx="20">
                  <c:v>0.2579872584231348</c:v>
                </c:pt>
                <c:pt idx="21">
                  <c:v>0.21434996607927034</c:v>
                </c:pt>
                <c:pt idx="22">
                  <c:v>0.12343152139361514</c:v>
                </c:pt>
                <c:pt idx="23">
                  <c:v>3.8982398941080069E-2</c:v>
                </c:pt>
                <c:pt idx="24">
                  <c:v>7.3854363075325072E-2</c:v>
                </c:pt>
                <c:pt idx="25">
                  <c:v>1.7718706641834048E-2</c:v>
                </c:pt>
                <c:pt idx="26">
                  <c:v>3.9512213713370839E-2</c:v>
                </c:pt>
                <c:pt idx="27">
                  <c:v>7.2650146506039001E-2</c:v>
                </c:pt>
                <c:pt idx="28">
                  <c:v>2.6418247002502612E-2</c:v>
                </c:pt>
                <c:pt idx="29">
                  <c:v>0.10039720911716479</c:v>
                </c:pt>
                <c:pt idx="30">
                  <c:v>0.10689430714810784</c:v>
                </c:pt>
                <c:pt idx="31">
                  <c:v>9.6089047428883634E-3</c:v>
                </c:pt>
                <c:pt idx="32">
                  <c:v>-5.84664051285421E-2</c:v>
                </c:pt>
                <c:pt idx="33">
                  <c:v>-9.1262523061633724E-2</c:v>
                </c:pt>
                <c:pt idx="34">
                  <c:v>-0.20510639030725808</c:v>
                </c:pt>
                <c:pt idx="35">
                  <c:v>-0.20079024344905663</c:v>
                </c:pt>
                <c:pt idx="36">
                  <c:v>-0.21614601181965207</c:v>
                </c:pt>
                <c:pt idx="37">
                  <c:v>-0.23681250088886913</c:v>
                </c:pt>
                <c:pt idx="38">
                  <c:v>-0.1942896892793157</c:v>
                </c:pt>
                <c:pt idx="39">
                  <c:v>-7.4485707969555989E-2</c:v>
                </c:pt>
                <c:pt idx="40">
                  <c:v>6.0242042675962643E-2</c:v>
                </c:pt>
                <c:pt idx="41">
                  <c:v>0.10807731149783543</c:v>
                </c:pt>
                <c:pt idx="42">
                  <c:v>0.12434901476226401</c:v>
                </c:pt>
                <c:pt idx="43">
                  <c:v>0.16571996824032253</c:v>
                </c:pt>
                <c:pt idx="44">
                  <c:v>0.18553335488612571</c:v>
                </c:pt>
                <c:pt idx="45">
                  <c:v>0.24346265077214993</c:v>
                </c:pt>
                <c:pt idx="46">
                  <c:v>0.16932302189402812</c:v>
                </c:pt>
                <c:pt idx="47">
                  <c:v>9.3315397852701668E-2</c:v>
                </c:pt>
                <c:pt idx="48">
                  <c:v>0.12128645401688959</c:v>
                </c:pt>
                <c:pt idx="49">
                  <c:v>8.6577237638558305E-2</c:v>
                </c:pt>
                <c:pt idx="50">
                  <c:v>2.5218438981431852E-2</c:v>
                </c:pt>
                <c:pt idx="51">
                  <c:v>-1.1810207962711736E-2</c:v>
                </c:pt>
                <c:pt idx="52">
                  <c:v>-4.1518398471394054E-2</c:v>
                </c:pt>
                <c:pt idx="53">
                  <c:v>-1.9591808616473295E-2</c:v>
                </c:pt>
                <c:pt idx="54">
                  <c:v>8.036361034548456E-2</c:v>
                </c:pt>
                <c:pt idx="55">
                  <c:v>0.12756514108852132</c:v>
                </c:pt>
                <c:pt idx="56">
                  <c:v>0.10276224719205874</c:v>
                </c:pt>
                <c:pt idx="57">
                  <c:v>9.5875619965201983E-2</c:v>
                </c:pt>
                <c:pt idx="58">
                  <c:v>2.0763527732522206E-2</c:v>
                </c:pt>
                <c:pt idx="59">
                  <c:v>-5.7870992953727773E-2</c:v>
                </c:pt>
                <c:pt idx="60">
                  <c:v>-7.0863419284054679E-2</c:v>
                </c:pt>
                <c:pt idx="61">
                  <c:v>-1.15938412999329E-2</c:v>
                </c:pt>
                <c:pt idx="62">
                  <c:v>-5.1374139592266249E-2</c:v>
                </c:pt>
                <c:pt idx="63">
                  <c:v>-0.11039438781468479</c:v>
                </c:pt>
                <c:pt idx="64">
                  <c:v>-5.5553439631165817E-2</c:v>
                </c:pt>
                <c:pt idx="65">
                  <c:v>0.13030042171399878</c:v>
                </c:pt>
                <c:pt idx="66">
                  <c:v>0.26990009219174027</c:v>
                </c:pt>
                <c:pt idx="67">
                  <c:v>0.28181333205847431</c:v>
                </c:pt>
                <c:pt idx="68">
                  <c:v>0.17768919283351178</c:v>
                </c:pt>
                <c:pt idx="69">
                  <c:v>9.1543466501171983E-2</c:v>
                </c:pt>
                <c:pt idx="70">
                  <c:v>9.7869551957648557E-2</c:v>
                </c:pt>
                <c:pt idx="71">
                  <c:v>0.12027871850688381</c:v>
                </c:pt>
                <c:pt idx="72">
                  <c:v>6.3648907208425212E-2</c:v>
                </c:pt>
                <c:pt idx="73">
                  <c:v>0.10027138461697617</c:v>
                </c:pt>
                <c:pt idx="74">
                  <c:v>0.10981894277414282</c:v>
                </c:pt>
                <c:pt idx="75">
                  <c:v>1.8034572703063073E-3</c:v>
                </c:pt>
                <c:pt idx="76">
                  <c:v>-4.9231469771284508E-2</c:v>
                </c:pt>
                <c:pt idx="77">
                  <c:v>-1.1616692285391321E-2</c:v>
                </c:pt>
                <c:pt idx="78">
                  <c:v>0.12395166158723071</c:v>
                </c:pt>
                <c:pt idx="79">
                  <c:v>-2.0666265818310384E-2</c:v>
                </c:pt>
                <c:pt idx="80">
                  <c:v>-4.3105179705699256E-2</c:v>
                </c:pt>
                <c:pt idx="81">
                  <c:v>-4.9380239742567632E-2</c:v>
                </c:pt>
                <c:pt idx="82">
                  <c:v>-7.1967100123494126E-3</c:v>
                </c:pt>
                <c:pt idx="83">
                  <c:v>-6.9090625178971465E-2</c:v>
                </c:pt>
                <c:pt idx="84">
                  <c:v>-2.556028085955844E-2</c:v>
                </c:pt>
                <c:pt idx="85">
                  <c:v>0.16091428064413019</c:v>
                </c:pt>
              </c:numCache>
            </c:numRef>
          </c:yVal>
        </c:ser>
        <c:axId val="118272384"/>
        <c:axId val="118274304"/>
      </c:scatterChart>
      <c:valAx>
        <c:axId val="118272384"/>
        <c:scaling>
          <c:orientation val="minMax"/>
          <c:max val="0.60000000000000053"/>
          <c:min val="-0.60000000000000053"/>
        </c:scaling>
        <c:axPos val="b"/>
        <c:numFmt formatCode="General" sourceLinked="1"/>
        <c:tickLblPos val="nextTo"/>
        <c:crossAx val="118274304"/>
        <c:crosses val="autoZero"/>
        <c:crossBetween val="midCat"/>
        <c:majorUnit val="0.1"/>
        <c:minorUnit val="2.0000000000000011E-2"/>
      </c:valAx>
      <c:valAx>
        <c:axId val="118274304"/>
        <c:scaling>
          <c:orientation val="minMax"/>
          <c:max val="0.60000000000000053"/>
          <c:min val="-0.60000000000000053"/>
        </c:scaling>
        <c:axPos val="l"/>
        <c:majorGridlines/>
        <c:numFmt formatCode="General" sourceLinked="1"/>
        <c:tickLblPos val="nextTo"/>
        <c:crossAx val="118272384"/>
        <c:crosses val="autoZero"/>
        <c:crossBetween val="midCat"/>
      </c:valAx>
    </c:plotArea>
    <c:legend>
      <c:legendPos val="r"/>
      <c:layout>
        <c:manualLayout>
          <c:xMode val="edge"/>
          <c:yMode val="edge"/>
          <c:x val="0.11360807606055612"/>
          <c:y val="0.10000051231580701"/>
          <c:w val="0.13837404082451477"/>
          <c:h val="8.1141284156669005E-2"/>
        </c:manualLayout>
      </c:layout>
    </c:legend>
    <c:plotVisOnly val="1"/>
  </c:chart>
  <c:printSettings>
    <c:headerFooter/>
    <c:pageMargins b="0.75000000000000178" l="0.70000000000000062" r="0.70000000000000062" t="0.75000000000000178"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IPS Deployment 3 Track</a:t>
            </a:r>
          </a:p>
        </c:rich>
      </c:tx>
      <c:layout>
        <c:manualLayout>
          <c:xMode val="edge"/>
          <c:yMode val="edge"/>
          <c:x val="0.29636772386573773"/>
          <c:y val="1.6956897851969195E-2"/>
        </c:manualLayout>
      </c:layout>
    </c:title>
    <c:plotArea>
      <c:layout>
        <c:manualLayout>
          <c:layoutTarget val="inner"/>
          <c:xMode val="edge"/>
          <c:yMode val="edge"/>
          <c:x val="7.3228499442298589E-2"/>
          <c:y val="0.15728351119266476"/>
          <c:w val="0.79878244956462641"/>
          <c:h val="0.80055623502454276"/>
        </c:manualLayout>
      </c:layout>
      <c:scatterChart>
        <c:scatterStyle val="lineMarker"/>
        <c:ser>
          <c:idx val="0"/>
          <c:order val="0"/>
          <c:tx>
            <c:v>Sable</c:v>
          </c:tx>
          <c:spPr>
            <a:ln w="19050">
              <a:noFill/>
            </a:ln>
          </c:spPr>
          <c:marker>
            <c:symbol val="circle"/>
            <c:size val="5"/>
            <c:spPr>
              <a:solidFill>
                <a:srgbClr val="FF0000"/>
              </a:solidFill>
              <a:ln>
                <a:solidFill>
                  <a:srgbClr val="000000"/>
                </a:solidFill>
              </a:ln>
            </c:spPr>
          </c:marker>
          <c:xVal>
            <c:numRef>
              <c:f>'Calc-Deploy 3'!$H$12:$H$39</c:f>
              <c:numCache>
                <c:formatCode>General</c:formatCode>
                <c:ptCount val="28"/>
                <c:pt idx="0">
                  <c:v>-103.96102</c:v>
                </c:pt>
                <c:pt idx="1">
                  <c:v>-103.97505</c:v>
                </c:pt>
                <c:pt idx="2">
                  <c:v>-103.98802999999999</c:v>
                </c:pt>
                <c:pt idx="3">
                  <c:v>-103.99567</c:v>
                </c:pt>
                <c:pt idx="4">
                  <c:v>-103.99941</c:v>
                </c:pt>
                <c:pt idx="5">
                  <c:v>-104.00297999999999</c:v>
                </c:pt>
                <c:pt idx="6">
                  <c:v>-104.02341</c:v>
                </c:pt>
                <c:pt idx="7">
                  <c:v>-104.03861000000001</c:v>
                </c:pt>
                <c:pt idx="8">
                  <c:v>-104.05434</c:v>
                </c:pt>
                <c:pt idx="9">
                  <c:v>-104.06639</c:v>
                </c:pt>
                <c:pt idx="10">
                  <c:v>-104.07498</c:v>
                </c:pt>
                <c:pt idx="11">
                  <c:v>-104.08774</c:v>
                </c:pt>
                <c:pt idx="12">
                  <c:v>-104.12142</c:v>
                </c:pt>
                <c:pt idx="13">
                  <c:v>-104.13442999999999</c:v>
                </c:pt>
                <c:pt idx="14">
                  <c:v>-104.16651</c:v>
                </c:pt>
                <c:pt idx="15">
                  <c:v>-104.20046000000001</c:v>
                </c:pt>
                <c:pt idx="16">
                  <c:v>-104.21786</c:v>
                </c:pt>
                <c:pt idx="17">
                  <c:v>-104.23493000000001</c:v>
                </c:pt>
                <c:pt idx="18">
                  <c:v>-104.27379000000001</c:v>
                </c:pt>
                <c:pt idx="19">
                  <c:v>-104.29664</c:v>
                </c:pt>
                <c:pt idx="20">
                  <c:v>-104.31852000000001</c:v>
                </c:pt>
                <c:pt idx="21">
                  <c:v>-104.33799999999999</c:v>
                </c:pt>
              </c:numCache>
            </c:numRef>
          </c:xVal>
          <c:yVal>
            <c:numRef>
              <c:f>'Calc-Deploy 3'!$G$12:$G$39</c:f>
              <c:numCache>
                <c:formatCode>General</c:formatCode>
                <c:ptCount val="28"/>
                <c:pt idx="0">
                  <c:v>-26.247070000000001</c:v>
                </c:pt>
                <c:pt idx="1">
                  <c:v>-26.237480000000001</c:v>
                </c:pt>
                <c:pt idx="2">
                  <c:v>-26.23049</c:v>
                </c:pt>
                <c:pt idx="3">
                  <c:v>-26.232420000000001</c:v>
                </c:pt>
                <c:pt idx="4">
                  <c:v>-26.225909999999999</c:v>
                </c:pt>
                <c:pt idx="5">
                  <c:v>-26.220600000000001</c:v>
                </c:pt>
                <c:pt idx="6">
                  <c:v>-26.17942</c:v>
                </c:pt>
                <c:pt idx="7">
                  <c:v>-26.170110000000001</c:v>
                </c:pt>
                <c:pt idx="8">
                  <c:v>-26.165980000000001</c:v>
                </c:pt>
                <c:pt idx="9">
                  <c:v>-26.165870000000002</c:v>
                </c:pt>
                <c:pt idx="10">
                  <c:v>-26.16215</c:v>
                </c:pt>
                <c:pt idx="11">
                  <c:v>-26.150860000000002</c:v>
                </c:pt>
                <c:pt idx="12">
                  <c:v>-26.132359999999998</c:v>
                </c:pt>
                <c:pt idx="13">
                  <c:v>-26.125530000000001</c:v>
                </c:pt>
                <c:pt idx="14">
                  <c:v>-26.11215</c:v>
                </c:pt>
                <c:pt idx="15">
                  <c:v>-26.106739999999999</c:v>
                </c:pt>
                <c:pt idx="16">
                  <c:v>-26.107620000000001</c:v>
                </c:pt>
                <c:pt idx="17">
                  <c:v>-26.10624</c:v>
                </c:pt>
                <c:pt idx="18">
                  <c:v>-26.098410000000001</c:v>
                </c:pt>
                <c:pt idx="19">
                  <c:v>-26.101569999999999</c:v>
                </c:pt>
                <c:pt idx="20">
                  <c:v>-26.109680000000001</c:v>
                </c:pt>
                <c:pt idx="21">
                  <c:v>-26.11608</c:v>
                </c:pt>
              </c:numCache>
            </c:numRef>
          </c:yVal>
        </c:ser>
        <c:ser>
          <c:idx val="1"/>
          <c:order val="1"/>
          <c:tx>
            <c:v>Ship/Station</c:v>
          </c:tx>
          <c:spPr>
            <a:ln>
              <a:noFill/>
            </a:ln>
          </c:spPr>
          <c:marker>
            <c:symbol val="square"/>
            <c:size val="8"/>
            <c:spPr>
              <a:solidFill>
                <a:srgbClr val="00FF00"/>
              </a:solidFill>
              <a:ln>
                <a:solidFill>
                  <a:schemeClr val="tx1"/>
                </a:solidFill>
              </a:ln>
            </c:spPr>
          </c:marker>
          <c:xVal>
            <c:numRef>
              <c:f>'Calc-Deploy 3'!$BG$11:$BG$16</c:f>
              <c:numCache>
                <c:formatCode>0.00000</c:formatCode>
                <c:ptCount val="6"/>
                <c:pt idx="0">
                  <c:v>-103.9585</c:v>
                </c:pt>
                <c:pt idx="1">
                  <c:v>-103.96075</c:v>
                </c:pt>
                <c:pt idx="2" formatCode="General">
                  <c:v>-103.96075</c:v>
                </c:pt>
              </c:numCache>
            </c:numRef>
          </c:xVal>
          <c:yVal>
            <c:numRef>
              <c:f>'Calc-Deploy 3'!$BF$11:$BF$16</c:f>
              <c:numCache>
                <c:formatCode>0.00000</c:formatCode>
                <c:ptCount val="6"/>
                <c:pt idx="0">
                  <c:v>-26.248799999999999</c:v>
                </c:pt>
                <c:pt idx="1">
                  <c:v>-26.2483</c:v>
                </c:pt>
                <c:pt idx="2" formatCode="General">
                  <c:v>-26.2483</c:v>
                </c:pt>
              </c:numCache>
            </c:numRef>
          </c:yVal>
        </c:ser>
        <c:ser>
          <c:idx val="2"/>
          <c:order val="2"/>
          <c:tx>
            <c:v>Melo</c:v>
          </c:tx>
          <c:spPr>
            <a:ln>
              <a:solidFill>
                <a:srgbClr val="0000FF"/>
              </a:solidFill>
            </a:ln>
          </c:spPr>
          <c:marker>
            <c:symbol val="circle"/>
            <c:size val="5"/>
            <c:spPr>
              <a:solidFill>
                <a:srgbClr val="0000FF"/>
              </a:solidFill>
              <a:ln>
                <a:solidFill>
                  <a:srgbClr val="0000FF"/>
                </a:solidFill>
              </a:ln>
            </c:spPr>
          </c:marker>
          <c:xVal>
            <c:numRef>
              <c:f>'Calc-Deploy 3'!$AD$12:$AD$110</c:f>
              <c:numCache>
                <c:formatCode>General</c:formatCode>
                <c:ptCount val="99"/>
                <c:pt idx="0">
                  <c:v>-103.95914</c:v>
                </c:pt>
                <c:pt idx="1">
                  <c:v>-103.95935</c:v>
                </c:pt>
                <c:pt idx="2">
                  <c:v>-103.96087</c:v>
                </c:pt>
                <c:pt idx="3">
                  <c:v>-103.96167</c:v>
                </c:pt>
                <c:pt idx="4">
                  <c:v>-103.96245999999999</c:v>
                </c:pt>
                <c:pt idx="5">
                  <c:v>-103.96319</c:v>
                </c:pt>
                <c:pt idx="6">
                  <c:v>-103.9639</c:v>
                </c:pt>
                <c:pt idx="7">
                  <c:v>-103.96468</c:v>
                </c:pt>
                <c:pt idx="8">
                  <c:v>-103.97020000000001</c:v>
                </c:pt>
                <c:pt idx="9">
                  <c:v>-103.97915999999999</c:v>
                </c:pt>
                <c:pt idx="10">
                  <c:v>-103.98377000000001</c:v>
                </c:pt>
                <c:pt idx="11">
                  <c:v>-103.98796</c:v>
                </c:pt>
                <c:pt idx="12">
                  <c:v>-103.99087</c:v>
                </c:pt>
                <c:pt idx="13">
                  <c:v>-103.99368</c:v>
                </c:pt>
                <c:pt idx="14">
                  <c:v>-103.99590000000001</c:v>
                </c:pt>
                <c:pt idx="15">
                  <c:v>-103.99726</c:v>
                </c:pt>
                <c:pt idx="16">
                  <c:v>-103.99854999999999</c:v>
                </c:pt>
                <c:pt idx="17">
                  <c:v>-103.99973</c:v>
                </c:pt>
                <c:pt idx="18">
                  <c:v>-104.00176999999999</c:v>
                </c:pt>
                <c:pt idx="19">
                  <c:v>-104.00279</c:v>
                </c:pt>
                <c:pt idx="20">
                  <c:v>-104.00312</c:v>
                </c:pt>
                <c:pt idx="21">
                  <c:v>-104.00288999999999</c:v>
                </c:pt>
                <c:pt idx="22">
                  <c:v>-104.00373</c:v>
                </c:pt>
                <c:pt idx="23">
                  <c:v>-104.00463999999999</c:v>
                </c:pt>
                <c:pt idx="24">
                  <c:v>-104.00706</c:v>
                </c:pt>
                <c:pt idx="25">
                  <c:v>-104.00958</c:v>
                </c:pt>
                <c:pt idx="26">
                  <c:v>-104.01316</c:v>
                </c:pt>
                <c:pt idx="27">
                  <c:v>-104.01702</c:v>
                </c:pt>
                <c:pt idx="28">
                  <c:v>-104.02059</c:v>
                </c:pt>
                <c:pt idx="29">
                  <c:v>-104.02433000000001</c:v>
                </c:pt>
                <c:pt idx="30">
                  <c:v>-104.02943999999999</c:v>
                </c:pt>
                <c:pt idx="31">
                  <c:v>-104.03437</c:v>
                </c:pt>
                <c:pt idx="32">
                  <c:v>-104.03997</c:v>
                </c:pt>
                <c:pt idx="33">
                  <c:v>-104.04482</c:v>
                </c:pt>
                <c:pt idx="34">
                  <c:v>-104.05046</c:v>
                </c:pt>
                <c:pt idx="35">
                  <c:v>-104.05583</c:v>
                </c:pt>
                <c:pt idx="36">
                  <c:v>-104.06008</c:v>
                </c:pt>
                <c:pt idx="37">
                  <c:v>-104.06459</c:v>
                </c:pt>
                <c:pt idx="38">
                  <c:v>-104.06751</c:v>
                </c:pt>
                <c:pt idx="39">
                  <c:v>-104.07008999999999</c:v>
                </c:pt>
                <c:pt idx="40">
                  <c:v>-104.07319</c:v>
                </c:pt>
                <c:pt idx="41">
                  <c:v>-104.07702999999999</c:v>
                </c:pt>
                <c:pt idx="42">
                  <c:v>-104.0813</c:v>
                </c:pt>
                <c:pt idx="43">
                  <c:v>-104.08515</c:v>
                </c:pt>
                <c:pt idx="44">
                  <c:v>-104.09077000000001</c:v>
                </c:pt>
                <c:pt idx="45">
                  <c:v>-104.09632999999999</c:v>
                </c:pt>
                <c:pt idx="46">
                  <c:v>-104.10205999999999</c:v>
                </c:pt>
                <c:pt idx="47">
                  <c:v>-104.10769000000001</c:v>
                </c:pt>
                <c:pt idx="48">
                  <c:v>-104.11376</c:v>
                </c:pt>
                <c:pt idx="49">
                  <c:v>-104.11951999999999</c:v>
                </c:pt>
                <c:pt idx="50">
                  <c:v>-104.12445</c:v>
                </c:pt>
                <c:pt idx="51">
                  <c:v>-104.12940999999999</c:v>
                </c:pt>
                <c:pt idx="52">
                  <c:v>-104.13333</c:v>
                </c:pt>
                <c:pt idx="53">
                  <c:v>-104.13681</c:v>
                </c:pt>
                <c:pt idx="54">
                  <c:v>-104.14109000000001</c:v>
                </c:pt>
                <c:pt idx="55">
                  <c:v>-104.14478</c:v>
                </c:pt>
                <c:pt idx="56">
                  <c:v>-104.15067999999999</c:v>
                </c:pt>
                <c:pt idx="57">
                  <c:v>-104.15725</c:v>
                </c:pt>
                <c:pt idx="58">
                  <c:v>-104.16445</c:v>
                </c:pt>
                <c:pt idx="59">
                  <c:v>-104.1713</c:v>
                </c:pt>
                <c:pt idx="60">
                  <c:v>-104.17695999999999</c:v>
                </c:pt>
                <c:pt idx="61">
                  <c:v>-104.18228000000001</c:v>
                </c:pt>
                <c:pt idx="62">
                  <c:v>-104.18868999999999</c:v>
                </c:pt>
                <c:pt idx="63">
                  <c:v>-104.19328</c:v>
                </c:pt>
                <c:pt idx="64">
                  <c:v>-104.19935</c:v>
                </c:pt>
                <c:pt idx="65">
                  <c:v>-104.20523</c:v>
                </c:pt>
                <c:pt idx="66">
                  <c:v>-104.21109</c:v>
                </c:pt>
                <c:pt idx="67">
                  <c:v>-104.2167</c:v>
                </c:pt>
                <c:pt idx="68">
                  <c:v>-104.22261</c:v>
                </c:pt>
                <c:pt idx="69">
                  <c:v>-104.23480000000001</c:v>
                </c:pt>
                <c:pt idx="70">
                  <c:v>-104.24077</c:v>
                </c:pt>
                <c:pt idx="71">
                  <c:v>-104.247</c:v>
                </c:pt>
                <c:pt idx="72">
                  <c:v>-104.25408</c:v>
                </c:pt>
                <c:pt idx="73">
                  <c:v>-104.26033</c:v>
                </c:pt>
                <c:pt idx="74">
                  <c:v>-104.26725999999999</c:v>
                </c:pt>
                <c:pt idx="75">
                  <c:v>-104.27419</c:v>
                </c:pt>
                <c:pt idx="76">
                  <c:v>-104.28137</c:v>
                </c:pt>
                <c:pt idx="77">
                  <c:v>-104.28981</c:v>
                </c:pt>
                <c:pt idx="78">
                  <c:v>-104.29915</c:v>
                </c:pt>
                <c:pt idx="79">
                  <c:v>-104.30609</c:v>
                </c:pt>
                <c:pt idx="80">
                  <c:v>-104.31297000000001</c:v>
                </c:pt>
                <c:pt idx="81">
                  <c:v>-104.32035999999999</c:v>
                </c:pt>
                <c:pt idx="82">
                  <c:v>-104.32752000000001</c:v>
                </c:pt>
                <c:pt idx="83">
                  <c:v>-104.33431</c:v>
                </c:pt>
                <c:pt idx="84">
                  <c:v>-104.33942</c:v>
                </c:pt>
                <c:pt idx="85">
                  <c:v>-104.34462000000001</c:v>
                </c:pt>
                <c:pt idx="86">
                  <c:v>-104.34061</c:v>
                </c:pt>
              </c:numCache>
            </c:numRef>
          </c:xVal>
          <c:yVal>
            <c:numRef>
              <c:f>'Calc-Deploy 3'!$AC$12:$AC$110</c:f>
              <c:numCache>
                <c:formatCode>General</c:formatCode>
                <c:ptCount val="99"/>
                <c:pt idx="0">
                  <c:v>-26.24868</c:v>
                </c:pt>
                <c:pt idx="1">
                  <c:v>-26.248460000000001</c:v>
                </c:pt>
                <c:pt idx="2">
                  <c:v>-26.247170000000001</c:v>
                </c:pt>
                <c:pt idx="3">
                  <c:v>-26.246690000000001</c:v>
                </c:pt>
                <c:pt idx="4">
                  <c:v>-26.246009999999998</c:v>
                </c:pt>
                <c:pt idx="5">
                  <c:v>-26.245419999999999</c:v>
                </c:pt>
                <c:pt idx="6">
                  <c:v>-26.244759999999999</c:v>
                </c:pt>
                <c:pt idx="7">
                  <c:v>-26.24417</c:v>
                </c:pt>
                <c:pt idx="8">
                  <c:v>-26.240410000000001</c:v>
                </c:pt>
                <c:pt idx="9">
                  <c:v>-26.23443</c:v>
                </c:pt>
                <c:pt idx="10">
                  <c:v>-26.231680000000001</c:v>
                </c:pt>
                <c:pt idx="11">
                  <c:v>-26.23066</c:v>
                </c:pt>
                <c:pt idx="12">
                  <c:v>-26.231030000000001</c:v>
                </c:pt>
                <c:pt idx="13">
                  <c:v>-26.232220000000002</c:v>
                </c:pt>
                <c:pt idx="14">
                  <c:v>-26.232389999999999</c:v>
                </c:pt>
                <c:pt idx="15">
                  <c:v>-26.230689999999999</c:v>
                </c:pt>
                <c:pt idx="16">
                  <c:v>-26.22775</c:v>
                </c:pt>
                <c:pt idx="17">
                  <c:v>-26.225850000000001</c:v>
                </c:pt>
                <c:pt idx="18">
                  <c:v>-26.224989999999998</c:v>
                </c:pt>
                <c:pt idx="19">
                  <c:v>-26.223369999999999</c:v>
                </c:pt>
                <c:pt idx="20">
                  <c:v>-26.220310000000001</c:v>
                </c:pt>
                <c:pt idx="21">
                  <c:v>-26.216560000000001</c:v>
                </c:pt>
                <c:pt idx="22">
                  <c:v>-26.212039999999998</c:v>
                </c:pt>
                <c:pt idx="23">
                  <c:v>-26.207059999999998</c:v>
                </c:pt>
                <c:pt idx="24">
                  <c:v>-26.201260000000001</c:v>
                </c:pt>
                <c:pt idx="25">
                  <c:v>-26.195250000000001</c:v>
                </c:pt>
                <c:pt idx="26">
                  <c:v>-26.190180000000002</c:v>
                </c:pt>
                <c:pt idx="27">
                  <c:v>-26.18674</c:v>
                </c:pt>
                <c:pt idx="28">
                  <c:v>-26.183389999999999</c:v>
                </c:pt>
                <c:pt idx="29">
                  <c:v>-26.178560000000001</c:v>
                </c:pt>
                <c:pt idx="30">
                  <c:v>-26.174050000000001</c:v>
                </c:pt>
                <c:pt idx="31">
                  <c:v>-26.171410000000002</c:v>
                </c:pt>
                <c:pt idx="32">
                  <c:v>-26.169689999999999</c:v>
                </c:pt>
                <c:pt idx="33">
                  <c:v>-26.167760000000001</c:v>
                </c:pt>
                <c:pt idx="34">
                  <c:v>-26.16629</c:v>
                </c:pt>
                <c:pt idx="35">
                  <c:v>-26.16602</c:v>
                </c:pt>
                <c:pt idx="36">
                  <c:v>-26.165769999999998</c:v>
                </c:pt>
                <c:pt idx="37">
                  <c:v>-26.165790000000001</c:v>
                </c:pt>
                <c:pt idx="38">
                  <c:v>-26.165749999999999</c:v>
                </c:pt>
                <c:pt idx="39">
                  <c:v>-26.165199999999999</c:v>
                </c:pt>
                <c:pt idx="40">
                  <c:v>-26.163419999999999</c:v>
                </c:pt>
                <c:pt idx="41">
                  <c:v>-26.160599999999999</c:v>
                </c:pt>
                <c:pt idx="42">
                  <c:v>-26.156700000000001</c:v>
                </c:pt>
                <c:pt idx="43">
                  <c:v>-26.15288</c:v>
                </c:pt>
                <c:pt idx="44">
                  <c:v>-26.14864</c:v>
                </c:pt>
                <c:pt idx="45">
                  <c:v>-26.144960000000001</c:v>
                </c:pt>
                <c:pt idx="46">
                  <c:v>-26.14226</c:v>
                </c:pt>
                <c:pt idx="47">
                  <c:v>-26.13983</c:v>
                </c:pt>
                <c:pt idx="48">
                  <c:v>-26.136649999999999</c:v>
                </c:pt>
                <c:pt idx="49">
                  <c:v>-26.13374</c:v>
                </c:pt>
                <c:pt idx="50">
                  <c:v>-26.13053</c:v>
                </c:pt>
                <c:pt idx="51">
                  <c:v>-26.12773</c:v>
                </c:pt>
                <c:pt idx="52">
                  <c:v>-26.125900000000001</c:v>
                </c:pt>
                <c:pt idx="53">
                  <c:v>-26.12452</c:v>
                </c:pt>
                <c:pt idx="54">
                  <c:v>-26.122820000000001</c:v>
                </c:pt>
                <c:pt idx="55">
                  <c:v>-26.120799999999999</c:v>
                </c:pt>
                <c:pt idx="56">
                  <c:v>-26.117619999999999</c:v>
                </c:pt>
                <c:pt idx="57">
                  <c:v>-26.11439</c:v>
                </c:pt>
                <c:pt idx="58">
                  <c:v>-26.112310000000001</c:v>
                </c:pt>
                <c:pt idx="59">
                  <c:v>-26.11148</c:v>
                </c:pt>
                <c:pt idx="60">
                  <c:v>-26.110579999999999</c:v>
                </c:pt>
                <c:pt idx="61">
                  <c:v>-26.10962</c:v>
                </c:pt>
                <c:pt idx="62">
                  <c:v>-26.107859999999999</c:v>
                </c:pt>
                <c:pt idx="63">
                  <c:v>-26.107420000000001</c:v>
                </c:pt>
                <c:pt idx="64">
                  <c:v>-26.106839999999998</c:v>
                </c:pt>
                <c:pt idx="65">
                  <c:v>-26.106529999999999</c:v>
                </c:pt>
                <c:pt idx="66">
                  <c:v>-26.107220000000002</c:v>
                </c:pt>
                <c:pt idx="67">
                  <c:v>-26.107559999999999</c:v>
                </c:pt>
                <c:pt idx="68">
                  <c:v>-26.108180000000001</c:v>
                </c:pt>
                <c:pt idx="69">
                  <c:v>-26.10624</c:v>
                </c:pt>
                <c:pt idx="70">
                  <c:v>-26.103899999999999</c:v>
                </c:pt>
                <c:pt idx="71">
                  <c:v>-26.101220000000001</c:v>
                </c:pt>
                <c:pt idx="72">
                  <c:v>-26.100729999999999</c:v>
                </c:pt>
                <c:pt idx="73">
                  <c:v>-26.09956</c:v>
                </c:pt>
                <c:pt idx="74">
                  <c:v>-26.098859999999998</c:v>
                </c:pt>
                <c:pt idx="75">
                  <c:v>-26.098459999999999</c:v>
                </c:pt>
                <c:pt idx="76">
                  <c:v>-26.099260000000001</c:v>
                </c:pt>
                <c:pt idx="77">
                  <c:v>-26.10041</c:v>
                </c:pt>
                <c:pt idx="78">
                  <c:v>-26.102029999999999</c:v>
                </c:pt>
                <c:pt idx="79">
                  <c:v>-26.10426</c:v>
                </c:pt>
                <c:pt idx="80">
                  <c:v>-26.107710000000001</c:v>
                </c:pt>
                <c:pt idx="81">
                  <c:v>-26.110569999999999</c:v>
                </c:pt>
                <c:pt idx="82">
                  <c:v>-26.11327</c:v>
                </c:pt>
                <c:pt idx="83">
                  <c:v>-26.114709999999999</c:v>
                </c:pt>
                <c:pt idx="84">
                  <c:v>-26.11664</c:v>
                </c:pt>
                <c:pt idx="85">
                  <c:v>-26.118120000000001</c:v>
                </c:pt>
                <c:pt idx="86">
                  <c:v>-26.118839999999999</c:v>
                </c:pt>
              </c:numCache>
            </c:numRef>
          </c:yVal>
        </c:ser>
        <c:ser>
          <c:idx val="3"/>
          <c:order val="3"/>
          <c:tx>
            <c:v>Sed Trap</c:v>
          </c:tx>
          <c:spPr>
            <a:ln w="28575">
              <a:noFill/>
            </a:ln>
          </c:spPr>
          <c:marker>
            <c:symbol val="square"/>
            <c:size val="7"/>
            <c:spPr>
              <a:solidFill>
                <a:srgbClr val="FF8000"/>
              </a:solidFill>
              <a:ln>
                <a:solidFill>
                  <a:sysClr val="windowText" lastClr="000000"/>
                </a:solidFill>
              </a:ln>
            </c:spPr>
          </c:marker>
          <c:xVal>
            <c:numRef>
              <c:f>'Calc-Deploy 3'!$AX$11:$AX$30</c:f>
              <c:numCache>
                <c:formatCode>General</c:formatCode>
                <c:ptCount val="20"/>
                <c:pt idx="0">
                  <c:v>-103.977</c:v>
                </c:pt>
                <c:pt idx="1">
                  <c:v>-104.004</c:v>
                </c:pt>
              </c:numCache>
            </c:numRef>
          </c:xVal>
          <c:yVal>
            <c:numRef>
              <c:f>'Calc-Deploy 3'!$AW$11:$AW$30</c:f>
              <c:numCache>
                <c:formatCode>General</c:formatCode>
                <c:ptCount val="20"/>
                <c:pt idx="0">
                  <c:v>-26.227</c:v>
                </c:pt>
                <c:pt idx="1">
                  <c:v>-26.132000000000001</c:v>
                </c:pt>
              </c:numCache>
            </c:numRef>
          </c:yVal>
        </c:ser>
        <c:axId val="119763712"/>
        <c:axId val="119766016"/>
      </c:scatterChart>
      <c:valAx>
        <c:axId val="119763712"/>
        <c:scaling>
          <c:orientation val="minMax"/>
        </c:scaling>
        <c:axPos val="b"/>
        <c:title>
          <c:tx>
            <c:rich>
              <a:bodyPr/>
              <a:lstStyle/>
              <a:p>
                <a:pPr>
                  <a:defRPr/>
                </a:pPr>
                <a:r>
                  <a:rPr lang="en-US" sz="1400"/>
                  <a:t>W Longitude</a:t>
                </a:r>
              </a:p>
            </c:rich>
          </c:tx>
          <c:layout>
            <c:manualLayout>
              <c:xMode val="edge"/>
              <c:yMode val="edge"/>
              <c:x val="0.39744145703272482"/>
              <c:y val="7.0858610656059723E-2"/>
            </c:manualLayout>
          </c:layout>
        </c:title>
        <c:numFmt formatCode="General" sourceLinked="1"/>
        <c:minorTickMark val="in"/>
        <c:tickLblPos val="high"/>
        <c:crossAx val="119766016"/>
        <c:crosses val="autoZero"/>
        <c:crossBetween val="midCat"/>
      </c:valAx>
      <c:valAx>
        <c:axId val="119766016"/>
        <c:scaling>
          <c:orientation val="minMax"/>
        </c:scaling>
        <c:axPos val="l"/>
        <c:majorGridlines/>
        <c:title>
          <c:tx>
            <c:rich>
              <a:bodyPr rot="-5400000" vert="horz"/>
              <a:lstStyle/>
              <a:p>
                <a:pPr>
                  <a:defRPr sz="1400"/>
                </a:pPr>
                <a:r>
                  <a:rPr lang="en-US" sz="1400"/>
                  <a:t>N Latitude</a:t>
                </a:r>
              </a:p>
            </c:rich>
          </c:tx>
          <c:layout>
            <c:manualLayout>
              <c:xMode val="edge"/>
              <c:yMode val="edge"/>
              <c:x val="0.94040303716479479"/>
              <c:y val="0.49732315607440392"/>
            </c:manualLayout>
          </c:layout>
        </c:title>
        <c:numFmt formatCode="General" sourceLinked="1"/>
        <c:minorTickMark val="in"/>
        <c:tickLblPos val="high"/>
        <c:crossAx val="119763712"/>
        <c:crosses val="autoZero"/>
        <c:crossBetween val="midCat"/>
      </c:valAx>
    </c:plotArea>
    <c:legend>
      <c:legendPos val="r"/>
      <c:layout>
        <c:manualLayout>
          <c:xMode val="edge"/>
          <c:yMode val="edge"/>
          <c:x val="0.69431451254748167"/>
          <c:y val="0.16592601521075018"/>
          <c:w val="0.16624154880272554"/>
          <c:h val="0.14723996001203449"/>
        </c:manualLayout>
      </c:layout>
      <c:spPr>
        <a:solidFill>
          <a:schemeClr val="bg1"/>
        </a:solidFill>
        <a:ln>
          <a:solidFill>
            <a:schemeClr val="tx1"/>
          </a:solidFill>
        </a:ln>
      </c:spPr>
    </c:legend>
    <c:plotVisOnly val="1"/>
    <c:dispBlanksAs val="gap"/>
  </c:chart>
  <c:printSettings>
    <c:headerFooter/>
    <c:pageMargins b="0.750000000000002" l="0.70000000000000062" r="0.70000000000000062" t="0.750000000000002" header="0.30000000000000032" footer="0.30000000000000032"/>
    <c:pageSetup paperSize="0"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2241039416193036"/>
          <c:y val="4.0524481853561521E-2"/>
          <c:w val="0.80002003827824963"/>
          <c:h val="0.82878337406100111"/>
        </c:manualLayout>
      </c:layout>
      <c:scatterChart>
        <c:scatterStyle val="lineMarker"/>
        <c:ser>
          <c:idx val="0"/>
          <c:order val="0"/>
          <c:tx>
            <c:v>Sable</c:v>
          </c:tx>
          <c:spPr>
            <a:ln>
              <a:noFill/>
            </a:ln>
          </c:spPr>
          <c:marker>
            <c:symbol val="circle"/>
            <c:size val="7"/>
            <c:spPr>
              <a:solidFill>
                <a:srgbClr val="FF0000"/>
              </a:solidFill>
              <a:ln>
                <a:solidFill>
                  <a:sysClr val="windowText" lastClr="000000"/>
                </a:solidFill>
              </a:ln>
            </c:spPr>
          </c:marker>
          <c:xVal>
            <c:numRef>
              <c:f>'Calc-Deploy 3'!$D$12:$D$100</c:f>
              <c:numCache>
                <c:formatCode>h:mm:ss;@</c:formatCode>
                <c:ptCount val="89"/>
                <c:pt idx="0">
                  <c:v>40520.416666666664</c:v>
                </c:pt>
                <c:pt idx="1">
                  <c:v>40520.542361111111</c:v>
                </c:pt>
                <c:pt idx="2">
                  <c:v>40520.667361111111</c:v>
                </c:pt>
                <c:pt idx="3">
                  <c:v>40520.792361111111</c:v>
                </c:pt>
                <c:pt idx="4">
                  <c:v>40520.916666666664</c:v>
                </c:pt>
                <c:pt idx="5">
                  <c:v>40521.042361111111</c:v>
                </c:pt>
                <c:pt idx="6">
                  <c:v>40521.417361111111</c:v>
                </c:pt>
                <c:pt idx="7">
                  <c:v>40521.54305555555</c:v>
                </c:pt>
                <c:pt idx="8">
                  <c:v>40521.666666666664</c:v>
                </c:pt>
                <c:pt idx="9">
                  <c:v>40521.79305555555</c:v>
                </c:pt>
                <c:pt idx="10">
                  <c:v>40521.916666666664</c:v>
                </c:pt>
                <c:pt idx="11">
                  <c:v>40522.04305555555</c:v>
                </c:pt>
                <c:pt idx="12">
                  <c:v>40522.29305555555</c:v>
                </c:pt>
                <c:pt idx="13">
                  <c:v>40522.41805555555</c:v>
                </c:pt>
                <c:pt idx="14">
                  <c:v>40522.667361111111</c:v>
                </c:pt>
                <c:pt idx="15">
                  <c:v>40522.917361111111</c:v>
                </c:pt>
                <c:pt idx="16">
                  <c:v>40523.04305555555</c:v>
                </c:pt>
                <c:pt idx="17">
                  <c:v>40523.16805555555</c:v>
                </c:pt>
                <c:pt idx="18">
                  <c:v>40523.417361111111</c:v>
                </c:pt>
                <c:pt idx="19">
                  <c:v>40523.54305555555</c:v>
                </c:pt>
                <c:pt idx="20">
                  <c:v>40523.666666666664</c:v>
                </c:pt>
                <c:pt idx="21">
                  <c:v>40523.79305555555</c:v>
                </c:pt>
              </c:numCache>
            </c:numRef>
          </c:xVal>
          <c:yVal>
            <c:numRef>
              <c:f>'Calc-Deploy 3'!$N$12:$N$100</c:f>
              <c:numCache>
                <c:formatCode>0.00</c:formatCode>
                <c:ptCount val="89"/>
                <c:pt idx="0">
                  <c:v>307.30724145253009</c:v>
                </c:pt>
                <c:pt idx="1">
                  <c:v>300.97605559987591</c:v>
                </c:pt>
                <c:pt idx="2">
                  <c:v>254.27001853416445</c:v>
                </c:pt>
                <c:pt idx="3">
                  <c:v>332.73501956998138</c:v>
                </c:pt>
                <c:pt idx="4">
                  <c:v>328.90415135065552</c:v>
                </c:pt>
                <c:pt idx="5">
                  <c:v>335.99958879847316</c:v>
                </c:pt>
                <c:pt idx="6">
                  <c:v>304.30968331214626</c:v>
                </c:pt>
                <c:pt idx="7">
                  <c:v>286.30282114195313</c:v>
                </c:pt>
                <c:pt idx="8">
                  <c:v>270.58007502513271</c:v>
                </c:pt>
                <c:pt idx="9">
                  <c:v>295.75545727990118</c:v>
                </c:pt>
                <c:pt idx="10">
                  <c:v>314.58582755965932</c:v>
                </c:pt>
                <c:pt idx="11">
                  <c:v>301.45411377396272</c:v>
                </c:pt>
                <c:pt idx="12">
                  <c:v>300.31358207176902</c:v>
                </c:pt>
                <c:pt idx="13">
                  <c:v>294.90863060402944</c:v>
                </c:pt>
                <c:pt idx="14">
                  <c:v>280.05553157988868</c:v>
                </c:pt>
                <c:pt idx="15">
                  <c:v>266.77262108138569</c:v>
                </c:pt>
                <c:pt idx="16">
                  <c:v>275.14064755250126</c:v>
                </c:pt>
                <c:pt idx="17">
                  <c:v>282.63784292773056</c:v>
                </c:pt>
                <c:pt idx="18">
                  <c:v>261.24039040251523</c:v>
                </c:pt>
                <c:pt idx="19">
                  <c:v>247.5659766739123</c:v>
                </c:pt>
                <c:pt idx="20">
                  <c:v>249.89870310555204</c:v>
                </c:pt>
              </c:numCache>
            </c:numRef>
          </c:yVal>
        </c:ser>
        <c:ser>
          <c:idx val="1"/>
          <c:order val="1"/>
          <c:tx>
            <c:v>Melo</c:v>
          </c:tx>
          <c:spPr>
            <a:ln>
              <a:noFill/>
            </a:ln>
          </c:spPr>
          <c:marker>
            <c:symbol val="circle"/>
            <c:size val="7"/>
            <c:spPr>
              <a:solidFill>
                <a:srgbClr val="0000FF"/>
              </a:solidFill>
              <a:ln>
                <a:noFill/>
              </a:ln>
            </c:spPr>
          </c:marker>
          <c:xVal>
            <c:numRef>
              <c:f>'Calc-Deploy 3'!$Z$12:$Z$110</c:f>
              <c:numCache>
                <c:formatCode>h:mm:ss;@</c:formatCode>
                <c:ptCount val="99"/>
                <c:pt idx="0">
                  <c:v>40520.392361111109</c:v>
                </c:pt>
                <c:pt idx="1">
                  <c:v>40520.399305555555</c:v>
                </c:pt>
                <c:pt idx="2">
                  <c:v>40520.413888888885</c:v>
                </c:pt>
                <c:pt idx="3">
                  <c:v>40520.42083333333</c:v>
                </c:pt>
                <c:pt idx="4">
                  <c:v>40520.427777777775</c:v>
                </c:pt>
                <c:pt idx="5">
                  <c:v>40520.43472222222</c:v>
                </c:pt>
                <c:pt idx="6">
                  <c:v>40520.441666666666</c:v>
                </c:pt>
                <c:pt idx="7">
                  <c:v>40520.44930555555</c:v>
                </c:pt>
                <c:pt idx="8">
                  <c:v>40520.495833333334</c:v>
                </c:pt>
                <c:pt idx="9">
                  <c:v>40520.539583333331</c:v>
                </c:pt>
                <c:pt idx="10">
                  <c:v>40520.621527777774</c:v>
                </c:pt>
                <c:pt idx="11">
                  <c:v>40520.663888888885</c:v>
                </c:pt>
                <c:pt idx="12">
                  <c:v>40520.706249999996</c:v>
                </c:pt>
                <c:pt idx="13">
                  <c:v>40520.750694444439</c:v>
                </c:pt>
                <c:pt idx="14">
                  <c:v>40520.79305555555</c:v>
                </c:pt>
                <c:pt idx="15">
                  <c:v>40520.834722222222</c:v>
                </c:pt>
                <c:pt idx="16">
                  <c:v>40520.877777777772</c:v>
                </c:pt>
                <c:pt idx="17">
                  <c:v>40520.918749999997</c:v>
                </c:pt>
                <c:pt idx="18">
                  <c:v>40520.961111111108</c:v>
                </c:pt>
                <c:pt idx="19">
                  <c:v>40521.003472222219</c:v>
                </c:pt>
                <c:pt idx="20">
                  <c:v>40521.045138888883</c:v>
                </c:pt>
                <c:pt idx="21">
                  <c:v>40521.086805555555</c:v>
                </c:pt>
                <c:pt idx="22">
                  <c:v>40521.130555555552</c:v>
                </c:pt>
                <c:pt idx="23">
                  <c:v>40521.171527777777</c:v>
                </c:pt>
                <c:pt idx="24">
                  <c:v>40521.213888888888</c:v>
                </c:pt>
                <c:pt idx="25">
                  <c:v>40521.256249999999</c:v>
                </c:pt>
                <c:pt idx="26">
                  <c:v>40521.299305555556</c:v>
                </c:pt>
                <c:pt idx="27">
                  <c:v>40521.34097222222</c:v>
                </c:pt>
                <c:pt idx="28">
                  <c:v>40521.384027777778</c:v>
                </c:pt>
                <c:pt idx="29">
                  <c:v>40521.424999999996</c:v>
                </c:pt>
                <c:pt idx="30">
                  <c:v>40521.468055555553</c:v>
                </c:pt>
                <c:pt idx="31">
                  <c:v>40521.509027777778</c:v>
                </c:pt>
                <c:pt idx="32">
                  <c:v>40521.552083333328</c:v>
                </c:pt>
                <c:pt idx="33">
                  <c:v>40521.59375</c:v>
                </c:pt>
                <c:pt idx="34">
                  <c:v>40521.63680555555</c:v>
                </c:pt>
                <c:pt idx="35">
                  <c:v>40521.677777777775</c:v>
                </c:pt>
                <c:pt idx="36">
                  <c:v>40521.719444444439</c:v>
                </c:pt>
                <c:pt idx="37">
                  <c:v>40521.76180555555</c:v>
                </c:pt>
                <c:pt idx="38">
                  <c:v>40521.80972222222</c:v>
                </c:pt>
                <c:pt idx="39">
                  <c:v>40521.852083333331</c:v>
                </c:pt>
                <c:pt idx="40">
                  <c:v>40521.893749999996</c:v>
                </c:pt>
                <c:pt idx="41">
                  <c:v>40521.935416666667</c:v>
                </c:pt>
                <c:pt idx="42">
                  <c:v>40521.979166666664</c:v>
                </c:pt>
                <c:pt idx="43">
                  <c:v>40522.020138888889</c:v>
                </c:pt>
                <c:pt idx="44">
                  <c:v>40522.063194444439</c:v>
                </c:pt>
                <c:pt idx="45">
                  <c:v>40522.104166666664</c:v>
                </c:pt>
                <c:pt idx="46">
                  <c:v>40522.148611111108</c:v>
                </c:pt>
                <c:pt idx="47">
                  <c:v>40522.190972222219</c:v>
                </c:pt>
                <c:pt idx="48">
                  <c:v>40522.232638888883</c:v>
                </c:pt>
                <c:pt idx="49">
                  <c:v>40522.274999999994</c:v>
                </c:pt>
                <c:pt idx="50">
                  <c:v>40522.318749999999</c:v>
                </c:pt>
                <c:pt idx="51">
                  <c:v>40522.359722222223</c:v>
                </c:pt>
                <c:pt idx="52">
                  <c:v>40522.401388888888</c:v>
                </c:pt>
                <c:pt idx="53">
                  <c:v>40522.443055555552</c:v>
                </c:pt>
                <c:pt idx="54">
                  <c:v>40522.486111111109</c:v>
                </c:pt>
                <c:pt idx="55">
                  <c:v>40522.527083333334</c:v>
                </c:pt>
                <c:pt idx="56">
                  <c:v>40522.570138888885</c:v>
                </c:pt>
                <c:pt idx="57">
                  <c:v>40522.611805555556</c:v>
                </c:pt>
                <c:pt idx="58">
                  <c:v>40522.654166666667</c:v>
                </c:pt>
                <c:pt idx="59">
                  <c:v>40522.695833333331</c:v>
                </c:pt>
                <c:pt idx="60">
                  <c:v>40522.738194444442</c:v>
                </c:pt>
                <c:pt idx="61">
                  <c:v>40522.780555555553</c:v>
                </c:pt>
                <c:pt idx="62">
                  <c:v>40522.82430555555</c:v>
                </c:pt>
                <c:pt idx="63">
                  <c:v>40522.864583333328</c:v>
                </c:pt>
                <c:pt idx="64">
                  <c:v>40522.908333333333</c:v>
                </c:pt>
                <c:pt idx="65">
                  <c:v>40522.948611111111</c:v>
                </c:pt>
                <c:pt idx="66">
                  <c:v>40522.990972222222</c:v>
                </c:pt>
                <c:pt idx="67">
                  <c:v>40523.032638888886</c:v>
                </c:pt>
                <c:pt idx="68">
                  <c:v>40523.081944444442</c:v>
                </c:pt>
                <c:pt idx="69">
                  <c:v>40523.165972222218</c:v>
                </c:pt>
                <c:pt idx="70">
                  <c:v>40523.207638888889</c:v>
                </c:pt>
                <c:pt idx="71">
                  <c:v>40523.251388888886</c:v>
                </c:pt>
                <c:pt idx="72">
                  <c:v>40523.29305555555</c:v>
                </c:pt>
                <c:pt idx="73">
                  <c:v>40523.334722222222</c:v>
                </c:pt>
                <c:pt idx="74">
                  <c:v>40523.377083333333</c:v>
                </c:pt>
                <c:pt idx="75">
                  <c:v>40523.418749999997</c:v>
                </c:pt>
                <c:pt idx="76">
                  <c:v>40523.460416666661</c:v>
                </c:pt>
                <c:pt idx="77">
                  <c:v>40523.508333333331</c:v>
                </c:pt>
                <c:pt idx="78">
                  <c:v>40523.550694444442</c:v>
                </c:pt>
                <c:pt idx="79">
                  <c:v>40523.593055555553</c:v>
                </c:pt>
                <c:pt idx="80">
                  <c:v>40523.635416666664</c:v>
                </c:pt>
                <c:pt idx="81">
                  <c:v>40523.675694444442</c:v>
                </c:pt>
                <c:pt idx="82">
                  <c:v>40523.718055555553</c:v>
                </c:pt>
                <c:pt idx="83">
                  <c:v>40523.761111111111</c:v>
                </c:pt>
                <c:pt idx="84">
                  <c:v>40523.803472222222</c:v>
                </c:pt>
                <c:pt idx="85">
                  <c:v>40523.844444444439</c:v>
                </c:pt>
                <c:pt idx="86">
                  <c:v>40523.887499999997</c:v>
                </c:pt>
              </c:numCache>
            </c:numRef>
          </c:xVal>
          <c:yVal>
            <c:numRef>
              <c:f>'Calc-Deploy 3'!$AJ$12:$AJ$110</c:f>
              <c:numCache>
                <c:formatCode>0.00</c:formatCode>
                <c:ptCount val="99"/>
                <c:pt idx="0">
                  <c:v>319.4325814466132</c:v>
                </c:pt>
                <c:pt idx="1">
                  <c:v>313.4177978054098</c:v>
                </c:pt>
                <c:pt idx="2">
                  <c:v>303.78129901146542</c:v>
                </c:pt>
                <c:pt idx="3">
                  <c:v>313.82186218167749</c:v>
                </c:pt>
                <c:pt idx="4">
                  <c:v>312.02246423874107</c:v>
                </c:pt>
                <c:pt idx="5">
                  <c:v>316.02447144207792</c:v>
                </c:pt>
                <c:pt idx="6">
                  <c:v>310.14231005468901</c:v>
                </c:pt>
                <c:pt idx="7">
                  <c:v>307.2129940244202</c:v>
                </c:pt>
                <c:pt idx="8">
                  <c:v>306.64994596630925</c:v>
                </c:pt>
                <c:pt idx="9">
                  <c:v>303.62385947411531</c:v>
                </c:pt>
                <c:pt idx="10">
                  <c:v>285.18255699679486</c:v>
                </c:pt>
                <c:pt idx="11">
                  <c:v>261.93173674895627</c:v>
                </c:pt>
                <c:pt idx="12">
                  <c:v>244.72701838434628</c:v>
                </c:pt>
                <c:pt idx="13">
                  <c:v>265.12006992037351</c:v>
                </c:pt>
                <c:pt idx="14">
                  <c:v>324.3360178979043</c:v>
                </c:pt>
                <c:pt idx="15">
                  <c:v>338.51530691594024</c:v>
                </c:pt>
                <c:pt idx="16">
                  <c:v>330.87684455239543</c:v>
                </c:pt>
                <c:pt idx="17">
                  <c:v>295.17042132032395</c:v>
                </c:pt>
                <c:pt idx="18">
                  <c:v>330.54101042645016</c:v>
                </c:pt>
                <c:pt idx="19">
                  <c:v>354.47404402566195</c:v>
                </c:pt>
                <c:pt idx="20">
                  <c:v>3.1494682228545647</c:v>
                </c:pt>
                <c:pt idx="21">
                  <c:v>350.53414853999641</c:v>
                </c:pt>
                <c:pt idx="22">
                  <c:v>350.68935809476613</c:v>
                </c:pt>
                <c:pt idx="23">
                  <c:v>339.47557848418961</c:v>
                </c:pt>
                <c:pt idx="24">
                  <c:v>339.38178292781146</c:v>
                </c:pt>
                <c:pt idx="25">
                  <c:v>327.64058947692388</c:v>
                </c:pt>
                <c:pt idx="26">
                  <c:v>314.80195568687708</c:v>
                </c:pt>
                <c:pt idx="27">
                  <c:v>316.27871570123449</c:v>
                </c:pt>
                <c:pt idx="28">
                  <c:v>325.20431875072836</c:v>
                </c:pt>
                <c:pt idx="29">
                  <c:v>314.52064096198262</c:v>
                </c:pt>
                <c:pt idx="30">
                  <c:v>300.82238389284134</c:v>
                </c:pt>
                <c:pt idx="31">
                  <c:v>288.89105039028249</c:v>
                </c:pt>
                <c:pt idx="32">
                  <c:v>293.91073437664556</c:v>
                </c:pt>
                <c:pt idx="33">
                  <c:v>286.19209599348392</c:v>
                </c:pt>
                <c:pt idx="34">
                  <c:v>273.20519425292196</c:v>
                </c:pt>
                <c:pt idx="35">
                  <c:v>273.74886551169698</c:v>
                </c:pt>
                <c:pt idx="36">
                  <c:v>269.71591367737449</c:v>
                </c:pt>
                <c:pt idx="37">
                  <c:v>270.87377795334459</c:v>
                </c:pt>
                <c:pt idx="38">
                  <c:v>283.3606337334374</c:v>
                </c:pt>
                <c:pt idx="39">
                  <c:v>302.60824613259621</c:v>
                </c:pt>
                <c:pt idx="40">
                  <c:v>309.28914006260254</c:v>
                </c:pt>
                <c:pt idx="41">
                  <c:v>315.49806121402287</c:v>
                </c:pt>
                <c:pt idx="42">
                  <c:v>317.86490188574965</c:v>
                </c:pt>
                <c:pt idx="43">
                  <c:v>310.04521850445474</c:v>
                </c:pt>
                <c:pt idx="44">
                  <c:v>306.40095109734875</c:v>
                </c:pt>
                <c:pt idx="45">
                  <c:v>297.69398962260004</c:v>
                </c:pt>
                <c:pt idx="46">
                  <c:v>295.67681670150449</c:v>
                </c:pt>
                <c:pt idx="47">
                  <c:v>300.26509670965442</c:v>
                </c:pt>
                <c:pt idx="48">
                  <c:v>299.36714616150249</c:v>
                </c:pt>
                <c:pt idx="49">
                  <c:v>305.95042120546873</c:v>
                </c:pt>
                <c:pt idx="50">
                  <c:v>302.15954221079886</c:v>
                </c:pt>
                <c:pt idx="51">
                  <c:v>297.47203699263207</c:v>
                </c:pt>
                <c:pt idx="52">
                  <c:v>293.82913242330886</c:v>
                </c:pt>
                <c:pt idx="53">
                  <c:v>293.86308522493255</c:v>
                </c:pt>
                <c:pt idx="54">
                  <c:v>301.3698592644522</c:v>
                </c:pt>
                <c:pt idx="55">
                  <c:v>300.97442282731225</c:v>
                </c:pt>
                <c:pt idx="56">
                  <c:v>298.70052650320559</c:v>
                </c:pt>
                <c:pt idx="57">
                  <c:v>287.83292533922724</c:v>
                </c:pt>
                <c:pt idx="58">
                  <c:v>277.68358723877094</c:v>
                </c:pt>
                <c:pt idx="59">
                  <c:v>280.04077098088584</c:v>
                </c:pt>
                <c:pt idx="60">
                  <c:v>281.36158486295301</c:v>
                </c:pt>
                <c:pt idx="61">
                  <c:v>287.00074391843714</c:v>
                </c:pt>
                <c:pt idx="62">
                  <c:v>276.09238962500615</c:v>
                </c:pt>
                <c:pt idx="63">
                  <c:v>276.07256380988599</c:v>
                </c:pt>
                <c:pt idx="64">
                  <c:v>273.35874200645992</c:v>
                </c:pt>
                <c:pt idx="65">
                  <c:v>262.52838997392712</c:v>
                </c:pt>
                <c:pt idx="66">
                  <c:v>266.13760095417911</c:v>
                </c:pt>
                <c:pt idx="67">
                  <c:v>263.33520346177693</c:v>
                </c:pt>
                <c:pt idx="68">
                  <c:v>280.0474413518246</c:v>
                </c:pt>
                <c:pt idx="69">
                  <c:v>293.57929953778381</c:v>
                </c:pt>
                <c:pt idx="70">
                  <c:v>295.59464724620909</c:v>
                </c:pt>
                <c:pt idx="71">
                  <c:v>274.40542955835593</c:v>
                </c:pt>
                <c:pt idx="72">
                  <c:v>281.77371074827386</c:v>
                </c:pt>
                <c:pt idx="73">
                  <c:v>276.41608522787982</c:v>
                </c:pt>
                <c:pt idx="74">
                  <c:v>273.67601879010266</c:v>
                </c:pt>
                <c:pt idx="75">
                  <c:v>262.92579738014933</c:v>
                </c:pt>
                <c:pt idx="76">
                  <c:v>261.37058626656909</c:v>
                </c:pt>
                <c:pt idx="77">
                  <c:v>259.06617392300956</c:v>
                </c:pt>
                <c:pt idx="78">
                  <c:v>250.31013134723099</c:v>
                </c:pt>
                <c:pt idx="79">
                  <c:v>240.81849565510089</c:v>
                </c:pt>
                <c:pt idx="80">
                  <c:v>246.68287845077975</c:v>
                </c:pt>
                <c:pt idx="81">
                  <c:v>247.21808851675797</c:v>
                </c:pt>
                <c:pt idx="82">
                  <c:v>256.70954964827467</c:v>
                </c:pt>
                <c:pt idx="83">
                  <c:v>247.18557028684216</c:v>
                </c:pt>
                <c:pt idx="84">
                  <c:v>252.41122843817817</c:v>
                </c:pt>
                <c:pt idx="85">
                  <c:v>101.30921955834165</c:v>
                </c:pt>
              </c:numCache>
            </c:numRef>
          </c:yVal>
        </c:ser>
        <c:ser>
          <c:idx val="2"/>
          <c:order val="2"/>
          <c:tx>
            <c:v>Wind Towards</c:v>
          </c:tx>
          <c:spPr>
            <a:ln w="28575">
              <a:noFill/>
            </a:ln>
          </c:spPr>
          <c:marker>
            <c:symbol val="circle"/>
            <c:size val="7"/>
            <c:spPr>
              <a:solidFill>
                <a:srgbClr val="00FF00"/>
              </a:solidFill>
              <a:ln>
                <a:solidFill>
                  <a:sysClr val="windowText" lastClr="000000"/>
                </a:solidFill>
              </a:ln>
            </c:spPr>
          </c:marker>
          <c:xVal>
            <c:numRef>
              <c:f>'Calc-Deploy 3'!$BL$11:$BL$50</c:f>
              <c:numCache>
                <c:formatCode>h:mm:ss;@</c:formatCode>
                <c:ptCount val="40"/>
                <c:pt idx="0">
                  <c:v>40520.57430555555</c:v>
                </c:pt>
                <c:pt idx="1">
                  <c:v>40521.433333333334</c:v>
                </c:pt>
                <c:pt idx="2">
                  <c:v>40521.547222222223</c:v>
                </c:pt>
                <c:pt idx="3">
                  <c:v>40523.413194444445</c:v>
                </c:pt>
                <c:pt idx="4">
                  <c:v>40523.521527777775</c:v>
                </c:pt>
              </c:numCache>
            </c:numRef>
          </c:xVal>
          <c:yVal>
            <c:numRef>
              <c:f>'Calc-Deploy 3'!$BP$11:$BP$50</c:f>
              <c:numCache>
                <c:formatCode>General</c:formatCode>
                <c:ptCount val="40"/>
                <c:pt idx="0">
                  <c:v>262</c:v>
                </c:pt>
                <c:pt idx="1">
                  <c:v>301</c:v>
                </c:pt>
                <c:pt idx="2">
                  <c:v>281</c:v>
                </c:pt>
                <c:pt idx="3">
                  <c:v>261</c:v>
                </c:pt>
                <c:pt idx="4">
                  <c:v>264</c:v>
                </c:pt>
              </c:numCache>
            </c:numRef>
          </c:yVal>
        </c:ser>
        <c:axId val="119792768"/>
        <c:axId val="119795072"/>
      </c:scatterChart>
      <c:valAx>
        <c:axId val="119792768"/>
        <c:scaling>
          <c:orientation val="minMax"/>
        </c:scaling>
        <c:axPos val="b"/>
        <c:title>
          <c:tx>
            <c:rich>
              <a:bodyPr/>
              <a:lstStyle/>
              <a:p>
                <a:pPr>
                  <a:defRPr sz="1400"/>
                </a:pPr>
                <a:r>
                  <a:rPr lang="en-US" sz="1400"/>
                  <a:t>Time of Day</a:t>
                </a:r>
              </a:p>
            </c:rich>
          </c:tx>
        </c:title>
        <c:numFmt formatCode="h:mm:ss;@" sourceLinked="1"/>
        <c:minorTickMark val="in"/>
        <c:tickLblPos val="nextTo"/>
        <c:crossAx val="119795072"/>
        <c:crosses val="autoZero"/>
        <c:crossBetween val="midCat"/>
      </c:valAx>
      <c:valAx>
        <c:axId val="119795072"/>
        <c:scaling>
          <c:orientation val="minMax"/>
          <c:max val="360"/>
          <c:min val="0"/>
        </c:scaling>
        <c:axPos val="l"/>
        <c:majorGridlines/>
        <c:title>
          <c:tx>
            <c:rich>
              <a:bodyPr rot="-5400000" vert="horz"/>
              <a:lstStyle/>
              <a:p>
                <a:pPr>
                  <a:defRPr sz="1400"/>
                </a:pPr>
                <a:r>
                  <a:rPr lang="en-US" sz="1400"/>
                  <a:t>Bearing (degrees)</a:t>
                </a:r>
              </a:p>
            </c:rich>
          </c:tx>
        </c:title>
        <c:numFmt formatCode="0" sourceLinked="0"/>
        <c:tickLblPos val="nextTo"/>
        <c:crossAx val="119792768"/>
        <c:crosses val="autoZero"/>
        <c:crossBetween val="midCat"/>
        <c:majorUnit val="30"/>
      </c:valAx>
    </c:plotArea>
    <c:legend>
      <c:legendPos val="r"/>
      <c:layout>
        <c:manualLayout>
          <c:xMode val="edge"/>
          <c:yMode val="edge"/>
          <c:x val="0.13320033642483933"/>
          <c:y val="0.6924094940718617"/>
          <c:w val="0.14519803694208194"/>
          <c:h val="0.15588718436057591"/>
        </c:manualLayout>
      </c:layout>
      <c:spPr>
        <a:solidFill>
          <a:schemeClr val="bg1"/>
        </a:solidFill>
        <a:ln>
          <a:solidFill>
            <a:sysClr val="windowText" lastClr="000000"/>
          </a:solidFill>
        </a:ln>
      </c:spPr>
    </c:legend>
    <c:plotVisOnly val="1"/>
  </c:chart>
  <c:printSettings>
    <c:headerFooter/>
    <c:pageMargins b="0.750000000000002" l="0.70000000000000062" r="0.70000000000000062" t="0.750000000000002"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Drift Rate (Kotts) -</a:t>
            </a:r>
            <a:r>
              <a:rPr lang="en-US" sz="1400" baseline="0"/>
              <a:t> Deployment 3</a:t>
            </a:r>
          </a:p>
        </c:rich>
      </c:tx>
    </c:title>
    <c:plotArea>
      <c:layout>
        <c:manualLayout>
          <c:layoutTarget val="inner"/>
          <c:xMode val="edge"/>
          <c:yMode val="edge"/>
          <c:x val="0.13914681119405528"/>
          <c:y val="0.13736849375822557"/>
          <c:w val="0.80719518014793556"/>
          <c:h val="0.6463032841116465"/>
        </c:manualLayout>
      </c:layout>
      <c:scatterChart>
        <c:scatterStyle val="lineMarker"/>
        <c:ser>
          <c:idx val="0"/>
          <c:order val="0"/>
          <c:tx>
            <c:v>Sable</c:v>
          </c:tx>
          <c:spPr>
            <a:ln>
              <a:noFill/>
            </a:ln>
          </c:spPr>
          <c:marker>
            <c:symbol val="circle"/>
            <c:size val="5"/>
            <c:spPr>
              <a:solidFill>
                <a:srgbClr val="FF0000"/>
              </a:solidFill>
              <a:ln>
                <a:solidFill>
                  <a:schemeClr val="tx1"/>
                </a:solidFill>
              </a:ln>
            </c:spPr>
          </c:marker>
          <c:xVal>
            <c:numRef>
              <c:f>'Calc-Deploy 3'!$D$12:$D$59</c:f>
              <c:numCache>
                <c:formatCode>h:mm:ss;@</c:formatCode>
                <c:ptCount val="48"/>
                <c:pt idx="0">
                  <c:v>40520.416666666664</c:v>
                </c:pt>
                <c:pt idx="1">
                  <c:v>40520.542361111111</c:v>
                </c:pt>
                <c:pt idx="2">
                  <c:v>40520.667361111111</c:v>
                </c:pt>
                <c:pt idx="3">
                  <c:v>40520.792361111111</c:v>
                </c:pt>
                <c:pt idx="4">
                  <c:v>40520.916666666664</c:v>
                </c:pt>
                <c:pt idx="5">
                  <c:v>40521.042361111111</c:v>
                </c:pt>
                <c:pt idx="6">
                  <c:v>40521.417361111111</c:v>
                </c:pt>
                <c:pt idx="7">
                  <c:v>40521.54305555555</c:v>
                </c:pt>
                <c:pt idx="8">
                  <c:v>40521.666666666664</c:v>
                </c:pt>
                <c:pt idx="9">
                  <c:v>40521.79305555555</c:v>
                </c:pt>
                <c:pt idx="10">
                  <c:v>40521.916666666664</c:v>
                </c:pt>
                <c:pt idx="11">
                  <c:v>40522.04305555555</c:v>
                </c:pt>
                <c:pt idx="12">
                  <c:v>40522.29305555555</c:v>
                </c:pt>
                <c:pt idx="13">
                  <c:v>40522.41805555555</c:v>
                </c:pt>
                <c:pt idx="14">
                  <c:v>40522.667361111111</c:v>
                </c:pt>
                <c:pt idx="15">
                  <c:v>40522.917361111111</c:v>
                </c:pt>
                <c:pt idx="16">
                  <c:v>40523.04305555555</c:v>
                </c:pt>
                <c:pt idx="17">
                  <c:v>40523.16805555555</c:v>
                </c:pt>
                <c:pt idx="18">
                  <c:v>40523.417361111111</c:v>
                </c:pt>
                <c:pt idx="19">
                  <c:v>40523.54305555555</c:v>
                </c:pt>
                <c:pt idx="20">
                  <c:v>40523.666666666664</c:v>
                </c:pt>
                <c:pt idx="21">
                  <c:v>40523.79305555555</c:v>
                </c:pt>
              </c:numCache>
            </c:numRef>
          </c:xVal>
          <c:yVal>
            <c:numRef>
              <c:f>'Calc-Deploy 3'!$Q$12:$Q$59</c:f>
              <c:numCache>
                <c:formatCode>0.00</c:formatCode>
                <c:ptCount val="48"/>
                <c:pt idx="0">
                  <c:v>0.31490160920196875</c:v>
                </c:pt>
                <c:pt idx="1">
                  <c:v>0.27178993467843759</c:v>
                </c:pt>
                <c:pt idx="2">
                  <c:v>0.1424938488228526</c:v>
                </c:pt>
                <c:pt idx="3">
                  <c:v>0.14739242080876971</c:v>
                </c:pt>
                <c:pt idx="4">
                  <c:v>0.12342017735466997</c:v>
                </c:pt>
                <c:pt idx="5">
                  <c:v>0.30071191828903621</c:v>
                </c:pt>
                <c:pt idx="6">
                  <c:v>0.3287110863887846</c:v>
                </c:pt>
                <c:pt idx="7">
                  <c:v>0.2976995649619199</c:v>
                </c:pt>
                <c:pt idx="8">
                  <c:v>0.21408423846498742</c:v>
                </c:pt>
                <c:pt idx="9">
                  <c:v>0.17325047442928843</c:v>
                </c:pt>
                <c:pt idx="10">
                  <c:v>0.31833189585715133</c:v>
                </c:pt>
                <c:pt idx="11">
                  <c:v>0.35470093318488977</c:v>
                </c:pt>
                <c:pt idx="12">
                  <c:v>0.27080210489646034</c:v>
                </c:pt>
                <c:pt idx="13">
                  <c:v>0.3187047395381592</c:v>
                </c:pt>
                <c:pt idx="14">
                  <c:v>0.30983248005453412</c:v>
                </c:pt>
                <c:pt idx="15">
                  <c:v>0.31147518364810894</c:v>
                </c:pt>
                <c:pt idx="16">
                  <c:v>0.30802072203387543</c:v>
                </c:pt>
                <c:pt idx="17">
                  <c:v>0.35888674315670943</c:v>
                </c:pt>
                <c:pt idx="18">
                  <c:v>0.41322721912957966</c:v>
                </c:pt>
                <c:pt idx="19">
                  <c:v>0.4301906210897915</c:v>
                </c:pt>
                <c:pt idx="20">
                  <c:v>0.36867524496206372</c:v>
                </c:pt>
              </c:numCache>
            </c:numRef>
          </c:yVal>
        </c:ser>
        <c:ser>
          <c:idx val="1"/>
          <c:order val="1"/>
          <c:tx>
            <c:v>Melo</c:v>
          </c:tx>
          <c:spPr>
            <a:ln>
              <a:noFill/>
            </a:ln>
          </c:spPr>
          <c:marker>
            <c:symbol val="circle"/>
            <c:size val="5"/>
            <c:spPr>
              <a:solidFill>
                <a:srgbClr val="0000FF"/>
              </a:solidFill>
              <a:ln>
                <a:noFill/>
              </a:ln>
            </c:spPr>
          </c:marker>
          <c:xVal>
            <c:numRef>
              <c:f>'Calc-Deploy 3'!$Z$12:$Z$110</c:f>
              <c:numCache>
                <c:formatCode>h:mm:ss;@</c:formatCode>
                <c:ptCount val="99"/>
                <c:pt idx="0">
                  <c:v>40520.392361111109</c:v>
                </c:pt>
                <c:pt idx="1">
                  <c:v>40520.399305555555</c:v>
                </c:pt>
                <c:pt idx="2">
                  <c:v>40520.413888888885</c:v>
                </c:pt>
                <c:pt idx="3">
                  <c:v>40520.42083333333</c:v>
                </c:pt>
                <c:pt idx="4">
                  <c:v>40520.427777777775</c:v>
                </c:pt>
                <c:pt idx="5">
                  <c:v>40520.43472222222</c:v>
                </c:pt>
                <c:pt idx="6">
                  <c:v>40520.441666666666</c:v>
                </c:pt>
                <c:pt idx="7">
                  <c:v>40520.44930555555</c:v>
                </c:pt>
                <c:pt idx="8">
                  <c:v>40520.495833333334</c:v>
                </c:pt>
                <c:pt idx="9">
                  <c:v>40520.539583333331</c:v>
                </c:pt>
                <c:pt idx="10">
                  <c:v>40520.621527777774</c:v>
                </c:pt>
                <c:pt idx="11">
                  <c:v>40520.663888888885</c:v>
                </c:pt>
                <c:pt idx="12">
                  <c:v>40520.706249999996</c:v>
                </c:pt>
                <c:pt idx="13">
                  <c:v>40520.750694444439</c:v>
                </c:pt>
                <c:pt idx="14">
                  <c:v>40520.79305555555</c:v>
                </c:pt>
                <c:pt idx="15">
                  <c:v>40520.834722222222</c:v>
                </c:pt>
                <c:pt idx="16">
                  <c:v>40520.877777777772</c:v>
                </c:pt>
                <c:pt idx="17">
                  <c:v>40520.918749999997</c:v>
                </c:pt>
                <c:pt idx="18">
                  <c:v>40520.961111111108</c:v>
                </c:pt>
                <c:pt idx="19">
                  <c:v>40521.003472222219</c:v>
                </c:pt>
                <c:pt idx="20">
                  <c:v>40521.045138888883</c:v>
                </c:pt>
                <c:pt idx="21">
                  <c:v>40521.086805555555</c:v>
                </c:pt>
                <c:pt idx="22">
                  <c:v>40521.130555555552</c:v>
                </c:pt>
                <c:pt idx="23">
                  <c:v>40521.171527777777</c:v>
                </c:pt>
                <c:pt idx="24">
                  <c:v>40521.213888888888</c:v>
                </c:pt>
                <c:pt idx="25">
                  <c:v>40521.256249999999</c:v>
                </c:pt>
                <c:pt idx="26">
                  <c:v>40521.299305555556</c:v>
                </c:pt>
                <c:pt idx="27">
                  <c:v>40521.34097222222</c:v>
                </c:pt>
                <c:pt idx="28">
                  <c:v>40521.384027777778</c:v>
                </c:pt>
                <c:pt idx="29">
                  <c:v>40521.424999999996</c:v>
                </c:pt>
                <c:pt idx="30">
                  <c:v>40521.468055555553</c:v>
                </c:pt>
                <c:pt idx="31">
                  <c:v>40521.509027777778</c:v>
                </c:pt>
                <c:pt idx="32">
                  <c:v>40521.552083333328</c:v>
                </c:pt>
                <c:pt idx="33">
                  <c:v>40521.59375</c:v>
                </c:pt>
                <c:pt idx="34">
                  <c:v>40521.63680555555</c:v>
                </c:pt>
                <c:pt idx="35">
                  <c:v>40521.677777777775</c:v>
                </c:pt>
                <c:pt idx="36">
                  <c:v>40521.719444444439</c:v>
                </c:pt>
                <c:pt idx="37">
                  <c:v>40521.76180555555</c:v>
                </c:pt>
                <c:pt idx="38">
                  <c:v>40521.80972222222</c:v>
                </c:pt>
                <c:pt idx="39">
                  <c:v>40521.852083333331</c:v>
                </c:pt>
                <c:pt idx="40">
                  <c:v>40521.893749999996</c:v>
                </c:pt>
                <c:pt idx="41">
                  <c:v>40521.935416666667</c:v>
                </c:pt>
                <c:pt idx="42">
                  <c:v>40521.979166666664</c:v>
                </c:pt>
                <c:pt idx="43">
                  <c:v>40522.020138888889</c:v>
                </c:pt>
                <c:pt idx="44">
                  <c:v>40522.063194444439</c:v>
                </c:pt>
                <c:pt idx="45">
                  <c:v>40522.104166666664</c:v>
                </c:pt>
                <c:pt idx="46">
                  <c:v>40522.148611111108</c:v>
                </c:pt>
                <c:pt idx="47">
                  <c:v>40522.190972222219</c:v>
                </c:pt>
                <c:pt idx="48">
                  <c:v>40522.232638888883</c:v>
                </c:pt>
                <c:pt idx="49">
                  <c:v>40522.274999999994</c:v>
                </c:pt>
                <c:pt idx="50">
                  <c:v>40522.318749999999</c:v>
                </c:pt>
                <c:pt idx="51">
                  <c:v>40522.359722222223</c:v>
                </c:pt>
                <c:pt idx="52">
                  <c:v>40522.401388888888</c:v>
                </c:pt>
                <c:pt idx="53">
                  <c:v>40522.443055555552</c:v>
                </c:pt>
                <c:pt idx="54">
                  <c:v>40522.486111111109</c:v>
                </c:pt>
                <c:pt idx="55">
                  <c:v>40522.527083333334</c:v>
                </c:pt>
                <c:pt idx="56">
                  <c:v>40522.570138888885</c:v>
                </c:pt>
                <c:pt idx="57">
                  <c:v>40522.611805555556</c:v>
                </c:pt>
                <c:pt idx="58">
                  <c:v>40522.654166666667</c:v>
                </c:pt>
                <c:pt idx="59">
                  <c:v>40522.695833333331</c:v>
                </c:pt>
                <c:pt idx="60">
                  <c:v>40522.738194444442</c:v>
                </c:pt>
                <c:pt idx="61">
                  <c:v>40522.780555555553</c:v>
                </c:pt>
                <c:pt idx="62">
                  <c:v>40522.82430555555</c:v>
                </c:pt>
                <c:pt idx="63">
                  <c:v>40522.864583333328</c:v>
                </c:pt>
                <c:pt idx="64">
                  <c:v>40522.908333333333</c:v>
                </c:pt>
                <c:pt idx="65">
                  <c:v>40522.948611111111</c:v>
                </c:pt>
                <c:pt idx="66">
                  <c:v>40522.990972222222</c:v>
                </c:pt>
                <c:pt idx="67">
                  <c:v>40523.032638888886</c:v>
                </c:pt>
                <c:pt idx="68">
                  <c:v>40523.081944444442</c:v>
                </c:pt>
                <c:pt idx="69">
                  <c:v>40523.165972222218</c:v>
                </c:pt>
                <c:pt idx="70">
                  <c:v>40523.207638888889</c:v>
                </c:pt>
                <c:pt idx="71">
                  <c:v>40523.251388888886</c:v>
                </c:pt>
                <c:pt idx="72">
                  <c:v>40523.29305555555</c:v>
                </c:pt>
                <c:pt idx="73">
                  <c:v>40523.334722222222</c:v>
                </c:pt>
                <c:pt idx="74">
                  <c:v>40523.377083333333</c:v>
                </c:pt>
                <c:pt idx="75">
                  <c:v>40523.418749999997</c:v>
                </c:pt>
                <c:pt idx="76">
                  <c:v>40523.460416666661</c:v>
                </c:pt>
                <c:pt idx="77">
                  <c:v>40523.508333333331</c:v>
                </c:pt>
                <c:pt idx="78">
                  <c:v>40523.550694444442</c:v>
                </c:pt>
                <c:pt idx="79">
                  <c:v>40523.593055555553</c:v>
                </c:pt>
                <c:pt idx="80">
                  <c:v>40523.635416666664</c:v>
                </c:pt>
                <c:pt idx="81">
                  <c:v>40523.675694444442</c:v>
                </c:pt>
                <c:pt idx="82">
                  <c:v>40523.718055555553</c:v>
                </c:pt>
                <c:pt idx="83">
                  <c:v>40523.761111111111</c:v>
                </c:pt>
                <c:pt idx="84">
                  <c:v>40523.803472222222</c:v>
                </c:pt>
                <c:pt idx="85">
                  <c:v>40523.844444444439</c:v>
                </c:pt>
                <c:pt idx="86">
                  <c:v>40523.887499999997</c:v>
                </c:pt>
              </c:numCache>
            </c:numRef>
          </c:xVal>
          <c:yVal>
            <c:numRef>
              <c:f>'Calc-Deploy 3'!$AM$12:$AM$110</c:f>
              <c:numCache>
                <c:formatCode>0.00</c:formatCode>
                <c:ptCount val="99"/>
                <c:pt idx="0">
                  <c:v>0.10433173350769616</c:v>
                </c:pt>
                <c:pt idx="1">
                  <c:v>0.32196982299142518</c:v>
                </c:pt>
                <c:pt idx="2">
                  <c:v>0.3109908252042291</c:v>
                </c:pt>
                <c:pt idx="3">
                  <c:v>0.35378626887511572</c:v>
                </c:pt>
                <c:pt idx="4">
                  <c:v>0.31750671318817902</c:v>
                </c:pt>
                <c:pt idx="5">
                  <c:v>0.33039352214870121</c:v>
                </c:pt>
                <c:pt idx="6">
                  <c:v>0.29971608640747888</c:v>
                </c:pt>
                <c:pt idx="7">
                  <c:v>0.33427637378576697</c:v>
                </c:pt>
                <c:pt idx="8">
                  <c:v>0.57282653081086954</c:v>
                </c:pt>
                <c:pt idx="9">
                  <c:v>0.15161303040183297</c:v>
                </c:pt>
                <c:pt idx="10">
                  <c:v>0.2299951557781979</c:v>
                </c:pt>
                <c:pt idx="11">
                  <c:v>0.15569948677901602</c:v>
                </c:pt>
                <c:pt idx="12">
                  <c:v>0.15689923235338246</c:v>
                </c:pt>
                <c:pt idx="13">
                  <c:v>0.11803177718278053</c:v>
                </c:pt>
                <c:pt idx="14">
                  <c:v>0.12563231557886895</c:v>
                </c:pt>
                <c:pt idx="15">
                  <c:v>0.18358333682638131</c:v>
                </c:pt>
                <c:pt idx="16">
                  <c:v>0.132801217483319</c:v>
                </c:pt>
                <c:pt idx="17">
                  <c:v>0.11941410712306248</c:v>
                </c:pt>
                <c:pt idx="18">
                  <c:v>0.10987876414882643</c:v>
                </c:pt>
                <c:pt idx="19">
                  <c:v>0.1845844750721162</c:v>
                </c:pt>
                <c:pt idx="20">
                  <c:v>0.22549582384326267</c:v>
                </c:pt>
                <c:pt idx="21">
                  <c:v>0.26203166842595949</c:v>
                </c:pt>
                <c:pt idx="22">
                  <c:v>0.30813334861653419</c:v>
                </c:pt>
                <c:pt idx="23">
                  <c:v>0.36574662948733283</c:v>
                </c:pt>
                <c:pt idx="24">
                  <c:v>0.37922203309882579</c:v>
                </c:pt>
                <c:pt idx="25">
                  <c:v>0.34874523309125688</c:v>
                </c:pt>
                <c:pt idx="26">
                  <c:v>0.29310558545367277</c:v>
                </c:pt>
                <c:pt idx="27">
                  <c:v>0.26933024910929582</c:v>
                </c:pt>
                <c:pt idx="28">
                  <c:v>0.35912695721360538</c:v>
                </c:pt>
                <c:pt idx="29">
                  <c:v>0.37372940226147505</c:v>
                </c:pt>
                <c:pt idx="30">
                  <c:v>0.31459321527325385</c:v>
                </c:pt>
                <c:pt idx="31">
                  <c:v>0.30865644602267889</c:v>
                </c:pt>
                <c:pt idx="32">
                  <c:v>0.28589031738752829</c:v>
                </c:pt>
                <c:pt idx="33">
                  <c:v>0.30627472531843225</c:v>
                </c:pt>
                <c:pt idx="34">
                  <c:v>0.29474631991510541</c:v>
                </c:pt>
                <c:pt idx="35">
                  <c:v>0.22951713654179001</c:v>
                </c:pt>
                <c:pt idx="36">
                  <c:v>0.239055705968998</c:v>
                </c:pt>
                <c:pt idx="37">
                  <c:v>0.13684579619754828</c:v>
                </c:pt>
                <c:pt idx="38">
                  <c:v>0.14055793821931262</c:v>
                </c:pt>
                <c:pt idx="39">
                  <c:v>0.19831746416893895</c:v>
                </c:pt>
                <c:pt idx="40">
                  <c:v>0.26737926115472066</c:v>
                </c:pt>
                <c:pt idx="41">
                  <c:v>0.31267380136733236</c:v>
                </c:pt>
                <c:pt idx="42">
                  <c:v>0.31452730989251754</c:v>
                </c:pt>
                <c:pt idx="43">
                  <c:v>0.38290356573407008</c:v>
                </c:pt>
                <c:pt idx="44">
                  <c:v>0.37862922187015113</c:v>
                </c:pt>
                <c:pt idx="45">
                  <c:v>0.32700094071600333</c:v>
                </c:pt>
                <c:pt idx="46">
                  <c:v>0.33118893269268851</c:v>
                </c:pt>
                <c:pt idx="47">
                  <c:v>0.37881631095026541</c:v>
                </c:pt>
                <c:pt idx="48">
                  <c:v>0.35042414139563061</c:v>
                </c:pt>
                <c:pt idx="49">
                  <c:v>0.31264697156566074</c:v>
                </c:pt>
                <c:pt idx="50">
                  <c:v>0.32118545934311471</c:v>
                </c:pt>
                <c:pt idx="51">
                  <c:v>0.23817223189726375</c:v>
                </c:pt>
                <c:pt idx="52">
                  <c:v>0.20508039519486576</c:v>
                </c:pt>
                <c:pt idx="53">
                  <c:v>0.24415649340542414</c:v>
                </c:pt>
                <c:pt idx="54">
                  <c:v>0.23693000650040891</c:v>
                </c:pt>
                <c:pt idx="55">
                  <c:v>0.35900836427262595</c:v>
                </c:pt>
                <c:pt idx="56">
                  <c:v>0.4038151553747466</c:v>
                </c:pt>
                <c:pt idx="57">
                  <c:v>0.4010817501030019</c:v>
                </c:pt>
                <c:pt idx="58">
                  <c:v>0.37265359909984003</c:v>
                </c:pt>
                <c:pt idx="59">
                  <c:v>0.30481910043839838</c:v>
                </c:pt>
                <c:pt idx="60">
                  <c:v>0.28776167582872975</c:v>
                </c:pt>
                <c:pt idx="61">
                  <c:v>0.34417983926397228</c:v>
                </c:pt>
                <c:pt idx="62">
                  <c:v>0.25745937207295716</c:v>
                </c:pt>
                <c:pt idx="63">
                  <c:v>0.3134427933848844</c:v>
                </c:pt>
                <c:pt idx="64">
                  <c:v>0.32852124149751277</c:v>
                </c:pt>
                <c:pt idx="65">
                  <c:v>0.31342660113300547</c:v>
                </c:pt>
                <c:pt idx="66">
                  <c:v>0.30315365081323142</c:v>
                </c:pt>
                <c:pt idx="67">
                  <c:v>0.27110364272384885</c:v>
                </c:pt>
                <c:pt idx="68">
                  <c:v>0.33097789686818291</c:v>
                </c:pt>
                <c:pt idx="69">
                  <c:v>0.35120798965330219</c:v>
                </c:pt>
                <c:pt idx="70">
                  <c:v>0.35472301245797472</c:v>
                </c:pt>
                <c:pt idx="71">
                  <c:v>0.38287415793829155</c:v>
                </c:pt>
                <c:pt idx="72">
                  <c:v>0.34423631857140086</c:v>
                </c:pt>
                <c:pt idx="73">
                  <c:v>0.3698521005738275</c:v>
                </c:pt>
                <c:pt idx="74">
                  <c:v>0.37443281469627382</c:v>
                </c:pt>
                <c:pt idx="75">
                  <c:v>0.39010937803635365</c:v>
                </c:pt>
                <c:pt idx="76">
                  <c:v>0.40024696202862392</c:v>
                </c:pt>
                <c:pt idx="77">
                  <c:v>0.50449568684774704</c:v>
                </c:pt>
                <c:pt idx="78">
                  <c:v>0.39090508495541193</c:v>
                </c:pt>
                <c:pt idx="79">
                  <c:v>0.41789569752659134</c:v>
                </c:pt>
                <c:pt idx="80">
                  <c:v>0.4488187830018211</c:v>
                </c:pt>
                <c:pt idx="81">
                  <c:v>0.41181442791582518</c:v>
                </c:pt>
                <c:pt idx="82">
                  <c:v>0.36400336364773689</c:v>
                </c:pt>
                <c:pt idx="83">
                  <c:v>0.29396831879649105</c:v>
                </c:pt>
                <c:pt idx="84">
                  <c:v>0.29906733324350127</c:v>
                </c:pt>
                <c:pt idx="85">
                  <c:v>0.21334870637037096</c:v>
                </c:pt>
              </c:numCache>
            </c:numRef>
          </c:yVal>
        </c:ser>
        <c:axId val="119705984"/>
        <c:axId val="119708288"/>
      </c:scatterChart>
      <c:valAx>
        <c:axId val="119705984"/>
        <c:scaling>
          <c:orientation val="minMax"/>
        </c:scaling>
        <c:axPos val="b"/>
        <c:title>
          <c:tx>
            <c:rich>
              <a:bodyPr/>
              <a:lstStyle/>
              <a:p>
                <a:pPr>
                  <a:defRPr sz="1400"/>
                </a:pPr>
                <a:r>
                  <a:rPr lang="en-US" sz="1400"/>
                  <a:t>Time of Day</a:t>
                </a:r>
              </a:p>
            </c:rich>
          </c:tx>
        </c:title>
        <c:numFmt formatCode="h:mm:ss;@" sourceLinked="1"/>
        <c:tickLblPos val="nextTo"/>
        <c:crossAx val="119708288"/>
        <c:crosses val="autoZero"/>
        <c:crossBetween val="midCat"/>
      </c:valAx>
      <c:valAx>
        <c:axId val="119708288"/>
        <c:scaling>
          <c:orientation val="minMax"/>
          <c:max val="0.5"/>
        </c:scaling>
        <c:axPos val="l"/>
        <c:majorGridlines/>
        <c:title>
          <c:tx>
            <c:rich>
              <a:bodyPr rot="-5400000" vert="horz"/>
              <a:lstStyle/>
              <a:p>
                <a:pPr>
                  <a:defRPr/>
                </a:pPr>
                <a:r>
                  <a:rPr lang="en-US" sz="1400"/>
                  <a:t>Drift rate (Kn)</a:t>
                </a:r>
              </a:p>
            </c:rich>
          </c:tx>
        </c:title>
        <c:numFmt formatCode="0.00" sourceLinked="1"/>
        <c:tickLblPos val="nextTo"/>
        <c:crossAx val="119705984"/>
        <c:crosses val="autoZero"/>
        <c:crossBetween val="midCat"/>
      </c:valAx>
    </c:plotArea>
    <c:legend>
      <c:legendPos val="r"/>
      <c:layout>
        <c:manualLayout>
          <c:xMode val="edge"/>
          <c:yMode val="edge"/>
          <c:x val="0.85649270585362858"/>
          <c:y val="0.62343272187929344"/>
          <c:w val="7.592872267247705E-2"/>
          <c:h val="0.13357646083713282"/>
        </c:manualLayout>
      </c:layout>
      <c:spPr>
        <a:solidFill>
          <a:sysClr val="window" lastClr="FFFFFF"/>
        </a:solidFill>
        <a:ln>
          <a:solidFill>
            <a:sysClr val="windowText" lastClr="000000"/>
          </a:solidFill>
        </a:ln>
      </c:spPr>
    </c:legend>
    <c:plotVisOnly val="1"/>
  </c:chart>
  <c:printSettings>
    <c:headerFooter/>
    <c:pageMargins b="0.750000000000002" l="0.70000000000000062" r="0.70000000000000062" t="0.75000000000000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3675022806824227"/>
          <c:y val="6.0828203292770222E-2"/>
          <c:w val="0.78038876279845326"/>
          <c:h val="0.79822506561679785"/>
        </c:manualLayout>
      </c:layout>
      <c:scatterChart>
        <c:scatterStyle val="lineMarker"/>
        <c:ser>
          <c:idx val="0"/>
          <c:order val="0"/>
          <c:tx>
            <c:v>Sable</c:v>
          </c:tx>
          <c:spPr>
            <a:ln>
              <a:noFill/>
            </a:ln>
          </c:spPr>
          <c:marker>
            <c:symbol val="circle"/>
            <c:size val="5"/>
            <c:spPr>
              <a:solidFill>
                <a:srgbClr val="FF0000"/>
              </a:solidFill>
              <a:ln>
                <a:solidFill>
                  <a:sysClr val="windowText" lastClr="000000"/>
                </a:solidFill>
              </a:ln>
            </c:spPr>
          </c:marker>
          <c:xVal>
            <c:numRef>
              <c:f>'Calc-Deploy 3'!$N$12:$N$59</c:f>
              <c:numCache>
                <c:formatCode>0.00</c:formatCode>
                <c:ptCount val="48"/>
                <c:pt idx="0">
                  <c:v>307.30724145253009</c:v>
                </c:pt>
                <c:pt idx="1">
                  <c:v>300.97605559987591</c:v>
                </c:pt>
                <c:pt idx="2">
                  <c:v>254.27001853416445</c:v>
                </c:pt>
                <c:pt idx="3">
                  <c:v>332.73501956998138</c:v>
                </c:pt>
                <c:pt idx="4">
                  <c:v>328.90415135065552</c:v>
                </c:pt>
                <c:pt idx="5">
                  <c:v>335.99958879847316</c:v>
                </c:pt>
                <c:pt idx="6">
                  <c:v>304.30968331214626</c:v>
                </c:pt>
                <c:pt idx="7">
                  <c:v>286.30282114195313</c:v>
                </c:pt>
                <c:pt idx="8">
                  <c:v>270.58007502513271</c:v>
                </c:pt>
                <c:pt idx="9">
                  <c:v>295.75545727990118</c:v>
                </c:pt>
                <c:pt idx="10">
                  <c:v>314.58582755965932</c:v>
                </c:pt>
                <c:pt idx="11">
                  <c:v>301.45411377396272</c:v>
                </c:pt>
                <c:pt idx="12">
                  <c:v>300.31358207176902</c:v>
                </c:pt>
                <c:pt idx="13">
                  <c:v>294.90863060402944</c:v>
                </c:pt>
                <c:pt idx="14">
                  <c:v>280.05553157988868</c:v>
                </c:pt>
                <c:pt idx="15">
                  <c:v>266.77262108138569</c:v>
                </c:pt>
                <c:pt idx="16">
                  <c:v>275.14064755250126</c:v>
                </c:pt>
                <c:pt idx="17">
                  <c:v>282.63784292773056</c:v>
                </c:pt>
                <c:pt idx="18">
                  <c:v>261.24039040251523</c:v>
                </c:pt>
                <c:pt idx="19">
                  <c:v>247.5659766739123</c:v>
                </c:pt>
                <c:pt idx="20">
                  <c:v>249.89870310555204</c:v>
                </c:pt>
              </c:numCache>
            </c:numRef>
          </c:xVal>
          <c:yVal>
            <c:numRef>
              <c:f>'Calc-Deploy 3'!$Q$12:$Q$59</c:f>
              <c:numCache>
                <c:formatCode>0.00</c:formatCode>
                <c:ptCount val="48"/>
                <c:pt idx="0">
                  <c:v>0.31490160920196875</c:v>
                </c:pt>
                <c:pt idx="1">
                  <c:v>0.27178993467843759</c:v>
                </c:pt>
                <c:pt idx="2">
                  <c:v>0.1424938488228526</c:v>
                </c:pt>
                <c:pt idx="3">
                  <c:v>0.14739242080876971</c:v>
                </c:pt>
                <c:pt idx="4">
                  <c:v>0.12342017735466997</c:v>
                </c:pt>
                <c:pt idx="5">
                  <c:v>0.30071191828903621</c:v>
                </c:pt>
                <c:pt idx="6">
                  <c:v>0.3287110863887846</c:v>
                </c:pt>
                <c:pt idx="7">
                  <c:v>0.2976995649619199</c:v>
                </c:pt>
                <c:pt idx="8">
                  <c:v>0.21408423846498742</c:v>
                </c:pt>
                <c:pt idx="9">
                  <c:v>0.17325047442928843</c:v>
                </c:pt>
                <c:pt idx="10">
                  <c:v>0.31833189585715133</c:v>
                </c:pt>
                <c:pt idx="11">
                  <c:v>0.35470093318488977</c:v>
                </c:pt>
                <c:pt idx="12">
                  <c:v>0.27080210489646034</c:v>
                </c:pt>
                <c:pt idx="13">
                  <c:v>0.3187047395381592</c:v>
                </c:pt>
                <c:pt idx="14">
                  <c:v>0.30983248005453412</c:v>
                </c:pt>
                <c:pt idx="15">
                  <c:v>0.31147518364810894</c:v>
                </c:pt>
                <c:pt idx="16">
                  <c:v>0.30802072203387543</c:v>
                </c:pt>
                <c:pt idx="17">
                  <c:v>0.35888674315670943</c:v>
                </c:pt>
                <c:pt idx="18">
                  <c:v>0.41322721912957966</c:v>
                </c:pt>
                <c:pt idx="19">
                  <c:v>0.4301906210897915</c:v>
                </c:pt>
                <c:pt idx="20">
                  <c:v>0.36867524496206372</c:v>
                </c:pt>
              </c:numCache>
            </c:numRef>
          </c:yVal>
        </c:ser>
        <c:ser>
          <c:idx val="1"/>
          <c:order val="1"/>
          <c:tx>
            <c:v>Melo</c:v>
          </c:tx>
          <c:spPr>
            <a:ln w="28575">
              <a:noFill/>
            </a:ln>
          </c:spPr>
          <c:marker>
            <c:symbol val="circle"/>
            <c:size val="5"/>
            <c:spPr>
              <a:solidFill>
                <a:srgbClr val="0000FF"/>
              </a:solidFill>
              <a:ln>
                <a:noFill/>
              </a:ln>
            </c:spPr>
          </c:marker>
          <c:xVal>
            <c:numRef>
              <c:f>'Calc-Deploy 3'!$AJ$12:$AJ$110</c:f>
              <c:numCache>
                <c:formatCode>0.00</c:formatCode>
                <c:ptCount val="99"/>
                <c:pt idx="0">
                  <c:v>319.4325814466132</c:v>
                </c:pt>
                <c:pt idx="1">
                  <c:v>313.4177978054098</c:v>
                </c:pt>
                <c:pt idx="2">
                  <c:v>303.78129901146542</c:v>
                </c:pt>
                <c:pt idx="3">
                  <c:v>313.82186218167749</c:v>
                </c:pt>
                <c:pt idx="4">
                  <c:v>312.02246423874107</c:v>
                </c:pt>
                <c:pt idx="5">
                  <c:v>316.02447144207792</c:v>
                </c:pt>
                <c:pt idx="6">
                  <c:v>310.14231005468901</c:v>
                </c:pt>
                <c:pt idx="7">
                  <c:v>307.2129940244202</c:v>
                </c:pt>
                <c:pt idx="8">
                  <c:v>306.64994596630925</c:v>
                </c:pt>
                <c:pt idx="9">
                  <c:v>303.62385947411531</c:v>
                </c:pt>
                <c:pt idx="10">
                  <c:v>285.18255699679486</c:v>
                </c:pt>
                <c:pt idx="11">
                  <c:v>261.93173674895627</c:v>
                </c:pt>
                <c:pt idx="12">
                  <c:v>244.72701838434628</c:v>
                </c:pt>
                <c:pt idx="13">
                  <c:v>265.12006992037351</c:v>
                </c:pt>
                <c:pt idx="14">
                  <c:v>324.3360178979043</c:v>
                </c:pt>
                <c:pt idx="15">
                  <c:v>338.51530691594024</c:v>
                </c:pt>
                <c:pt idx="16">
                  <c:v>330.87684455239543</c:v>
                </c:pt>
                <c:pt idx="17">
                  <c:v>295.17042132032395</c:v>
                </c:pt>
                <c:pt idx="18">
                  <c:v>330.54101042645016</c:v>
                </c:pt>
                <c:pt idx="19">
                  <c:v>354.47404402566195</c:v>
                </c:pt>
                <c:pt idx="20">
                  <c:v>3.1494682228545647</c:v>
                </c:pt>
                <c:pt idx="21">
                  <c:v>350.53414853999641</c:v>
                </c:pt>
                <c:pt idx="22">
                  <c:v>350.68935809476613</c:v>
                </c:pt>
                <c:pt idx="23">
                  <c:v>339.47557848418961</c:v>
                </c:pt>
                <c:pt idx="24">
                  <c:v>339.38178292781146</c:v>
                </c:pt>
                <c:pt idx="25">
                  <c:v>327.64058947692388</c:v>
                </c:pt>
                <c:pt idx="26">
                  <c:v>314.80195568687708</c:v>
                </c:pt>
                <c:pt idx="27">
                  <c:v>316.27871570123449</c:v>
                </c:pt>
                <c:pt idx="28">
                  <c:v>325.20431875072836</c:v>
                </c:pt>
                <c:pt idx="29">
                  <c:v>314.52064096198262</c:v>
                </c:pt>
                <c:pt idx="30">
                  <c:v>300.82238389284134</c:v>
                </c:pt>
                <c:pt idx="31">
                  <c:v>288.89105039028249</c:v>
                </c:pt>
                <c:pt idx="32">
                  <c:v>293.91073437664556</c:v>
                </c:pt>
                <c:pt idx="33">
                  <c:v>286.19209599348392</c:v>
                </c:pt>
                <c:pt idx="34">
                  <c:v>273.20519425292196</c:v>
                </c:pt>
                <c:pt idx="35">
                  <c:v>273.74886551169698</c:v>
                </c:pt>
                <c:pt idx="36">
                  <c:v>269.71591367737449</c:v>
                </c:pt>
                <c:pt idx="37">
                  <c:v>270.87377795334459</c:v>
                </c:pt>
                <c:pt idx="38">
                  <c:v>283.3606337334374</c:v>
                </c:pt>
                <c:pt idx="39">
                  <c:v>302.60824613259621</c:v>
                </c:pt>
                <c:pt idx="40">
                  <c:v>309.28914006260254</c:v>
                </c:pt>
                <c:pt idx="41">
                  <c:v>315.49806121402287</c:v>
                </c:pt>
                <c:pt idx="42">
                  <c:v>317.86490188574965</c:v>
                </c:pt>
                <c:pt idx="43">
                  <c:v>310.04521850445474</c:v>
                </c:pt>
                <c:pt idx="44">
                  <c:v>306.40095109734875</c:v>
                </c:pt>
                <c:pt idx="45">
                  <c:v>297.69398962260004</c:v>
                </c:pt>
                <c:pt idx="46">
                  <c:v>295.67681670150449</c:v>
                </c:pt>
                <c:pt idx="47">
                  <c:v>300.26509670965442</c:v>
                </c:pt>
                <c:pt idx="48">
                  <c:v>299.36714616150249</c:v>
                </c:pt>
                <c:pt idx="49">
                  <c:v>305.95042120546873</c:v>
                </c:pt>
                <c:pt idx="50">
                  <c:v>302.15954221079886</c:v>
                </c:pt>
                <c:pt idx="51">
                  <c:v>297.47203699263207</c:v>
                </c:pt>
                <c:pt idx="52">
                  <c:v>293.82913242330886</c:v>
                </c:pt>
                <c:pt idx="53">
                  <c:v>293.86308522493255</c:v>
                </c:pt>
                <c:pt idx="54">
                  <c:v>301.3698592644522</c:v>
                </c:pt>
                <c:pt idx="55">
                  <c:v>300.97442282731225</c:v>
                </c:pt>
                <c:pt idx="56">
                  <c:v>298.70052650320559</c:v>
                </c:pt>
                <c:pt idx="57">
                  <c:v>287.83292533922724</c:v>
                </c:pt>
                <c:pt idx="58">
                  <c:v>277.68358723877094</c:v>
                </c:pt>
                <c:pt idx="59">
                  <c:v>280.04077098088584</c:v>
                </c:pt>
                <c:pt idx="60">
                  <c:v>281.36158486295301</c:v>
                </c:pt>
                <c:pt idx="61">
                  <c:v>287.00074391843714</c:v>
                </c:pt>
                <c:pt idx="62">
                  <c:v>276.09238962500615</c:v>
                </c:pt>
                <c:pt idx="63">
                  <c:v>276.07256380988599</c:v>
                </c:pt>
                <c:pt idx="64">
                  <c:v>273.35874200645992</c:v>
                </c:pt>
                <c:pt idx="65">
                  <c:v>262.52838997392712</c:v>
                </c:pt>
                <c:pt idx="66">
                  <c:v>266.13760095417911</c:v>
                </c:pt>
                <c:pt idx="67">
                  <c:v>263.33520346177693</c:v>
                </c:pt>
                <c:pt idx="68">
                  <c:v>280.0474413518246</c:v>
                </c:pt>
                <c:pt idx="69">
                  <c:v>293.57929953778381</c:v>
                </c:pt>
                <c:pt idx="70">
                  <c:v>295.59464724620909</c:v>
                </c:pt>
                <c:pt idx="71">
                  <c:v>274.40542955835593</c:v>
                </c:pt>
                <c:pt idx="72">
                  <c:v>281.77371074827386</c:v>
                </c:pt>
                <c:pt idx="73">
                  <c:v>276.41608522787982</c:v>
                </c:pt>
                <c:pt idx="74">
                  <c:v>273.67601879010266</c:v>
                </c:pt>
                <c:pt idx="75">
                  <c:v>262.92579738014933</c:v>
                </c:pt>
                <c:pt idx="76">
                  <c:v>261.37058626656909</c:v>
                </c:pt>
                <c:pt idx="77">
                  <c:v>259.06617392300956</c:v>
                </c:pt>
                <c:pt idx="78">
                  <c:v>250.31013134723099</c:v>
                </c:pt>
                <c:pt idx="79">
                  <c:v>240.81849565510089</c:v>
                </c:pt>
                <c:pt idx="80">
                  <c:v>246.68287845077975</c:v>
                </c:pt>
                <c:pt idx="81">
                  <c:v>247.21808851675797</c:v>
                </c:pt>
                <c:pt idx="82">
                  <c:v>256.70954964827467</c:v>
                </c:pt>
                <c:pt idx="83">
                  <c:v>247.18557028684216</c:v>
                </c:pt>
                <c:pt idx="84">
                  <c:v>252.41122843817817</c:v>
                </c:pt>
                <c:pt idx="85">
                  <c:v>101.30921955834165</c:v>
                </c:pt>
              </c:numCache>
            </c:numRef>
          </c:xVal>
          <c:yVal>
            <c:numRef>
              <c:f>'Calc-Deploy 3'!$AM$12:$AM$110</c:f>
              <c:numCache>
                <c:formatCode>0.00</c:formatCode>
                <c:ptCount val="99"/>
                <c:pt idx="0">
                  <c:v>0.10433173350769616</c:v>
                </c:pt>
                <c:pt idx="1">
                  <c:v>0.32196982299142518</c:v>
                </c:pt>
                <c:pt idx="2">
                  <c:v>0.3109908252042291</c:v>
                </c:pt>
                <c:pt idx="3">
                  <c:v>0.35378626887511572</c:v>
                </c:pt>
                <c:pt idx="4">
                  <c:v>0.31750671318817902</c:v>
                </c:pt>
                <c:pt idx="5">
                  <c:v>0.33039352214870121</c:v>
                </c:pt>
                <c:pt idx="6">
                  <c:v>0.29971608640747888</c:v>
                </c:pt>
                <c:pt idx="7">
                  <c:v>0.33427637378576697</c:v>
                </c:pt>
                <c:pt idx="8">
                  <c:v>0.57282653081086954</c:v>
                </c:pt>
                <c:pt idx="9">
                  <c:v>0.15161303040183297</c:v>
                </c:pt>
                <c:pt idx="10">
                  <c:v>0.2299951557781979</c:v>
                </c:pt>
                <c:pt idx="11">
                  <c:v>0.15569948677901602</c:v>
                </c:pt>
                <c:pt idx="12">
                  <c:v>0.15689923235338246</c:v>
                </c:pt>
                <c:pt idx="13">
                  <c:v>0.11803177718278053</c:v>
                </c:pt>
                <c:pt idx="14">
                  <c:v>0.12563231557886895</c:v>
                </c:pt>
                <c:pt idx="15">
                  <c:v>0.18358333682638131</c:v>
                </c:pt>
                <c:pt idx="16">
                  <c:v>0.132801217483319</c:v>
                </c:pt>
                <c:pt idx="17">
                  <c:v>0.11941410712306248</c:v>
                </c:pt>
                <c:pt idx="18">
                  <c:v>0.10987876414882643</c:v>
                </c:pt>
                <c:pt idx="19">
                  <c:v>0.1845844750721162</c:v>
                </c:pt>
                <c:pt idx="20">
                  <c:v>0.22549582384326267</c:v>
                </c:pt>
                <c:pt idx="21">
                  <c:v>0.26203166842595949</c:v>
                </c:pt>
                <c:pt idx="22">
                  <c:v>0.30813334861653419</c:v>
                </c:pt>
                <c:pt idx="23">
                  <c:v>0.36574662948733283</c:v>
                </c:pt>
                <c:pt idx="24">
                  <c:v>0.37922203309882579</c:v>
                </c:pt>
                <c:pt idx="25">
                  <c:v>0.34874523309125688</c:v>
                </c:pt>
                <c:pt idx="26">
                  <c:v>0.29310558545367277</c:v>
                </c:pt>
                <c:pt idx="27">
                  <c:v>0.26933024910929582</c:v>
                </c:pt>
                <c:pt idx="28">
                  <c:v>0.35912695721360538</c:v>
                </c:pt>
                <c:pt idx="29">
                  <c:v>0.37372940226147505</c:v>
                </c:pt>
                <c:pt idx="30">
                  <c:v>0.31459321527325385</c:v>
                </c:pt>
                <c:pt idx="31">
                  <c:v>0.30865644602267889</c:v>
                </c:pt>
                <c:pt idx="32">
                  <c:v>0.28589031738752829</c:v>
                </c:pt>
                <c:pt idx="33">
                  <c:v>0.30627472531843225</c:v>
                </c:pt>
                <c:pt idx="34">
                  <c:v>0.29474631991510541</c:v>
                </c:pt>
                <c:pt idx="35">
                  <c:v>0.22951713654179001</c:v>
                </c:pt>
                <c:pt idx="36">
                  <c:v>0.239055705968998</c:v>
                </c:pt>
                <c:pt idx="37">
                  <c:v>0.13684579619754828</c:v>
                </c:pt>
                <c:pt idx="38">
                  <c:v>0.14055793821931262</c:v>
                </c:pt>
                <c:pt idx="39">
                  <c:v>0.19831746416893895</c:v>
                </c:pt>
                <c:pt idx="40">
                  <c:v>0.26737926115472066</c:v>
                </c:pt>
                <c:pt idx="41">
                  <c:v>0.31267380136733236</c:v>
                </c:pt>
                <c:pt idx="42">
                  <c:v>0.31452730989251754</c:v>
                </c:pt>
                <c:pt idx="43">
                  <c:v>0.38290356573407008</c:v>
                </c:pt>
                <c:pt idx="44">
                  <c:v>0.37862922187015113</c:v>
                </c:pt>
                <c:pt idx="45">
                  <c:v>0.32700094071600333</c:v>
                </c:pt>
                <c:pt idx="46">
                  <c:v>0.33118893269268851</c:v>
                </c:pt>
                <c:pt idx="47">
                  <c:v>0.37881631095026541</c:v>
                </c:pt>
                <c:pt idx="48">
                  <c:v>0.35042414139563061</c:v>
                </c:pt>
                <c:pt idx="49">
                  <c:v>0.31264697156566074</c:v>
                </c:pt>
                <c:pt idx="50">
                  <c:v>0.32118545934311471</c:v>
                </c:pt>
                <c:pt idx="51">
                  <c:v>0.23817223189726375</c:v>
                </c:pt>
                <c:pt idx="52">
                  <c:v>0.20508039519486576</c:v>
                </c:pt>
                <c:pt idx="53">
                  <c:v>0.24415649340542414</c:v>
                </c:pt>
                <c:pt idx="54">
                  <c:v>0.23693000650040891</c:v>
                </c:pt>
                <c:pt idx="55">
                  <c:v>0.35900836427262595</c:v>
                </c:pt>
                <c:pt idx="56">
                  <c:v>0.4038151553747466</c:v>
                </c:pt>
                <c:pt idx="57">
                  <c:v>0.4010817501030019</c:v>
                </c:pt>
                <c:pt idx="58">
                  <c:v>0.37265359909984003</c:v>
                </c:pt>
                <c:pt idx="59">
                  <c:v>0.30481910043839838</c:v>
                </c:pt>
                <c:pt idx="60">
                  <c:v>0.28776167582872975</c:v>
                </c:pt>
                <c:pt idx="61">
                  <c:v>0.34417983926397228</c:v>
                </c:pt>
                <c:pt idx="62">
                  <c:v>0.25745937207295716</c:v>
                </c:pt>
                <c:pt idx="63">
                  <c:v>0.3134427933848844</c:v>
                </c:pt>
                <c:pt idx="64">
                  <c:v>0.32852124149751277</c:v>
                </c:pt>
                <c:pt idx="65">
                  <c:v>0.31342660113300547</c:v>
                </c:pt>
                <c:pt idx="66">
                  <c:v>0.30315365081323142</c:v>
                </c:pt>
                <c:pt idx="67">
                  <c:v>0.27110364272384885</c:v>
                </c:pt>
                <c:pt idx="68">
                  <c:v>0.33097789686818291</c:v>
                </c:pt>
                <c:pt idx="69">
                  <c:v>0.35120798965330219</c:v>
                </c:pt>
                <c:pt idx="70">
                  <c:v>0.35472301245797472</c:v>
                </c:pt>
                <c:pt idx="71">
                  <c:v>0.38287415793829155</c:v>
                </c:pt>
                <c:pt idx="72">
                  <c:v>0.34423631857140086</c:v>
                </c:pt>
                <c:pt idx="73">
                  <c:v>0.3698521005738275</c:v>
                </c:pt>
                <c:pt idx="74">
                  <c:v>0.37443281469627382</c:v>
                </c:pt>
                <c:pt idx="75">
                  <c:v>0.39010937803635365</c:v>
                </c:pt>
                <c:pt idx="76">
                  <c:v>0.40024696202862392</c:v>
                </c:pt>
                <c:pt idx="77">
                  <c:v>0.50449568684774704</c:v>
                </c:pt>
                <c:pt idx="78">
                  <c:v>0.39090508495541193</c:v>
                </c:pt>
                <c:pt idx="79">
                  <c:v>0.41789569752659134</c:v>
                </c:pt>
                <c:pt idx="80">
                  <c:v>0.4488187830018211</c:v>
                </c:pt>
                <c:pt idx="81">
                  <c:v>0.41181442791582518</c:v>
                </c:pt>
                <c:pt idx="82">
                  <c:v>0.36400336364773689</c:v>
                </c:pt>
                <c:pt idx="83">
                  <c:v>0.29396831879649105</c:v>
                </c:pt>
                <c:pt idx="84">
                  <c:v>0.29906733324350127</c:v>
                </c:pt>
                <c:pt idx="85">
                  <c:v>0.21334870637037096</c:v>
                </c:pt>
              </c:numCache>
            </c:numRef>
          </c:yVal>
        </c:ser>
        <c:axId val="119951360"/>
        <c:axId val="119953664"/>
      </c:scatterChart>
      <c:valAx>
        <c:axId val="119951360"/>
        <c:scaling>
          <c:orientation val="minMax"/>
          <c:max val="360"/>
          <c:min val="0"/>
        </c:scaling>
        <c:axPos val="b"/>
        <c:title>
          <c:tx>
            <c:rich>
              <a:bodyPr/>
              <a:lstStyle/>
              <a:p>
                <a:pPr>
                  <a:defRPr sz="1400"/>
                </a:pPr>
                <a:r>
                  <a:rPr lang="en-US" sz="1400"/>
                  <a:t>Bearing</a:t>
                </a:r>
                <a:r>
                  <a:rPr lang="en-US" sz="1400" baseline="0"/>
                  <a:t> (Degrees)</a:t>
                </a:r>
                <a:endParaRPr lang="en-US" sz="1400"/>
              </a:p>
            </c:rich>
          </c:tx>
        </c:title>
        <c:numFmt formatCode="0.00" sourceLinked="1"/>
        <c:tickLblPos val="nextTo"/>
        <c:crossAx val="119953664"/>
        <c:crosses val="autoZero"/>
        <c:crossBetween val="midCat"/>
      </c:valAx>
      <c:valAx>
        <c:axId val="119953664"/>
        <c:scaling>
          <c:orientation val="minMax"/>
          <c:max val="0.5"/>
        </c:scaling>
        <c:axPos val="l"/>
        <c:majorGridlines/>
        <c:title>
          <c:tx>
            <c:rich>
              <a:bodyPr rot="-5400000" vert="horz"/>
              <a:lstStyle/>
              <a:p>
                <a:pPr>
                  <a:defRPr sz="1400"/>
                </a:pPr>
                <a:r>
                  <a:rPr lang="en-US" sz="1400"/>
                  <a:t>Drift Rate (Kn)</a:t>
                </a:r>
              </a:p>
            </c:rich>
          </c:tx>
          <c:layout>
            <c:manualLayout>
              <c:xMode val="edge"/>
              <c:yMode val="edge"/>
              <c:x val="2.6801865898633658E-2"/>
              <c:y val="0.43275876879026592"/>
            </c:manualLayout>
          </c:layout>
        </c:title>
        <c:numFmt formatCode="0.00" sourceLinked="1"/>
        <c:tickLblPos val="nextTo"/>
        <c:crossAx val="119951360"/>
        <c:crosses val="autoZero"/>
        <c:crossBetween val="midCat"/>
      </c:valAx>
    </c:plotArea>
    <c:legend>
      <c:legendPos val="r"/>
      <c:layout>
        <c:manualLayout>
          <c:xMode val="edge"/>
          <c:yMode val="edge"/>
          <c:x val="0.90999743159898105"/>
          <c:y val="2.1086375566690633E-2"/>
          <c:w val="7.6151702775877045E-2"/>
          <c:h val="0.10959341445955652"/>
        </c:manualLayout>
      </c:layout>
      <c:spPr>
        <a:solidFill>
          <a:schemeClr val="lt1"/>
        </a:solidFill>
        <a:ln>
          <a:solidFill>
            <a:schemeClr val="tx1"/>
          </a:solidFill>
        </a:ln>
      </c:spPr>
    </c:legend>
    <c:plotVisOnly val="1"/>
  </c:chart>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chart>
    <c:title/>
    <c:plotArea>
      <c:layout>
        <c:manualLayout>
          <c:layoutTarget val="inner"/>
          <c:xMode val="edge"/>
          <c:yMode val="edge"/>
          <c:x val="4.1847112860892356E-2"/>
          <c:y val="0.13529761754057271"/>
          <c:w val="0.8977933070866142"/>
          <c:h val="0.82900296225029768"/>
        </c:manualLayout>
      </c:layout>
      <c:scatterChart>
        <c:scatterStyle val="lineMarker"/>
        <c:ser>
          <c:idx val="0"/>
          <c:order val="0"/>
          <c:tx>
            <c:v>Polar Plot Drift Bearing-Km/hr</c:v>
          </c:tx>
          <c:spPr>
            <a:ln w="28575">
              <a:noFill/>
            </a:ln>
          </c:spPr>
          <c:marker>
            <c:symbol val="circle"/>
            <c:size val="5"/>
            <c:spPr>
              <a:solidFill>
                <a:srgbClr val="0000FF"/>
              </a:solidFill>
              <a:ln>
                <a:noFill/>
              </a:ln>
            </c:spPr>
          </c:marker>
          <c:xVal>
            <c:numRef>
              <c:f>'Calc-Deploy 3'!$AZ$12:$AZ$100</c:f>
              <c:numCache>
                <c:formatCode>General</c:formatCode>
                <c:ptCount val="89"/>
                <c:pt idx="0">
                  <c:v>-0.1256606904305223</c:v>
                </c:pt>
                <c:pt idx="1">
                  <c:v>-0.43312055211846545</c:v>
                </c:pt>
                <c:pt idx="2">
                  <c:v>-0.47871421837189582</c:v>
                </c:pt>
                <c:pt idx="3">
                  <c:v>-0.47273300992019873</c:v>
                </c:pt>
                <c:pt idx="4">
                  <c:v>-0.43683152734018987</c:v>
                </c:pt>
                <c:pt idx="5">
                  <c:v>-0.42486564624407952</c:v>
                </c:pt>
                <c:pt idx="6">
                  <c:v>-0.42432399016541689</c:v>
                </c:pt>
                <c:pt idx="7">
                  <c:v>-0.49303071907778401</c:v>
                </c:pt>
                <c:pt idx="8">
                  <c:v>-0.85113707152811136</c:v>
                </c:pt>
                <c:pt idx="9">
                  <c:v>-0.23380900636873447</c:v>
                </c:pt>
                <c:pt idx="10">
                  <c:v>-0.41108374883372156</c:v>
                </c:pt>
                <c:pt idx="11">
                  <c:v>-0.28550117824888416</c:v>
                </c:pt>
                <c:pt idx="12">
                  <c:v>-0.2627644663933934</c:v>
                </c:pt>
                <c:pt idx="13">
                  <c:v>-0.21780247898323951</c:v>
                </c:pt>
                <c:pt idx="14">
                  <c:v>-0.13565433988431821</c:v>
                </c:pt>
                <c:pt idx="15">
                  <c:v>-0.12452455940141223</c:v>
                </c:pt>
                <c:pt idx="16">
                  <c:v>-0.11969998414757528</c:v>
                </c:pt>
                <c:pt idx="17">
                  <c:v>-0.2001555448259637</c:v>
                </c:pt>
                <c:pt idx="18">
                  <c:v>-0.10007916678505575</c:v>
                </c:pt>
                <c:pt idx="19">
                  <c:v>-3.2919061227919322E-2</c:v>
                </c:pt>
                <c:pt idx="20">
                  <c:v>2.2944328668845812E-2</c:v>
                </c:pt>
                <c:pt idx="21">
                  <c:v>-7.9809461328449099E-2</c:v>
                </c:pt>
                <c:pt idx="22">
                  <c:v>-9.2325913190333148E-2</c:v>
                </c:pt>
                <c:pt idx="23">
                  <c:v>-0.23748784854491126</c:v>
                </c:pt>
                <c:pt idx="24">
                  <c:v>-0.24731415735058887</c:v>
                </c:pt>
                <c:pt idx="25">
                  <c:v>-0.3456913486197028</c:v>
                </c:pt>
                <c:pt idx="26">
                  <c:v>-0.38516432259141298</c:v>
                </c:pt>
                <c:pt idx="27">
                  <c:v>-0.34474582319034369</c:v>
                </c:pt>
                <c:pt idx="28">
                  <c:v>-0.37954220938221239</c:v>
                </c:pt>
                <c:pt idx="29">
                  <c:v>-0.4934992515564699</c:v>
                </c:pt>
                <c:pt idx="30">
                  <c:v>-0.50033632659934135</c:v>
                </c:pt>
                <c:pt idx="31">
                  <c:v>-0.54084133364910658</c:v>
                </c:pt>
                <c:pt idx="32">
                  <c:v>-0.48402880959790562</c:v>
                </c:pt>
                <c:pt idx="33">
                  <c:v>-0.54472036975185945</c:v>
                </c:pt>
                <c:pt idx="34">
                  <c:v>-0.54501627946888742</c:v>
                </c:pt>
                <c:pt idx="35">
                  <c:v>-0.42415618888888124</c:v>
                </c:pt>
                <c:pt idx="36">
                  <c:v>-0.4427257253786599</c:v>
                </c:pt>
                <c:pt idx="37">
                  <c:v>-0.25340894382533319</c:v>
                </c:pt>
                <c:pt idx="38">
                  <c:v>-0.25326788975572079</c:v>
                </c:pt>
                <c:pt idx="39">
                  <c:v>-0.30939075591261767</c:v>
                </c:pt>
                <c:pt idx="40">
                  <c:v>-0.38325458243975863</c:v>
                </c:pt>
                <c:pt idx="41">
                  <c:v>-0.40589082121169651</c:v>
                </c:pt>
                <c:pt idx="42">
                  <c:v>-0.39079126012546861</c:v>
                </c:pt>
                <c:pt idx="43">
                  <c:v>-0.54287085614840325</c:v>
                </c:pt>
                <c:pt idx="44">
                  <c:v>-0.5644017826144857</c:v>
                </c:pt>
                <c:pt idx="45">
                  <c:v>-0.53622899167069171</c:v>
                </c:pt>
                <c:pt idx="46">
                  <c:v>-0.55279389777302079</c:v>
                </c:pt>
                <c:pt idx="47">
                  <c:v>-0.6059460359832185</c:v>
                </c:pt>
                <c:pt idx="48">
                  <c:v>-0.56558772806287494</c:v>
                </c:pt>
                <c:pt idx="49">
                  <c:v>-0.46873311880713048</c:v>
                </c:pt>
              </c:numCache>
            </c:numRef>
          </c:xVal>
          <c:yVal>
            <c:numRef>
              <c:f>'Calc-Deploy 3'!$BA$12:$BA$100</c:f>
              <c:numCache>
                <c:formatCode>General</c:formatCode>
                <c:ptCount val="89"/>
                <c:pt idx="0">
                  <c:v>0.14677968294439808</c:v>
                </c:pt>
                <c:pt idx="1">
                  <c:v>0.4098366748595425</c:v>
                </c:pt>
                <c:pt idx="2">
                  <c:v>0.32024501352771051</c:v>
                </c:pt>
                <c:pt idx="3">
                  <c:v>0.45368104323541625</c:v>
                </c:pt>
                <c:pt idx="4">
                  <c:v>0.39363510796991869</c:v>
                </c:pt>
                <c:pt idx="5">
                  <c:v>0.44033747274347229</c:v>
                </c:pt>
                <c:pt idx="6">
                  <c:v>0.35784984284492632</c:v>
                </c:pt>
                <c:pt idx="7">
                  <c:v>0.37440694919269768</c:v>
                </c:pt>
                <c:pt idx="8">
                  <c:v>0.63326210131575644</c:v>
                </c:pt>
                <c:pt idx="9">
                  <c:v>0.15548271454850315</c:v>
                </c:pt>
                <c:pt idx="10">
                  <c:v>0.11155460602800311</c:v>
                </c:pt>
                <c:pt idx="11">
                  <c:v>-4.04715021137751E-2</c:v>
                </c:pt>
                <c:pt idx="12">
                  <c:v>-0.12405663219444238</c:v>
                </c:pt>
                <c:pt idx="13">
                  <c:v>-1.8595407556957759E-2</c:v>
                </c:pt>
                <c:pt idx="14">
                  <c:v>0.18903363948867197</c:v>
                </c:pt>
                <c:pt idx="15">
                  <c:v>0.31637184638483995</c:v>
                </c:pt>
                <c:pt idx="16">
                  <c:v>0.21485404596030958</c:v>
                </c:pt>
                <c:pt idx="17">
                  <c:v>9.405987105473583E-2</c:v>
                </c:pt>
                <c:pt idx="18">
                  <c:v>0.17718512120377092</c:v>
                </c:pt>
                <c:pt idx="19">
                  <c:v>0.3402617581978285</c:v>
                </c:pt>
                <c:pt idx="20">
                  <c:v>0.41698749822557474</c:v>
                </c:pt>
                <c:pt idx="21">
                  <c:v>0.47867494210640849</c:v>
                </c:pt>
                <c:pt idx="22">
                  <c:v>0.56314486727557111</c:v>
                </c:pt>
                <c:pt idx="23">
                  <c:v>0.63436568906444668</c:v>
                </c:pt>
                <c:pt idx="24">
                  <c:v>0.65733398946488586</c:v>
                </c:pt>
                <c:pt idx="25">
                  <c:v>0.54557631972069021</c:v>
                </c:pt>
                <c:pt idx="26">
                  <c:v>0.38251082343721149</c:v>
                </c:pt>
                <c:pt idx="27">
                  <c:v>0.36048769694974409</c:v>
                </c:pt>
                <c:pt idx="28">
                  <c:v>0.54617751497315337</c:v>
                </c:pt>
                <c:pt idx="29">
                  <c:v>0.48530995746506661</c:v>
                </c:pt>
                <c:pt idx="30">
                  <c:v>0.29852530165915253</c:v>
                </c:pt>
                <c:pt idx="31">
                  <c:v>0.18507699950136688</c:v>
                </c:pt>
                <c:pt idx="32">
                  <c:v>0.2146005439192806</c:v>
                </c:pt>
                <c:pt idx="33">
                  <c:v>0.15817441274982624</c:v>
                </c:pt>
                <c:pt idx="34">
                  <c:v>3.0520704794461086E-2</c:v>
                </c:pt>
                <c:pt idx="35">
                  <c:v>2.7792230797154906E-2</c:v>
                </c:pt>
                <c:pt idx="36">
                  <c:v>-2.1951591374187122E-3</c:v>
                </c:pt>
                <c:pt idx="37">
                  <c:v>3.8648626017682005E-3</c:v>
                </c:pt>
                <c:pt idx="38">
                  <c:v>6.0153063091519049E-2</c:v>
                </c:pt>
                <c:pt idx="39">
                  <c:v>0.19792638887276368</c:v>
                </c:pt>
                <c:pt idx="40">
                  <c:v>0.31356895178370892</c:v>
                </c:pt>
                <c:pt idx="41">
                  <c:v>0.41300954421907848</c:v>
                </c:pt>
                <c:pt idx="42">
                  <c:v>0.431965015144055</c:v>
                </c:pt>
                <c:pt idx="43">
                  <c:v>0.45625331881214326</c:v>
                </c:pt>
                <c:pt idx="44">
                  <c:v>0.41612734332939805</c:v>
                </c:pt>
                <c:pt idx="45">
                  <c:v>0.28145476276794418</c:v>
                </c:pt>
                <c:pt idx="46">
                  <c:v>0.26576630911797833</c:v>
                </c:pt>
                <c:pt idx="47">
                  <c:v>0.35359127609376978</c:v>
                </c:pt>
                <c:pt idx="48">
                  <c:v>0.31826516284229145</c:v>
                </c:pt>
                <c:pt idx="49">
                  <c:v>0.33993523117949564</c:v>
                </c:pt>
              </c:numCache>
            </c:numRef>
          </c:yVal>
        </c:ser>
        <c:axId val="119898112"/>
        <c:axId val="119899648"/>
      </c:scatterChart>
      <c:valAx>
        <c:axId val="119898112"/>
        <c:scaling>
          <c:orientation val="minMax"/>
          <c:max val="1"/>
          <c:min val="-1"/>
        </c:scaling>
        <c:axPos val="b"/>
        <c:numFmt formatCode="General" sourceLinked="1"/>
        <c:tickLblPos val="nextTo"/>
        <c:spPr>
          <a:ln w="25400">
            <a:solidFill>
              <a:schemeClr val="tx1"/>
            </a:solidFill>
          </a:ln>
        </c:spPr>
        <c:crossAx val="119899648"/>
        <c:crosses val="autoZero"/>
        <c:crossBetween val="midCat"/>
        <c:majorUnit val="0.2"/>
      </c:valAx>
      <c:valAx>
        <c:axId val="119899648"/>
        <c:scaling>
          <c:orientation val="minMax"/>
          <c:max val="1"/>
          <c:min val="-1"/>
        </c:scaling>
        <c:axPos val="l"/>
        <c:numFmt formatCode="General" sourceLinked="1"/>
        <c:tickLblPos val="nextTo"/>
        <c:spPr>
          <a:ln w="25400">
            <a:solidFill>
              <a:sysClr val="windowText" lastClr="000000"/>
            </a:solidFill>
          </a:ln>
        </c:spPr>
        <c:crossAx val="119898112"/>
        <c:crosses val="autoZero"/>
        <c:crossBetween val="midCat"/>
      </c:valAx>
    </c:plotArea>
    <c:legend>
      <c:legendPos val="r"/>
      <c:layout>
        <c:manualLayout>
          <c:xMode val="edge"/>
          <c:yMode val="edge"/>
          <c:x val="0.65852909011373695"/>
          <c:y val="0.1097127402011039"/>
          <c:w val="0.31442913385826837"/>
          <c:h val="8.3561847012890919E-2"/>
        </c:manualLayout>
      </c:layout>
    </c:legend>
    <c:plotVisOnly val="1"/>
  </c:chart>
  <c:printSettings>
    <c:headerFooter/>
    <c:pageMargins b="0.75000000000000089" l="0.70000000000000062" r="0.70000000000000062" t="0.75000000000000089"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chart>
    <c:plotArea>
      <c:layout/>
      <c:scatterChart>
        <c:scatterStyle val="lineMarker"/>
        <c:ser>
          <c:idx val="0"/>
          <c:order val="0"/>
          <c:tx>
            <c:v>PLRPLT_SPOKES</c:v>
          </c:tx>
          <c:spPr>
            <a:ln w="12700">
              <a:solidFill>
                <a:srgbClr val="868686"/>
              </a:solidFill>
              <a:prstDash val="solid"/>
            </a:ln>
          </c:spPr>
          <c:marker>
            <c:symbol val="none"/>
          </c:marker>
          <c:xVal>
            <c:numRef>
              <c:f>'Polar Plots'!$O$3:$O$109</c:f>
              <c:numCache>
                <c:formatCode>General</c:formatCode>
                <c:ptCount val="107"/>
                <c:pt idx="0">
                  <c:v>3.6754453647258606E-17</c:v>
                </c:pt>
                <c:pt idx="1">
                  <c:v>-3.6754453647258606E-17</c:v>
                </c:pt>
                <c:pt idx="3">
                  <c:v>#N/A</c:v>
                </c:pt>
                <c:pt idx="4">
                  <c:v>#N/A</c:v>
                </c:pt>
                <c:pt idx="6">
                  <c:v>#N/A</c:v>
                </c:pt>
                <c:pt idx="7">
                  <c:v>#N/A</c:v>
                </c:pt>
                <c:pt idx="9">
                  <c:v>0.15529142706151247</c:v>
                </c:pt>
                <c:pt idx="10">
                  <c:v>-0.15529142706151247</c:v>
                </c:pt>
                <c:pt idx="12">
                  <c:v>#N/A</c:v>
                </c:pt>
                <c:pt idx="13">
                  <c:v>#N/A</c:v>
                </c:pt>
                <c:pt idx="15">
                  <c:v>#N/A</c:v>
                </c:pt>
                <c:pt idx="16">
                  <c:v>#N/A</c:v>
                </c:pt>
                <c:pt idx="18">
                  <c:v>0.3000000000000001</c:v>
                </c:pt>
                <c:pt idx="19">
                  <c:v>-0.3000000000000001</c:v>
                </c:pt>
                <c:pt idx="21">
                  <c:v>#N/A</c:v>
                </c:pt>
                <c:pt idx="22">
                  <c:v>#N/A</c:v>
                </c:pt>
                <c:pt idx="24">
                  <c:v>#N/A</c:v>
                </c:pt>
                <c:pt idx="25">
                  <c:v>#N/A</c:v>
                </c:pt>
                <c:pt idx="27">
                  <c:v>0.42426406871192862</c:v>
                </c:pt>
                <c:pt idx="28">
                  <c:v>-0.42426406871192862</c:v>
                </c:pt>
                <c:pt idx="30">
                  <c:v>#N/A</c:v>
                </c:pt>
                <c:pt idx="31">
                  <c:v>#N/A</c:v>
                </c:pt>
                <c:pt idx="33">
                  <c:v>#N/A</c:v>
                </c:pt>
                <c:pt idx="34">
                  <c:v>#N/A</c:v>
                </c:pt>
                <c:pt idx="36">
                  <c:v>0.51961524227066325</c:v>
                </c:pt>
                <c:pt idx="37">
                  <c:v>-0.51961524227066325</c:v>
                </c:pt>
                <c:pt idx="39">
                  <c:v>#N/A</c:v>
                </c:pt>
                <c:pt idx="40">
                  <c:v>#N/A</c:v>
                </c:pt>
                <c:pt idx="42">
                  <c:v>#N/A</c:v>
                </c:pt>
                <c:pt idx="43">
                  <c:v>#N/A</c:v>
                </c:pt>
                <c:pt idx="45">
                  <c:v>0.57955549577344112</c:v>
                </c:pt>
                <c:pt idx="46">
                  <c:v>-0.57955549577344112</c:v>
                </c:pt>
                <c:pt idx="48">
                  <c:v>#N/A</c:v>
                </c:pt>
                <c:pt idx="49">
                  <c:v>#N/A</c:v>
                </c:pt>
                <c:pt idx="51">
                  <c:v>#N/A</c:v>
                </c:pt>
                <c:pt idx="52">
                  <c:v>#N/A</c:v>
                </c:pt>
                <c:pt idx="54">
                  <c:v>0.60000000000000009</c:v>
                </c:pt>
                <c:pt idx="55">
                  <c:v>-0.60000000000000009</c:v>
                </c:pt>
                <c:pt idx="57">
                  <c:v>#N/A</c:v>
                </c:pt>
                <c:pt idx="58">
                  <c:v>#N/A</c:v>
                </c:pt>
                <c:pt idx="60">
                  <c:v>#N/A</c:v>
                </c:pt>
                <c:pt idx="61">
                  <c:v>#N/A</c:v>
                </c:pt>
                <c:pt idx="63">
                  <c:v>0.57955549577344112</c:v>
                </c:pt>
                <c:pt idx="64">
                  <c:v>-0.57955549577344112</c:v>
                </c:pt>
                <c:pt idx="66">
                  <c:v>#N/A</c:v>
                </c:pt>
                <c:pt idx="67">
                  <c:v>#N/A</c:v>
                </c:pt>
                <c:pt idx="69">
                  <c:v>#N/A</c:v>
                </c:pt>
                <c:pt idx="70">
                  <c:v>#N/A</c:v>
                </c:pt>
                <c:pt idx="72">
                  <c:v>0.51961524227066325</c:v>
                </c:pt>
                <c:pt idx="73">
                  <c:v>-0.51961524227066325</c:v>
                </c:pt>
                <c:pt idx="75">
                  <c:v>#N/A</c:v>
                </c:pt>
                <c:pt idx="76">
                  <c:v>#N/A</c:v>
                </c:pt>
                <c:pt idx="78">
                  <c:v>#N/A</c:v>
                </c:pt>
                <c:pt idx="79">
                  <c:v>#N/A</c:v>
                </c:pt>
                <c:pt idx="81">
                  <c:v>0.42426406871192862</c:v>
                </c:pt>
                <c:pt idx="82">
                  <c:v>-0.42426406871192862</c:v>
                </c:pt>
                <c:pt idx="84">
                  <c:v>#N/A</c:v>
                </c:pt>
                <c:pt idx="85">
                  <c:v>#N/A</c:v>
                </c:pt>
                <c:pt idx="87">
                  <c:v>#N/A</c:v>
                </c:pt>
                <c:pt idx="88">
                  <c:v>#N/A</c:v>
                </c:pt>
                <c:pt idx="90">
                  <c:v>0.3000000000000001</c:v>
                </c:pt>
                <c:pt idx="91">
                  <c:v>-0.3000000000000001</c:v>
                </c:pt>
                <c:pt idx="93">
                  <c:v>#N/A</c:v>
                </c:pt>
                <c:pt idx="94">
                  <c:v>#N/A</c:v>
                </c:pt>
                <c:pt idx="96">
                  <c:v>#N/A</c:v>
                </c:pt>
                <c:pt idx="97">
                  <c:v>#N/A</c:v>
                </c:pt>
                <c:pt idx="99">
                  <c:v>0.15529142706151247</c:v>
                </c:pt>
                <c:pt idx="100">
                  <c:v>-0.15529142706151247</c:v>
                </c:pt>
                <c:pt idx="102">
                  <c:v>#N/A</c:v>
                </c:pt>
                <c:pt idx="103">
                  <c:v>#N/A</c:v>
                </c:pt>
                <c:pt idx="105">
                  <c:v>#N/A</c:v>
                </c:pt>
                <c:pt idx="106">
                  <c:v>#N/A</c:v>
                </c:pt>
              </c:numCache>
            </c:numRef>
          </c:xVal>
          <c:yVal>
            <c:numRef>
              <c:f>'Polar Plots'!$P$3:$P$109</c:f>
              <c:numCache>
                <c:formatCode>General</c:formatCode>
                <c:ptCount val="107"/>
                <c:pt idx="0">
                  <c:v>0.60000000000000009</c:v>
                </c:pt>
                <c:pt idx="1">
                  <c:v>-0.60000000000000009</c:v>
                </c:pt>
                <c:pt idx="3">
                  <c:v>#N/A</c:v>
                </c:pt>
                <c:pt idx="4">
                  <c:v>#N/A</c:v>
                </c:pt>
                <c:pt idx="6">
                  <c:v>#N/A</c:v>
                </c:pt>
                <c:pt idx="7">
                  <c:v>#N/A</c:v>
                </c:pt>
                <c:pt idx="9">
                  <c:v>0.57955549577344112</c:v>
                </c:pt>
                <c:pt idx="10">
                  <c:v>-0.57955549577344112</c:v>
                </c:pt>
                <c:pt idx="12">
                  <c:v>#N/A</c:v>
                </c:pt>
                <c:pt idx="13">
                  <c:v>#N/A</c:v>
                </c:pt>
                <c:pt idx="15">
                  <c:v>#N/A</c:v>
                </c:pt>
                <c:pt idx="16">
                  <c:v>#N/A</c:v>
                </c:pt>
                <c:pt idx="18">
                  <c:v>0.51961524227066325</c:v>
                </c:pt>
                <c:pt idx="19">
                  <c:v>-0.51961524227066325</c:v>
                </c:pt>
                <c:pt idx="21">
                  <c:v>#N/A</c:v>
                </c:pt>
                <c:pt idx="22">
                  <c:v>#N/A</c:v>
                </c:pt>
                <c:pt idx="24">
                  <c:v>#N/A</c:v>
                </c:pt>
                <c:pt idx="25">
                  <c:v>#N/A</c:v>
                </c:pt>
                <c:pt idx="27">
                  <c:v>0.42426406871192857</c:v>
                </c:pt>
                <c:pt idx="28">
                  <c:v>-0.42426406871192857</c:v>
                </c:pt>
                <c:pt idx="30">
                  <c:v>#N/A</c:v>
                </c:pt>
                <c:pt idx="31">
                  <c:v>#N/A</c:v>
                </c:pt>
                <c:pt idx="33">
                  <c:v>#N/A</c:v>
                </c:pt>
                <c:pt idx="34">
                  <c:v>#N/A</c:v>
                </c:pt>
                <c:pt idx="36">
                  <c:v>0.3</c:v>
                </c:pt>
                <c:pt idx="37">
                  <c:v>-0.3</c:v>
                </c:pt>
                <c:pt idx="39">
                  <c:v>#N/A</c:v>
                </c:pt>
                <c:pt idx="40">
                  <c:v>#N/A</c:v>
                </c:pt>
                <c:pt idx="42">
                  <c:v>#N/A</c:v>
                </c:pt>
                <c:pt idx="43">
                  <c:v>#N/A</c:v>
                </c:pt>
                <c:pt idx="45">
                  <c:v>0.15529142706151247</c:v>
                </c:pt>
                <c:pt idx="46">
                  <c:v>-0.15529142706151247</c:v>
                </c:pt>
                <c:pt idx="48">
                  <c:v>#N/A</c:v>
                </c:pt>
                <c:pt idx="49">
                  <c:v>#N/A</c:v>
                </c:pt>
                <c:pt idx="51">
                  <c:v>#N/A</c:v>
                </c:pt>
                <c:pt idx="52">
                  <c:v>#N/A</c:v>
                </c:pt>
                <c:pt idx="54">
                  <c:v>0</c:v>
                </c:pt>
                <c:pt idx="55">
                  <c:v>0</c:v>
                </c:pt>
                <c:pt idx="57">
                  <c:v>#N/A</c:v>
                </c:pt>
                <c:pt idx="58">
                  <c:v>#N/A</c:v>
                </c:pt>
                <c:pt idx="60">
                  <c:v>#N/A</c:v>
                </c:pt>
                <c:pt idx="61">
                  <c:v>#N/A</c:v>
                </c:pt>
                <c:pt idx="63">
                  <c:v>-0.15529142706151247</c:v>
                </c:pt>
                <c:pt idx="64">
                  <c:v>0.15529142706151247</c:v>
                </c:pt>
                <c:pt idx="66">
                  <c:v>#N/A</c:v>
                </c:pt>
                <c:pt idx="67">
                  <c:v>#N/A</c:v>
                </c:pt>
                <c:pt idx="69">
                  <c:v>#N/A</c:v>
                </c:pt>
                <c:pt idx="70">
                  <c:v>#N/A</c:v>
                </c:pt>
                <c:pt idx="72">
                  <c:v>-0.3</c:v>
                </c:pt>
                <c:pt idx="73">
                  <c:v>0.3</c:v>
                </c:pt>
                <c:pt idx="75">
                  <c:v>#N/A</c:v>
                </c:pt>
                <c:pt idx="76">
                  <c:v>#N/A</c:v>
                </c:pt>
                <c:pt idx="78">
                  <c:v>#N/A</c:v>
                </c:pt>
                <c:pt idx="79">
                  <c:v>#N/A</c:v>
                </c:pt>
                <c:pt idx="81">
                  <c:v>-0.42426406871192857</c:v>
                </c:pt>
                <c:pt idx="82">
                  <c:v>0.42426406871192857</c:v>
                </c:pt>
                <c:pt idx="84">
                  <c:v>#N/A</c:v>
                </c:pt>
                <c:pt idx="85">
                  <c:v>#N/A</c:v>
                </c:pt>
                <c:pt idx="87">
                  <c:v>#N/A</c:v>
                </c:pt>
                <c:pt idx="88">
                  <c:v>#N/A</c:v>
                </c:pt>
                <c:pt idx="90">
                  <c:v>-0.51961524227066325</c:v>
                </c:pt>
                <c:pt idx="91">
                  <c:v>0.51961524227066325</c:v>
                </c:pt>
                <c:pt idx="93">
                  <c:v>#N/A</c:v>
                </c:pt>
                <c:pt idx="94">
                  <c:v>#N/A</c:v>
                </c:pt>
                <c:pt idx="96">
                  <c:v>#N/A</c:v>
                </c:pt>
                <c:pt idx="97">
                  <c:v>#N/A</c:v>
                </c:pt>
                <c:pt idx="99">
                  <c:v>-0.57955549577344112</c:v>
                </c:pt>
                <c:pt idx="100">
                  <c:v>0.57955549577344112</c:v>
                </c:pt>
                <c:pt idx="102">
                  <c:v>#N/A</c:v>
                </c:pt>
                <c:pt idx="103">
                  <c:v>#N/A</c:v>
                </c:pt>
                <c:pt idx="105">
                  <c:v>#N/A</c:v>
                </c:pt>
                <c:pt idx="106">
                  <c:v>#N/A</c:v>
                </c:pt>
              </c:numCache>
            </c:numRef>
          </c:yVal>
        </c:ser>
        <c:axId val="120000512"/>
        <c:axId val="120002048"/>
      </c:scatterChart>
      <c:scatterChart>
        <c:scatterStyle val="smoothMarker"/>
        <c:ser>
          <c:idx val="2"/>
          <c:order val="2"/>
          <c:tx>
            <c:strRef>
              <c:f>'Polar Plots'!$W$2</c:f>
              <c:strCache>
                <c:ptCount val="1"/>
                <c:pt idx="0">
                  <c:v>Drift (kn)</c:v>
                </c:pt>
              </c:strCache>
            </c:strRef>
          </c:tx>
          <c:spPr>
            <a:ln>
              <a:noFill/>
            </a:ln>
          </c:spPr>
          <c:marker>
            <c:symbol val="circle"/>
            <c:size val="5"/>
            <c:spPr>
              <a:solidFill>
                <a:srgbClr val="0000FF"/>
              </a:solidFill>
              <a:ln w="9525">
                <a:noFill/>
              </a:ln>
            </c:spPr>
          </c:marker>
          <c:xVal>
            <c:numRef>
              <c:f>'Polar Plots'!$V$3:$V$76</c:f>
              <c:numCache>
                <c:formatCode>General</c:formatCode>
                <c:ptCount val="74"/>
                <c:pt idx="0">
                  <c:v>1.1659021470076707</c:v>
                </c:pt>
                <c:pt idx="1">
                  <c:v>1.2911373524198595</c:v>
                </c:pt>
                <c:pt idx="2">
                  <c:v>1.1543030056543699</c:v>
                </c:pt>
                <c:pt idx="3">
                  <c:v>0.98724459426058364</c:v>
                </c:pt>
                <c:pt idx="4">
                  <c:v>0.91070840352100835</c:v>
                </c:pt>
                <c:pt idx="5">
                  <c:v>0.74264865173060712</c:v>
                </c:pt>
                <c:pt idx="6">
                  <c:v>0.51351962497141057</c:v>
                </c:pt>
                <c:pt idx="7">
                  <c:v>0.31555185471809349</c:v>
                </c:pt>
                <c:pt idx="8">
                  <c:v>0.41355910058357143</c:v>
                </c:pt>
                <c:pt idx="9">
                  <c:v>0.56694021261885386</c:v>
                </c:pt>
              </c:numCache>
            </c:numRef>
          </c:xVal>
          <c:yVal>
            <c:numRef>
              <c:f>'Polar Plots'!$W$3:$W$76</c:f>
              <c:numCache>
                <c:formatCode>General</c:formatCode>
                <c:ptCount val="74"/>
                <c:pt idx="0">
                  <c:v>0.78584113102553454</c:v>
                </c:pt>
                <c:pt idx="1">
                  <c:v>0.77127384021677414</c:v>
                </c:pt>
                <c:pt idx="2">
                  <c:v>0.54691760841753134</c:v>
                </c:pt>
                <c:pt idx="3">
                  <c:v>0.3806563951831205</c:v>
                </c:pt>
                <c:pt idx="4">
                  <c:v>0.25106997219563798</c:v>
                </c:pt>
                <c:pt idx="5">
                  <c:v>0.15751841819183041</c:v>
                </c:pt>
                <c:pt idx="6">
                  <c:v>9.9010715955537454E-2</c:v>
                </c:pt>
                <c:pt idx="7">
                  <c:v>0.16397149236302674</c:v>
                </c:pt>
                <c:pt idx="8">
                  <c:v>0.32375262714993691</c:v>
                </c:pt>
                <c:pt idx="9">
                  <c:v>0.3526644521648078</c:v>
                </c:pt>
              </c:numCache>
            </c:numRef>
          </c:yVal>
          <c:smooth val="1"/>
        </c:ser>
        <c:axId val="120000512"/>
        <c:axId val="120002048"/>
      </c:scatterChart>
      <c:radarChart>
        <c:radarStyle val="marker"/>
        <c:ser>
          <c:idx val="1"/>
          <c:order val="1"/>
          <c:tx>
            <c:v>PLRPLT_BASE</c:v>
          </c:tx>
          <c:spPr>
            <a:ln w="28575">
              <a:noFill/>
            </a:ln>
          </c:spPr>
          <c:marker>
            <c:symbol val="none"/>
          </c:marker>
          <c:cat>
            <c:strRef>
              <c:f>'Polar Plots'!$I$3:$I$74</c:f>
              <c:strCache>
                <c:ptCount val="70"/>
                <c:pt idx="0">
                  <c:v>0°</c:v>
                </c:pt>
                <c:pt idx="3">
                  <c:v>15°</c:v>
                </c:pt>
                <c:pt idx="6">
                  <c:v>30°</c:v>
                </c:pt>
                <c:pt idx="9">
                  <c:v>45°</c:v>
                </c:pt>
                <c:pt idx="12">
                  <c:v>60°</c:v>
                </c:pt>
                <c:pt idx="15">
                  <c:v>75°</c:v>
                </c:pt>
                <c:pt idx="18">
                  <c:v>90°</c:v>
                </c:pt>
                <c:pt idx="21">
                  <c:v>105°</c:v>
                </c:pt>
                <c:pt idx="24">
                  <c:v>120°</c:v>
                </c:pt>
                <c:pt idx="27">
                  <c:v>135°</c:v>
                </c:pt>
                <c:pt idx="30">
                  <c:v>150°</c:v>
                </c:pt>
                <c:pt idx="33">
                  <c:v>165°</c:v>
                </c:pt>
                <c:pt idx="36">
                  <c:v>180°</c:v>
                </c:pt>
                <c:pt idx="39">
                  <c:v>195°</c:v>
                </c:pt>
                <c:pt idx="42">
                  <c:v>210°</c:v>
                </c:pt>
                <c:pt idx="45">
                  <c:v>225°</c:v>
                </c:pt>
                <c:pt idx="48">
                  <c:v>240°</c:v>
                </c:pt>
                <c:pt idx="51">
                  <c:v>255°</c:v>
                </c:pt>
                <c:pt idx="54">
                  <c:v>270°</c:v>
                </c:pt>
                <c:pt idx="57">
                  <c:v>285°</c:v>
                </c:pt>
                <c:pt idx="60">
                  <c:v>300°</c:v>
                </c:pt>
                <c:pt idx="63">
                  <c:v>315°</c:v>
                </c:pt>
                <c:pt idx="66">
                  <c:v>330°</c:v>
                </c:pt>
                <c:pt idx="69">
                  <c:v>345°</c:v>
                </c:pt>
              </c:strCache>
            </c:strRef>
          </c:cat>
          <c:val>
            <c:numRef>
              <c:f>'Polar Plots'!$J$3:$J$74</c:f>
              <c:numCache>
                <c:formatCode>General</c:formatCode>
                <c:ptCount val="72"/>
                <c:pt idx="0">
                  <c:v>0.10433173350769616</c:v>
                </c:pt>
                <c:pt idx="1">
                  <c:v>0.57282653081086954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er>
        <c:axId val="120021760"/>
        <c:axId val="120003584"/>
      </c:radarChart>
      <c:valAx>
        <c:axId val="120000512"/>
        <c:scaling>
          <c:orientation val="minMax"/>
          <c:max val="0.60000000000000064"/>
          <c:min val="-0.60000000000000064"/>
        </c:scaling>
        <c:axPos val="b"/>
        <c:numFmt formatCode="General" sourceLinked="1"/>
        <c:tickLblPos val="none"/>
        <c:spPr>
          <a:ln w="9525">
            <a:noFill/>
          </a:ln>
        </c:spPr>
        <c:crossAx val="120002048"/>
        <c:crosses val="autoZero"/>
        <c:crossBetween val="midCat"/>
      </c:valAx>
      <c:valAx>
        <c:axId val="120002048"/>
        <c:scaling>
          <c:orientation val="minMax"/>
          <c:max val="0.60000000000000064"/>
          <c:min val="-0.60000000000000064"/>
        </c:scaling>
        <c:axPos val="l"/>
        <c:numFmt formatCode="General" sourceLinked="1"/>
        <c:tickLblPos val="none"/>
        <c:spPr>
          <a:ln w="9525">
            <a:noFill/>
          </a:ln>
        </c:spPr>
        <c:crossAx val="120000512"/>
        <c:crosses val="autoZero"/>
        <c:crossBetween val="midCat"/>
      </c:valAx>
      <c:valAx>
        <c:axId val="120003584"/>
        <c:scaling>
          <c:orientation val="minMax"/>
        </c:scaling>
        <c:axPos val="l"/>
        <c:majorGridlines/>
        <c:numFmt formatCode="General" sourceLinked="1"/>
        <c:tickLblPos val="nextTo"/>
        <c:spPr>
          <a:ln w="9525">
            <a:noFill/>
          </a:ln>
        </c:spPr>
        <c:crossAx val="120021760"/>
        <c:crosses val="max"/>
        <c:crossBetween val="between"/>
      </c:valAx>
      <c:catAx>
        <c:axId val="120021760"/>
        <c:scaling>
          <c:orientation val="minMax"/>
        </c:scaling>
        <c:axPos val="b"/>
        <c:majorGridlines/>
        <c:tickLblPos val="nextTo"/>
        <c:crossAx val="120003584"/>
        <c:crosses val="max"/>
        <c:auto val="1"/>
        <c:lblAlgn val="ctr"/>
        <c:lblOffset val="100"/>
      </c:catAx>
    </c:plotArea>
    <c:plotVisOnly val="1"/>
    <c:dispBlanksAs val="gap"/>
  </c:chart>
  <c:printSettings>
    <c:headerFooter/>
    <c:pageMargins b="0.75000000000000111" l="0.70000000000000062" r="0.70000000000000062" t="0.75000000000000111"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chart>
    <c:plotArea>
      <c:layout/>
      <c:scatterChart>
        <c:scatterStyle val="lineMarker"/>
        <c:ser>
          <c:idx val="0"/>
          <c:order val="0"/>
          <c:tx>
            <c:v>PLRPLT_SPOKES</c:v>
          </c:tx>
          <c:spPr>
            <a:ln w="12700">
              <a:solidFill>
                <a:srgbClr val="868686"/>
              </a:solidFill>
              <a:prstDash val="solid"/>
            </a:ln>
          </c:spPr>
          <c:marker>
            <c:symbol val="none"/>
          </c:marker>
          <c:xVal>
            <c:numRef>
              <c:f>'Polar Plots'!$O$3:$O$109</c:f>
              <c:numCache>
                <c:formatCode>General</c:formatCode>
                <c:ptCount val="107"/>
                <c:pt idx="0">
                  <c:v>3.6754453647258606E-17</c:v>
                </c:pt>
                <c:pt idx="1">
                  <c:v>-3.6754453647258606E-17</c:v>
                </c:pt>
                <c:pt idx="3">
                  <c:v>#N/A</c:v>
                </c:pt>
                <c:pt idx="4">
                  <c:v>#N/A</c:v>
                </c:pt>
                <c:pt idx="6">
                  <c:v>#N/A</c:v>
                </c:pt>
                <c:pt idx="7">
                  <c:v>#N/A</c:v>
                </c:pt>
                <c:pt idx="9">
                  <c:v>0.15529142706151247</c:v>
                </c:pt>
                <c:pt idx="10">
                  <c:v>-0.15529142706151247</c:v>
                </c:pt>
                <c:pt idx="12">
                  <c:v>#N/A</c:v>
                </c:pt>
                <c:pt idx="13">
                  <c:v>#N/A</c:v>
                </c:pt>
                <c:pt idx="15">
                  <c:v>#N/A</c:v>
                </c:pt>
                <c:pt idx="16">
                  <c:v>#N/A</c:v>
                </c:pt>
                <c:pt idx="18">
                  <c:v>0.3000000000000001</c:v>
                </c:pt>
                <c:pt idx="19">
                  <c:v>-0.3000000000000001</c:v>
                </c:pt>
                <c:pt idx="21">
                  <c:v>#N/A</c:v>
                </c:pt>
                <c:pt idx="22">
                  <c:v>#N/A</c:v>
                </c:pt>
                <c:pt idx="24">
                  <c:v>#N/A</c:v>
                </c:pt>
                <c:pt idx="25">
                  <c:v>#N/A</c:v>
                </c:pt>
                <c:pt idx="27">
                  <c:v>0.42426406871192862</c:v>
                </c:pt>
                <c:pt idx="28">
                  <c:v>-0.42426406871192862</c:v>
                </c:pt>
                <c:pt idx="30">
                  <c:v>#N/A</c:v>
                </c:pt>
                <c:pt idx="31">
                  <c:v>#N/A</c:v>
                </c:pt>
                <c:pt idx="33">
                  <c:v>#N/A</c:v>
                </c:pt>
                <c:pt idx="34">
                  <c:v>#N/A</c:v>
                </c:pt>
                <c:pt idx="36">
                  <c:v>0.51961524227066325</c:v>
                </c:pt>
                <c:pt idx="37">
                  <c:v>-0.51961524227066325</c:v>
                </c:pt>
                <c:pt idx="39">
                  <c:v>#N/A</c:v>
                </c:pt>
                <c:pt idx="40">
                  <c:v>#N/A</c:v>
                </c:pt>
                <c:pt idx="42">
                  <c:v>#N/A</c:v>
                </c:pt>
                <c:pt idx="43">
                  <c:v>#N/A</c:v>
                </c:pt>
                <c:pt idx="45">
                  <c:v>0.57955549577344112</c:v>
                </c:pt>
                <c:pt idx="46">
                  <c:v>-0.57955549577344112</c:v>
                </c:pt>
                <c:pt idx="48">
                  <c:v>#N/A</c:v>
                </c:pt>
                <c:pt idx="49">
                  <c:v>#N/A</c:v>
                </c:pt>
                <c:pt idx="51">
                  <c:v>#N/A</c:v>
                </c:pt>
                <c:pt idx="52">
                  <c:v>#N/A</c:v>
                </c:pt>
                <c:pt idx="54">
                  <c:v>0.60000000000000009</c:v>
                </c:pt>
                <c:pt idx="55">
                  <c:v>-0.60000000000000009</c:v>
                </c:pt>
                <c:pt idx="57">
                  <c:v>#N/A</c:v>
                </c:pt>
                <c:pt idx="58">
                  <c:v>#N/A</c:v>
                </c:pt>
                <c:pt idx="60">
                  <c:v>#N/A</c:v>
                </c:pt>
                <c:pt idx="61">
                  <c:v>#N/A</c:v>
                </c:pt>
                <c:pt idx="63">
                  <c:v>0.57955549577344112</c:v>
                </c:pt>
                <c:pt idx="64">
                  <c:v>-0.57955549577344112</c:v>
                </c:pt>
                <c:pt idx="66">
                  <c:v>#N/A</c:v>
                </c:pt>
                <c:pt idx="67">
                  <c:v>#N/A</c:v>
                </c:pt>
                <c:pt idx="69">
                  <c:v>#N/A</c:v>
                </c:pt>
                <c:pt idx="70">
                  <c:v>#N/A</c:v>
                </c:pt>
                <c:pt idx="72">
                  <c:v>0.51961524227066325</c:v>
                </c:pt>
                <c:pt idx="73">
                  <c:v>-0.51961524227066325</c:v>
                </c:pt>
                <c:pt idx="75">
                  <c:v>#N/A</c:v>
                </c:pt>
                <c:pt idx="76">
                  <c:v>#N/A</c:v>
                </c:pt>
                <c:pt idx="78">
                  <c:v>#N/A</c:v>
                </c:pt>
                <c:pt idx="79">
                  <c:v>#N/A</c:v>
                </c:pt>
                <c:pt idx="81">
                  <c:v>0.42426406871192862</c:v>
                </c:pt>
                <c:pt idx="82">
                  <c:v>-0.42426406871192862</c:v>
                </c:pt>
                <c:pt idx="84">
                  <c:v>#N/A</c:v>
                </c:pt>
                <c:pt idx="85">
                  <c:v>#N/A</c:v>
                </c:pt>
                <c:pt idx="87">
                  <c:v>#N/A</c:v>
                </c:pt>
                <c:pt idx="88">
                  <c:v>#N/A</c:v>
                </c:pt>
                <c:pt idx="90">
                  <c:v>0.3000000000000001</c:v>
                </c:pt>
                <c:pt idx="91">
                  <c:v>-0.3000000000000001</c:v>
                </c:pt>
                <c:pt idx="93">
                  <c:v>#N/A</c:v>
                </c:pt>
                <c:pt idx="94">
                  <c:v>#N/A</c:v>
                </c:pt>
                <c:pt idx="96">
                  <c:v>#N/A</c:v>
                </c:pt>
                <c:pt idx="97">
                  <c:v>#N/A</c:v>
                </c:pt>
                <c:pt idx="99">
                  <c:v>0.15529142706151247</c:v>
                </c:pt>
                <c:pt idx="100">
                  <c:v>-0.15529142706151247</c:v>
                </c:pt>
                <c:pt idx="102">
                  <c:v>#N/A</c:v>
                </c:pt>
                <c:pt idx="103">
                  <c:v>#N/A</c:v>
                </c:pt>
                <c:pt idx="105">
                  <c:v>#N/A</c:v>
                </c:pt>
                <c:pt idx="106">
                  <c:v>#N/A</c:v>
                </c:pt>
              </c:numCache>
            </c:numRef>
          </c:xVal>
          <c:yVal>
            <c:numRef>
              <c:f>'Polar Plots'!$P$3:$P$109</c:f>
              <c:numCache>
                <c:formatCode>General</c:formatCode>
                <c:ptCount val="107"/>
                <c:pt idx="0">
                  <c:v>0.60000000000000009</c:v>
                </c:pt>
                <c:pt idx="1">
                  <c:v>-0.60000000000000009</c:v>
                </c:pt>
                <c:pt idx="3">
                  <c:v>#N/A</c:v>
                </c:pt>
                <c:pt idx="4">
                  <c:v>#N/A</c:v>
                </c:pt>
                <c:pt idx="6">
                  <c:v>#N/A</c:v>
                </c:pt>
                <c:pt idx="7">
                  <c:v>#N/A</c:v>
                </c:pt>
                <c:pt idx="9">
                  <c:v>0.57955549577344112</c:v>
                </c:pt>
                <c:pt idx="10">
                  <c:v>-0.57955549577344112</c:v>
                </c:pt>
                <c:pt idx="12">
                  <c:v>#N/A</c:v>
                </c:pt>
                <c:pt idx="13">
                  <c:v>#N/A</c:v>
                </c:pt>
                <c:pt idx="15">
                  <c:v>#N/A</c:v>
                </c:pt>
                <c:pt idx="16">
                  <c:v>#N/A</c:v>
                </c:pt>
                <c:pt idx="18">
                  <c:v>0.51961524227066325</c:v>
                </c:pt>
                <c:pt idx="19">
                  <c:v>-0.51961524227066325</c:v>
                </c:pt>
                <c:pt idx="21">
                  <c:v>#N/A</c:v>
                </c:pt>
                <c:pt idx="22">
                  <c:v>#N/A</c:v>
                </c:pt>
                <c:pt idx="24">
                  <c:v>#N/A</c:v>
                </c:pt>
                <c:pt idx="25">
                  <c:v>#N/A</c:v>
                </c:pt>
                <c:pt idx="27">
                  <c:v>0.42426406871192857</c:v>
                </c:pt>
                <c:pt idx="28">
                  <c:v>-0.42426406871192857</c:v>
                </c:pt>
                <c:pt idx="30">
                  <c:v>#N/A</c:v>
                </c:pt>
                <c:pt idx="31">
                  <c:v>#N/A</c:v>
                </c:pt>
                <c:pt idx="33">
                  <c:v>#N/A</c:v>
                </c:pt>
                <c:pt idx="34">
                  <c:v>#N/A</c:v>
                </c:pt>
                <c:pt idx="36">
                  <c:v>0.3</c:v>
                </c:pt>
                <c:pt idx="37">
                  <c:v>-0.3</c:v>
                </c:pt>
                <c:pt idx="39">
                  <c:v>#N/A</c:v>
                </c:pt>
                <c:pt idx="40">
                  <c:v>#N/A</c:v>
                </c:pt>
                <c:pt idx="42">
                  <c:v>#N/A</c:v>
                </c:pt>
                <c:pt idx="43">
                  <c:v>#N/A</c:v>
                </c:pt>
                <c:pt idx="45">
                  <c:v>0.15529142706151247</c:v>
                </c:pt>
                <c:pt idx="46">
                  <c:v>-0.15529142706151247</c:v>
                </c:pt>
                <c:pt idx="48">
                  <c:v>#N/A</c:v>
                </c:pt>
                <c:pt idx="49">
                  <c:v>#N/A</c:v>
                </c:pt>
                <c:pt idx="51">
                  <c:v>#N/A</c:v>
                </c:pt>
                <c:pt idx="52">
                  <c:v>#N/A</c:v>
                </c:pt>
                <c:pt idx="54">
                  <c:v>0</c:v>
                </c:pt>
                <c:pt idx="55">
                  <c:v>0</c:v>
                </c:pt>
                <c:pt idx="57">
                  <c:v>#N/A</c:v>
                </c:pt>
                <c:pt idx="58">
                  <c:v>#N/A</c:v>
                </c:pt>
                <c:pt idx="60">
                  <c:v>#N/A</c:v>
                </c:pt>
                <c:pt idx="61">
                  <c:v>#N/A</c:v>
                </c:pt>
                <c:pt idx="63">
                  <c:v>-0.15529142706151247</c:v>
                </c:pt>
                <c:pt idx="64">
                  <c:v>0.15529142706151247</c:v>
                </c:pt>
                <c:pt idx="66">
                  <c:v>#N/A</c:v>
                </c:pt>
                <c:pt idx="67">
                  <c:v>#N/A</c:v>
                </c:pt>
                <c:pt idx="69">
                  <c:v>#N/A</c:v>
                </c:pt>
                <c:pt idx="70">
                  <c:v>#N/A</c:v>
                </c:pt>
                <c:pt idx="72">
                  <c:v>-0.3</c:v>
                </c:pt>
                <c:pt idx="73">
                  <c:v>0.3</c:v>
                </c:pt>
                <c:pt idx="75">
                  <c:v>#N/A</c:v>
                </c:pt>
                <c:pt idx="76">
                  <c:v>#N/A</c:v>
                </c:pt>
                <c:pt idx="78">
                  <c:v>#N/A</c:v>
                </c:pt>
                <c:pt idx="79">
                  <c:v>#N/A</c:v>
                </c:pt>
                <c:pt idx="81">
                  <c:v>-0.42426406871192857</c:v>
                </c:pt>
                <c:pt idx="82">
                  <c:v>0.42426406871192857</c:v>
                </c:pt>
                <c:pt idx="84">
                  <c:v>#N/A</c:v>
                </c:pt>
                <c:pt idx="85">
                  <c:v>#N/A</c:v>
                </c:pt>
                <c:pt idx="87">
                  <c:v>#N/A</c:v>
                </c:pt>
                <c:pt idx="88">
                  <c:v>#N/A</c:v>
                </c:pt>
                <c:pt idx="90">
                  <c:v>-0.51961524227066325</c:v>
                </c:pt>
                <c:pt idx="91">
                  <c:v>0.51961524227066325</c:v>
                </c:pt>
                <c:pt idx="93">
                  <c:v>#N/A</c:v>
                </c:pt>
                <c:pt idx="94">
                  <c:v>#N/A</c:v>
                </c:pt>
                <c:pt idx="96">
                  <c:v>#N/A</c:v>
                </c:pt>
                <c:pt idx="97">
                  <c:v>#N/A</c:v>
                </c:pt>
                <c:pt idx="99">
                  <c:v>-0.57955549577344112</c:v>
                </c:pt>
                <c:pt idx="100">
                  <c:v>0.57955549577344112</c:v>
                </c:pt>
                <c:pt idx="102">
                  <c:v>#N/A</c:v>
                </c:pt>
                <c:pt idx="103">
                  <c:v>#N/A</c:v>
                </c:pt>
                <c:pt idx="105">
                  <c:v>#N/A</c:v>
                </c:pt>
                <c:pt idx="106">
                  <c:v>#N/A</c:v>
                </c:pt>
              </c:numCache>
            </c:numRef>
          </c:yVal>
        </c:ser>
        <c:axId val="121090432"/>
        <c:axId val="121091968"/>
      </c:scatterChart>
      <c:scatterChart>
        <c:scatterStyle val="smoothMarker"/>
        <c:ser>
          <c:idx val="2"/>
          <c:order val="2"/>
          <c:tx>
            <c:strRef>
              <c:f>'Polar Plots'!$W$2</c:f>
              <c:strCache>
                <c:ptCount val="1"/>
                <c:pt idx="0">
                  <c:v>Drift (kn)</c:v>
                </c:pt>
              </c:strCache>
            </c:strRef>
          </c:tx>
          <c:spPr>
            <a:ln>
              <a:noFill/>
            </a:ln>
          </c:spPr>
          <c:marker>
            <c:symbol val="circle"/>
            <c:size val="5"/>
            <c:spPr>
              <a:solidFill>
                <a:srgbClr val="0000FF"/>
              </a:solidFill>
              <a:ln w="9525">
                <a:noFill/>
              </a:ln>
            </c:spPr>
          </c:marker>
          <c:xVal>
            <c:numRef>
              <c:f>'Polar Plots'!$V$3:$V$38</c:f>
              <c:numCache>
                <c:formatCode>General</c:formatCode>
                <c:ptCount val="36"/>
                <c:pt idx="0">
                  <c:v>1.1659021470076707</c:v>
                </c:pt>
                <c:pt idx="1">
                  <c:v>1.2911373524198595</c:v>
                </c:pt>
                <c:pt idx="2">
                  <c:v>1.1543030056543699</c:v>
                </c:pt>
                <c:pt idx="3">
                  <c:v>0.98724459426058364</c:v>
                </c:pt>
                <c:pt idx="4">
                  <c:v>0.91070840352100835</c:v>
                </c:pt>
                <c:pt idx="5">
                  <c:v>0.74264865173060712</c:v>
                </c:pt>
                <c:pt idx="6">
                  <c:v>0.51351962497141057</c:v>
                </c:pt>
                <c:pt idx="7">
                  <c:v>0.31555185471809349</c:v>
                </c:pt>
                <c:pt idx="8">
                  <c:v>0.41355910058357143</c:v>
                </c:pt>
                <c:pt idx="9">
                  <c:v>0.56694021261885386</c:v>
                </c:pt>
              </c:numCache>
            </c:numRef>
          </c:xVal>
          <c:yVal>
            <c:numRef>
              <c:f>'Polar Plots'!$W$3:$W$38</c:f>
              <c:numCache>
                <c:formatCode>General</c:formatCode>
                <c:ptCount val="36"/>
                <c:pt idx="0">
                  <c:v>0.78584113102553454</c:v>
                </c:pt>
                <c:pt idx="1">
                  <c:v>0.77127384021677414</c:v>
                </c:pt>
                <c:pt idx="2">
                  <c:v>0.54691760841753134</c:v>
                </c:pt>
                <c:pt idx="3">
                  <c:v>0.3806563951831205</c:v>
                </c:pt>
                <c:pt idx="4">
                  <c:v>0.25106997219563798</c:v>
                </c:pt>
                <c:pt idx="5">
                  <c:v>0.15751841819183041</c:v>
                </c:pt>
                <c:pt idx="6">
                  <c:v>9.9010715955537454E-2</c:v>
                </c:pt>
                <c:pt idx="7">
                  <c:v>0.16397149236302674</c:v>
                </c:pt>
                <c:pt idx="8">
                  <c:v>0.32375262714993691</c:v>
                </c:pt>
                <c:pt idx="9">
                  <c:v>0.3526644521648078</c:v>
                </c:pt>
              </c:numCache>
            </c:numRef>
          </c:yVal>
          <c:smooth val="1"/>
        </c:ser>
        <c:axId val="121090432"/>
        <c:axId val="121091968"/>
      </c:scatterChart>
      <c:radarChart>
        <c:radarStyle val="marker"/>
        <c:ser>
          <c:idx val="1"/>
          <c:order val="1"/>
          <c:tx>
            <c:v>PLRPLT_BASE</c:v>
          </c:tx>
          <c:spPr>
            <a:ln w="28575">
              <a:noFill/>
            </a:ln>
          </c:spPr>
          <c:marker>
            <c:symbol val="none"/>
          </c:marker>
          <c:cat>
            <c:strRef>
              <c:f>'Polar Plots'!$I$3:$I$74</c:f>
              <c:strCache>
                <c:ptCount val="70"/>
                <c:pt idx="0">
                  <c:v>0°</c:v>
                </c:pt>
                <c:pt idx="3">
                  <c:v>15°</c:v>
                </c:pt>
                <c:pt idx="6">
                  <c:v>30°</c:v>
                </c:pt>
                <c:pt idx="9">
                  <c:v>45°</c:v>
                </c:pt>
                <c:pt idx="12">
                  <c:v>60°</c:v>
                </c:pt>
                <c:pt idx="15">
                  <c:v>75°</c:v>
                </c:pt>
                <c:pt idx="18">
                  <c:v>90°</c:v>
                </c:pt>
                <c:pt idx="21">
                  <c:v>105°</c:v>
                </c:pt>
                <c:pt idx="24">
                  <c:v>120°</c:v>
                </c:pt>
                <c:pt idx="27">
                  <c:v>135°</c:v>
                </c:pt>
                <c:pt idx="30">
                  <c:v>150°</c:v>
                </c:pt>
                <c:pt idx="33">
                  <c:v>165°</c:v>
                </c:pt>
                <c:pt idx="36">
                  <c:v>180°</c:v>
                </c:pt>
                <c:pt idx="39">
                  <c:v>195°</c:v>
                </c:pt>
                <c:pt idx="42">
                  <c:v>210°</c:v>
                </c:pt>
                <c:pt idx="45">
                  <c:v>225°</c:v>
                </c:pt>
                <c:pt idx="48">
                  <c:v>240°</c:v>
                </c:pt>
                <c:pt idx="51">
                  <c:v>255°</c:v>
                </c:pt>
                <c:pt idx="54">
                  <c:v>270°</c:v>
                </c:pt>
                <c:pt idx="57">
                  <c:v>285°</c:v>
                </c:pt>
                <c:pt idx="60">
                  <c:v>300°</c:v>
                </c:pt>
                <c:pt idx="63">
                  <c:v>315°</c:v>
                </c:pt>
                <c:pt idx="66">
                  <c:v>330°</c:v>
                </c:pt>
                <c:pt idx="69">
                  <c:v>345°</c:v>
                </c:pt>
              </c:strCache>
            </c:strRef>
          </c:cat>
          <c:val>
            <c:numRef>
              <c:f>'Polar Plots'!$J$3:$J$74</c:f>
              <c:numCache>
                <c:formatCode>General</c:formatCode>
                <c:ptCount val="72"/>
                <c:pt idx="0">
                  <c:v>0.10433173350769616</c:v>
                </c:pt>
                <c:pt idx="1">
                  <c:v>0.57282653081086954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er>
        <c:axId val="121103488"/>
        <c:axId val="121093504"/>
      </c:radarChart>
      <c:valAx>
        <c:axId val="121090432"/>
        <c:scaling>
          <c:orientation val="minMax"/>
          <c:max val="0.60000000000000064"/>
          <c:min val="-0.60000000000000064"/>
        </c:scaling>
        <c:axPos val="b"/>
        <c:numFmt formatCode="General" sourceLinked="1"/>
        <c:tickLblPos val="none"/>
        <c:spPr>
          <a:ln w="9525">
            <a:noFill/>
          </a:ln>
        </c:spPr>
        <c:crossAx val="121091968"/>
        <c:crosses val="autoZero"/>
        <c:crossBetween val="midCat"/>
      </c:valAx>
      <c:valAx>
        <c:axId val="121091968"/>
        <c:scaling>
          <c:orientation val="minMax"/>
          <c:max val="0.60000000000000064"/>
          <c:min val="-0.60000000000000064"/>
        </c:scaling>
        <c:axPos val="l"/>
        <c:numFmt formatCode="General" sourceLinked="1"/>
        <c:tickLblPos val="none"/>
        <c:spPr>
          <a:ln w="9525">
            <a:noFill/>
          </a:ln>
        </c:spPr>
        <c:crossAx val="121090432"/>
        <c:crosses val="autoZero"/>
        <c:crossBetween val="midCat"/>
      </c:valAx>
      <c:valAx>
        <c:axId val="121093504"/>
        <c:scaling>
          <c:orientation val="minMax"/>
        </c:scaling>
        <c:axPos val="l"/>
        <c:majorGridlines/>
        <c:numFmt formatCode="General" sourceLinked="1"/>
        <c:tickLblPos val="nextTo"/>
        <c:spPr>
          <a:ln w="9525">
            <a:noFill/>
          </a:ln>
        </c:spPr>
        <c:crossAx val="121103488"/>
        <c:crosses val="max"/>
        <c:crossBetween val="between"/>
      </c:valAx>
      <c:catAx>
        <c:axId val="121103488"/>
        <c:scaling>
          <c:orientation val="minMax"/>
        </c:scaling>
        <c:axPos val="b"/>
        <c:majorGridlines/>
        <c:tickLblPos val="nextTo"/>
        <c:crossAx val="121093504"/>
        <c:crosses val="max"/>
        <c:auto val="1"/>
        <c:lblAlgn val="ctr"/>
        <c:lblOffset val="100"/>
      </c:cat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chart>
    <c:plotArea>
      <c:layout/>
      <c:scatterChart>
        <c:scatterStyle val="lineMarker"/>
        <c:ser>
          <c:idx val="0"/>
          <c:order val="0"/>
          <c:tx>
            <c:v>PLRPLT_SPOKES</c:v>
          </c:tx>
          <c:spPr>
            <a:ln w="12700">
              <a:solidFill>
                <a:srgbClr val="868686"/>
              </a:solidFill>
              <a:prstDash val="solid"/>
            </a:ln>
          </c:spPr>
          <c:marker>
            <c:symbol val="none"/>
          </c:marker>
          <c:xVal>
            <c:numRef>
              <c:f>'Polar Plots'!$O$3:$O$109</c:f>
              <c:numCache>
                <c:formatCode>General</c:formatCode>
                <c:ptCount val="107"/>
                <c:pt idx="0">
                  <c:v>3.6754453647258606E-17</c:v>
                </c:pt>
                <c:pt idx="1">
                  <c:v>-3.6754453647258606E-17</c:v>
                </c:pt>
                <c:pt idx="3">
                  <c:v>#N/A</c:v>
                </c:pt>
                <c:pt idx="4">
                  <c:v>#N/A</c:v>
                </c:pt>
                <c:pt idx="6">
                  <c:v>#N/A</c:v>
                </c:pt>
                <c:pt idx="7">
                  <c:v>#N/A</c:v>
                </c:pt>
                <c:pt idx="9">
                  <c:v>0.15529142706151247</c:v>
                </c:pt>
                <c:pt idx="10">
                  <c:v>-0.15529142706151247</c:v>
                </c:pt>
                <c:pt idx="12">
                  <c:v>#N/A</c:v>
                </c:pt>
                <c:pt idx="13">
                  <c:v>#N/A</c:v>
                </c:pt>
                <c:pt idx="15">
                  <c:v>#N/A</c:v>
                </c:pt>
                <c:pt idx="16">
                  <c:v>#N/A</c:v>
                </c:pt>
                <c:pt idx="18">
                  <c:v>0.3000000000000001</c:v>
                </c:pt>
                <c:pt idx="19">
                  <c:v>-0.3000000000000001</c:v>
                </c:pt>
                <c:pt idx="21">
                  <c:v>#N/A</c:v>
                </c:pt>
                <c:pt idx="22">
                  <c:v>#N/A</c:v>
                </c:pt>
                <c:pt idx="24">
                  <c:v>#N/A</c:v>
                </c:pt>
                <c:pt idx="25">
                  <c:v>#N/A</c:v>
                </c:pt>
                <c:pt idx="27">
                  <c:v>0.42426406871192862</c:v>
                </c:pt>
                <c:pt idx="28">
                  <c:v>-0.42426406871192862</c:v>
                </c:pt>
                <c:pt idx="30">
                  <c:v>#N/A</c:v>
                </c:pt>
                <c:pt idx="31">
                  <c:v>#N/A</c:v>
                </c:pt>
                <c:pt idx="33">
                  <c:v>#N/A</c:v>
                </c:pt>
                <c:pt idx="34">
                  <c:v>#N/A</c:v>
                </c:pt>
                <c:pt idx="36">
                  <c:v>0.51961524227066325</c:v>
                </c:pt>
                <c:pt idx="37">
                  <c:v>-0.51961524227066325</c:v>
                </c:pt>
                <c:pt idx="39">
                  <c:v>#N/A</c:v>
                </c:pt>
                <c:pt idx="40">
                  <c:v>#N/A</c:v>
                </c:pt>
                <c:pt idx="42">
                  <c:v>#N/A</c:v>
                </c:pt>
                <c:pt idx="43">
                  <c:v>#N/A</c:v>
                </c:pt>
                <c:pt idx="45">
                  <c:v>0.57955549577344112</c:v>
                </c:pt>
                <c:pt idx="46">
                  <c:v>-0.57955549577344112</c:v>
                </c:pt>
                <c:pt idx="48">
                  <c:v>#N/A</c:v>
                </c:pt>
                <c:pt idx="49">
                  <c:v>#N/A</c:v>
                </c:pt>
                <c:pt idx="51">
                  <c:v>#N/A</c:v>
                </c:pt>
                <c:pt idx="52">
                  <c:v>#N/A</c:v>
                </c:pt>
                <c:pt idx="54">
                  <c:v>0.60000000000000009</c:v>
                </c:pt>
                <c:pt idx="55">
                  <c:v>-0.60000000000000009</c:v>
                </c:pt>
                <c:pt idx="57">
                  <c:v>#N/A</c:v>
                </c:pt>
                <c:pt idx="58">
                  <c:v>#N/A</c:v>
                </c:pt>
                <c:pt idx="60">
                  <c:v>#N/A</c:v>
                </c:pt>
                <c:pt idx="61">
                  <c:v>#N/A</c:v>
                </c:pt>
                <c:pt idx="63">
                  <c:v>0.57955549577344112</c:v>
                </c:pt>
                <c:pt idx="64">
                  <c:v>-0.57955549577344112</c:v>
                </c:pt>
                <c:pt idx="66">
                  <c:v>#N/A</c:v>
                </c:pt>
                <c:pt idx="67">
                  <c:v>#N/A</c:v>
                </c:pt>
                <c:pt idx="69">
                  <c:v>#N/A</c:v>
                </c:pt>
                <c:pt idx="70">
                  <c:v>#N/A</c:v>
                </c:pt>
                <c:pt idx="72">
                  <c:v>0.51961524227066325</c:v>
                </c:pt>
                <c:pt idx="73">
                  <c:v>-0.51961524227066325</c:v>
                </c:pt>
                <c:pt idx="75">
                  <c:v>#N/A</c:v>
                </c:pt>
                <c:pt idx="76">
                  <c:v>#N/A</c:v>
                </c:pt>
                <c:pt idx="78">
                  <c:v>#N/A</c:v>
                </c:pt>
                <c:pt idx="79">
                  <c:v>#N/A</c:v>
                </c:pt>
                <c:pt idx="81">
                  <c:v>0.42426406871192862</c:v>
                </c:pt>
                <c:pt idx="82">
                  <c:v>-0.42426406871192862</c:v>
                </c:pt>
                <c:pt idx="84">
                  <c:v>#N/A</c:v>
                </c:pt>
                <c:pt idx="85">
                  <c:v>#N/A</c:v>
                </c:pt>
                <c:pt idx="87">
                  <c:v>#N/A</c:v>
                </c:pt>
                <c:pt idx="88">
                  <c:v>#N/A</c:v>
                </c:pt>
                <c:pt idx="90">
                  <c:v>0.3000000000000001</c:v>
                </c:pt>
                <c:pt idx="91">
                  <c:v>-0.3000000000000001</c:v>
                </c:pt>
                <c:pt idx="93">
                  <c:v>#N/A</c:v>
                </c:pt>
                <c:pt idx="94">
                  <c:v>#N/A</c:v>
                </c:pt>
                <c:pt idx="96">
                  <c:v>#N/A</c:v>
                </c:pt>
                <c:pt idx="97">
                  <c:v>#N/A</c:v>
                </c:pt>
                <c:pt idx="99">
                  <c:v>0.15529142706151247</c:v>
                </c:pt>
                <c:pt idx="100">
                  <c:v>-0.15529142706151247</c:v>
                </c:pt>
                <c:pt idx="102">
                  <c:v>#N/A</c:v>
                </c:pt>
                <c:pt idx="103">
                  <c:v>#N/A</c:v>
                </c:pt>
                <c:pt idx="105">
                  <c:v>#N/A</c:v>
                </c:pt>
                <c:pt idx="106">
                  <c:v>#N/A</c:v>
                </c:pt>
              </c:numCache>
            </c:numRef>
          </c:xVal>
          <c:yVal>
            <c:numRef>
              <c:f>'Polar Plots'!$P$3:$P$109</c:f>
              <c:numCache>
                <c:formatCode>General</c:formatCode>
                <c:ptCount val="107"/>
                <c:pt idx="0">
                  <c:v>0.60000000000000009</c:v>
                </c:pt>
                <c:pt idx="1">
                  <c:v>-0.60000000000000009</c:v>
                </c:pt>
                <c:pt idx="3">
                  <c:v>#N/A</c:v>
                </c:pt>
                <c:pt idx="4">
                  <c:v>#N/A</c:v>
                </c:pt>
                <c:pt idx="6">
                  <c:v>#N/A</c:v>
                </c:pt>
                <c:pt idx="7">
                  <c:v>#N/A</c:v>
                </c:pt>
                <c:pt idx="9">
                  <c:v>0.57955549577344112</c:v>
                </c:pt>
                <c:pt idx="10">
                  <c:v>-0.57955549577344112</c:v>
                </c:pt>
                <c:pt idx="12">
                  <c:v>#N/A</c:v>
                </c:pt>
                <c:pt idx="13">
                  <c:v>#N/A</c:v>
                </c:pt>
                <c:pt idx="15">
                  <c:v>#N/A</c:v>
                </c:pt>
                <c:pt idx="16">
                  <c:v>#N/A</c:v>
                </c:pt>
                <c:pt idx="18">
                  <c:v>0.51961524227066325</c:v>
                </c:pt>
                <c:pt idx="19">
                  <c:v>-0.51961524227066325</c:v>
                </c:pt>
                <c:pt idx="21">
                  <c:v>#N/A</c:v>
                </c:pt>
                <c:pt idx="22">
                  <c:v>#N/A</c:v>
                </c:pt>
                <c:pt idx="24">
                  <c:v>#N/A</c:v>
                </c:pt>
                <c:pt idx="25">
                  <c:v>#N/A</c:v>
                </c:pt>
                <c:pt idx="27">
                  <c:v>0.42426406871192857</c:v>
                </c:pt>
                <c:pt idx="28">
                  <c:v>-0.42426406871192857</c:v>
                </c:pt>
                <c:pt idx="30">
                  <c:v>#N/A</c:v>
                </c:pt>
                <c:pt idx="31">
                  <c:v>#N/A</c:v>
                </c:pt>
                <c:pt idx="33">
                  <c:v>#N/A</c:v>
                </c:pt>
                <c:pt idx="34">
                  <c:v>#N/A</c:v>
                </c:pt>
                <c:pt idx="36">
                  <c:v>0.3</c:v>
                </c:pt>
                <c:pt idx="37">
                  <c:v>-0.3</c:v>
                </c:pt>
                <c:pt idx="39">
                  <c:v>#N/A</c:v>
                </c:pt>
                <c:pt idx="40">
                  <c:v>#N/A</c:v>
                </c:pt>
                <c:pt idx="42">
                  <c:v>#N/A</c:v>
                </c:pt>
                <c:pt idx="43">
                  <c:v>#N/A</c:v>
                </c:pt>
                <c:pt idx="45">
                  <c:v>0.15529142706151247</c:v>
                </c:pt>
                <c:pt idx="46">
                  <c:v>-0.15529142706151247</c:v>
                </c:pt>
                <c:pt idx="48">
                  <c:v>#N/A</c:v>
                </c:pt>
                <c:pt idx="49">
                  <c:v>#N/A</c:v>
                </c:pt>
                <c:pt idx="51">
                  <c:v>#N/A</c:v>
                </c:pt>
                <c:pt idx="52">
                  <c:v>#N/A</c:v>
                </c:pt>
                <c:pt idx="54">
                  <c:v>0</c:v>
                </c:pt>
                <c:pt idx="55">
                  <c:v>0</c:v>
                </c:pt>
                <c:pt idx="57">
                  <c:v>#N/A</c:v>
                </c:pt>
                <c:pt idx="58">
                  <c:v>#N/A</c:v>
                </c:pt>
                <c:pt idx="60">
                  <c:v>#N/A</c:v>
                </c:pt>
                <c:pt idx="61">
                  <c:v>#N/A</c:v>
                </c:pt>
                <c:pt idx="63">
                  <c:v>-0.15529142706151247</c:v>
                </c:pt>
                <c:pt idx="64">
                  <c:v>0.15529142706151247</c:v>
                </c:pt>
                <c:pt idx="66">
                  <c:v>#N/A</c:v>
                </c:pt>
                <c:pt idx="67">
                  <c:v>#N/A</c:v>
                </c:pt>
                <c:pt idx="69">
                  <c:v>#N/A</c:v>
                </c:pt>
                <c:pt idx="70">
                  <c:v>#N/A</c:v>
                </c:pt>
                <c:pt idx="72">
                  <c:v>-0.3</c:v>
                </c:pt>
                <c:pt idx="73">
                  <c:v>0.3</c:v>
                </c:pt>
                <c:pt idx="75">
                  <c:v>#N/A</c:v>
                </c:pt>
                <c:pt idx="76">
                  <c:v>#N/A</c:v>
                </c:pt>
                <c:pt idx="78">
                  <c:v>#N/A</c:v>
                </c:pt>
                <c:pt idx="79">
                  <c:v>#N/A</c:v>
                </c:pt>
                <c:pt idx="81">
                  <c:v>-0.42426406871192857</c:v>
                </c:pt>
                <c:pt idx="82">
                  <c:v>0.42426406871192857</c:v>
                </c:pt>
                <c:pt idx="84">
                  <c:v>#N/A</c:v>
                </c:pt>
                <c:pt idx="85">
                  <c:v>#N/A</c:v>
                </c:pt>
                <c:pt idx="87">
                  <c:v>#N/A</c:v>
                </c:pt>
                <c:pt idx="88">
                  <c:v>#N/A</c:v>
                </c:pt>
                <c:pt idx="90">
                  <c:v>-0.51961524227066325</c:v>
                </c:pt>
                <c:pt idx="91">
                  <c:v>0.51961524227066325</c:v>
                </c:pt>
                <c:pt idx="93">
                  <c:v>#N/A</c:v>
                </c:pt>
                <c:pt idx="94">
                  <c:v>#N/A</c:v>
                </c:pt>
                <c:pt idx="96">
                  <c:v>#N/A</c:v>
                </c:pt>
                <c:pt idx="97">
                  <c:v>#N/A</c:v>
                </c:pt>
                <c:pt idx="99">
                  <c:v>-0.57955549577344112</c:v>
                </c:pt>
                <c:pt idx="100">
                  <c:v>0.57955549577344112</c:v>
                </c:pt>
                <c:pt idx="102">
                  <c:v>#N/A</c:v>
                </c:pt>
                <c:pt idx="103">
                  <c:v>#N/A</c:v>
                </c:pt>
                <c:pt idx="105">
                  <c:v>#N/A</c:v>
                </c:pt>
                <c:pt idx="106">
                  <c:v>#N/A</c:v>
                </c:pt>
              </c:numCache>
            </c:numRef>
          </c:yVal>
        </c:ser>
        <c:axId val="120413184"/>
        <c:axId val="120419072"/>
      </c:scatterChart>
      <c:scatterChart>
        <c:scatterStyle val="smoothMarker"/>
        <c:ser>
          <c:idx val="2"/>
          <c:order val="2"/>
          <c:tx>
            <c:strRef>
              <c:f>'Polar Plots'!$W$2</c:f>
              <c:strCache>
                <c:ptCount val="1"/>
                <c:pt idx="0">
                  <c:v>Drift (kn)</c:v>
                </c:pt>
              </c:strCache>
            </c:strRef>
          </c:tx>
          <c:spPr>
            <a:ln>
              <a:noFill/>
            </a:ln>
          </c:spPr>
          <c:marker>
            <c:symbol val="circle"/>
            <c:size val="5"/>
            <c:spPr>
              <a:solidFill>
                <a:srgbClr val="0000FF"/>
              </a:solidFill>
              <a:ln w="9525">
                <a:noFill/>
              </a:ln>
            </c:spPr>
          </c:marker>
          <c:xVal>
            <c:numRef>
              <c:f>'Polar Plots'!$V$3:$V$41</c:f>
              <c:numCache>
                <c:formatCode>General</c:formatCode>
                <c:ptCount val="39"/>
                <c:pt idx="0">
                  <c:v>1.1659021470076707</c:v>
                </c:pt>
                <c:pt idx="1">
                  <c:v>1.2911373524198595</c:v>
                </c:pt>
                <c:pt idx="2">
                  <c:v>1.1543030056543699</c:v>
                </c:pt>
                <c:pt idx="3">
                  <c:v>0.98724459426058364</c:v>
                </c:pt>
                <c:pt idx="4">
                  <c:v>0.91070840352100835</c:v>
                </c:pt>
                <c:pt idx="5">
                  <c:v>0.74264865173060712</c:v>
                </c:pt>
                <c:pt idx="6">
                  <c:v>0.51351962497141057</c:v>
                </c:pt>
                <c:pt idx="7">
                  <c:v>0.31555185471809349</c:v>
                </c:pt>
                <c:pt idx="8">
                  <c:v>0.41355910058357143</c:v>
                </c:pt>
                <c:pt idx="9">
                  <c:v>0.56694021261885386</c:v>
                </c:pt>
              </c:numCache>
            </c:numRef>
          </c:xVal>
          <c:yVal>
            <c:numRef>
              <c:f>'Polar Plots'!$W$3:$W$41</c:f>
              <c:numCache>
                <c:formatCode>General</c:formatCode>
                <c:ptCount val="39"/>
                <c:pt idx="0">
                  <c:v>0.78584113102553454</c:v>
                </c:pt>
                <c:pt idx="1">
                  <c:v>0.77127384021677414</c:v>
                </c:pt>
                <c:pt idx="2">
                  <c:v>0.54691760841753134</c:v>
                </c:pt>
                <c:pt idx="3">
                  <c:v>0.3806563951831205</c:v>
                </c:pt>
                <c:pt idx="4">
                  <c:v>0.25106997219563798</c:v>
                </c:pt>
                <c:pt idx="5">
                  <c:v>0.15751841819183041</c:v>
                </c:pt>
                <c:pt idx="6">
                  <c:v>9.9010715955537454E-2</c:v>
                </c:pt>
                <c:pt idx="7">
                  <c:v>0.16397149236302674</c:v>
                </c:pt>
                <c:pt idx="8">
                  <c:v>0.32375262714993691</c:v>
                </c:pt>
                <c:pt idx="9">
                  <c:v>0.3526644521648078</c:v>
                </c:pt>
              </c:numCache>
            </c:numRef>
          </c:yVal>
          <c:smooth val="1"/>
        </c:ser>
        <c:axId val="120413184"/>
        <c:axId val="120419072"/>
      </c:scatterChart>
      <c:radarChart>
        <c:radarStyle val="marker"/>
        <c:ser>
          <c:idx val="1"/>
          <c:order val="1"/>
          <c:tx>
            <c:v>PLRPLT_BASE</c:v>
          </c:tx>
          <c:spPr>
            <a:ln w="28575">
              <a:noFill/>
            </a:ln>
          </c:spPr>
          <c:marker>
            <c:symbol val="none"/>
          </c:marker>
          <c:cat>
            <c:strRef>
              <c:f>'Polar Plots'!$I$3:$I$74</c:f>
              <c:strCache>
                <c:ptCount val="70"/>
                <c:pt idx="0">
                  <c:v>0°</c:v>
                </c:pt>
                <c:pt idx="3">
                  <c:v>15°</c:v>
                </c:pt>
                <c:pt idx="6">
                  <c:v>30°</c:v>
                </c:pt>
                <c:pt idx="9">
                  <c:v>45°</c:v>
                </c:pt>
                <c:pt idx="12">
                  <c:v>60°</c:v>
                </c:pt>
                <c:pt idx="15">
                  <c:v>75°</c:v>
                </c:pt>
                <c:pt idx="18">
                  <c:v>90°</c:v>
                </c:pt>
                <c:pt idx="21">
                  <c:v>105°</c:v>
                </c:pt>
                <c:pt idx="24">
                  <c:v>120°</c:v>
                </c:pt>
                <c:pt idx="27">
                  <c:v>135°</c:v>
                </c:pt>
                <c:pt idx="30">
                  <c:v>150°</c:v>
                </c:pt>
                <c:pt idx="33">
                  <c:v>165°</c:v>
                </c:pt>
                <c:pt idx="36">
                  <c:v>180°</c:v>
                </c:pt>
                <c:pt idx="39">
                  <c:v>195°</c:v>
                </c:pt>
                <c:pt idx="42">
                  <c:v>210°</c:v>
                </c:pt>
                <c:pt idx="45">
                  <c:v>225°</c:v>
                </c:pt>
                <c:pt idx="48">
                  <c:v>240°</c:v>
                </c:pt>
                <c:pt idx="51">
                  <c:v>255°</c:v>
                </c:pt>
                <c:pt idx="54">
                  <c:v>270°</c:v>
                </c:pt>
                <c:pt idx="57">
                  <c:v>285°</c:v>
                </c:pt>
                <c:pt idx="60">
                  <c:v>300°</c:v>
                </c:pt>
                <c:pt idx="63">
                  <c:v>315°</c:v>
                </c:pt>
                <c:pt idx="66">
                  <c:v>330°</c:v>
                </c:pt>
                <c:pt idx="69">
                  <c:v>345°</c:v>
                </c:pt>
              </c:strCache>
            </c:strRef>
          </c:cat>
          <c:val>
            <c:numRef>
              <c:f>'Polar Plots'!$J$3:$J$74</c:f>
              <c:numCache>
                <c:formatCode>General</c:formatCode>
                <c:ptCount val="72"/>
                <c:pt idx="0">
                  <c:v>0.10433173350769616</c:v>
                </c:pt>
                <c:pt idx="1">
                  <c:v>0.57282653081086954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er>
        <c:axId val="120430592"/>
        <c:axId val="120420608"/>
      </c:radarChart>
      <c:valAx>
        <c:axId val="120413184"/>
        <c:scaling>
          <c:orientation val="minMax"/>
          <c:max val="0.60000000000000064"/>
          <c:min val="-0.60000000000000064"/>
        </c:scaling>
        <c:axPos val="b"/>
        <c:numFmt formatCode="General" sourceLinked="1"/>
        <c:tickLblPos val="none"/>
        <c:spPr>
          <a:ln w="9525">
            <a:noFill/>
          </a:ln>
        </c:spPr>
        <c:crossAx val="120419072"/>
        <c:crosses val="autoZero"/>
        <c:crossBetween val="midCat"/>
      </c:valAx>
      <c:valAx>
        <c:axId val="120419072"/>
        <c:scaling>
          <c:orientation val="minMax"/>
          <c:max val="0.60000000000000064"/>
          <c:min val="-0.60000000000000064"/>
        </c:scaling>
        <c:axPos val="l"/>
        <c:numFmt formatCode="General" sourceLinked="1"/>
        <c:tickLblPos val="none"/>
        <c:spPr>
          <a:ln w="9525">
            <a:noFill/>
          </a:ln>
        </c:spPr>
        <c:crossAx val="120413184"/>
        <c:crosses val="autoZero"/>
        <c:crossBetween val="midCat"/>
      </c:valAx>
      <c:valAx>
        <c:axId val="120420608"/>
        <c:scaling>
          <c:orientation val="minMax"/>
        </c:scaling>
        <c:axPos val="l"/>
        <c:majorGridlines/>
        <c:numFmt formatCode="General" sourceLinked="1"/>
        <c:tickLblPos val="nextTo"/>
        <c:spPr>
          <a:ln w="9525">
            <a:noFill/>
          </a:ln>
        </c:spPr>
        <c:crossAx val="120430592"/>
        <c:crosses val="max"/>
        <c:crossBetween val="between"/>
      </c:valAx>
      <c:catAx>
        <c:axId val="120430592"/>
        <c:scaling>
          <c:orientation val="minMax"/>
        </c:scaling>
        <c:axPos val="b"/>
        <c:majorGridlines/>
        <c:tickLblPos val="nextTo"/>
        <c:crossAx val="120420608"/>
        <c:crosses val="max"/>
        <c:auto val="1"/>
        <c:lblAlgn val="ctr"/>
        <c:lblOffset val="100"/>
      </c:cat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IPS Deployment 1 Track</a:t>
            </a:r>
          </a:p>
        </c:rich>
      </c:tx>
      <c:layout>
        <c:manualLayout>
          <c:xMode val="edge"/>
          <c:yMode val="edge"/>
          <c:x val="0.29636772386573751"/>
          <c:y val="1.6956897851969195E-2"/>
        </c:manualLayout>
      </c:layout>
    </c:title>
    <c:plotArea>
      <c:layout>
        <c:manualLayout>
          <c:layoutTarget val="inner"/>
          <c:xMode val="edge"/>
          <c:yMode val="edge"/>
          <c:x val="7.3228499442298589E-2"/>
          <c:y val="0.15728351119266457"/>
          <c:w val="0.79878244956462641"/>
          <c:h val="0.80055623502454276"/>
        </c:manualLayout>
      </c:layout>
      <c:scatterChart>
        <c:scatterStyle val="lineMarker"/>
        <c:ser>
          <c:idx val="2"/>
          <c:order val="0"/>
          <c:tx>
            <c:v>Melo</c:v>
          </c:tx>
          <c:spPr>
            <a:ln>
              <a:noFill/>
            </a:ln>
          </c:spPr>
          <c:marker>
            <c:symbol val="circle"/>
            <c:size val="3"/>
            <c:spPr>
              <a:solidFill>
                <a:srgbClr val="0000FF"/>
              </a:solidFill>
              <a:ln>
                <a:solidFill>
                  <a:srgbClr val="0000FF"/>
                </a:solidFill>
              </a:ln>
            </c:spPr>
          </c:marker>
          <c:xVal>
            <c:numRef>
              <c:f>'Calc-Deploy 1'!$AE$13:$AE$100</c:f>
              <c:numCache>
                <c:formatCode>General</c:formatCode>
                <c:ptCount val="88"/>
                <c:pt idx="0">
                  <c:v>-157.58277000000001</c:v>
                </c:pt>
                <c:pt idx="1">
                  <c:v>-157.57066</c:v>
                </c:pt>
                <c:pt idx="2">
                  <c:v>-157.5581</c:v>
                </c:pt>
                <c:pt idx="3">
                  <c:v>-157.54649000000001</c:v>
                </c:pt>
                <c:pt idx="4">
                  <c:v>-157.53656000000001</c:v>
                </c:pt>
                <c:pt idx="5">
                  <c:v>-157.52770000000001</c:v>
                </c:pt>
                <c:pt idx="6">
                  <c:v>-157.52023</c:v>
                </c:pt>
                <c:pt idx="7">
                  <c:v>-157.51498000000001</c:v>
                </c:pt>
                <c:pt idx="8">
                  <c:v>-157.51191</c:v>
                </c:pt>
                <c:pt idx="9">
                  <c:v>-157.50774999999999</c:v>
                </c:pt>
                <c:pt idx="10">
                  <c:v>-157.50185999999999</c:v>
                </c:pt>
                <c:pt idx="11">
                  <c:v>-157.49645000000001</c:v>
                </c:pt>
                <c:pt idx="12">
                  <c:v>-157.49133</c:v>
                </c:pt>
                <c:pt idx="13">
                  <c:v>-157.48598999999999</c:v>
                </c:pt>
                <c:pt idx="14">
                  <c:v>-157.47953000000001</c:v>
                </c:pt>
                <c:pt idx="15">
                  <c:v>-157.47337999999999</c:v>
                </c:pt>
                <c:pt idx="16">
                  <c:v>-157.46747999999999</c:v>
                </c:pt>
                <c:pt idx="17">
                  <c:v>-157.46081000000001</c:v>
                </c:pt>
                <c:pt idx="18">
                  <c:v>-157.45346000000001</c:v>
                </c:pt>
                <c:pt idx="19">
                  <c:v>-157.44648000000001</c:v>
                </c:pt>
                <c:pt idx="20">
                  <c:v>-157.43876</c:v>
                </c:pt>
                <c:pt idx="21">
                  <c:v>-157.42984999999999</c:v>
                </c:pt>
                <c:pt idx="22">
                  <c:v>-157.42055999999999</c:v>
                </c:pt>
                <c:pt idx="23">
                  <c:v>-157.41253</c:v>
                </c:pt>
                <c:pt idx="24">
                  <c:v>-157.40431000000001</c:v>
                </c:pt>
                <c:pt idx="25">
                  <c:v>-157.39666</c:v>
                </c:pt>
                <c:pt idx="26">
                  <c:v>-157.38899000000001</c:v>
                </c:pt>
                <c:pt idx="27">
                  <c:v>-157.38021000000001</c:v>
                </c:pt>
                <c:pt idx="28">
                  <c:v>-157.37115</c:v>
                </c:pt>
                <c:pt idx="29">
                  <c:v>-157.36320000000001</c:v>
                </c:pt>
                <c:pt idx="30">
                  <c:v>-157.35669999999999</c:v>
                </c:pt>
                <c:pt idx="31">
                  <c:v>-157.35148000000001</c:v>
                </c:pt>
                <c:pt idx="32">
                  <c:v>-157.34707</c:v>
                </c:pt>
                <c:pt idx="33">
                  <c:v>-157.34352999999999</c:v>
                </c:pt>
                <c:pt idx="34">
                  <c:v>-157.34017</c:v>
                </c:pt>
                <c:pt idx="35">
                  <c:v>-157.33634000000001</c:v>
                </c:pt>
                <c:pt idx="36">
                  <c:v>-157.33282</c:v>
                </c:pt>
                <c:pt idx="37">
                  <c:v>-157.32923</c:v>
                </c:pt>
                <c:pt idx="38">
                  <c:v>-157.32500999999999</c:v>
                </c:pt>
                <c:pt idx="39">
                  <c:v>-157.3202</c:v>
                </c:pt>
                <c:pt idx="40">
                  <c:v>-157.31460000000001</c:v>
                </c:pt>
                <c:pt idx="41">
                  <c:v>-157.30877000000001</c:v>
                </c:pt>
                <c:pt idx="42">
                  <c:v>-157.30265</c:v>
                </c:pt>
                <c:pt idx="43">
                  <c:v>-157.29778999999999</c:v>
                </c:pt>
                <c:pt idx="44">
                  <c:v>-157.29234</c:v>
                </c:pt>
                <c:pt idx="45">
                  <c:v>-157.28591</c:v>
                </c:pt>
                <c:pt idx="46">
                  <c:v>-157.27937</c:v>
                </c:pt>
                <c:pt idx="47">
                  <c:v>-157.27328</c:v>
                </c:pt>
                <c:pt idx="48">
                  <c:v>-157.26513</c:v>
                </c:pt>
                <c:pt idx="49">
                  <c:v>-157.25694999999999</c:v>
                </c:pt>
                <c:pt idx="50">
                  <c:v>-157.24923000000001</c:v>
                </c:pt>
                <c:pt idx="51">
                  <c:v>-157.24171999999999</c:v>
                </c:pt>
                <c:pt idx="52">
                  <c:v>-157.23439999999999</c:v>
                </c:pt>
                <c:pt idx="53">
                  <c:v>-157.22787</c:v>
                </c:pt>
                <c:pt idx="54">
                  <c:v>-157.22314</c:v>
                </c:pt>
                <c:pt idx="55">
                  <c:v>-157.21897000000001</c:v>
                </c:pt>
                <c:pt idx="56">
                  <c:v>-157.21632</c:v>
                </c:pt>
                <c:pt idx="57">
                  <c:v>-157.21322000000001</c:v>
                </c:pt>
                <c:pt idx="58">
                  <c:v>-157.21073000000001</c:v>
                </c:pt>
                <c:pt idx="59">
                  <c:v>-157.20912000000001</c:v>
                </c:pt>
                <c:pt idx="60">
                  <c:v>-157.20607999999999</c:v>
                </c:pt>
                <c:pt idx="61">
                  <c:v>-157.20256000000001</c:v>
                </c:pt>
                <c:pt idx="62">
                  <c:v>-157.19834</c:v>
                </c:pt>
                <c:pt idx="63">
                  <c:v>-157.19306</c:v>
                </c:pt>
                <c:pt idx="64">
                  <c:v>-157.18916999999999</c:v>
                </c:pt>
                <c:pt idx="65">
                  <c:v>-157.18489</c:v>
                </c:pt>
                <c:pt idx="66">
                  <c:v>-157.18073999999999</c:v>
                </c:pt>
                <c:pt idx="67">
                  <c:v>-157.17626000000001</c:v>
                </c:pt>
                <c:pt idx="68">
                  <c:v>-157.17102</c:v>
                </c:pt>
                <c:pt idx="69">
                  <c:v>-157.16664</c:v>
                </c:pt>
                <c:pt idx="70">
                  <c:v>-157.16322</c:v>
                </c:pt>
                <c:pt idx="71">
                  <c:v>-157.16068999999999</c:v>
                </c:pt>
                <c:pt idx="72">
                  <c:v>-157.15759</c:v>
                </c:pt>
                <c:pt idx="73">
                  <c:v>-157.15414000000001</c:v>
                </c:pt>
                <c:pt idx="74">
                  <c:v>-157.14909</c:v>
                </c:pt>
                <c:pt idx="75">
                  <c:v>-157.14232999999999</c:v>
                </c:pt>
                <c:pt idx="76">
                  <c:v>-157.13597999999999</c:v>
                </c:pt>
                <c:pt idx="77">
                  <c:v>-157.13047</c:v>
                </c:pt>
                <c:pt idx="78">
                  <c:v>-157.12519</c:v>
                </c:pt>
                <c:pt idx="79">
                  <c:v>-157.12092000000001</c:v>
                </c:pt>
                <c:pt idx="80">
                  <c:v>-157.11729</c:v>
                </c:pt>
                <c:pt idx="81">
                  <c:v>-157.11416</c:v>
                </c:pt>
                <c:pt idx="82">
                  <c:v>-157.11152000000001</c:v>
                </c:pt>
              </c:numCache>
            </c:numRef>
          </c:xVal>
          <c:yVal>
            <c:numRef>
              <c:f>'Calc-Deploy 1'!$AD$13:$AD$100</c:f>
              <c:numCache>
                <c:formatCode>General</c:formatCode>
                <c:ptCount val="88"/>
                <c:pt idx="0">
                  <c:v>24.610209999999999</c:v>
                </c:pt>
                <c:pt idx="1">
                  <c:v>24.617629999999998</c:v>
                </c:pt>
                <c:pt idx="2">
                  <c:v>24.62445</c:v>
                </c:pt>
                <c:pt idx="3">
                  <c:v>24.629449999999999</c:v>
                </c:pt>
                <c:pt idx="4">
                  <c:v>24.632930000000002</c:v>
                </c:pt>
                <c:pt idx="5">
                  <c:v>24.635149999999999</c:v>
                </c:pt>
                <c:pt idx="6">
                  <c:v>24.636590000000002</c:v>
                </c:pt>
                <c:pt idx="7">
                  <c:v>24.637509999999999</c:v>
                </c:pt>
                <c:pt idx="8">
                  <c:v>24.638960000000001</c:v>
                </c:pt>
                <c:pt idx="9">
                  <c:v>24.641919999999999</c:v>
                </c:pt>
                <c:pt idx="10">
                  <c:v>24.645250000000001</c:v>
                </c:pt>
                <c:pt idx="11">
                  <c:v>24.648530000000001</c:v>
                </c:pt>
                <c:pt idx="12">
                  <c:v>24.653310000000001</c:v>
                </c:pt>
                <c:pt idx="13">
                  <c:v>24.6586</c:v>
                </c:pt>
                <c:pt idx="14">
                  <c:v>24.66452</c:v>
                </c:pt>
                <c:pt idx="15">
                  <c:v>24.671029999999998</c:v>
                </c:pt>
                <c:pt idx="16">
                  <c:v>24.677389999999999</c:v>
                </c:pt>
                <c:pt idx="17">
                  <c:v>24.683959999999999</c:v>
                </c:pt>
                <c:pt idx="18">
                  <c:v>24.68937</c:v>
                </c:pt>
                <c:pt idx="19">
                  <c:v>24.694199999999999</c:v>
                </c:pt>
                <c:pt idx="20">
                  <c:v>24.698830000000001</c:v>
                </c:pt>
                <c:pt idx="21">
                  <c:v>24.70204</c:v>
                </c:pt>
                <c:pt idx="22">
                  <c:v>24.70496</c:v>
                </c:pt>
                <c:pt idx="23">
                  <c:v>24.70853</c:v>
                </c:pt>
                <c:pt idx="24">
                  <c:v>24.712530000000001</c:v>
                </c:pt>
                <c:pt idx="25">
                  <c:v>24.716170000000002</c:v>
                </c:pt>
                <c:pt idx="26">
                  <c:v>24.719740000000002</c:v>
                </c:pt>
                <c:pt idx="27">
                  <c:v>24.722799999999999</c:v>
                </c:pt>
                <c:pt idx="28">
                  <c:v>24.7257</c:v>
                </c:pt>
                <c:pt idx="29">
                  <c:v>24.727309999999999</c:v>
                </c:pt>
                <c:pt idx="30">
                  <c:v>24.72748</c:v>
                </c:pt>
                <c:pt idx="31">
                  <c:v>24.72655</c:v>
                </c:pt>
                <c:pt idx="32">
                  <c:v>24.725660000000001</c:v>
                </c:pt>
                <c:pt idx="33">
                  <c:v>24.725860000000001</c:v>
                </c:pt>
                <c:pt idx="34">
                  <c:v>24.726600000000001</c:v>
                </c:pt>
                <c:pt idx="35">
                  <c:v>24.727509999999999</c:v>
                </c:pt>
                <c:pt idx="36">
                  <c:v>24.728629999999999</c:v>
                </c:pt>
                <c:pt idx="37">
                  <c:v>24.73048</c:v>
                </c:pt>
                <c:pt idx="38">
                  <c:v>24.73413</c:v>
                </c:pt>
                <c:pt idx="39">
                  <c:v>24.739529999999998</c:v>
                </c:pt>
                <c:pt idx="40">
                  <c:v>24.7455</c:v>
                </c:pt>
                <c:pt idx="41">
                  <c:v>24.751010000000001</c:v>
                </c:pt>
                <c:pt idx="42">
                  <c:v>24.75572</c:v>
                </c:pt>
                <c:pt idx="43">
                  <c:v>24.759840000000001</c:v>
                </c:pt>
                <c:pt idx="44">
                  <c:v>24.76249</c:v>
                </c:pt>
                <c:pt idx="45">
                  <c:v>24.76416</c:v>
                </c:pt>
                <c:pt idx="46">
                  <c:v>24.765499999999999</c:v>
                </c:pt>
                <c:pt idx="47">
                  <c:v>24.76709</c:v>
                </c:pt>
                <c:pt idx="48">
                  <c:v>24.769500000000001</c:v>
                </c:pt>
                <c:pt idx="49">
                  <c:v>24.770969999999998</c:v>
                </c:pt>
                <c:pt idx="50">
                  <c:v>24.772539999999999</c:v>
                </c:pt>
                <c:pt idx="51">
                  <c:v>24.774429999999999</c:v>
                </c:pt>
                <c:pt idx="52">
                  <c:v>24.776129999999998</c:v>
                </c:pt>
                <c:pt idx="53">
                  <c:v>24.777239999999999</c:v>
                </c:pt>
                <c:pt idx="54">
                  <c:v>24.7774</c:v>
                </c:pt>
                <c:pt idx="55">
                  <c:v>24.777190000000001</c:v>
                </c:pt>
                <c:pt idx="56">
                  <c:v>24.776700000000002</c:v>
                </c:pt>
                <c:pt idx="57">
                  <c:v>24.77665</c:v>
                </c:pt>
                <c:pt idx="58">
                  <c:v>24.776440000000001</c:v>
                </c:pt>
                <c:pt idx="59">
                  <c:v>24.77561</c:v>
                </c:pt>
                <c:pt idx="60">
                  <c:v>24.77544</c:v>
                </c:pt>
                <c:pt idx="61">
                  <c:v>24.776039999999998</c:v>
                </c:pt>
                <c:pt idx="62">
                  <c:v>24.778770000000002</c:v>
                </c:pt>
                <c:pt idx="63">
                  <c:v>24.782730000000001</c:v>
                </c:pt>
                <c:pt idx="64">
                  <c:v>24.786290000000001</c:v>
                </c:pt>
                <c:pt idx="65">
                  <c:v>24.7883</c:v>
                </c:pt>
                <c:pt idx="66">
                  <c:v>24.788900000000002</c:v>
                </c:pt>
                <c:pt idx="67">
                  <c:v>24.789639999999999</c:v>
                </c:pt>
                <c:pt idx="68">
                  <c:v>24.790839999999999</c:v>
                </c:pt>
                <c:pt idx="69">
                  <c:v>24.79177</c:v>
                </c:pt>
                <c:pt idx="70">
                  <c:v>24.79149</c:v>
                </c:pt>
                <c:pt idx="71">
                  <c:v>24.790980000000001</c:v>
                </c:pt>
                <c:pt idx="72">
                  <c:v>24.790859999999999</c:v>
                </c:pt>
                <c:pt idx="73">
                  <c:v>24.791989999999998</c:v>
                </c:pt>
                <c:pt idx="74">
                  <c:v>24.794450000000001</c:v>
                </c:pt>
                <c:pt idx="75">
                  <c:v>24.79693</c:v>
                </c:pt>
                <c:pt idx="76">
                  <c:v>24.79965</c:v>
                </c:pt>
                <c:pt idx="77">
                  <c:v>24.801880000000001</c:v>
                </c:pt>
                <c:pt idx="78">
                  <c:v>24.802009999999999</c:v>
                </c:pt>
                <c:pt idx="79">
                  <c:v>24.799440000000001</c:v>
                </c:pt>
                <c:pt idx="80">
                  <c:v>24.796489999999999</c:v>
                </c:pt>
                <c:pt idx="81">
                  <c:v>24.79364</c:v>
                </c:pt>
                <c:pt idx="82">
                  <c:v>24.792210000000001</c:v>
                </c:pt>
              </c:numCache>
            </c:numRef>
          </c:yVal>
        </c:ser>
        <c:ser>
          <c:idx val="0"/>
          <c:order val="1"/>
          <c:tx>
            <c:v>Sable</c:v>
          </c:tx>
          <c:spPr>
            <a:ln w="19050">
              <a:noFill/>
            </a:ln>
          </c:spPr>
          <c:marker>
            <c:symbol val="circle"/>
            <c:size val="5"/>
            <c:spPr>
              <a:solidFill>
                <a:srgbClr val="FF0000"/>
              </a:solidFill>
              <a:ln>
                <a:solidFill>
                  <a:srgbClr val="000000"/>
                </a:solidFill>
              </a:ln>
            </c:spPr>
          </c:marker>
          <c:xVal>
            <c:numRef>
              <c:f>'Calc-Deploy 1'!$H$12:$H$60</c:f>
              <c:numCache>
                <c:formatCode>General</c:formatCode>
                <c:ptCount val="49"/>
                <c:pt idx="0">
                  <c:v>-157.54655</c:v>
                </c:pt>
                <c:pt idx="1">
                  <c:v>-157.52037000000001</c:v>
                </c:pt>
                <c:pt idx="2">
                  <c:v>-157.50793999999999</c:v>
                </c:pt>
                <c:pt idx="3">
                  <c:v>-157.49171000000001</c:v>
                </c:pt>
                <c:pt idx="4">
                  <c:v>-157.47412</c:v>
                </c:pt>
                <c:pt idx="5">
                  <c:v>-157.45472000000001</c:v>
                </c:pt>
                <c:pt idx="6">
                  <c:v>-157.43186</c:v>
                </c:pt>
                <c:pt idx="7">
                  <c:v>-157.38240999999999</c:v>
                </c:pt>
                <c:pt idx="8">
                  <c:v>-157.34460000000001</c:v>
                </c:pt>
                <c:pt idx="9">
                  <c:v>-157.33384000000001</c:v>
                </c:pt>
                <c:pt idx="10">
                  <c:v>-157.32248999999999</c:v>
                </c:pt>
                <c:pt idx="11">
                  <c:v>-157.30525</c:v>
                </c:pt>
                <c:pt idx="12">
                  <c:v>-157.28908999999999</c:v>
                </c:pt>
                <c:pt idx="13">
                  <c:v>-157.26943</c:v>
                </c:pt>
                <c:pt idx="14">
                  <c:v>-157.24556999999999</c:v>
                </c:pt>
                <c:pt idx="15">
                  <c:v>-157.22560999999999</c:v>
                </c:pt>
                <c:pt idx="16">
                  <c:v>-157.21508</c:v>
                </c:pt>
                <c:pt idx="17">
                  <c:v>-157.20812000000001</c:v>
                </c:pt>
                <c:pt idx="18">
                  <c:v>-157.19653</c:v>
                </c:pt>
                <c:pt idx="19">
                  <c:v>-157.18356</c:v>
                </c:pt>
                <c:pt idx="20">
                  <c:v>-157.16987</c:v>
                </c:pt>
                <c:pt idx="21">
                  <c:v>-157.16004000000001</c:v>
                </c:pt>
                <c:pt idx="22">
                  <c:v>-157.14805000000001</c:v>
                </c:pt>
                <c:pt idx="23">
                  <c:v>-157.12960000000001</c:v>
                </c:pt>
                <c:pt idx="24">
                  <c:v>-157.11699999999999</c:v>
                </c:pt>
                <c:pt idx="25">
                  <c:v>-157.10812999999999</c:v>
                </c:pt>
                <c:pt idx="29">
                  <c:v>-157.06826000000001</c:v>
                </c:pt>
              </c:numCache>
            </c:numRef>
          </c:xVal>
          <c:yVal>
            <c:numRef>
              <c:f>'Calc-Deploy 1'!$G$12:$G$60</c:f>
              <c:numCache>
                <c:formatCode>General</c:formatCode>
                <c:ptCount val="49"/>
                <c:pt idx="0">
                  <c:v>24.62921</c:v>
                </c:pt>
                <c:pt idx="1">
                  <c:v>24.636389999999999</c:v>
                </c:pt>
                <c:pt idx="2">
                  <c:v>24.64151</c:v>
                </c:pt>
                <c:pt idx="3">
                  <c:v>24.652709999999999</c:v>
                </c:pt>
                <c:pt idx="4">
                  <c:v>24.669930000000001</c:v>
                </c:pt>
                <c:pt idx="5">
                  <c:v>24.688369999999999</c:v>
                </c:pt>
                <c:pt idx="6">
                  <c:v>24.701499999999999</c:v>
                </c:pt>
                <c:pt idx="7">
                  <c:v>24.722259999999999</c:v>
                </c:pt>
                <c:pt idx="8">
                  <c:v>24.725560000000002</c:v>
                </c:pt>
                <c:pt idx="9">
                  <c:v>24.728190000000001</c:v>
                </c:pt>
                <c:pt idx="10">
                  <c:v>24.736660000000001</c:v>
                </c:pt>
                <c:pt idx="11">
                  <c:v>24.75356</c:v>
                </c:pt>
                <c:pt idx="12">
                  <c:v>24.763120000000001</c:v>
                </c:pt>
                <c:pt idx="13">
                  <c:v>24.768329999999999</c:v>
                </c:pt>
                <c:pt idx="14">
                  <c:v>24.773440000000001</c:v>
                </c:pt>
                <c:pt idx="15">
                  <c:v>24.777180000000001</c:v>
                </c:pt>
                <c:pt idx="16">
                  <c:v>24.776499999999999</c:v>
                </c:pt>
                <c:pt idx="17">
                  <c:v>24.775390000000002</c:v>
                </c:pt>
                <c:pt idx="18">
                  <c:v>24.77983</c:v>
                </c:pt>
                <c:pt idx="19">
                  <c:v>24.788509999999999</c:v>
                </c:pt>
                <c:pt idx="20">
                  <c:v>24.790959999999998</c:v>
                </c:pt>
                <c:pt idx="21">
                  <c:v>24.79083</c:v>
                </c:pt>
                <c:pt idx="22">
                  <c:v>24.79467</c:v>
                </c:pt>
                <c:pt idx="23">
                  <c:v>24.802</c:v>
                </c:pt>
                <c:pt idx="24">
                  <c:v>24.79637</c:v>
                </c:pt>
                <c:pt idx="25">
                  <c:v>24.791440000000001</c:v>
                </c:pt>
                <c:pt idx="29">
                  <c:v>24.783709999999999</c:v>
                </c:pt>
              </c:numCache>
            </c:numRef>
          </c:yVal>
        </c:ser>
        <c:ser>
          <c:idx val="1"/>
          <c:order val="2"/>
          <c:tx>
            <c:v>Ship</c:v>
          </c:tx>
          <c:spPr>
            <a:ln>
              <a:noFill/>
            </a:ln>
          </c:spPr>
          <c:marker>
            <c:symbol val="square"/>
            <c:size val="5"/>
            <c:spPr>
              <a:solidFill>
                <a:srgbClr val="00FF00"/>
              </a:solidFill>
              <a:ln>
                <a:solidFill>
                  <a:schemeClr val="tx1"/>
                </a:solidFill>
              </a:ln>
            </c:spPr>
          </c:marker>
          <c:xVal>
            <c:numRef>
              <c:f>'Calc-Deploy 1'!$AZ$11:$AZ$25</c:f>
              <c:numCache>
                <c:formatCode>0.00000</c:formatCode>
                <c:ptCount val="15"/>
                <c:pt idx="0">
                  <c:v>-157.66980000000001</c:v>
                </c:pt>
                <c:pt idx="1">
                  <c:v>-157.45509999999999</c:v>
                </c:pt>
                <c:pt idx="2">
                  <c:v>-157.428</c:v>
                </c:pt>
                <c:pt idx="3">
                  <c:v>-157.44909999999999</c:v>
                </c:pt>
                <c:pt idx="4">
                  <c:v>-157.87501666666665</c:v>
                </c:pt>
                <c:pt idx="5">
                  <c:v>-157.33538333333334</c:v>
                </c:pt>
                <c:pt idx="6">
                  <c:v>-157.34375</c:v>
                </c:pt>
                <c:pt idx="7">
                  <c:v>-157.06633333333335</c:v>
                </c:pt>
              </c:numCache>
            </c:numRef>
          </c:xVal>
          <c:yVal>
            <c:numRef>
              <c:f>'Calc-Deploy 1'!$AY$11:$AY$25</c:f>
              <c:numCache>
                <c:formatCode>0.00000</c:formatCode>
                <c:ptCount val="15"/>
                <c:pt idx="0">
                  <c:v>24.49747</c:v>
                </c:pt>
                <c:pt idx="1">
                  <c:v>24.8995</c:v>
                </c:pt>
                <c:pt idx="2">
                  <c:v>24.9025</c:v>
                </c:pt>
                <c:pt idx="3">
                  <c:v>24.853300000000001</c:v>
                </c:pt>
                <c:pt idx="4">
                  <c:v>24.404983333333334</c:v>
                </c:pt>
                <c:pt idx="5">
                  <c:v>24.992533333333334</c:v>
                </c:pt>
                <c:pt idx="6">
                  <c:v>25.025333333333332</c:v>
                </c:pt>
                <c:pt idx="7">
                  <c:v>24.781266666666667</c:v>
                </c:pt>
              </c:numCache>
            </c:numRef>
          </c:yVal>
        </c:ser>
        <c:axId val="92161536"/>
        <c:axId val="92184576"/>
      </c:scatterChart>
      <c:valAx>
        <c:axId val="92161536"/>
        <c:scaling>
          <c:orientation val="minMax"/>
          <c:max val="-157"/>
          <c:min val="-157.80000000000101"/>
        </c:scaling>
        <c:axPos val="b"/>
        <c:title>
          <c:tx>
            <c:rich>
              <a:bodyPr/>
              <a:lstStyle/>
              <a:p>
                <a:pPr>
                  <a:defRPr/>
                </a:pPr>
                <a:r>
                  <a:rPr lang="en-US" sz="1400"/>
                  <a:t>E Longitude</a:t>
                </a:r>
              </a:p>
            </c:rich>
          </c:tx>
          <c:layout>
            <c:manualLayout>
              <c:xMode val="edge"/>
              <c:yMode val="edge"/>
              <c:x val="0.39744138296122727"/>
              <c:y val="6.0680471822092415E-2"/>
            </c:manualLayout>
          </c:layout>
        </c:title>
        <c:numFmt formatCode="General" sourceLinked="1"/>
        <c:minorTickMark val="in"/>
        <c:tickLblPos val="high"/>
        <c:crossAx val="92184576"/>
        <c:crosses val="autoZero"/>
        <c:crossBetween val="midCat"/>
      </c:valAx>
      <c:valAx>
        <c:axId val="92184576"/>
        <c:scaling>
          <c:orientation val="minMax"/>
          <c:max val="25.1"/>
          <c:min val="24.3"/>
        </c:scaling>
        <c:axPos val="l"/>
        <c:majorGridlines/>
        <c:title>
          <c:tx>
            <c:rich>
              <a:bodyPr rot="-5400000" vert="horz"/>
              <a:lstStyle/>
              <a:p>
                <a:pPr>
                  <a:defRPr sz="1400"/>
                </a:pPr>
                <a:r>
                  <a:rPr lang="en-US" sz="1400"/>
                  <a:t>N Latitude</a:t>
                </a:r>
              </a:p>
            </c:rich>
          </c:tx>
          <c:layout>
            <c:manualLayout>
              <c:xMode val="edge"/>
              <c:yMode val="edge"/>
              <c:x val="0.94040303716479423"/>
              <c:y val="0.49732315607440353"/>
            </c:manualLayout>
          </c:layout>
        </c:title>
        <c:numFmt formatCode="General" sourceLinked="1"/>
        <c:minorTickMark val="in"/>
        <c:tickLblPos val="high"/>
        <c:crossAx val="92161536"/>
        <c:crosses val="autoZero"/>
        <c:crossBetween val="midCat"/>
      </c:valAx>
    </c:plotArea>
    <c:legend>
      <c:legendPos val="r"/>
      <c:layout>
        <c:manualLayout>
          <c:xMode val="edge"/>
          <c:yMode val="edge"/>
          <c:x val="7.6716270147197993E-2"/>
          <c:y val="0.1638903924536419"/>
          <c:w val="0.10764124732879472"/>
          <c:h val="0.11910252438059003"/>
        </c:manualLayout>
      </c:layout>
      <c:spPr>
        <a:solidFill>
          <a:schemeClr val="bg1"/>
        </a:solidFill>
        <a:ln>
          <a:solidFill>
            <a:schemeClr val="tx1"/>
          </a:solidFill>
        </a:ln>
      </c:spPr>
    </c:legend>
    <c:plotVisOnly val="1"/>
    <c:dispBlanksAs val="gap"/>
  </c:chart>
  <c:printSettings>
    <c:headerFooter/>
    <c:pageMargins b="0.75000000000000155" l="0.70000000000000062" r="0.70000000000000062" t="0.75000000000000155" header="0.30000000000000032" footer="0.30000000000000032"/>
    <c:pageSetup paperSize="0"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chart>
    <c:plotArea>
      <c:layout/>
      <c:scatterChart>
        <c:scatterStyle val="lineMarker"/>
        <c:ser>
          <c:idx val="0"/>
          <c:order val="0"/>
          <c:tx>
            <c:v>PLRPLT_SPOKES</c:v>
          </c:tx>
          <c:spPr>
            <a:ln w="12700">
              <a:solidFill>
                <a:srgbClr val="868686"/>
              </a:solidFill>
              <a:prstDash val="solid"/>
            </a:ln>
          </c:spPr>
          <c:marker>
            <c:symbol val="none"/>
          </c:marker>
          <c:xVal>
            <c:numRef>
              <c:f>'Polar Plots'!$O$3:$O$109</c:f>
              <c:numCache>
                <c:formatCode>General</c:formatCode>
                <c:ptCount val="107"/>
                <c:pt idx="0">
                  <c:v>3.6754453647258606E-17</c:v>
                </c:pt>
                <c:pt idx="1">
                  <c:v>-3.6754453647258606E-17</c:v>
                </c:pt>
                <c:pt idx="3">
                  <c:v>#N/A</c:v>
                </c:pt>
                <c:pt idx="4">
                  <c:v>#N/A</c:v>
                </c:pt>
                <c:pt idx="6">
                  <c:v>#N/A</c:v>
                </c:pt>
                <c:pt idx="7">
                  <c:v>#N/A</c:v>
                </c:pt>
                <c:pt idx="9">
                  <c:v>0.15529142706151247</c:v>
                </c:pt>
                <c:pt idx="10">
                  <c:v>-0.15529142706151247</c:v>
                </c:pt>
                <c:pt idx="12">
                  <c:v>#N/A</c:v>
                </c:pt>
                <c:pt idx="13">
                  <c:v>#N/A</c:v>
                </c:pt>
                <c:pt idx="15">
                  <c:v>#N/A</c:v>
                </c:pt>
                <c:pt idx="16">
                  <c:v>#N/A</c:v>
                </c:pt>
                <c:pt idx="18">
                  <c:v>0.3000000000000001</c:v>
                </c:pt>
                <c:pt idx="19">
                  <c:v>-0.3000000000000001</c:v>
                </c:pt>
                <c:pt idx="21">
                  <c:v>#N/A</c:v>
                </c:pt>
                <c:pt idx="22">
                  <c:v>#N/A</c:v>
                </c:pt>
                <c:pt idx="24">
                  <c:v>#N/A</c:v>
                </c:pt>
                <c:pt idx="25">
                  <c:v>#N/A</c:v>
                </c:pt>
                <c:pt idx="27">
                  <c:v>0.42426406871192862</c:v>
                </c:pt>
                <c:pt idx="28">
                  <c:v>-0.42426406871192862</c:v>
                </c:pt>
                <c:pt idx="30">
                  <c:v>#N/A</c:v>
                </c:pt>
                <c:pt idx="31">
                  <c:v>#N/A</c:v>
                </c:pt>
                <c:pt idx="33">
                  <c:v>#N/A</c:v>
                </c:pt>
                <c:pt idx="34">
                  <c:v>#N/A</c:v>
                </c:pt>
                <c:pt idx="36">
                  <c:v>0.51961524227066325</c:v>
                </c:pt>
                <c:pt idx="37">
                  <c:v>-0.51961524227066325</c:v>
                </c:pt>
                <c:pt idx="39">
                  <c:v>#N/A</c:v>
                </c:pt>
                <c:pt idx="40">
                  <c:v>#N/A</c:v>
                </c:pt>
                <c:pt idx="42">
                  <c:v>#N/A</c:v>
                </c:pt>
                <c:pt idx="43">
                  <c:v>#N/A</c:v>
                </c:pt>
                <c:pt idx="45">
                  <c:v>0.57955549577344112</c:v>
                </c:pt>
                <c:pt idx="46">
                  <c:v>-0.57955549577344112</c:v>
                </c:pt>
                <c:pt idx="48">
                  <c:v>#N/A</c:v>
                </c:pt>
                <c:pt idx="49">
                  <c:v>#N/A</c:v>
                </c:pt>
                <c:pt idx="51">
                  <c:v>#N/A</c:v>
                </c:pt>
                <c:pt idx="52">
                  <c:v>#N/A</c:v>
                </c:pt>
                <c:pt idx="54">
                  <c:v>0.60000000000000009</c:v>
                </c:pt>
                <c:pt idx="55">
                  <c:v>-0.60000000000000009</c:v>
                </c:pt>
                <c:pt idx="57">
                  <c:v>#N/A</c:v>
                </c:pt>
                <c:pt idx="58">
                  <c:v>#N/A</c:v>
                </c:pt>
                <c:pt idx="60">
                  <c:v>#N/A</c:v>
                </c:pt>
                <c:pt idx="61">
                  <c:v>#N/A</c:v>
                </c:pt>
                <c:pt idx="63">
                  <c:v>0.57955549577344112</c:v>
                </c:pt>
                <c:pt idx="64">
                  <c:v>-0.57955549577344112</c:v>
                </c:pt>
                <c:pt idx="66">
                  <c:v>#N/A</c:v>
                </c:pt>
                <c:pt idx="67">
                  <c:v>#N/A</c:v>
                </c:pt>
                <c:pt idx="69">
                  <c:v>#N/A</c:v>
                </c:pt>
                <c:pt idx="70">
                  <c:v>#N/A</c:v>
                </c:pt>
                <c:pt idx="72">
                  <c:v>0.51961524227066325</c:v>
                </c:pt>
                <c:pt idx="73">
                  <c:v>-0.51961524227066325</c:v>
                </c:pt>
                <c:pt idx="75">
                  <c:v>#N/A</c:v>
                </c:pt>
                <c:pt idx="76">
                  <c:v>#N/A</c:v>
                </c:pt>
                <c:pt idx="78">
                  <c:v>#N/A</c:v>
                </c:pt>
                <c:pt idx="79">
                  <c:v>#N/A</c:v>
                </c:pt>
                <c:pt idx="81">
                  <c:v>0.42426406871192862</c:v>
                </c:pt>
                <c:pt idx="82">
                  <c:v>-0.42426406871192862</c:v>
                </c:pt>
                <c:pt idx="84">
                  <c:v>#N/A</c:v>
                </c:pt>
                <c:pt idx="85">
                  <c:v>#N/A</c:v>
                </c:pt>
                <c:pt idx="87">
                  <c:v>#N/A</c:v>
                </c:pt>
                <c:pt idx="88">
                  <c:v>#N/A</c:v>
                </c:pt>
                <c:pt idx="90">
                  <c:v>0.3000000000000001</c:v>
                </c:pt>
                <c:pt idx="91">
                  <c:v>-0.3000000000000001</c:v>
                </c:pt>
                <c:pt idx="93">
                  <c:v>#N/A</c:v>
                </c:pt>
                <c:pt idx="94">
                  <c:v>#N/A</c:v>
                </c:pt>
                <c:pt idx="96">
                  <c:v>#N/A</c:v>
                </c:pt>
                <c:pt idx="97">
                  <c:v>#N/A</c:v>
                </c:pt>
                <c:pt idx="99">
                  <c:v>0.15529142706151247</c:v>
                </c:pt>
                <c:pt idx="100">
                  <c:v>-0.15529142706151247</c:v>
                </c:pt>
                <c:pt idx="102">
                  <c:v>#N/A</c:v>
                </c:pt>
                <c:pt idx="103">
                  <c:v>#N/A</c:v>
                </c:pt>
                <c:pt idx="105">
                  <c:v>#N/A</c:v>
                </c:pt>
                <c:pt idx="106">
                  <c:v>#N/A</c:v>
                </c:pt>
              </c:numCache>
            </c:numRef>
          </c:xVal>
          <c:yVal>
            <c:numRef>
              <c:f>'Polar Plots'!$P$3:$P$109</c:f>
              <c:numCache>
                <c:formatCode>General</c:formatCode>
                <c:ptCount val="107"/>
                <c:pt idx="0">
                  <c:v>0.60000000000000009</c:v>
                </c:pt>
                <c:pt idx="1">
                  <c:v>-0.60000000000000009</c:v>
                </c:pt>
                <c:pt idx="3">
                  <c:v>#N/A</c:v>
                </c:pt>
                <c:pt idx="4">
                  <c:v>#N/A</c:v>
                </c:pt>
                <c:pt idx="6">
                  <c:v>#N/A</c:v>
                </c:pt>
                <c:pt idx="7">
                  <c:v>#N/A</c:v>
                </c:pt>
                <c:pt idx="9">
                  <c:v>0.57955549577344112</c:v>
                </c:pt>
                <c:pt idx="10">
                  <c:v>-0.57955549577344112</c:v>
                </c:pt>
                <c:pt idx="12">
                  <c:v>#N/A</c:v>
                </c:pt>
                <c:pt idx="13">
                  <c:v>#N/A</c:v>
                </c:pt>
                <c:pt idx="15">
                  <c:v>#N/A</c:v>
                </c:pt>
                <c:pt idx="16">
                  <c:v>#N/A</c:v>
                </c:pt>
                <c:pt idx="18">
                  <c:v>0.51961524227066325</c:v>
                </c:pt>
                <c:pt idx="19">
                  <c:v>-0.51961524227066325</c:v>
                </c:pt>
                <c:pt idx="21">
                  <c:v>#N/A</c:v>
                </c:pt>
                <c:pt idx="22">
                  <c:v>#N/A</c:v>
                </c:pt>
                <c:pt idx="24">
                  <c:v>#N/A</c:v>
                </c:pt>
                <c:pt idx="25">
                  <c:v>#N/A</c:v>
                </c:pt>
                <c:pt idx="27">
                  <c:v>0.42426406871192857</c:v>
                </c:pt>
                <c:pt idx="28">
                  <c:v>-0.42426406871192857</c:v>
                </c:pt>
                <c:pt idx="30">
                  <c:v>#N/A</c:v>
                </c:pt>
                <c:pt idx="31">
                  <c:v>#N/A</c:v>
                </c:pt>
                <c:pt idx="33">
                  <c:v>#N/A</c:v>
                </c:pt>
                <c:pt idx="34">
                  <c:v>#N/A</c:v>
                </c:pt>
                <c:pt idx="36">
                  <c:v>0.3</c:v>
                </c:pt>
                <c:pt idx="37">
                  <c:v>-0.3</c:v>
                </c:pt>
                <c:pt idx="39">
                  <c:v>#N/A</c:v>
                </c:pt>
                <c:pt idx="40">
                  <c:v>#N/A</c:v>
                </c:pt>
                <c:pt idx="42">
                  <c:v>#N/A</c:v>
                </c:pt>
                <c:pt idx="43">
                  <c:v>#N/A</c:v>
                </c:pt>
                <c:pt idx="45">
                  <c:v>0.15529142706151247</c:v>
                </c:pt>
                <c:pt idx="46">
                  <c:v>-0.15529142706151247</c:v>
                </c:pt>
                <c:pt idx="48">
                  <c:v>#N/A</c:v>
                </c:pt>
                <c:pt idx="49">
                  <c:v>#N/A</c:v>
                </c:pt>
                <c:pt idx="51">
                  <c:v>#N/A</c:v>
                </c:pt>
                <c:pt idx="52">
                  <c:v>#N/A</c:v>
                </c:pt>
                <c:pt idx="54">
                  <c:v>0</c:v>
                </c:pt>
                <c:pt idx="55">
                  <c:v>0</c:v>
                </c:pt>
                <c:pt idx="57">
                  <c:v>#N/A</c:v>
                </c:pt>
                <c:pt idx="58">
                  <c:v>#N/A</c:v>
                </c:pt>
                <c:pt idx="60">
                  <c:v>#N/A</c:v>
                </c:pt>
                <c:pt idx="61">
                  <c:v>#N/A</c:v>
                </c:pt>
                <c:pt idx="63">
                  <c:v>-0.15529142706151247</c:v>
                </c:pt>
                <c:pt idx="64">
                  <c:v>0.15529142706151247</c:v>
                </c:pt>
                <c:pt idx="66">
                  <c:v>#N/A</c:v>
                </c:pt>
                <c:pt idx="67">
                  <c:v>#N/A</c:v>
                </c:pt>
                <c:pt idx="69">
                  <c:v>#N/A</c:v>
                </c:pt>
                <c:pt idx="70">
                  <c:v>#N/A</c:v>
                </c:pt>
                <c:pt idx="72">
                  <c:v>-0.3</c:v>
                </c:pt>
                <c:pt idx="73">
                  <c:v>0.3</c:v>
                </c:pt>
                <c:pt idx="75">
                  <c:v>#N/A</c:v>
                </c:pt>
                <c:pt idx="76">
                  <c:v>#N/A</c:v>
                </c:pt>
                <c:pt idx="78">
                  <c:v>#N/A</c:v>
                </c:pt>
                <c:pt idx="79">
                  <c:v>#N/A</c:v>
                </c:pt>
                <c:pt idx="81">
                  <c:v>-0.42426406871192857</c:v>
                </c:pt>
                <c:pt idx="82">
                  <c:v>0.42426406871192857</c:v>
                </c:pt>
                <c:pt idx="84">
                  <c:v>#N/A</c:v>
                </c:pt>
                <c:pt idx="85">
                  <c:v>#N/A</c:v>
                </c:pt>
                <c:pt idx="87">
                  <c:v>#N/A</c:v>
                </c:pt>
                <c:pt idx="88">
                  <c:v>#N/A</c:v>
                </c:pt>
                <c:pt idx="90">
                  <c:v>-0.51961524227066325</c:v>
                </c:pt>
                <c:pt idx="91">
                  <c:v>0.51961524227066325</c:v>
                </c:pt>
                <c:pt idx="93">
                  <c:v>#N/A</c:v>
                </c:pt>
                <c:pt idx="94">
                  <c:v>#N/A</c:v>
                </c:pt>
                <c:pt idx="96">
                  <c:v>#N/A</c:v>
                </c:pt>
                <c:pt idx="97">
                  <c:v>#N/A</c:v>
                </c:pt>
                <c:pt idx="99">
                  <c:v>-0.57955549577344112</c:v>
                </c:pt>
                <c:pt idx="100">
                  <c:v>0.57955549577344112</c:v>
                </c:pt>
                <c:pt idx="102">
                  <c:v>#N/A</c:v>
                </c:pt>
                <c:pt idx="103">
                  <c:v>#N/A</c:v>
                </c:pt>
                <c:pt idx="105">
                  <c:v>#N/A</c:v>
                </c:pt>
                <c:pt idx="106">
                  <c:v>#N/A</c:v>
                </c:pt>
              </c:numCache>
            </c:numRef>
          </c:yVal>
        </c:ser>
        <c:axId val="120440704"/>
        <c:axId val="120442240"/>
      </c:scatterChart>
      <c:scatterChart>
        <c:scatterStyle val="smoothMarker"/>
        <c:ser>
          <c:idx val="2"/>
          <c:order val="2"/>
          <c:tx>
            <c:strRef>
              <c:f>'Polar Plots'!$W$2</c:f>
              <c:strCache>
                <c:ptCount val="1"/>
                <c:pt idx="0">
                  <c:v>Drift (kn)</c:v>
                </c:pt>
              </c:strCache>
            </c:strRef>
          </c:tx>
          <c:spPr>
            <a:ln>
              <a:noFill/>
            </a:ln>
          </c:spPr>
          <c:marker>
            <c:symbol val="circle"/>
            <c:size val="5"/>
            <c:spPr>
              <a:solidFill>
                <a:srgbClr val="0000FF"/>
              </a:solidFill>
              <a:ln w="9525">
                <a:noFill/>
              </a:ln>
            </c:spPr>
          </c:marker>
          <c:xVal>
            <c:numRef>
              <c:f>'Polar Plots'!$V$3:$V$53</c:f>
              <c:numCache>
                <c:formatCode>General</c:formatCode>
                <c:ptCount val="51"/>
                <c:pt idx="0">
                  <c:v>1.1659021470076707</c:v>
                </c:pt>
                <c:pt idx="1">
                  <c:v>1.2911373524198595</c:v>
                </c:pt>
                <c:pt idx="2">
                  <c:v>1.1543030056543699</c:v>
                </c:pt>
                <c:pt idx="3">
                  <c:v>0.98724459426058364</c:v>
                </c:pt>
                <c:pt idx="4">
                  <c:v>0.91070840352100835</c:v>
                </c:pt>
                <c:pt idx="5">
                  <c:v>0.74264865173060712</c:v>
                </c:pt>
                <c:pt idx="6">
                  <c:v>0.51351962497141057</c:v>
                </c:pt>
                <c:pt idx="7">
                  <c:v>0.31555185471809349</c:v>
                </c:pt>
                <c:pt idx="8">
                  <c:v>0.41355910058357143</c:v>
                </c:pt>
                <c:pt idx="9">
                  <c:v>0.56694021261885386</c:v>
                </c:pt>
              </c:numCache>
            </c:numRef>
          </c:xVal>
          <c:yVal>
            <c:numRef>
              <c:f>'Polar Plots'!$W$3:$W$53</c:f>
              <c:numCache>
                <c:formatCode>General</c:formatCode>
                <c:ptCount val="51"/>
                <c:pt idx="0">
                  <c:v>0.78584113102553454</c:v>
                </c:pt>
                <c:pt idx="1">
                  <c:v>0.77127384021677414</c:v>
                </c:pt>
                <c:pt idx="2">
                  <c:v>0.54691760841753134</c:v>
                </c:pt>
                <c:pt idx="3">
                  <c:v>0.3806563951831205</c:v>
                </c:pt>
                <c:pt idx="4">
                  <c:v>0.25106997219563798</c:v>
                </c:pt>
                <c:pt idx="5">
                  <c:v>0.15751841819183041</c:v>
                </c:pt>
                <c:pt idx="6">
                  <c:v>9.9010715955537454E-2</c:v>
                </c:pt>
                <c:pt idx="7">
                  <c:v>0.16397149236302674</c:v>
                </c:pt>
                <c:pt idx="8">
                  <c:v>0.32375262714993691</c:v>
                </c:pt>
                <c:pt idx="9">
                  <c:v>0.3526644521648078</c:v>
                </c:pt>
              </c:numCache>
            </c:numRef>
          </c:yVal>
          <c:smooth val="1"/>
        </c:ser>
        <c:axId val="120440704"/>
        <c:axId val="120442240"/>
      </c:scatterChart>
      <c:radarChart>
        <c:radarStyle val="marker"/>
        <c:ser>
          <c:idx val="1"/>
          <c:order val="1"/>
          <c:tx>
            <c:v>PLRPLT_BASE</c:v>
          </c:tx>
          <c:spPr>
            <a:ln w="28575">
              <a:noFill/>
            </a:ln>
          </c:spPr>
          <c:marker>
            <c:symbol val="none"/>
          </c:marker>
          <c:cat>
            <c:strRef>
              <c:f>'Polar Plots'!$I$3:$I$74</c:f>
              <c:strCache>
                <c:ptCount val="70"/>
                <c:pt idx="0">
                  <c:v>0°</c:v>
                </c:pt>
                <c:pt idx="3">
                  <c:v>15°</c:v>
                </c:pt>
                <c:pt idx="6">
                  <c:v>30°</c:v>
                </c:pt>
                <c:pt idx="9">
                  <c:v>45°</c:v>
                </c:pt>
                <c:pt idx="12">
                  <c:v>60°</c:v>
                </c:pt>
                <c:pt idx="15">
                  <c:v>75°</c:v>
                </c:pt>
                <c:pt idx="18">
                  <c:v>90°</c:v>
                </c:pt>
                <c:pt idx="21">
                  <c:v>105°</c:v>
                </c:pt>
                <c:pt idx="24">
                  <c:v>120°</c:v>
                </c:pt>
                <c:pt idx="27">
                  <c:v>135°</c:v>
                </c:pt>
                <c:pt idx="30">
                  <c:v>150°</c:v>
                </c:pt>
                <c:pt idx="33">
                  <c:v>165°</c:v>
                </c:pt>
                <c:pt idx="36">
                  <c:v>180°</c:v>
                </c:pt>
                <c:pt idx="39">
                  <c:v>195°</c:v>
                </c:pt>
                <c:pt idx="42">
                  <c:v>210°</c:v>
                </c:pt>
                <c:pt idx="45">
                  <c:v>225°</c:v>
                </c:pt>
                <c:pt idx="48">
                  <c:v>240°</c:v>
                </c:pt>
                <c:pt idx="51">
                  <c:v>255°</c:v>
                </c:pt>
                <c:pt idx="54">
                  <c:v>270°</c:v>
                </c:pt>
                <c:pt idx="57">
                  <c:v>285°</c:v>
                </c:pt>
                <c:pt idx="60">
                  <c:v>300°</c:v>
                </c:pt>
                <c:pt idx="63">
                  <c:v>315°</c:v>
                </c:pt>
                <c:pt idx="66">
                  <c:v>330°</c:v>
                </c:pt>
                <c:pt idx="69">
                  <c:v>345°</c:v>
                </c:pt>
              </c:strCache>
            </c:strRef>
          </c:cat>
          <c:val>
            <c:numRef>
              <c:f>'Polar Plots'!$J$3:$J$74</c:f>
              <c:numCache>
                <c:formatCode>General</c:formatCode>
                <c:ptCount val="72"/>
                <c:pt idx="0">
                  <c:v>0.10433173350769616</c:v>
                </c:pt>
                <c:pt idx="1">
                  <c:v>0.57282653081086954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er>
        <c:axId val="121117312"/>
        <c:axId val="121115776"/>
      </c:radarChart>
      <c:valAx>
        <c:axId val="120440704"/>
        <c:scaling>
          <c:orientation val="minMax"/>
          <c:max val="0.60000000000000064"/>
          <c:min val="-0.60000000000000064"/>
        </c:scaling>
        <c:axPos val="b"/>
        <c:numFmt formatCode="General" sourceLinked="1"/>
        <c:tickLblPos val="none"/>
        <c:spPr>
          <a:ln w="9525">
            <a:noFill/>
          </a:ln>
        </c:spPr>
        <c:crossAx val="120442240"/>
        <c:crosses val="autoZero"/>
        <c:crossBetween val="midCat"/>
      </c:valAx>
      <c:valAx>
        <c:axId val="120442240"/>
        <c:scaling>
          <c:orientation val="minMax"/>
          <c:max val="0.60000000000000064"/>
          <c:min val="-0.60000000000000064"/>
        </c:scaling>
        <c:axPos val="l"/>
        <c:numFmt formatCode="General" sourceLinked="1"/>
        <c:tickLblPos val="none"/>
        <c:spPr>
          <a:ln w="9525">
            <a:noFill/>
          </a:ln>
        </c:spPr>
        <c:crossAx val="120440704"/>
        <c:crosses val="autoZero"/>
        <c:crossBetween val="midCat"/>
      </c:valAx>
      <c:valAx>
        <c:axId val="121115776"/>
        <c:scaling>
          <c:orientation val="minMax"/>
        </c:scaling>
        <c:axPos val="l"/>
        <c:majorGridlines/>
        <c:numFmt formatCode="General" sourceLinked="1"/>
        <c:tickLblPos val="nextTo"/>
        <c:spPr>
          <a:ln w="9525">
            <a:noFill/>
          </a:ln>
        </c:spPr>
        <c:crossAx val="121117312"/>
        <c:crosses val="max"/>
        <c:crossBetween val="between"/>
      </c:valAx>
      <c:catAx>
        <c:axId val="121117312"/>
        <c:scaling>
          <c:orientation val="minMax"/>
        </c:scaling>
        <c:axPos val="b"/>
        <c:majorGridlines/>
        <c:tickLblPos val="nextTo"/>
        <c:crossAx val="121115776"/>
        <c:crosses val="max"/>
        <c:auto val="1"/>
        <c:lblAlgn val="ctr"/>
        <c:lblOffset val="100"/>
      </c:catAx>
    </c:plotArea>
    <c:plotVisOnly val="1"/>
    <c:dispBlanksAs val="gap"/>
  </c:chart>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4388425753469244"/>
          <c:y val="3.1903792198388993E-2"/>
          <c:w val="0.80002003827824963"/>
          <c:h val="0.82878337406100111"/>
        </c:manualLayout>
      </c:layout>
      <c:scatterChart>
        <c:scatterStyle val="lineMarker"/>
        <c:ser>
          <c:idx val="0"/>
          <c:order val="0"/>
          <c:tx>
            <c:v>Sable</c:v>
          </c:tx>
          <c:spPr>
            <a:ln>
              <a:noFill/>
            </a:ln>
          </c:spPr>
          <c:marker>
            <c:symbol val="circle"/>
            <c:size val="7"/>
            <c:spPr>
              <a:solidFill>
                <a:srgbClr val="FF0000"/>
              </a:solidFill>
              <a:ln>
                <a:solidFill>
                  <a:sysClr val="windowText" lastClr="000000"/>
                </a:solidFill>
              </a:ln>
            </c:spPr>
          </c:marker>
          <c:xVal>
            <c:numRef>
              <c:f>'Calc-Deploy 1'!$D$13:$D$60</c:f>
              <c:numCache>
                <c:formatCode>h:mm:ss;@</c:formatCode>
                <c:ptCount val="48"/>
                <c:pt idx="0">
                  <c:v>40795.584027777782</c:v>
                </c:pt>
                <c:pt idx="1">
                  <c:v>40795.709027777782</c:v>
                </c:pt>
                <c:pt idx="2">
                  <c:v>40795.834722222222</c:v>
                </c:pt>
                <c:pt idx="3">
                  <c:v>40795.959027777782</c:v>
                </c:pt>
                <c:pt idx="4">
                  <c:v>40796.084027777782</c:v>
                </c:pt>
                <c:pt idx="5">
                  <c:v>40796.209027777782</c:v>
                </c:pt>
                <c:pt idx="6">
                  <c:v>40796.459027777782</c:v>
                </c:pt>
                <c:pt idx="7">
                  <c:v>40796.709027777782</c:v>
                </c:pt>
                <c:pt idx="8">
                  <c:v>40796.834027777782</c:v>
                </c:pt>
                <c:pt idx="9">
                  <c:v>40796.959027777782</c:v>
                </c:pt>
                <c:pt idx="10">
                  <c:v>40797.084722222222</c:v>
                </c:pt>
                <c:pt idx="11">
                  <c:v>40797.209027777782</c:v>
                </c:pt>
                <c:pt idx="12">
                  <c:v>40797.334722222222</c:v>
                </c:pt>
                <c:pt idx="13">
                  <c:v>40797.459027777782</c:v>
                </c:pt>
                <c:pt idx="14">
                  <c:v>40797.584027777782</c:v>
                </c:pt>
                <c:pt idx="15">
                  <c:v>40797.709027777782</c:v>
                </c:pt>
                <c:pt idx="16">
                  <c:v>40797.834027777782</c:v>
                </c:pt>
                <c:pt idx="17">
                  <c:v>40797.959722222222</c:v>
                </c:pt>
                <c:pt idx="18">
                  <c:v>40798.084027777782</c:v>
                </c:pt>
                <c:pt idx="19">
                  <c:v>40798.209027777782</c:v>
                </c:pt>
                <c:pt idx="20">
                  <c:v>40798.334722222222</c:v>
                </c:pt>
                <c:pt idx="21">
                  <c:v>40798.459027777782</c:v>
                </c:pt>
                <c:pt idx="22">
                  <c:v>40798.584027777782</c:v>
                </c:pt>
                <c:pt idx="23">
                  <c:v>40798.709027777782</c:v>
                </c:pt>
                <c:pt idx="24">
                  <c:v>40798.834722222222</c:v>
                </c:pt>
                <c:pt idx="28">
                  <c:v>40799.334722222222</c:v>
                </c:pt>
              </c:numCache>
            </c:numRef>
          </c:xVal>
          <c:yVal>
            <c:numRef>
              <c:f>'Calc-Deploy 1'!$N$12:$N$60</c:f>
              <c:numCache>
                <c:formatCode>0.00</c:formatCode>
                <c:ptCount val="49"/>
                <c:pt idx="0">
                  <c:v>73.205371237284268</c:v>
                </c:pt>
                <c:pt idx="1">
                  <c:v>65.618985059859696</c:v>
                </c:pt>
                <c:pt idx="2">
                  <c:v>52.788923101772063</c:v>
                </c:pt>
                <c:pt idx="3">
                  <c:v>42.867402654883776</c:v>
                </c:pt>
                <c:pt idx="4">
                  <c:v>43.706278646267563</c:v>
                </c:pt>
                <c:pt idx="5">
                  <c:v>57.694895031461641</c:v>
                </c:pt>
                <c:pt idx="6">
                  <c:v>65.186113770222121</c:v>
                </c:pt>
                <c:pt idx="7">
                  <c:v>84.503598908039123</c:v>
                </c:pt>
                <c:pt idx="8">
                  <c:v>74.936423542549974</c:v>
                </c:pt>
                <c:pt idx="9">
                  <c:v>50.590362646809986</c:v>
                </c:pt>
                <c:pt idx="10">
                  <c:v>42.80995521895079</c:v>
                </c:pt>
                <c:pt idx="11">
                  <c:v>56.913764203841673</c:v>
                </c:pt>
                <c:pt idx="12">
                  <c:v>73.726169152166364</c:v>
                </c:pt>
                <c:pt idx="13">
                  <c:v>76.723325792991275</c:v>
                </c:pt>
                <c:pt idx="14">
                  <c:v>78.335417187630554</c:v>
                </c:pt>
                <c:pt idx="15">
                  <c:v>94.066084170651905</c:v>
                </c:pt>
                <c:pt idx="16">
                  <c:v>99.96096319348672</c:v>
                </c:pt>
                <c:pt idx="17">
                  <c:v>67.121167503215815</c:v>
                </c:pt>
                <c:pt idx="18">
                  <c:v>53.602187858690534</c:v>
                </c:pt>
                <c:pt idx="19">
                  <c:v>78.845534784994129</c:v>
                </c:pt>
                <c:pt idx="20">
                  <c:v>90.832523885475496</c:v>
                </c:pt>
                <c:pt idx="21">
                  <c:v>70.565527223965006</c:v>
                </c:pt>
                <c:pt idx="22">
                  <c:v>66.359761178194873</c:v>
                </c:pt>
                <c:pt idx="23">
                  <c:v>116.20449953132388</c:v>
                </c:pt>
                <c:pt idx="24">
                  <c:v>121.47482533152534</c:v>
                </c:pt>
              </c:numCache>
            </c:numRef>
          </c:yVal>
        </c:ser>
        <c:ser>
          <c:idx val="1"/>
          <c:order val="1"/>
          <c:tx>
            <c:v>Melo</c:v>
          </c:tx>
          <c:spPr>
            <a:ln>
              <a:noFill/>
            </a:ln>
          </c:spPr>
          <c:marker>
            <c:symbol val="circle"/>
            <c:size val="7"/>
            <c:spPr>
              <a:solidFill>
                <a:srgbClr val="0000FF"/>
              </a:solidFill>
              <a:ln>
                <a:noFill/>
              </a:ln>
            </c:spPr>
          </c:marker>
          <c:xVal>
            <c:numRef>
              <c:f>'Calc-Deploy 1'!$AA$13:$AA$100</c:f>
              <c:numCache>
                <c:formatCode>h:mm:ss;@</c:formatCode>
                <c:ptCount val="88"/>
                <c:pt idx="0">
                  <c:v>40795.332638888889</c:v>
                </c:pt>
                <c:pt idx="1">
                  <c:v>40795.376388888893</c:v>
                </c:pt>
                <c:pt idx="2">
                  <c:v>40795.417361111111</c:v>
                </c:pt>
                <c:pt idx="3">
                  <c:v>40795.459722222222</c:v>
                </c:pt>
                <c:pt idx="4">
                  <c:v>40795.502083333333</c:v>
                </c:pt>
                <c:pt idx="5">
                  <c:v>40795.543055555558</c:v>
                </c:pt>
                <c:pt idx="6">
                  <c:v>40795.585416666669</c:v>
                </c:pt>
                <c:pt idx="7">
                  <c:v>40795.628472222226</c:v>
                </c:pt>
                <c:pt idx="8">
                  <c:v>40795.669444444444</c:v>
                </c:pt>
                <c:pt idx="9">
                  <c:v>40795.711805555555</c:v>
                </c:pt>
                <c:pt idx="10">
                  <c:v>40795.755555555559</c:v>
                </c:pt>
                <c:pt idx="11">
                  <c:v>40795.796527777777</c:v>
                </c:pt>
                <c:pt idx="12">
                  <c:v>40795.838888888895</c:v>
                </c:pt>
                <c:pt idx="13">
                  <c:v>40795.881250000006</c:v>
                </c:pt>
                <c:pt idx="14">
                  <c:v>40795.92291666667</c:v>
                </c:pt>
                <c:pt idx="15">
                  <c:v>40795.965277777781</c:v>
                </c:pt>
                <c:pt idx="16">
                  <c:v>40796.006944444445</c:v>
                </c:pt>
                <c:pt idx="17">
                  <c:v>40796.049305555556</c:v>
                </c:pt>
                <c:pt idx="18">
                  <c:v>40796.091666666667</c:v>
                </c:pt>
                <c:pt idx="19">
                  <c:v>40796.132638888892</c:v>
                </c:pt>
                <c:pt idx="20">
                  <c:v>40796.175000000003</c:v>
                </c:pt>
                <c:pt idx="21">
                  <c:v>40796.217361111114</c:v>
                </c:pt>
                <c:pt idx="22">
                  <c:v>40796.260416666672</c:v>
                </c:pt>
                <c:pt idx="23">
                  <c:v>40796.302083333336</c:v>
                </c:pt>
                <c:pt idx="24">
                  <c:v>40796.34375</c:v>
                </c:pt>
                <c:pt idx="25">
                  <c:v>40796.386805555558</c:v>
                </c:pt>
                <c:pt idx="26">
                  <c:v>40796.428472222222</c:v>
                </c:pt>
                <c:pt idx="27">
                  <c:v>40796.470138888893</c:v>
                </c:pt>
                <c:pt idx="28">
                  <c:v>40796.513194444444</c:v>
                </c:pt>
                <c:pt idx="29">
                  <c:v>40796.554861111115</c:v>
                </c:pt>
                <c:pt idx="30">
                  <c:v>40796.597222222226</c:v>
                </c:pt>
                <c:pt idx="31">
                  <c:v>40796.639583333337</c:v>
                </c:pt>
                <c:pt idx="32">
                  <c:v>40796.682638888895</c:v>
                </c:pt>
                <c:pt idx="33">
                  <c:v>40796.723611111112</c:v>
                </c:pt>
                <c:pt idx="34">
                  <c:v>40796.765972222223</c:v>
                </c:pt>
                <c:pt idx="35">
                  <c:v>40796.808333333334</c:v>
                </c:pt>
                <c:pt idx="36">
                  <c:v>40796.851388888892</c:v>
                </c:pt>
                <c:pt idx="37">
                  <c:v>40796.893055555556</c:v>
                </c:pt>
                <c:pt idx="38">
                  <c:v>40796.935416666667</c:v>
                </c:pt>
                <c:pt idx="39">
                  <c:v>40796.978472222225</c:v>
                </c:pt>
                <c:pt idx="40">
                  <c:v>40797.01944444445</c:v>
                </c:pt>
                <c:pt idx="41">
                  <c:v>40797.061111111114</c:v>
                </c:pt>
                <c:pt idx="42">
                  <c:v>40797.104166666672</c:v>
                </c:pt>
                <c:pt idx="43">
                  <c:v>40797.145833333336</c:v>
                </c:pt>
                <c:pt idx="44">
                  <c:v>40797.1875</c:v>
                </c:pt>
                <c:pt idx="45">
                  <c:v>40797.229166666672</c:v>
                </c:pt>
                <c:pt idx="46">
                  <c:v>40797.270833333336</c:v>
                </c:pt>
                <c:pt idx="47">
                  <c:v>40797.3125</c:v>
                </c:pt>
                <c:pt idx="48">
                  <c:v>40797.354861111111</c:v>
                </c:pt>
                <c:pt idx="49">
                  <c:v>40797.397916666669</c:v>
                </c:pt>
                <c:pt idx="50">
                  <c:v>40797.439583333333</c:v>
                </c:pt>
                <c:pt idx="51">
                  <c:v>40797.481250000004</c:v>
                </c:pt>
                <c:pt idx="52">
                  <c:v>40797.524305555555</c:v>
                </c:pt>
                <c:pt idx="53">
                  <c:v>40797.565972222226</c:v>
                </c:pt>
                <c:pt idx="54">
                  <c:v>40797.608333333337</c:v>
                </c:pt>
                <c:pt idx="55">
                  <c:v>40797.651388888895</c:v>
                </c:pt>
                <c:pt idx="56">
                  <c:v>40797.693055555559</c:v>
                </c:pt>
                <c:pt idx="57">
                  <c:v>40797.736111111117</c:v>
                </c:pt>
                <c:pt idx="58">
                  <c:v>40797.777083333334</c:v>
                </c:pt>
                <c:pt idx="59">
                  <c:v>40797.819444444445</c:v>
                </c:pt>
                <c:pt idx="60">
                  <c:v>40797.862500000003</c:v>
                </c:pt>
                <c:pt idx="61">
                  <c:v>40797.903472222228</c:v>
                </c:pt>
                <c:pt idx="62">
                  <c:v>40797.945833333339</c:v>
                </c:pt>
                <c:pt idx="63">
                  <c:v>40797.988888888889</c:v>
                </c:pt>
                <c:pt idx="64">
                  <c:v>40798.030555555561</c:v>
                </c:pt>
                <c:pt idx="65">
                  <c:v>40798.072222222225</c:v>
                </c:pt>
                <c:pt idx="66">
                  <c:v>40798.114583333336</c:v>
                </c:pt>
                <c:pt idx="67">
                  <c:v>40798.156944444447</c:v>
                </c:pt>
                <c:pt idx="68">
                  <c:v>40798.200000000004</c:v>
                </c:pt>
                <c:pt idx="69">
                  <c:v>40798.241666666669</c:v>
                </c:pt>
                <c:pt idx="70">
                  <c:v>40798.283333333333</c:v>
                </c:pt>
                <c:pt idx="71">
                  <c:v>40798.325694444444</c:v>
                </c:pt>
                <c:pt idx="72">
                  <c:v>40798.368750000001</c:v>
                </c:pt>
                <c:pt idx="73">
                  <c:v>40798.409722222226</c:v>
                </c:pt>
                <c:pt idx="74">
                  <c:v>40798.452083333337</c:v>
                </c:pt>
                <c:pt idx="75">
                  <c:v>40798.494444444448</c:v>
                </c:pt>
                <c:pt idx="76">
                  <c:v>40798.535416666666</c:v>
                </c:pt>
                <c:pt idx="77">
                  <c:v>40798.577777777777</c:v>
                </c:pt>
                <c:pt idx="78">
                  <c:v>40798.621527777781</c:v>
                </c:pt>
                <c:pt idx="79">
                  <c:v>40798.662500000006</c:v>
                </c:pt>
                <c:pt idx="80">
                  <c:v>40798.704861111117</c:v>
                </c:pt>
                <c:pt idx="81">
                  <c:v>40798.747916666667</c:v>
                </c:pt>
                <c:pt idx="82">
                  <c:v>40798.789583333339</c:v>
                </c:pt>
              </c:numCache>
            </c:numRef>
          </c:xVal>
          <c:yVal>
            <c:numRef>
              <c:f>'Calc-Deploy 1'!$AK$13:$AK$100</c:f>
              <c:numCache>
                <c:formatCode>0.00</c:formatCode>
                <c:ptCount val="88"/>
                <c:pt idx="0">
                  <c:v>56.019249854796691</c:v>
                </c:pt>
                <c:pt idx="1">
                  <c:v>59.147593211706656</c:v>
                </c:pt>
                <c:pt idx="2">
                  <c:v>64.648047311547927</c:v>
                </c:pt>
                <c:pt idx="3">
                  <c:v>68.914629959802738</c:v>
                </c:pt>
                <c:pt idx="4">
                  <c:v>74.58718942660083</c:v>
                </c:pt>
                <c:pt idx="5">
                  <c:v>78.024835747534539</c:v>
                </c:pt>
                <c:pt idx="6">
                  <c:v>79.086829707902936</c:v>
                </c:pt>
                <c:pt idx="7">
                  <c:v>62.542074816163876</c:v>
                </c:pt>
                <c:pt idx="8">
                  <c:v>51.944565911732397</c:v>
                </c:pt>
                <c:pt idx="9">
                  <c:v>58.116373800036428</c:v>
                </c:pt>
                <c:pt idx="10">
                  <c:v>56.293332811234485</c:v>
                </c:pt>
                <c:pt idx="11">
                  <c:v>44.23000220515538</c:v>
                </c:pt>
                <c:pt idx="12">
                  <c:v>42.532754205855333</c:v>
                </c:pt>
                <c:pt idx="13">
                  <c:v>44.759439124233616</c:v>
                </c:pt>
                <c:pt idx="14">
                  <c:v>40.644476396873515</c:v>
                </c:pt>
                <c:pt idx="15">
                  <c:v>40.128748479863845</c:v>
                </c:pt>
                <c:pt idx="16">
                  <c:v>42.689505100647182</c:v>
                </c:pt>
                <c:pt idx="17">
                  <c:v>50.987792705492922</c:v>
                </c:pt>
                <c:pt idx="18">
                  <c:v>52.705179595535519</c:v>
                </c:pt>
                <c:pt idx="19">
                  <c:v>56.568798619952751</c:v>
                </c:pt>
                <c:pt idx="20">
                  <c:v>68.367244266034376</c:v>
                </c:pt>
                <c:pt idx="21">
                  <c:v>70.913482271958571</c:v>
                </c:pt>
                <c:pt idx="22">
                  <c:v>63.92206147090284</c:v>
                </c:pt>
                <c:pt idx="23">
                  <c:v>61.821733232996408</c:v>
                </c:pt>
                <c:pt idx="24">
                  <c:v>62.353089035192774</c:v>
                </c:pt>
                <c:pt idx="25">
                  <c:v>62.867927835366473</c:v>
                </c:pt>
                <c:pt idx="26">
                  <c:v>69.007218172432729</c:v>
                </c:pt>
                <c:pt idx="27">
                  <c:v>70.586075699092504</c:v>
                </c:pt>
                <c:pt idx="28">
                  <c:v>77.429382152050849</c:v>
                </c:pt>
                <c:pt idx="29">
                  <c:v>88.349320450126967</c:v>
                </c:pt>
                <c:pt idx="30">
                  <c:v>101.09631917743225</c:v>
                </c:pt>
                <c:pt idx="31">
                  <c:v>102.52582251414914</c:v>
                </c:pt>
                <c:pt idx="32">
                  <c:v>86.440068950028106</c:v>
                </c:pt>
                <c:pt idx="33">
                  <c:v>76.369914144264655</c:v>
                </c:pt>
                <c:pt idx="34">
                  <c:v>75.340103215150208</c:v>
                </c:pt>
                <c:pt idx="35">
                  <c:v>70.693728832372628</c:v>
                </c:pt>
                <c:pt idx="36">
                  <c:v>60.430812089562266</c:v>
                </c:pt>
                <c:pt idx="37">
                  <c:v>46.399356543373557</c:v>
                </c:pt>
                <c:pt idx="38">
                  <c:v>38.972054041405976</c:v>
                </c:pt>
                <c:pt idx="39">
                  <c:v>40.426866992481074</c:v>
                </c:pt>
                <c:pt idx="40">
                  <c:v>43.856409504799636</c:v>
                </c:pt>
                <c:pt idx="41">
                  <c:v>49.718274692835585</c:v>
                </c:pt>
                <c:pt idx="42">
                  <c:v>46.967530491218284</c:v>
                </c:pt>
                <c:pt idx="43">
                  <c:v>61.831203886745278</c:v>
                </c:pt>
                <c:pt idx="44">
                  <c:v>74.03701750814129</c:v>
                </c:pt>
                <c:pt idx="45">
                  <c:v>77.283109083848899</c:v>
                </c:pt>
                <c:pt idx="46">
                  <c:v>73.957217769705721</c:v>
                </c:pt>
                <c:pt idx="47">
                  <c:v>71.959754696850013</c:v>
                </c:pt>
                <c:pt idx="48">
                  <c:v>78.803223163598403</c:v>
                </c:pt>
                <c:pt idx="49">
                  <c:v>77.373781950200353</c:v>
                </c:pt>
                <c:pt idx="50">
                  <c:v>74.506532692899228</c:v>
                </c:pt>
                <c:pt idx="51">
                  <c:v>75.650791530047215</c:v>
                </c:pt>
                <c:pt idx="52">
                  <c:v>79.39455779657311</c:v>
                </c:pt>
                <c:pt idx="53">
                  <c:v>87.865365333667867</c:v>
                </c:pt>
                <c:pt idx="54">
                  <c:v>93.173822739896551</c:v>
                </c:pt>
                <c:pt idx="55">
                  <c:v>101.5104680606094</c:v>
                </c:pt>
                <c:pt idx="56">
                  <c:v>91.017060821300205</c:v>
                </c:pt>
                <c:pt idx="57">
                  <c:v>95.306326466363302</c:v>
                </c:pt>
                <c:pt idx="58">
                  <c:v>119.58720481338277</c:v>
                </c:pt>
                <c:pt idx="59">
                  <c:v>93.523758644636644</c:v>
                </c:pt>
                <c:pt idx="60">
                  <c:v>79.366624059309757</c:v>
                </c:pt>
                <c:pt idx="61">
                  <c:v>54.52881785249734</c:v>
                </c:pt>
                <c:pt idx="62">
                  <c:v>50.43995729155067</c:v>
                </c:pt>
                <c:pt idx="63">
                  <c:v>44.770505027880681</c:v>
                </c:pt>
                <c:pt idx="64">
                  <c:v>62.647335290773988</c:v>
                </c:pt>
                <c:pt idx="65">
                  <c:v>80.950667214599008</c:v>
                </c:pt>
                <c:pt idx="66">
                  <c:v>79.687259750982335</c:v>
                </c:pt>
                <c:pt idx="67">
                  <c:v>75.841227284681395</c:v>
                </c:pt>
                <c:pt idx="68">
                  <c:v>76.835185889321039</c:v>
                </c:pt>
                <c:pt idx="69">
                  <c:v>95.152430925025158</c:v>
                </c:pt>
                <c:pt idx="70">
                  <c:v>102.51856047956893</c:v>
                </c:pt>
                <c:pt idx="71">
                  <c:v>92.4409134174836</c:v>
                </c:pt>
                <c:pt idx="72">
                  <c:v>70.16053255069491</c:v>
                </c:pt>
                <c:pt idx="73">
                  <c:v>61.781488664782458</c:v>
                </c:pt>
                <c:pt idx="74">
                  <c:v>67.993957222935478</c:v>
                </c:pt>
                <c:pt idx="75">
                  <c:v>64.73809012183753</c:v>
                </c:pt>
                <c:pt idx="76">
                  <c:v>65.96974195148195</c:v>
                </c:pt>
                <c:pt idx="77">
                  <c:v>88.445243215885526</c:v>
                </c:pt>
                <c:pt idx="78">
                  <c:v>123.54438520061326</c:v>
                </c:pt>
                <c:pt idx="79">
                  <c:v>131.83471952474889</c:v>
                </c:pt>
                <c:pt idx="80">
                  <c:v>135.08535005679502</c:v>
                </c:pt>
                <c:pt idx="81">
                  <c:v>120.82234242453984</c:v>
                </c:pt>
              </c:numCache>
            </c:numRef>
          </c:yVal>
        </c:ser>
        <c:axId val="92201344"/>
        <c:axId val="92204416"/>
      </c:scatterChart>
      <c:valAx>
        <c:axId val="92201344"/>
        <c:scaling>
          <c:orientation val="minMax"/>
        </c:scaling>
        <c:axPos val="b"/>
        <c:title>
          <c:tx>
            <c:rich>
              <a:bodyPr/>
              <a:lstStyle/>
              <a:p>
                <a:pPr>
                  <a:defRPr sz="1400"/>
                </a:pPr>
                <a:r>
                  <a:rPr lang="en-US" sz="1400"/>
                  <a:t>Time of Day</a:t>
                </a:r>
              </a:p>
            </c:rich>
          </c:tx>
        </c:title>
        <c:numFmt formatCode="h:mm:ss;@" sourceLinked="1"/>
        <c:minorTickMark val="in"/>
        <c:tickLblPos val="nextTo"/>
        <c:crossAx val="92204416"/>
        <c:crosses val="autoZero"/>
        <c:crossBetween val="midCat"/>
      </c:valAx>
      <c:valAx>
        <c:axId val="92204416"/>
        <c:scaling>
          <c:orientation val="minMax"/>
          <c:max val="360"/>
          <c:min val="0"/>
        </c:scaling>
        <c:axPos val="l"/>
        <c:majorGridlines/>
        <c:title>
          <c:tx>
            <c:rich>
              <a:bodyPr rot="-5400000" vert="horz"/>
              <a:lstStyle/>
              <a:p>
                <a:pPr>
                  <a:defRPr sz="1400"/>
                </a:pPr>
                <a:r>
                  <a:rPr lang="en-US" sz="1400"/>
                  <a:t>Bearing (degrees)</a:t>
                </a:r>
              </a:p>
            </c:rich>
          </c:tx>
        </c:title>
        <c:numFmt formatCode="0" sourceLinked="0"/>
        <c:tickLblPos val="nextTo"/>
        <c:crossAx val="92201344"/>
        <c:crosses val="autoZero"/>
        <c:crossBetween val="midCat"/>
      </c:valAx>
    </c:plotArea>
    <c:legend>
      <c:legendPos val="r"/>
      <c:layout>
        <c:manualLayout>
          <c:xMode val="edge"/>
          <c:yMode val="edge"/>
          <c:x val="0.85478051250506992"/>
          <c:y val="6.884627568105707E-2"/>
          <c:w val="7.4617711872548995E-2"/>
          <c:h val="0.1039247895737173"/>
        </c:manualLayout>
      </c:layout>
      <c:spPr>
        <a:solidFill>
          <a:schemeClr val="bg1"/>
        </a:solidFill>
        <a:ln>
          <a:solidFill>
            <a:sysClr val="windowText" lastClr="000000"/>
          </a:solidFill>
        </a:ln>
      </c:spPr>
    </c:legend>
    <c:plotVisOnly val="1"/>
  </c:chart>
  <c:printSettings>
    <c:headerFooter/>
    <c:pageMargins b="0.75000000000000155" l="0.70000000000000062" r="0.70000000000000062" t="0.750000000000001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baseline="0"/>
              <a:t>Drift Rate vs. Time of Day</a:t>
            </a:r>
          </a:p>
        </c:rich>
      </c:tx>
    </c:title>
    <c:plotArea>
      <c:layout>
        <c:manualLayout>
          <c:layoutTarget val="inner"/>
          <c:xMode val="edge"/>
          <c:yMode val="edge"/>
          <c:x val="0.13914681119405528"/>
          <c:y val="0.13736849375822544"/>
          <c:w val="0.80719518014793556"/>
          <c:h val="0.6463032841116465"/>
        </c:manualLayout>
      </c:layout>
      <c:scatterChart>
        <c:scatterStyle val="lineMarker"/>
        <c:ser>
          <c:idx val="0"/>
          <c:order val="0"/>
          <c:tx>
            <c:v>Sable</c:v>
          </c:tx>
          <c:spPr>
            <a:ln>
              <a:noFill/>
            </a:ln>
          </c:spPr>
          <c:marker>
            <c:symbol val="circle"/>
            <c:size val="5"/>
            <c:spPr>
              <a:solidFill>
                <a:srgbClr val="FF0000"/>
              </a:solidFill>
              <a:ln>
                <a:solidFill>
                  <a:schemeClr val="tx1"/>
                </a:solidFill>
              </a:ln>
            </c:spPr>
          </c:marker>
          <c:xVal>
            <c:numRef>
              <c:f>'Calc-Deploy 1'!$D$12:$D$60</c:f>
              <c:numCache>
                <c:formatCode>h:mm:ss;@</c:formatCode>
                <c:ptCount val="49"/>
                <c:pt idx="0">
                  <c:v>40795.459027777782</c:v>
                </c:pt>
                <c:pt idx="1">
                  <c:v>40795.584027777782</c:v>
                </c:pt>
                <c:pt idx="2">
                  <c:v>40795.709027777782</c:v>
                </c:pt>
                <c:pt idx="3">
                  <c:v>40795.834722222222</c:v>
                </c:pt>
                <c:pt idx="4">
                  <c:v>40795.959027777782</c:v>
                </c:pt>
                <c:pt idx="5">
                  <c:v>40796.084027777782</c:v>
                </c:pt>
                <c:pt idx="6">
                  <c:v>40796.209027777782</c:v>
                </c:pt>
                <c:pt idx="7">
                  <c:v>40796.459027777782</c:v>
                </c:pt>
                <c:pt idx="8">
                  <c:v>40796.709027777782</c:v>
                </c:pt>
                <c:pt idx="9">
                  <c:v>40796.834027777782</c:v>
                </c:pt>
                <c:pt idx="10">
                  <c:v>40796.959027777782</c:v>
                </c:pt>
                <c:pt idx="11">
                  <c:v>40797.084722222222</c:v>
                </c:pt>
                <c:pt idx="12">
                  <c:v>40797.209027777782</c:v>
                </c:pt>
                <c:pt idx="13">
                  <c:v>40797.334722222222</c:v>
                </c:pt>
                <c:pt idx="14">
                  <c:v>40797.459027777782</c:v>
                </c:pt>
                <c:pt idx="15">
                  <c:v>40797.584027777782</c:v>
                </c:pt>
                <c:pt idx="16">
                  <c:v>40797.709027777782</c:v>
                </c:pt>
                <c:pt idx="17">
                  <c:v>40797.834027777782</c:v>
                </c:pt>
                <c:pt idx="18">
                  <c:v>40797.959722222222</c:v>
                </c:pt>
                <c:pt idx="19">
                  <c:v>40798.084027777782</c:v>
                </c:pt>
                <c:pt idx="20">
                  <c:v>40798.209027777782</c:v>
                </c:pt>
                <c:pt idx="21">
                  <c:v>40798.334722222222</c:v>
                </c:pt>
                <c:pt idx="22">
                  <c:v>40798.459027777782</c:v>
                </c:pt>
                <c:pt idx="23">
                  <c:v>40798.584027777782</c:v>
                </c:pt>
                <c:pt idx="24">
                  <c:v>40798.709027777782</c:v>
                </c:pt>
                <c:pt idx="25">
                  <c:v>40798.834722222222</c:v>
                </c:pt>
                <c:pt idx="29">
                  <c:v>40799.334722222222</c:v>
                </c:pt>
              </c:numCache>
            </c:numRef>
          </c:xVal>
          <c:yVal>
            <c:numRef>
              <c:f>'Calc-Deploy 1'!$Q$12:$Q$60</c:f>
              <c:numCache>
                <c:formatCode>0.00</c:formatCode>
                <c:ptCount val="49"/>
                <c:pt idx="0">
                  <c:v>0.49748533440015463</c:v>
                </c:pt>
                <c:pt idx="1">
                  <c:v>0.24825635208956515</c:v>
                </c:pt>
                <c:pt idx="2">
                  <c:v>0.3686355250352536</c:v>
                </c:pt>
                <c:pt idx="3">
                  <c:v>0.47287401995248091</c:v>
                </c:pt>
                <c:pt idx="4">
                  <c:v>0.51055993602893879</c:v>
                </c:pt>
                <c:pt idx="5">
                  <c:v>0.49177063917545316</c:v>
                </c:pt>
                <c:pt idx="6">
                  <c:v>0.49520645156463033</c:v>
                </c:pt>
                <c:pt idx="7">
                  <c:v>0.3452608238671972</c:v>
                </c:pt>
                <c:pt idx="8">
                  <c:v>0.20256199017511703</c:v>
                </c:pt>
                <c:pt idx="9">
                  <c:v>0.26702785699948628</c:v>
                </c:pt>
                <c:pt idx="10">
                  <c:v>0.45853153748724151</c:v>
                </c:pt>
                <c:pt idx="11">
                  <c:v>0.35247850137864101</c:v>
                </c:pt>
                <c:pt idx="12">
                  <c:v>0.37013158290896908</c:v>
                </c:pt>
                <c:pt idx="13">
                  <c:v>0.44797874177450647</c:v>
                </c:pt>
                <c:pt idx="14">
                  <c:v>0.37034999628096882</c:v>
                </c:pt>
                <c:pt idx="15">
                  <c:v>0.19182893447483459</c:v>
                </c:pt>
                <c:pt idx="16">
                  <c:v>0.1284105817491572</c:v>
                </c:pt>
                <c:pt idx="17">
                  <c:v>0.2273223536064278</c:v>
                </c:pt>
                <c:pt idx="18">
                  <c:v>0.29441357628093445</c:v>
                </c:pt>
                <c:pt idx="19">
                  <c:v>0.2535284530061257</c:v>
                </c:pt>
                <c:pt idx="20">
                  <c:v>0.17763738024550754</c:v>
                </c:pt>
                <c:pt idx="21">
                  <c:v>0.23229729854486816</c:v>
                </c:pt>
                <c:pt idx="22">
                  <c:v>0.36590158039381565</c:v>
                </c:pt>
                <c:pt idx="23">
                  <c:v>0.25514759579408192</c:v>
                </c:pt>
                <c:pt idx="24">
                  <c:v>0.18792035212249938</c:v>
                </c:pt>
              </c:numCache>
            </c:numRef>
          </c:yVal>
        </c:ser>
        <c:ser>
          <c:idx val="1"/>
          <c:order val="1"/>
          <c:tx>
            <c:v>Melo</c:v>
          </c:tx>
          <c:spPr>
            <a:ln>
              <a:noFill/>
            </a:ln>
          </c:spPr>
          <c:marker>
            <c:symbol val="circle"/>
            <c:size val="5"/>
            <c:spPr>
              <a:solidFill>
                <a:srgbClr val="0000FF"/>
              </a:solidFill>
              <a:ln>
                <a:noFill/>
              </a:ln>
            </c:spPr>
          </c:marker>
          <c:xVal>
            <c:numRef>
              <c:f>'Calc-Deploy 1'!$AA$13:$AA$100</c:f>
              <c:numCache>
                <c:formatCode>h:mm:ss;@</c:formatCode>
                <c:ptCount val="88"/>
                <c:pt idx="0">
                  <c:v>40795.332638888889</c:v>
                </c:pt>
                <c:pt idx="1">
                  <c:v>40795.376388888893</c:v>
                </c:pt>
                <c:pt idx="2">
                  <c:v>40795.417361111111</c:v>
                </c:pt>
                <c:pt idx="3">
                  <c:v>40795.459722222222</c:v>
                </c:pt>
                <c:pt idx="4">
                  <c:v>40795.502083333333</c:v>
                </c:pt>
                <c:pt idx="5">
                  <c:v>40795.543055555558</c:v>
                </c:pt>
                <c:pt idx="6">
                  <c:v>40795.585416666669</c:v>
                </c:pt>
                <c:pt idx="7">
                  <c:v>40795.628472222226</c:v>
                </c:pt>
                <c:pt idx="8">
                  <c:v>40795.669444444444</c:v>
                </c:pt>
                <c:pt idx="9">
                  <c:v>40795.711805555555</c:v>
                </c:pt>
                <c:pt idx="10">
                  <c:v>40795.755555555559</c:v>
                </c:pt>
                <c:pt idx="11">
                  <c:v>40795.796527777777</c:v>
                </c:pt>
                <c:pt idx="12">
                  <c:v>40795.838888888895</c:v>
                </c:pt>
                <c:pt idx="13">
                  <c:v>40795.881250000006</c:v>
                </c:pt>
                <c:pt idx="14">
                  <c:v>40795.92291666667</c:v>
                </c:pt>
                <c:pt idx="15">
                  <c:v>40795.965277777781</c:v>
                </c:pt>
                <c:pt idx="16">
                  <c:v>40796.006944444445</c:v>
                </c:pt>
                <c:pt idx="17">
                  <c:v>40796.049305555556</c:v>
                </c:pt>
                <c:pt idx="18">
                  <c:v>40796.091666666667</c:v>
                </c:pt>
                <c:pt idx="19">
                  <c:v>40796.132638888892</c:v>
                </c:pt>
                <c:pt idx="20">
                  <c:v>40796.175000000003</c:v>
                </c:pt>
                <c:pt idx="21">
                  <c:v>40796.217361111114</c:v>
                </c:pt>
                <c:pt idx="22">
                  <c:v>40796.260416666672</c:v>
                </c:pt>
                <c:pt idx="23">
                  <c:v>40796.302083333336</c:v>
                </c:pt>
                <c:pt idx="24">
                  <c:v>40796.34375</c:v>
                </c:pt>
                <c:pt idx="25">
                  <c:v>40796.386805555558</c:v>
                </c:pt>
                <c:pt idx="26">
                  <c:v>40796.428472222222</c:v>
                </c:pt>
                <c:pt idx="27">
                  <c:v>40796.470138888893</c:v>
                </c:pt>
                <c:pt idx="28">
                  <c:v>40796.513194444444</c:v>
                </c:pt>
                <c:pt idx="29">
                  <c:v>40796.554861111115</c:v>
                </c:pt>
                <c:pt idx="30">
                  <c:v>40796.597222222226</c:v>
                </c:pt>
                <c:pt idx="31">
                  <c:v>40796.639583333337</c:v>
                </c:pt>
                <c:pt idx="32">
                  <c:v>40796.682638888895</c:v>
                </c:pt>
                <c:pt idx="33">
                  <c:v>40796.723611111112</c:v>
                </c:pt>
                <c:pt idx="34">
                  <c:v>40796.765972222223</c:v>
                </c:pt>
                <c:pt idx="35">
                  <c:v>40796.808333333334</c:v>
                </c:pt>
                <c:pt idx="36">
                  <c:v>40796.851388888892</c:v>
                </c:pt>
                <c:pt idx="37">
                  <c:v>40796.893055555556</c:v>
                </c:pt>
                <c:pt idx="38">
                  <c:v>40796.935416666667</c:v>
                </c:pt>
                <c:pt idx="39">
                  <c:v>40796.978472222225</c:v>
                </c:pt>
                <c:pt idx="40">
                  <c:v>40797.01944444445</c:v>
                </c:pt>
                <c:pt idx="41">
                  <c:v>40797.061111111114</c:v>
                </c:pt>
                <c:pt idx="42">
                  <c:v>40797.104166666672</c:v>
                </c:pt>
                <c:pt idx="43">
                  <c:v>40797.145833333336</c:v>
                </c:pt>
                <c:pt idx="44">
                  <c:v>40797.1875</c:v>
                </c:pt>
                <c:pt idx="45">
                  <c:v>40797.229166666672</c:v>
                </c:pt>
                <c:pt idx="46">
                  <c:v>40797.270833333336</c:v>
                </c:pt>
                <c:pt idx="47">
                  <c:v>40797.3125</c:v>
                </c:pt>
                <c:pt idx="48">
                  <c:v>40797.354861111111</c:v>
                </c:pt>
                <c:pt idx="49">
                  <c:v>40797.397916666669</c:v>
                </c:pt>
                <c:pt idx="50">
                  <c:v>40797.439583333333</c:v>
                </c:pt>
                <c:pt idx="51">
                  <c:v>40797.481250000004</c:v>
                </c:pt>
                <c:pt idx="52">
                  <c:v>40797.524305555555</c:v>
                </c:pt>
                <c:pt idx="53">
                  <c:v>40797.565972222226</c:v>
                </c:pt>
                <c:pt idx="54">
                  <c:v>40797.608333333337</c:v>
                </c:pt>
                <c:pt idx="55">
                  <c:v>40797.651388888895</c:v>
                </c:pt>
                <c:pt idx="56">
                  <c:v>40797.693055555559</c:v>
                </c:pt>
                <c:pt idx="57">
                  <c:v>40797.736111111117</c:v>
                </c:pt>
                <c:pt idx="58">
                  <c:v>40797.777083333334</c:v>
                </c:pt>
                <c:pt idx="59">
                  <c:v>40797.819444444445</c:v>
                </c:pt>
                <c:pt idx="60">
                  <c:v>40797.862500000003</c:v>
                </c:pt>
                <c:pt idx="61">
                  <c:v>40797.903472222228</c:v>
                </c:pt>
                <c:pt idx="62">
                  <c:v>40797.945833333339</c:v>
                </c:pt>
                <c:pt idx="63">
                  <c:v>40797.988888888889</c:v>
                </c:pt>
                <c:pt idx="64">
                  <c:v>40798.030555555561</c:v>
                </c:pt>
                <c:pt idx="65">
                  <c:v>40798.072222222225</c:v>
                </c:pt>
                <c:pt idx="66">
                  <c:v>40798.114583333336</c:v>
                </c:pt>
                <c:pt idx="67">
                  <c:v>40798.156944444447</c:v>
                </c:pt>
                <c:pt idx="68">
                  <c:v>40798.200000000004</c:v>
                </c:pt>
                <c:pt idx="69">
                  <c:v>40798.241666666669</c:v>
                </c:pt>
                <c:pt idx="70">
                  <c:v>40798.283333333333</c:v>
                </c:pt>
                <c:pt idx="71">
                  <c:v>40798.325694444444</c:v>
                </c:pt>
                <c:pt idx="72">
                  <c:v>40798.368750000001</c:v>
                </c:pt>
                <c:pt idx="73">
                  <c:v>40798.409722222226</c:v>
                </c:pt>
                <c:pt idx="74">
                  <c:v>40798.452083333337</c:v>
                </c:pt>
                <c:pt idx="75">
                  <c:v>40798.494444444448</c:v>
                </c:pt>
                <c:pt idx="76">
                  <c:v>40798.535416666666</c:v>
                </c:pt>
                <c:pt idx="77">
                  <c:v>40798.577777777777</c:v>
                </c:pt>
                <c:pt idx="78">
                  <c:v>40798.621527777781</c:v>
                </c:pt>
                <c:pt idx="79">
                  <c:v>40798.662500000006</c:v>
                </c:pt>
                <c:pt idx="80">
                  <c:v>40798.704861111117</c:v>
                </c:pt>
                <c:pt idx="81">
                  <c:v>40798.747916666667</c:v>
                </c:pt>
                <c:pt idx="82">
                  <c:v>40798.789583333339</c:v>
                </c:pt>
              </c:numCache>
            </c:numRef>
          </c:xVal>
          <c:yVal>
            <c:numRef>
              <c:f>'Calc-Deploy 1'!$AN$13:$AN$100</c:f>
              <c:numCache>
                <c:formatCode>0.00</c:formatCode>
                <c:ptCount val="88"/>
                <c:pt idx="0">
                  <c:v>0.75918658146377738</c:v>
                </c:pt>
                <c:pt idx="1">
                  <c:v>0.81207402971189857</c:v>
                </c:pt>
                <c:pt idx="2">
                  <c:v>0.68969507025455801</c:v>
                </c:pt>
                <c:pt idx="3">
                  <c:v>0.57132206031443578</c:v>
                </c:pt>
                <c:pt idx="4">
                  <c:v>0.51008800058240189</c:v>
                </c:pt>
                <c:pt idx="5">
                  <c:v>0.40991900046480823</c:v>
                </c:pt>
                <c:pt idx="6">
                  <c:v>0.28238529097848997</c:v>
                </c:pt>
                <c:pt idx="7">
                  <c:v>0.19201491288170036</c:v>
                </c:pt>
                <c:pt idx="8">
                  <c:v>0.28359140626395174</c:v>
                </c:pt>
                <c:pt idx="9">
                  <c:v>0.36051708000737176</c:v>
                </c:pt>
                <c:pt idx="10">
                  <c:v>0.3609023498433061</c:v>
                </c:pt>
                <c:pt idx="11">
                  <c:v>0.39397099919175743</c:v>
                </c:pt>
                <c:pt idx="12">
                  <c:v>0.42396732187042285</c:v>
                </c:pt>
                <c:pt idx="13">
                  <c:v>0.50058963630464337</c:v>
                </c:pt>
                <c:pt idx="14">
                  <c:v>0.5067033224359363</c:v>
                </c:pt>
                <c:pt idx="15">
                  <c:v>0.49943913511965071</c:v>
                </c:pt>
                <c:pt idx="16">
                  <c:v>0.52788225278612499</c:v>
                </c:pt>
                <c:pt idx="17">
                  <c:v>0.50757217565416402</c:v>
                </c:pt>
                <c:pt idx="18">
                  <c:v>0.48674210905132831</c:v>
                </c:pt>
                <c:pt idx="19">
                  <c:v>0.49633070101214788</c:v>
                </c:pt>
                <c:pt idx="20">
                  <c:v>0.51427034354704915</c:v>
                </c:pt>
                <c:pt idx="21">
                  <c:v>0.51891225015796372</c:v>
                </c:pt>
                <c:pt idx="22">
                  <c:v>0.48763390266640733</c:v>
                </c:pt>
                <c:pt idx="23">
                  <c:v>0.508620670528386</c:v>
                </c:pt>
                <c:pt idx="24">
                  <c:v>0.45582362128985132</c:v>
                </c:pt>
                <c:pt idx="25">
                  <c:v>0.47004215642338115</c:v>
                </c:pt>
                <c:pt idx="26">
                  <c:v>0.51288724339235625</c:v>
                </c:pt>
                <c:pt idx="27">
                  <c:v>0.50699153946893738</c:v>
                </c:pt>
                <c:pt idx="28">
                  <c:v>0.44421069018957343</c:v>
                </c:pt>
                <c:pt idx="29">
                  <c:v>0.3488179415444993</c:v>
                </c:pt>
                <c:pt idx="30">
                  <c:v>0.28534806258310147</c:v>
                </c:pt>
                <c:pt idx="31">
                  <c:v>0.23842413197444778</c:v>
                </c:pt>
                <c:pt idx="32">
                  <c:v>0.19671195370631525</c:v>
                </c:pt>
                <c:pt idx="33">
                  <c:v>0.18546157651584103</c:v>
                </c:pt>
                <c:pt idx="34">
                  <c:v>0.21236235210086613</c:v>
                </c:pt>
                <c:pt idx="35">
                  <c:v>0.19684221316220213</c:v>
                </c:pt>
                <c:pt idx="36">
                  <c:v>0.22509616969670815</c:v>
                </c:pt>
                <c:pt idx="37">
                  <c:v>0.31257730152121688</c:v>
                </c:pt>
                <c:pt idx="38">
                  <c:v>0.40358615513218549</c:v>
                </c:pt>
                <c:pt idx="39">
                  <c:v>0.47886554926069352</c:v>
                </c:pt>
                <c:pt idx="40">
                  <c:v>0.45880567487104218</c:v>
                </c:pt>
                <c:pt idx="41">
                  <c:v>0.42329483975733379</c:v>
                </c:pt>
                <c:pt idx="42">
                  <c:v>0.36250097848446394</c:v>
                </c:pt>
                <c:pt idx="43">
                  <c:v>0.33705887292105124</c:v>
                </c:pt>
                <c:pt idx="44">
                  <c:v>0.36462345810523411</c:v>
                </c:pt>
                <c:pt idx="45">
                  <c:v>0.36552317656997041</c:v>
                </c:pt>
                <c:pt idx="46">
                  <c:v>0.3454730370858578</c:v>
                </c:pt>
                <c:pt idx="47">
                  <c:v>0.45963055539507414</c:v>
                </c:pt>
                <c:pt idx="48">
                  <c:v>0.43993720653262686</c:v>
                </c:pt>
                <c:pt idx="49">
                  <c:v>0.43129589187195833</c:v>
                </c:pt>
                <c:pt idx="50">
                  <c:v>0.42484978948648866</c:v>
                </c:pt>
                <c:pt idx="51">
                  <c:v>0.39861058666249954</c:v>
                </c:pt>
                <c:pt idx="52">
                  <c:v>0.36216446151233123</c:v>
                </c:pt>
                <c:pt idx="53">
                  <c:v>0.25380101338031913</c:v>
                </c:pt>
                <c:pt idx="54">
                  <c:v>0.22032932718485612</c:v>
                </c:pt>
                <c:pt idx="55">
                  <c:v>0.14742837165170974</c:v>
                </c:pt>
                <c:pt idx="56">
                  <c:v>0.16356924278200791</c:v>
                </c:pt>
                <c:pt idx="57">
                  <c:v>0.13863613565464433</c:v>
                </c:pt>
                <c:pt idx="58">
                  <c:v>9.9275180947548766E-2</c:v>
                </c:pt>
                <c:pt idx="59">
                  <c:v>0.16068346233271405</c:v>
                </c:pt>
                <c:pt idx="60">
                  <c:v>0.1985539142431528</c:v>
                </c:pt>
                <c:pt idx="61">
                  <c:v>0.27784119628239801</c:v>
                </c:pt>
                <c:pt idx="62">
                  <c:v>0.36128810850105036</c:v>
                </c:pt>
                <c:pt idx="63">
                  <c:v>0.30108514872150566</c:v>
                </c:pt>
                <c:pt idx="64">
                  <c:v>0.26266758297513615</c:v>
                </c:pt>
                <c:pt idx="65">
                  <c:v>0.22530874780980933</c:v>
                </c:pt>
                <c:pt idx="66">
                  <c:v>0.24414010269384809</c:v>
                </c:pt>
                <c:pt idx="67">
                  <c:v>0.28506955710775889</c:v>
                </c:pt>
                <c:pt idx="68">
                  <c:v>0.24518817118137931</c:v>
                </c:pt>
                <c:pt idx="69">
                  <c:v>0.18717357154012584</c:v>
                </c:pt>
                <c:pt idx="70">
                  <c:v>0.13894835493076041</c:v>
                </c:pt>
                <c:pt idx="71">
                  <c:v>0.1636732488594676</c:v>
                </c:pt>
                <c:pt idx="72">
                  <c:v>0.20330582264974123</c:v>
                </c:pt>
                <c:pt idx="73">
                  <c:v>0.30726439402013228</c:v>
                </c:pt>
                <c:pt idx="74">
                  <c:v>0.39089644473164792</c:v>
                </c:pt>
                <c:pt idx="75">
                  <c:v>0.38918846283197001</c:v>
                </c:pt>
                <c:pt idx="76">
                  <c:v>0.32342133592824535</c:v>
                </c:pt>
                <c:pt idx="77">
                  <c:v>0.27417490600007027</c:v>
                </c:pt>
                <c:pt idx="78">
                  <c:v>0.28397203148068417</c:v>
                </c:pt>
                <c:pt idx="79">
                  <c:v>0.26119948344607763</c:v>
                </c:pt>
                <c:pt idx="80">
                  <c:v>0.23384025548712953</c:v>
                </c:pt>
                <c:pt idx="81">
                  <c:v>0.16756739312151256</c:v>
                </c:pt>
              </c:numCache>
            </c:numRef>
          </c:yVal>
        </c:ser>
        <c:axId val="92282240"/>
        <c:axId val="92297856"/>
      </c:scatterChart>
      <c:valAx>
        <c:axId val="92282240"/>
        <c:scaling>
          <c:orientation val="minMax"/>
        </c:scaling>
        <c:axPos val="b"/>
        <c:title>
          <c:tx>
            <c:rich>
              <a:bodyPr/>
              <a:lstStyle/>
              <a:p>
                <a:pPr>
                  <a:defRPr sz="1400"/>
                </a:pPr>
                <a:r>
                  <a:rPr lang="en-US" sz="1400"/>
                  <a:t>Time of Day</a:t>
                </a:r>
              </a:p>
            </c:rich>
          </c:tx>
        </c:title>
        <c:numFmt formatCode="h:mm:ss;@" sourceLinked="1"/>
        <c:tickLblPos val="nextTo"/>
        <c:crossAx val="92297856"/>
        <c:crosses val="autoZero"/>
        <c:crossBetween val="midCat"/>
      </c:valAx>
      <c:valAx>
        <c:axId val="92297856"/>
        <c:scaling>
          <c:orientation val="minMax"/>
        </c:scaling>
        <c:axPos val="l"/>
        <c:majorGridlines/>
        <c:title>
          <c:tx>
            <c:rich>
              <a:bodyPr rot="-5400000" vert="horz"/>
              <a:lstStyle/>
              <a:p>
                <a:pPr>
                  <a:defRPr/>
                </a:pPr>
                <a:r>
                  <a:rPr lang="en-US"/>
                  <a:t>Drift Rate (Kn)</a:t>
                </a:r>
              </a:p>
            </c:rich>
          </c:tx>
        </c:title>
        <c:numFmt formatCode="0.00" sourceLinked="1"/>
        <c:tickLblPos val="nextTo"/>
        <c:crossAx val="92282240"/>
        <c:crosses val="autoZero"/>
        <c:crossBetween val="midCat"/>
      </c:valAx>
    </c:plotArea>
    <c:legend>
      <c:legendPos val="r"/>
      <c:layout>
        <c:manualLayout>
          <c:xMode val="edge"/>
          <c:yMode val="edge"/>
          <c:x val="0.87981938568074303"/>
          <c:y val="7.3109545517336644E-2"/>
          <c:w val="7.592872267247705E-2"/>
          <c:h val="0.13357646083713268"/>
        </c:manualLayout>
      </c:layout>
      <c:spPr>
        <a:solidFill>
          <a:sysClr val="window" lastClr="FFFFFF"/>
        </a:solidFill>
        <a:ln>
          <a:solidFill>
            <a:sysClr val="windowText" lastClr="000000"/>
          </a:solidFill>
        </a:ln>
      </c:spPr>
    </c:legend>
    <c:plotVisOnly val="1"/>
  </c:chart>
  <c:printSettings>
    <c:headerFooter/>
    <c:pageMargins b="0.75000000000000155" l="0.70000000000000062" r="0.70000000000000062" t="0.75000000000000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4852649939274168"/>
          <c:y val="6.9919072615923034E-2"/>
          <c:w val="0.78038876279845326"/>
          <c:h val="0.76898535709352145"/>
        </c:manualLayout>
      </c:layout>
      <c:scatterChart>
        <c:scatterStyle val="lineMarker"/>
        <c:ser>
          <c:idx val="1"/>
          <c:order val="0"/>
          <c:tx>
            <c:v>Melo</c:v>
          </c:tx>
          <c:spPr>
            <a:ln w="28575">
              <a:noFill/>
            </a:ln>
          </c:spPr>
          <c:marker>
            <c:symbol val="circle"/>
            <c:size val="5"/>
            <c:spPr>
              <a:solidFill>
                <a:srgbClr val="0000FF"/>
              </a:solidFill>
              <a:ln>
                <a:noFill/>
              </a:ln>
            </c:spPr>
          </c:marker>
          <c:xVal>
            <c:numRef>
              <c:f>'Calc-Deploy 1'!$AK$13:$AK$75</c:f>
              <c:numCache>
                <c:formatCode>0.00</c:formatCode>
                <c:ptCount val="63"/>
                <c:pt idx="0">
                  <c:v>56.019249854796691</c:v>
                </c:pt>
                <c:pt idx="1">
                  <c:v>59.147593211706656</c:v>
                </c:pt>
                <c:pt idx="2">
                  <c:v>64.648047311547927</c:v>
                </c:pt>
                <c:pt idx="3">
                  <c:v>68.914629959802738</c:v>
                </c:pt>
                <c:pt idx="4">
                  <c:v>74.58718942660083</c:v>
                </c:pt>
                <c:pt idx="5">
                  <c:v>78.024835747534539</c:v>
                </c:pt>
                <c:pt idx="6">
                  <c:v>79.086829707902936</c:v>
                </c:pt>
                <c:pt idx="7">
                  <c:v>62.542074816163876</c:v>
                </c:pt>
                <c:pt idx="8">
                  <c:v>51.944565911732397</c:v>
                </c:pt>
                <c:pt idx="9">
                  <c:v>58.116373800036428</c:v>
                </c:pt>
                <c:pt idx="10">
                  <c:v>56.293332811234485</c:v>
                </c:pt>
                <c:pt idx="11">
                  <c:v>44.23000220515538</c:v>
                </c:pt>
                <c:pt idx="12">
                  <c:v>42.532754205855333</c:v>
                </c:pt>
                <c:pt idx="13">
                  <c:v>44.759439124233616</c:v>
                </c:pt>
                <c:pt idx="14">
                  <c:v>40.644476396873515</c:v>
                </c:pt>
                <c:pt idx="15">
                  <c:v>40.128748479863845</c:v>
                </c:pt>
                <c:pt idx="16">
                  <c:v>42.689505100647182</c:v>
                </c:pt>
                <c:pt idx="17">
                  <c:v>50.987792705492922</c:v>
                </c:pt>
                <c:pt idx="18">
                  <c:v>52.705179595535519</c:v>
                </c:pt>
                <c:pt idx="19">
                  <c:v>56.568798619952751</c:v>
                </c:pt>
                <c:pt idx="20">
                  <c:v>68.367244266034376</c:v>
                </c:pt>
                <c:pt idx="21">
                  <c:v>70.913482271958571</c:v>
                </c:pt>
                <c:pt idx="22">
                  <c:v>63.92206147090284</c:v>
                </c:pt>
                <c:pt idx="23">
                  <c:v>61.821733232996408</c:v>
                </c:pt>
                <c:pt idx="24">
                  <c:v>62.353089035192774</c:v>
                </c:pt>
                <c:pt idx="25">
                  <c:v>62.867927835366473</c:v>
                </c:pt>
                <c:pt idx="26">
                  <c:v>69.007218172432729</c:v>
                </c:pt>
                <c:pt idx="27">
                  <c:v>70.586075699092504</c:v>
                </c:pt>
                <c:pt idx="28">
                  <c:v>77.429382152050849</c:v>
                </c:pt>
                <c:pt idx="29">
                  <c:v>88.349320450126967</c:v>
                </c:pt>
                <c:pt idx="30">
                  <c:v>101.09631917743225</c:v>
                </c:pt>
                <c:pt idx="31">
                  <c:v>102.52582251414914</c:v>
                </c:pt>
                <c:pt idx="32">
                  <c:v>86.440068950028106</c:v>
                </c:pt>
                <c:pt idx="33">
                  <c:v>76.369914144264655</c:v>
                </c:pt>
                <c:pt idx="34">
                  <c:v>75.340103215150208</c:v>
                </c:pt>
                <c:pt idx="35">
                  <c:v>70.693728832372628</c:v>
                </c:pt>
                <c:pt idx="36">
                  <c:v>60.430812089562266</c:v>
                </c:pt>
                <c:pt idx="37">
                  <c:v>46.399356543373557</c:v>
                </c:pt>
                <c:pt idx="38">
                  <c:v>38.972054041405976</c:v>
                </c:pt>
                <c:pt idx="39">
                  <c:v>40.426866992481074</c:v>
                </c:pt>
                <c:pt idx="40">
                  <c:v>43.856409504799636</c:v>
                </c:pt>
                <c:pt idx="41">
                  <c:v>49.718274692835585</c:v>
                </c:pt>
                <c:pt idx="42">
                  <c:v>46.967530491218284</c:v>
                </c:pt>
                <c:pt idx="43">
                  <c:v>61.831203886745278</c:v>
                </c:pt>
                <c:pt idx="44">
                  <c:v>74.03701750814129</c:v>
                </c:pt>
                <c:pt idx="45">
                  <c:v>77.283109083848899</c:v>
                </c:pt>
                <c:pt idx="46">
                  <c:v>73.957217769705721</c:v>
                </c:pt>
                <c:pt idx="47">
                  <c:v>71.959754696850013</c:v>
                </c:pt>
                <c:pt idx="48">
                  <c:v>78.803223163598403</c:v>
                </c:pt>
                <c:pt idx="49">
                  <c:v>77.373781950200353</c:v>
                </c:pt>
                <c:pt idx="50">
                  <c:v>74.506532692899228</c:v>
                </c:pt>
                <c:pt idx="51">
                  <c:v>75.650791530047215</c:v>
                </c:pt>
                <c:pt idx="52">
                  <c:v>79.39455779657311</c:v>
                </c:pt>
                <c:pt idx="53">
                  <c:v>87.865365333667867</c:v>
                </c:pt>
                <c:pt idx="54">
                  <c:v>93.173822739896551</c:v>
                </c:pt>
                <c:pt idx="55">
                  <c:v>101.5104680606094</c:v>
                </c:pt>
                <c:pt idx="56">
                  <c:v>91.017060821300205</c:v>
                </c:pt>
                <c:pt idx="57">
                  <c:v>95.306326466363302</c:v>
                </c:pt>
                <c:pt idx="58">
                  <c:v>119.58720481338277</c:v>
                </c:pt>
                <c:pt idx="59">
                  <c:v>93.523758644636644</c:v>
                </c:pt>
                <c:pt idx="60">
                  <c:v>79.366624059309757</c:v>
                </c:pt>
                <c:pt idx="61">
                  <c:v>54.52881785249734</c:v>
                </c:pt>
                <c:pt idx="62">
                  <c:v>50.43995729155067</c:v>
                </c:pt>
              </c:numCache>
            </c:numRef>
          </c:xVal>
          <c:yVal>
            <c:numRef>
              <c:f>'Calc-Deploy 1'!$AN$13:$AN$75</c:f>
              <c:numCache>
                <c:formatCode>0.00</c:formatCode>
                <c:ptCount val="63"/>
                <c:pt idx="0">
                  <c:v>0.75918658146377738</c:v>
                </c:pt>
                <c:pt idx="1">
                  <c:v>0.81207402971189857</c:v>
                </c:pt>
                <c:pt idx="2">
                  <c:v>0.68969507025455801</c:v>
                </c:pt>
                <c:pt idx="3">
                  <c:v>0.57132206031443578</c:v>
                </c:pt>
                <c:pt idx="4">
                  <c:v>0.51008800058240189</c:v>
                </c:pt>
                <c:pt idx="5">
                  <c:v>0.40991900046480823</c:v>
                </c:pt>
                <c:pt idx="6">
                  <c:v>0.28238529097848997</c:v>
                </c:pt>
                <c:pt idx="7">
                  <c:v>0.19201491288170036</c:v>
                </c:pt>
                <c:pt idx="8">
                  <c:v>0.28359140626395174</c:v>
                </c:pt>
                <c:pt idx="9">
                  <c:v>0.36051708000737176</c:v>
                </c:pt>
                <c:pt idx="10">
                  <c:v>0.3609023498433061</c:v>
                </c:pt>
                <c:pt idx="11">
                  <c:v>0.39397099919175743</c:v>
                </c:pt>
                <c:pt idx="12">
                  <c:v>0.42396732187042285</c:v>
                </c:pt>
                <c:pt idx="13">
                  <c:v>0.50058963630464337</c:v>
                </c:pt>
                <c:pt idx="14">
                  <c:v>0.5067033224359363</c:v>
                </c:pt>
                <c:pt idx="15">
                  <c:v>0.49943913511965071</c:v>
                </c:pt>
                <c:pt idx="16">
                  <c:v>0.52788225278612499</c:v>
                </c:pt>
                <c:pt idx="17">
                  <c:v>0.50757217565416402</c:v>
                </c:pt>
                <c:pt idx="18">
                  <c:v>0.48674210905132831</c:v>
                </c:pt>
                <c:pt idx="19">
                  <c:v>0.49633070101214788</c:v>
                </c:pt>
                <c:pt idx="20">
                  <c:v>0.51427034354704915</c:v>
                </c:pt>
                <c:pt idx="21">
                  <c:v>0.51891225015796372</c:v>
                </c:pt>
                <c:pt idx="22">
                  <c:v>0.48763390266640733</c:v>
                </c:pt>
                <c:pt idx="23">
                  <c:v>0.508620670528386</c:v>
                </c:pt>
                <c:pt idx="24">
                  <c:v>0.45582362128985132</c:v>
                </c:pt>
                <c:pt idx="25">
                  <c:v>0.47004215642338115</c:v>
                </c:pt>
                <c:pt idx="26">
                  <c:v>0.51288724339235625</c:v>
                </c:pt>
                <c:pt idx="27">
                  <c:v>0.50699153946893738</c:v>
                </c:pt>
                <c:pt idx="28">
                  <c:v>0.44421069018957343</c:v>
                </c:pt>
                <c:pt idx="29">
                  <c:v>0.3488179415444993</c:v>
                </c:pt>
                <c:pt idx="30">
                  <c:v>0.28534806258310147</c:v>
                </c:pt>
                <c:pt idx="31">
                  <c:v>0.23842413197444778</c:v>
                </c:pt>
                <c:pt idx="32">
                  <c:v>0.19671195370631525</c:v>
                </c:pt>
                <c:pt idx="33">
                  <c:v>0.18546157651584103</c:v>
                </c:pt>
                <c:pt idx="34">
                  <c:v>0.21236235210086613</c:v>
                </c:pt>
                <c:pt idx="35">
                  <c:v>0.19684221316220213</c:v>
                </c:pt>
                <c:pt idx="36">
                  <c:v>0.22509616969670815</c:v>
                </c:pt>
                <c:pt idx="37">
                  <c:v>0.31257730152121688</c:v>
                </c:pt>
                <c:pt idx="38">
                  <c:v>0.40358615513218549</c:v>
                </c:pt>
                <c:pt idx="39">
                  <c:v>0.47886554926069352</c:v>
                </c:pt>
                <c:pt idx="40">
                  <c:v>0.45880567487104218</c:v>
                </c:pt>
                <c:pt idx="41">
                  <c:v>0.42329483975733379</c:v>
                </c:pt>
                <c:pt idx="42">
                  <c:v>0.36250097848446394</c:v>
                </c:pt>
                <c:pt idx="43">
                  <c:v>0.33705887292105124</c:v>
                </c:pt>
                <c:pt idx="44">
                  <c:v>0.36462345810523411</c:v>
                </c:pt>
                <c:pt idx="45">
                  <c:v>0.36552317656997041</c:v>
                </c:pt>
                <c:pt idx="46">
                  <c:v>0.3454730370858578</c:v>
                </c:pt>
                <c:pt idx="47">
                  <c:v>0.45963055539507414</c:v>
                </c:pt>
                <c:pt idx="48">
                  <c:v>0.43993720653262686</c:v>
                </c:pt>
                <c:pt idx="49">
                  <c:v>0.43129589187195833</c:v>
                </c:pt>
                <c:pt idx="50">
                  <c:v>0.42484978948648866</c:v>
                </c:pt>
                <c:pt idx="51">
                  <c:v>0.39861058666249954</c:v>
                </c:pt>
                <c:pt idx="52">
                  <c:v>0.36216446151233123</c:v>
                </c:pt>
                <c:pt idx="53">
                  <c:v>0.25380101338031913</c:v>
                </c:pt>
                <c:pt idx="54">
                  <c:v>0.22032932718485612</c:v>
                </c:pt>
                <c:pt idx="55">
                  <c:v>0.14742837165170974</c:v>
                </c:pt>
                <c:pt idx="56">
                  <c:v>0.16356924278200791</c:v>
                </c:pt>
                <c:pt idx="57">
                  <c:v>0.13863613565464433</c:v>
                </c:pt>
                <c:pt idx="58">
                  <c:v>9.9275180947548766E-2</c:v>
                </c:pt>
                <c:pt idx="59">
                  <c:v>0.16068346233271405</c:v>
                </c:pt>
                <c:pt idx="60">
                  <c:v>0.1985539142431528</c:v>
                </c:pt>
                <c:pt idx="61">
                  <c:v>0.27784119628239801</c:v>
                </c:pt>
                <c:pt idx="62">
                  <c:v>0.36128810850105036</c:v>
                </c:pt>
              </c:numCache>
            </c:numRef>
          </c:yVal>
        </c:ser>
        <c:ser>
          <c:idx val="0"/>
          <c:order val="1"/>
          <c:tx>
            <c:v>Sable</c:v>
          </c:tx>
          <c:spPr>
            <a:ln>
              <a:noFill/>
            </a:ln>
          </c:spPr>
          <c:marker>
            <c:symbol val="circle"/>
            <c:size val="5"/>
            <c:spPr>
              <a:solidFill>
                <a:srgbClr val="FF0000"/>
              </a:solidFill>
              <a:ln>
                <a:solidFill>
                  <a:sysClr val="windowText" lastClr="000000"/>
                </a:solidFill>
              </a:ln>
            </c:spPr>
          </c:marker>
          <c:xVal>
            <c:numRef>
              <c:f>'Calc-Deploy 1'!$N$12:$N$60</c:f>
              <c:numCache>
                <c:formatCode>0.00</c:formatCode>
                <c:ptCount val="49"/>
                <c:pt idx="0">
                  <c:v>73.205371237284268</c:v>
                </c:pt>
                <c:pt idx="1">
                  <c:v>65.618985059859696</c:v>
                </c:pt>
                <c:pt idx="2">
                  <c:v>52.788923101772063</c:v>
                </c:pt>
                <c:pt idx="3">
                  <c:v>42.867402654883776</c:v>
                </c:pt>
                <c:pt idx="4">
                  <c:v>43.706278646267563</c:v>
                </c:pt>
                <c:pt idx="5">
                  <c:v>57.694895031461641</c:v>
                </c:pt>
                <c:pt idx="6">
                  <c:v>65.186113770222121</c:v>
                </c:pt>
                <c:pt idx="7">
                  <c:v>84.503598908039123</c:v>
                </c:pt>
                <c:pt idx="8">
                  <c:v>74.936423542549974</c:v>
                </c:pt>
                <c:pt idx="9">
                  <c:v>50.590362646809986</c:v>
                </c:pt>
                <c:pt idx="10">
                  <c:v>42.80995521895079</c:v>
                </c:pt>
                <c:pt idx="11">
                  <c:v>56.913764203841673</c:v>
                </c:pt>
                <c:pt idx="12">
                  <c:v>73.726169152166364</c:v>
                </c:pt>
                <c:pt idx="13">
                  <c:v>76.723325792991275</c:v>
                </c:pt>
                <c:pt idx="14">
                  <c:v>78.335417187630554</c:v>
                </c:pt>
                <c:pt idx="15">
                  <c:v>94.066084170651905</c:v>
                </c:pt>
                <c:pt idx="16">
                  <c:v>99.96096319348672</c:v>
                </c:pt>
                <c:pt idx="17">
                  <c:v>67.121167503215815</c:v>
                </c:pt>
                <c:pt idx="18">
                  <c:v>53.602187858690534</c:v>
                </c:pt>
                <c:pt idx="19">
                  <c:v>78.845534784994129</c:v>
                </c:pt>
                <c:pt idx="20">
                  <c:v>90.832523885475496</c:v>
                </c:pt>
                <c:pt idx="21">
                  <c:v>70.565527223965006</c:v>
                </c:pt>
                <c:pt idx="22">
                  <c:v>66.359761178194873</c:v>
                </c:pt>
                <c:pt idx="23">
                  <c:v>116.20449953132388</c:v>
                </c:pt>
                <c:pt idx="24">
                  <c:v>121.47482533152534</c:v>
                </c:pt>
              </c:numCache>
            </c:numRef>
          </c:xVal>
          <c:yVal>
            <c:numRef>
              <c:f>'Calc-Deploy 1'!$Q$12:$Q$60</c:f>
              <c:numCache>
                <c:formatCode>0.00</c:formatCode>
                <c:ptCount val="49"/>
                <c:pt idx="0">
                  <c:v>0.49748533440015463</c:v>
                </c:pt>
                <c:pt idx="1">
                  <c:v>0.24825635208956515</c:v>
                </c:pt>
                <c:pt idx="2">
                  <c:v>0.3686355250352536</c:v>
                </c:pt>
                <c:pt idx="3">
                  <c:v>0.47287401995248091</c:v>
                </c:pt>
                <c:pt idx="4">
                  <c:v>0.51055993602893879</c:v>
                </c:pt>
                <c:pt idx="5">
                  <c:v>0.49177063917545316</c:v>
                </c:pt>
                <c:pt idx="6">
                  <c:v>0.49520645156463033</c:v>
                </c:pt>
                <c:pt idx="7">
                  <c:v>0.3452608238671972</c:v>
                </c:pt>
                <c:pt idx="8">
                  <c:v>0.20256199017511703</c:v>
                </c:pt>
                <c:pt idx="9">
                  <c:v>0.26702785699948628</c:v>
                </c:pt>
                <c:pt idx="10">
                  <c:v>0.45853153748724151</c:v>
                </c:pt>
                <c:pt idx="11">
                  <c:v>0.35247850137864101</c:v>
                </c:pt>
                <c:pt idx="12">
                  <c:v>0.37013158290896908</c:v>
                </c:pt>
                <c:pt idx="13">
                  <c:v>0.44797874177450647</c:v>
                </c:pt>
                <c:pt idx="14">
                  <c:v>0.37034999628096882</c:v>
                </c:pt>
                <c:pt idx="15">
                  <c:v>0.19182893447483459</c:v>
                </c:pt>
                <c:pt idx="16">
                  <c:v>0.1284105817491572</c:v>
                </c:pt>
                <c:pt idx="17">
                  <c:v>0.2273223536064278</c:v>
                </c:pt>
                <c:pt idx="18">
                  <c:v>0.29441357628093445</c:v>
                </c:pt>
                <c:pt idx="19">
                  <c:v>0.2535284530061257</c:v>
                </c:pt>
                <c:pt idx="20">
                  <c:v>0.17763738024550754</c:v>
                </c:pt>
                <c:pt idx="21">
                  <c:v>0.23229729854486816</c:v>
                </c:pt>
                <c:pt idx="22">
                  <c:v>0.36590158039381565</c:v>
                </c:pt>
                <c:pt idx="23">
                  <c:v>0.25514759579408192</c:v>
                </c:pt>
                <c:pt idx="24">
                  <c:v>0.18792035212249938</c:v>
                </c:pt>
              </c:numCache>
            </c:numRef>
          </c:yVal>
        </c:ser>
        <c:axId val="92314624"/>
        <c:axId val="92341760"/>
      </c:scatterChart>
      <c:valAx>
        <c:axId val="92314624"/>
        <c:scaling>
          <c:orientation val="minMax"/>
          <c:max val="360"/>
          <c:min val="0"/>
        </c:scaling>
        <c:axPos val="b"/>
        <c:title>
          <c:tx>
            <c:rich>
              <a:bodyPr/>
              <a:lstStyle/>
              <a:p>
                <a:pPr>
                  <a:defRPr sz="1400"/>
                </a:pPr>
                <a:r>
                  <a:rPr lang="en-US" sz="1400"/>
                  <a:t>Bearing</a:t>
                </a:r>
                <a:r>
                  <a:rPr lang="en-US" sz="1400" baseline="0"/>
                  <a:t> (Degrees)</a:t>
                </a:r>
                <a:endParaRPr lang="en-US" sz="1400"/>
              </a:p>
            </c:rich>
          </c:tx>
        </c:title>
        <c:numFmt formatCode="0" sourceLinked="0"/>
        <c:tickLblPos val="nextTo"/>
        <c:crossAx val="92341760"/>
        <c:crosses val="autoZero"/>
        <c:crossBetween val="midCat"/>
      </c:valAx>
      <c:valAx>
        <c:axId val="92341760"/>
        <c:scaling>
          <c:orientation val="minMax"/>
          <c:max val="3"/>
        </c:scaling>
        <c:axPos val="l"/>
        <c:majorGridlines/>
        <c:title>
          <c:tx>
            <c:rich>
              <a:bodyPr rot="-5400000" vert="horz"/>
              <a:lstStyle/>
              <a:p>
                <a:pPr>
                  <a:defRPr sz="1400"/>
                </a:pPr>
                <a:r>
                  <a:rPr lang="en-US" sz="1400"/>
                  <a:t>Drift Rate (Kn)</a:t>
                </a:r>
              </a:p>
            </c:rich>
          </c:tx>
          <c:layout>
            <c:manualLayout>
              <c:xMode val="edge"/>
              <c:yMode val="edge"/>
              <c:x val="2.0928151679342626E-2"/>
              <c:y val="0.23275876879026491"/>
            </c:manualLayout>
          </c:layout>
        </c:title>
        <c:numFmt formatCode="0.00" sourceLinked="1"/>
        <c:tickLblPos val="nextTo"/>
        <c:crossAx val="92314624"/>
        <c:crosses val="autoZero"/>
        <c:crossBetween val="midCat"/>
      </c:valAx>
    </c:plotArea>
    <c:legend>
      <c:legendPos val="r"/>
      <c:layout>
        <c:manualLayout>
          <c:xMode val="edge"/>
          <c:yMode val="edge"/>
          <c:x val="0.20710967044840622"/>
          <c:y val="9.3813648293963228E-2"/>
          <c:w val="7.6151702775877059E-2"/>
          <c:h val="0.10959341445955643"/>
        </c:manualLayout>
      </c:layout>
    </c:legend>
    <c:plotVisOnly val="1"/>
  </c:chart>
  <c:printSettings>
    <c:headerFooter/>
    <c:pageMargins b="0.75000000000000155" l="0.70000000000000062" r="0.70000000000000062" t="0.750000000000001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IPS Deployment 2 Track</a:t>
            </a:r>
          </a:p>
        </c:rich>
      </c:tx>
      <c:layout>
        <c:manualLayout>
          <c:xMode val="edge"/>
          <c:yMode val="edge"/>
          <c:x val="0.29636772386573762"/>
          <c:y val="1.6956897851969195E-2"/>
        </c:manualLayout>
      </c:layout>
    </c:title>
    <c:plotArea>
      <c:layout>
        <c:manualLayout>
          <c:layoutTarget val="inner"/>
          <c:xMode val="edge"/>
          <c:yMode val="edge"/>
          <c:x val="7.3228499442298589E-2"/>
          <c:y val="0.15728351119266468"/>
          <c:w val="0.7904880272528253"/>
          <c:h val="0.80055623502454276"/>
        </c:manualLayout>
      </c:layout>
      <c:scatterChart>
        <c:scatterStyle val="lineMarker"/>
        <c:ser>
          <c:idx val="0"/>
          <c:order val="0"/>
          <c:tx>
            <c:v>Sable</c:v>
          </c:tx>
          <c:spPr>
            <a:ln w="19050">
              <a:noFill/>
            </a:ln>
          </c:spPr>
          <c:marker>
            <c:symbol val="circle"/>
            <c:size val="5"/>
            <c:spPr>
              <a:solidFill>
                <a:srgbClr val="FF0000"/>
              </a:solidFill>
              <a:ln>
                <a:solidFill>
                  <a:srgbClr val="000000"/>
                </a:solidFill>
              </a:ln>
            </c:spPr>
          </c:marker>
          <c:xVal>
            <c:numRef>
              <c:f>'Calc-Deploy 2'!$H$12:$H$50</c:f>
              <c:numCache>
                <c:formatCode>General</c:formatCode>
                <c:ptCount val="39"/>
                <c:pt idx="0">
                  <c:v>-157.47846000000001</c:v>
                </c:pt>
                <c:pt idx="1">
                  <c:v>-157.48515</c:v>
                </c:pt>
                <c:pt idx="2">
                  <c:v>-157.49966000000001</c:v>
                </c:pt>
                <c:pt idx="3">
                  <c:v>-157.49851000000001</c:v>
                </c:pt>
                <c:pt idx="4">
                  <c:v>-157.50450000000001</c:v>
                </c:pt>
                <c:pt idx="5">
                  <c:v>-157.52159</c:v>
                </c:pt>
                <c:pt idx="6">
                  <c:v>-157.53858</c:v>
                </c:pt>
                <c:pt idx="7">
                  <c:v>-157.57079999999999</c:v>
                </c:pt>
                <c:pt idx="8">
                  <c:v>-157.56979000000001</c:v>
                </c:pt>
                <c:pt idx="9">
                  <c:v>-157.56370000000001</c:v>
                </c:pt>
                <c:pt idx="10">
                  <c:v>-157.57365999999999</c:v>
                </c:pt>
                <c:pt idx="11">
                  <c:v>-157.58967000000001</c:v>
                </c:pt>
                <c:pt idx="12">
                  <c:v>-157.60321999999999</c:v>
                </c:pt>
                <c:pt idx="13">
                  <c:v>-157.61882</c:v>
                </c:pt>
                <c:pt idx="14">
                  <c:v>-157.64274</c:v>
                </c:pt>
                <c:pt idx="15">
                  <c:v>-157.65002000000001</c:v>
                </c:pt>
                <c:pt idx="16">
                  <c:v>-157.67083</c:v>
                </c:pt>
                <c:pt idx="17">
                  <c:v>-157.68727000000001</c:v>
                </c:pt>
                <c:pt idx="18">
                  <c:v>-157.70571000000001</c:v>
                </c:pt>
                <c:pt idx="19">
                  <c:v>-157.72412</c:v>
                </c:pt>
                <c:pt idx="20">
                  <c:v>-157.74723</c:v>
                </c:pt>
                <c:pt idx="21">
                  <c:v>-157.75801000000001</c:v>
                </c:pt>
                <c:pt idx="22">
                  <c:v>-157.77019999999999</c:v>
                </c:pt>
                <c:pt idx="23">
                  <c:v>-157.80235999999999</c:v>
                </c:pt>
                <c:pt idx="24">
                  <c:v>-157.83707999999999</c:v>
                </c:pt>
                <c:pt idx="25">
                  <c:v>-157.90370999999999</c:v>
                </c:pt>
                <c:pt idx="27">
                  <c:v>-157.86906999999999</c:v>
                </c:pt>
                <c:pt idx="28">
                  <c:v>-157.90370999999999</c:v>
                </c:pt>
              </c:numCache>
            </c:numRef>
          </c:xVal>
          <c:yVal>
            <c:numRef>
              <c:f>'Calc-Deploy 2'!$G$12:$G$50</c:f>
              <c:numCache>
                <c:formatCode>General</c:formatCode>
                <c:ptCount val="39"/>
                <c:pt idx="0">
                  <c:v>25.00489</c:v>
                </c:pt>
                <c:pt idx="1">
                  <c:v>25.007439999999999</c:v>
                </c:pt>
                <c:pt idx="2">
                  <c:v>25.009599999999999</c:v>
                </c:pt>
                <c:pt idx="3">
                  <c:v>25.014530000000001</c:v>
                </c:pt>
                <c:pt idx="4">
                  <c:v>25.006499999999999</c:v>
                </c:pt>
                <c:pt idx="5">
                  <c:v>24.995480000000001</c:v>
                </c:pt>
                <c:pt idx="6">
                  <c:v>24.998370000000001</c:v>
                </c:pt>
                <c:pt idx="7">
                  <c:v>25.019220000000001</c:v>
                </c:pt>
                <c:pt idx="8">
                  <c:v>25.022639999999999</c:v>
                </c:pt>
                <c:pt idx="9">
                  <c:v>25.023199999999999</c:v>
                </c:pt>
                <c:pt idx="10">
                  <c:v>25.01445</c:v>
                </c:pt>
                <c:pt idx="11">
                  <c:v>25.003789999999999</c:v>
                </c:pt>
                <c:pt idx="12">
                  <c:v>25.00554</c:v>
                </c:pt>
                <c:pt idx="13">
                  <c:v>25.013549999999999</c:v>
                </c:pt>
                <c:pt idx="14">
                  <c:v>25.026129999999998</c:v>
                </c:pt>
                <c:pt idx="15">
                  <c:v>25.02488</c:v>
                </c:pt>
                <c:pt idx="16">
                  <c:v>25.03153</c:v>
                </c:pt>
                <c:pt idx="17">
                  <c:v>25.029389999999999</c:v>
                </c:pt>
                <c:pt idx="18">
                  <c:v>25.027529999999999</c:v>
                </c:pt>
                <c:pt idx="19">
                  <c:v>25.040089999999999</c:v>
                </c:pt>
                <c:pt idx="20">
                  <c:v>25.050270000000001</c:v>
                </c:pt>
                <c:pt idx="21">
                  <c:v>25.04937</c:v>
                </c:pt>
                <c:pt idx="22">
                  <c:v>25.050899999999999</c:v>
                </c:pt>
                <c:pt idx="23">
                  <c:v>25.05142</c:v>
                </c:pt>
                <c:pt idx="24">
                  <c:v>25.061969999999999</c:v>
                </c:pt>
                <c:pt idx="25">
                  <c:v>25.086950000000002</c:v>
                </c:pt>
                <c:pt idx="27">
                  <c:v>25.079789999999999</c:v>
                </c:pt>
                <c:pt idx="28">
                  <c:v>25.086950000000002</c:v>
                </c:pt>
              </c:numCache>
            </c:numRef>
          </c:yVal>
        </c:ser>
        <c:ser>
          <c:idx val="1"/>
          <c:order val="1"/>
          <c:tx>
            <c:v>Ship</c:v>
          </c:tx>
          <c:spPr>
            <a:ln>
              <a:noFill/>
            </a:ln>
          </c:spPr>
          <c:marker>
            <c:symbol val="square"/>
            <c:size val="5"/>
            <c:spPr>
              <a:solidFill>
                <a:srgbClr val="00FF00"/>
              </a:solidFill>
              <a:ln>
                <a:solidFill>
                  <a:schemeClr val="tx1"/>
                </a:solidFill>
              </a:ln>
            </c:spPr>
          </c:marker>
          <c:xVal>
            <c:numRef>
              <c:f>'Calc-Deploy 2'!$BC$11:$BC$30</c:f>
              <c:numCache>
                <c:formatCode>0.000</c:formatCode>
                <c:ptCount val="20"/>
                <c:pt idx="0">
                  <c:v>-157.47751666666667</c:v>
                </c:pt>
                <c:pt idx="1">
                  <c:v>-157.48878333333334</c:v>
                </c:pt>
                <c:pt idx="2">
                  <c:v>-157.59389999999999</c:v>
                </c:pt>
                <c:pt idx="3">
                  <c:v>-157.5916</c:v>
                </c:pt>
                <c:pt idx="4">
                  <c:v>-157.65096666666668</c:v>
                </c:pt>
                <c:pt idx="5">
                  <c:v>-157.77940000000001</c:v>
                </c:pt>
                <c:pt idx="6">
                  <c:v>-157.9819</c:v>
                </c:pt>
                <c:pt idx="7">
                  <c:v>-158.19925000000001</c:v>
                </c:pt>
                <c:pt idx="8">
                  <c:v>-158.22523333333334</c:v>
                </c:pt>
                <c:pt idx="9">
                  <c:v>-157.85265000000001</c:v>
                </c:pt>
                <c:pt idx="10">
                  <c:v>-157.90766666666667</c:v>
                </c:pt>
              </c:numCache>
            </c:numRef>
          </c:xVal>
          <c:yVal>
            <c:numRef>
              <c:f>'Calc-Deploy 2'!$BB$11:$BB$30</c:f>
              <c:numCache>
                <c:formatCode>0.000</c:formatCode>
                <c:ptCount val="20"/>
                <c:pt idx="0">
                  <c:v>24.992383333333333</c:v>
                </c:pt>
                <c:pt idx="1">
                  <c:v>24.990533333333332</c:v>
                </c:pt>
                <c:pt idx="2">
                  <c:v>24.972666666666665</c:v>
                </c:pt>
                <c:pt idx="3">
                  <c:v>24.967133333333333</c:v>
                </c:pt>
                <c:pt idx="4">
                  <c:v>24.996200000000002</c:v>
                </c:pt>
                <c:pt idx="5">
                  <c:v>25.027166666666666</c:v>
                </c:pt>
                <c:pt idx="6">
                  <c:v>25.100283333333334</c:v>
                </c:pt>
                <c:pt idx="7">
                  <c:v>25.127683333333334</c:v>
                </c:pt>
                <c:pt idx="8">
                  <c:v>25.141400000000001</c:v>
                </c:pt>
                <c:pt idx="9">
                  <c:v>25.053716666666666</c:v>
                </c:pt>
                <c:pt idx="10">
                  <c:v>25.088100000000001</c:v>
                </c:pt>
              </c:numCache>
            </c:numRef>
          </c:yVal>
        </c:ser>
        <c:ser>
          <c:idx val="2"/>
          <c:order val="2"/>
          <c:tx>
            <c:v>Melo</c:v>
          </c:tx>
          <c:spPr>
            <a:ln>
              <a:solidFill>
                <a:srgbClr val="0000FF"/>
              </a:solidFill>
            </a:ln>
          </c:spPr>
          <c:marker>
            <c:symbol val="circle"/>
            <c:size val="5"/>
            <c:spPr>
              <a:solidFill>
                <a:srgbClr val="0000FF"/>
              </a:solidFill>
              <a:ln>
                <a:solidFill>
                  <a:srgbClr val="0000FF"/>
                </a:solidFill>
              </a:ln>
            </c:spPr>
          </c:marker>
          <c:xVal>
            <c:numRef>
              <c:f>'Calc-Deploy 2'!$AE$12:$AE$150</c:f>
              <c:numCache>
                <c:formatCode>General</c:formatCode>
                <c:ptCount val="139"/>
                <c:pt idx="0">
                  <c:v>-157.47927000000001</c:v>
                </c:pt>
                <c:pt idx="1">
                  <c:v>-157.48251999999999</c:v>
                </c:pt>
                <c:pt idx="2">
                  <c:v>-157.48776000000001</c:v>
                </c:pt>
                <c:pt idx="3">
                  <c:v>-157.49644000000001</c:v>
                </c:pt>
                <c:pt idx="4">
                  <c:v>-157.49825999999999</c:v>
                </c:pt>
                <c:pt idx="5">
                  <c:v>-157.5</c:v>
                </c:pt>
                <c:pt idx="6">
                  <c:v>-157.49988999999999</c:v>
                </c:pt>
                <c:pt idx="7">
                  <c:v>-157.49967000000001</c:v>
                </c:pt>
                <c:pt idx="8">
                  <c:v>-157.49955</c:v>
                </c:pt>
                <c:pt idx="9">
                  <c:v>-157.49888000000001</c:v>
                </c:pt>
                <c:pt idx="10">
                  <c:v>-157.49879999999999</c:v>
                </c:pt>
                <c:pt idx="11">
                  <c:v>-157.50028</c:v>
                </c:pt>
                <c:pt idx="12">
                  <c:v>-157.50301999999999</c:v>
                </c:pt>
                <c:pt idx="13">
                  <c:v>-157.50753</c:v>
                </c:pt>
                <c:pt idx="14">
                  <c:v>-157.51306</c:v>
                </c:pt>
                <c:pt idx="15">
                  <c:v>-157.51985999999999</c:v>
                </c:pt>
                <c:pt idx="16">
                  <c:v>-157.52626000000001</c:v>
                </c:pt>
                <c:pt idx="17">
                  <c:v>-157.53194999999999</c:v>
                </c:pt>
                <c:pt idx="18">
                  <c:v>-157.53744</c:v>
                </c:pt>
                <c:pt idx="19">
                  <c:v>-157.54141999999999</c:v>
                </c:pt>
                <c:pt idx="20">
                  <c:v>-157.54612</c:v>
                </c:pt>
                <c:pt idx="21">
                  <c:v>-157.55000000000001</c:v>
                </c:pt>
                <c:pt idx="22">
                  <c:v>-157.55329</c:v>
                </c:pt>
                <c:pt idx="23">
                  <c:v>-157.55659</c:v>
                </c:pt>
                <c:pt idx="24">
                  <c:v>-157.56147000000001</c:v>
                </c:pt>
                <c:pt idx="25">
                  <c:v>-157.56560999999999</c:v>
                </c:pt>
                <c:pt idx="26">
                  <c:v>-157.56843000000001</c:v>
                </c:pt>
                <c:pt idx="27">
                  <c:v>-157.57080999999999</c:v>
                </c:pt>
                <c:pt idx="28">
                  <c:v>-157.57131000000001</c:v>
                </c:pt>
                <c:pt idx="29">
                  <c:v>-157.57092</c:v>
                </c:pt>
                <c:pt idx="30">
                  <c:v>-157.57014000000001</c:v>
                </c:pt>
                <c:pt idx="31">
                  <c:v>-157.56797</c:v>
                </c:pt>
                <c:pt idx="32">
                  <c:v>-157.56460000000001</c:v>
                </c:pt>
                <c:pt idx="33">
                  <c:v>-157.56379000000001</c:v>
                </c:pt>
                <c:pt idx="34">
                  <c:v>-157.5652</c:v>
                </c:pt>
                <c:pt idx="35">
                  <c:v>-157.56898000000001</c:v>
                </c:pt>
                <c:pt idx="36">
                  <c:v>-157.57345000000001</c:v>
                </c:pt>
                <c:pt idx="37">
                  <c:v>-157.57732999999999</c:v>
                </c:pt>
                <c:pt idx="38">
                  <c:v>-157.58308</c:v>
                </c:pt>
                <c:pt idx="39">
                  <c:v>-157.58953</c:v>
                </c:pt>
                <c:pt idx="40">
                  <c:v>-157.5951</c:v>
                </c:pt>
                <c:pt idx="41">
                  <c:v>-157.59948</c:v>
                </c:pt>
                <c:pt idx="42">
                  <c:v>-157.60324</c:v>
                </c:pt>
                <c:pt idx="43">
                  <c:v>-157.60842</c:v>
                </c:pt>
                <c:pt idx="44">
                  <c:v>-157.61375000000001</c:v>
                </c:pt>
                <c:pt idx="45">
                  <c:v>-157.61895000000001</c:v>
                </c:pt>
                <c:pt idx="46">
                  <c:v>-157.62374</c:v>
                </c:pt>
                <c:pt idx="47">
                  <c:v>-157.62933000000001</c:v>
                </c:pt>
                <c:pt idx="48">
                  <c:v>-157.63444000000001</c:v>
                </c:pt>
                <c:pt idx="49">
                  <c:v>-157.63819000000001</c:v>
                </c:pt>
                <c:pt idx="50">
                  <c:v>-157.64089000000001</c:v>
                </c:pt>
                <c:pt idx="51">
                  <c:v>-157.64318</c:v>
                </c:pt>
                <c:pt idx="52">
                  <c:v>-157.64565999999999</c:v>
                </c:pt>
                <c:pt idx="53">
                  <c:v>-157.64859000000001</c:v>
                </c:pt>
                <c:pt idx="54">
                  <c:v>-157.65034</c:v>
                </c:pt>
                <c:pt idx="55">
                  <c:v>-157.65199000000001</c:v>
                </c:pt>
                <c:pt idx="56">
                  <c:v>-157.65497999999999</c:v>
                </c:pt>
                <c:pt idx="57">
                  <c:v>-157.65879000000001</c:v>
                </c:pt>
                <c:pt idx="58">
                  <c:v>-157.66275999999999</c:v>
                </c:pt>
                <c:pt idx="59">
                  <c:v>-157.66686999999999</c:v>
                </c:pt>
                <c:pt idx="60">
                  <c:v>-157.67188999999999</c:v>
                </c:pt>
                <c:pt idx="61">
                  <c:v>-157.67697999999999</c:v>
                </c:pt>
                <c:pt idx="62">
                  <c:v>-157.68298999999999</c:v>
                </c:pt>
                <c:pt idx="63" formatCode="0.000000">
                  <c:v>-157.68828999999999</c:v>
                </c:pt>
                <c:pt idx="64" formatCode="0.000000">
                  <c:v>-157.69300000000001</c:v>
                </c:pt>
                <c:pt idx="65" formatCode="0.000000">
                  <c:v>-157.70009999999999</c:v>
                </c:pt>
                <c:pt idx="66">
                  <c:v>-157.70735999999999</c:v>
                </c:pt>
                <c:pt idx="67">
                  <c:v>-157.71413999999999</c:v>
                </c:pt>
                <c:pt idx="68">
                  <c:v>-157.71975</c:v>
                </c:pt>
                <c:pt idx="69">
                  <c:v>-157.72575000000001</c:v>
                </c:pt>
                <c:pt idx="70">
                  <c:v>-157.73075</c:v>
                </c:pt>
                <c:pt idx="71">
                  <c:v>-157.73396</c:v>
                </c:pt>
                <c:pt idx="72" formatCode="0.000000">
                  <c:v>-157.73734999999999</c:v>
                </c:pt>
                <c:pt idx="73" formatCode="0.000000">
                  <c:v>-157.74234999999999</c:v>
                </c:pt>
                <c:pt idx="74" formatCode="0.000000">
                  <c:v>-157.74569</c:v>
                </c:pt>
                <c:pt idx="75" formatCode="0.000000">
                  <c:v>-157.74825999999999</c:v>
                </c:pt>
                <c:pt idx="76" formatCode="0.000000">
                  <c:v>-157.75157999999999</c:v>
                </c:pt>
                <c:pt idx="77" formatCode="0.000000">
                  <c:v>-157.75509</c:v>
                </c:pt>
                <c:pt idx="78" formatCode="0.000000">
                  <c:v>-157.75975</c:v>
                </c:pt>
                <c:pt idx="79" formatCode="0.000000">
                  <c:v>-157.76271</c:v>
                </c:pt>
                <c:pt idx="80" formatCode="0.000000">
                  <c:v>-157.76705000000001</c:v>
                </c:pt>
                <c:pt idx="81" formatCode="0.000000">
                  <c:v>-157.77278999999999</c:v>
                </c:pt>
                <c:pt idx="82" formatCode="0.000000">
                  <c:v>-157.77946</c:v>
                </c:pt>
                <c:pt idx="83" formatCode="0.000000">
                  <c:v>-157.78586999999999</c:v>
                </c:pt>
                <c:pt idx="84" formatCode="0.000000">
                  <c:v>-157.79147</c:v>
                </c:pt>
                <c:pt idx="85" formatCode="0.000000">
                  <c:v>-157.79689999999999</c:v>
                </c:pt>
                <c:pt idx="86" formatCode="0.000000">
                  <c:v>-157.80097000000001</c:v>
                </c:pt>
                <c:pt idx="87" formatCode="0.000000">
                  <c:v>-157.80410000000001</c:v>
                </c:pt>
                <c:pt idx="88" formatCode="0.000000">
                  <c:v>-157.80874</c:v>
                </c:pt>
                <c:pt idx="89" formatCode="0.000000">
                  <c:v>-157.81551999999999</c:v>
                </c:pt>
                <c:pt idx="90" formatCode="0.000000">
                  <c:v>-157.82167999999999</c:v>
                </c:pt>
                <c:pt idx="91" formatCode="0.000000">
                  <c:v>-157.82823999999999</c:v>
                </c:pt>
                <c:pt idx="92" formatCode="0.000000">
                  <c:v>-157.83465000000001</c:v>
                </c:pt>
                <c:pt idx="93" formatCode="0.000000">
                  <c:v>-157.84011000000001</c:v>
                </c:pt>
                <c:pt idx="94" formatCode="0.000000">
                  <c:v>-157.8459</c:v>
                </c:pt>
                <c:pt idx="95" formatCode="0.000000">
                  <c:v>-157.85147000000001</c:v>
                </c:pt>
                <c:pt idx="96" formatCode="0.000000">
                  <c:v>-157.85533000000001</c:v>
                </c:pt>
                <c:pt idx="97" formatCode="0.000000">
                  <c:v>-157.85810000000001</c:v>
                </c:pt>
                <c:pt idx="98" formatCode="0.000000">
                  <c:v>-157.86046999999999</c:v>
                </c:pt>
                <c:pt idx="99" formatCode="0.000000">
                  <c:v>-157.86314999999999</c:v>
                </c:pt>
                <c:pt idx="100" formatCode="0.000000">
                  <c:v>-157.86517000000001</c:v>
                </c:pt>
                <c:pt idx="101" formatCode="0.000000">
                  <c:v>-157.86795000000001</c:v>
                </c:pt>
                <c:pt idx="102" formatCode="0.000000">
                  <c:v>-157.87201999999999</c:v>
                </c:pt>
                <c:pt idx="103" formatCode="0.000000">
                  <c:v>-157.87692000000001</c:v>
                </c:pt>
                <c:pt idx="104" formatCode="0.000000">
                  <c:v>-157.88139000000001</c:v>
                </c:pt>
                <c:pt idx="105" formatCode="0.000000">
                  <c:v>-157.88745</c:v>
                </c:pt>
                <c:pt idx="106" formatCode="0.000000">
                  <c:v>-157.89515</c:v>
                </c:pt>
              </c:numCache>
            </c:numRef>
          </c:xVal>
          <c:yVal>
            <c:numRef>
              <c:f>'Calc-Deploy 2'!$AD$12:$AD$150</c:f>
              <c:numCache>
                <c:formatCode>General</c:formatCode>
                <c:ptCount val="139"/>
                <c:pt idx="0">
                  <c:v>25.00778</c:v>
                </c:pt>
                <c:pt idx="1">
                  <c:v>25.007999999999999</c:v>
                </c:pt>
                <c:pt idx="2">
                  <c:v>25.006710000000002</c:v>
                </c:pt>
                <c:pt idx="3">
                  <c:v>25.003730000000001</c:v>
                </c:pt>
                <c:pt idx="4">
                  <c:v>25.0044</c:v>
                </c:pt>
                <c:pt idx="5">
                  <c:v>25.00601</c:v>
                </c:pt>
                <c:pt idx="6">
                  <c:v>25.008130000000001</c:v>
                </c:pt>
                <c:pt idx="7">
                  <c:v>25.010670000000001</c:v>
                </c:pt>
                <c:pt idx="8">
                  <c:v>25.01342</c:v>
                </c:pt>
                <c:pt idx="9">
                  <c:v>25.01445</c:v>
                </c:pt>
                <c:pt idx="10">
                  <c:v>25.01418</c:v>
                </c:pt>
                <c:pt idx="11">
                  <c:v>25.011859999999999</c:v>
                </c:pt>
                <c:pt idx="12">
                  <c:v>25.00787</c:v>
                </c:pt>
                <c:pt idx="13">
                  <c:v>25.0046</c:v>
                </c:pt>
                <c:pt idx="14">
                  <c:v>25.000800000000002</c:v>
                </c:pt>
                <c:pt idx="15">
                  <c:v>24.996739999999999</c:v>
                </c:pt>
                <c:pt idx="16">
                  <c:v>24.994029999999999</c:v>
                </c:pt>
                <c:pt idx="17">
                  <c:v>24.994289999999999</c:v>
                </c:pt>
                <c:pt idx="18">
                  <c:v>24.997260000000001</c:v>
                </c:pt>
                <c:pt idx="19">
                  <c:v>25.001539999999999</c:v>
                </c:pt>
                <c:pt idx="20">
                  <c:v>25.005960000000002</c:v>
                </c:pt>
                <c:pt idx="21">
                  <c:v>25.010400000000001</c:v>
                </c:pt>
                <c:pt idx="22">
                  <c:v>25.01397</c:v>
                </c:pt>
                <c:pt idx="23">
                  <c:v>25.01606</c:v>
                </c:pt>
                <c:pt idx="24">
                  <c:v>25.016719999999999</c:v>
                </c:pt>
                <c:pt idx="25">
                  <c:v>25.017949999999999</c:v>
                </c:pt>
                <c:pt idx="26">
                  <c:v>25.018249999999998</c:v>
                </c:pt>
                <c:pt idx="27">
                  <c:v>25.018930000000001</c:v>
                </c:pt>
                <c:pt idx="28">
                  <c:v>25.020140000000001</c:v>
                </c:pt>
                <c:pt idx="29">
                  <c:v>25.020579999999999</c:v>
                </c:pt>
                <c:pt idx="30">
                  <c:v>25.022279999999999</c:v>
                </c:pt>
                <c:pt idx="31">
                  <c:v>25.024090000000001</c:v>
                </c:pt>
                <c:pt idx="32">
                  <c:v>25.024249999999999</c:v>
                </c:pt>
                <c:pt idx="33">
                  <c:v>25.023260000000001</c:v>
                </c:pt>
                <c:pt idx="34">
                  <c:v>25.021740000000001</c:v>
                </c:pt>
                <c:pt idx="35">
                  <c:v>25.01821</c:v>
                </c:pt>
                <c:pt idx="36">
                  <c:v>25.014810000000001</c:v>
                </c:pt>
                <c:pt idx="37">
                  <c:v>25.011209999999998</c:v>
                </c:pt>
                <c:pt idx="38">
                  <c:v>25.007200000000001</c:v>
                </c:pt>
                <c:pt idx="39">
                  <c:v>25.003910000000001</c:v>
                </c:pt>
                <c:pt idx="40">
                  <c:v>25.002690000000001</c:v>
                </c:pt>
                <c:pt idx="41">
                  <c:v>25.003710000000002</c:v>
                </c:pt>
                <c:pt idx="42">
                  <c:v>25.00554</c:v>
                </c:pt>
                <c:pt idx="43">
                  <c:v>25.007680000000001</c:v>
                </c:pt>
                <c:pt idx="44">
                  <c:v>25.010439999999999</c:v>
                </c:pt>
                <c:pt idx="45">
                  <c:v>25.013529999999999</c:v>
                </c:pt>
                <c:pt idx="46">
                  <c:v>25.017720000000001</c:v>
                </c:pt>
                <c:pt idx="47">
                  <c:v>25.02054</c:v>
                </c:pt>
                <c:pt idx="48">
                  <c:v>25.022120000000001</c:v>
                </c:pt>
                <c:pt idx="49">
                  <c:v>25.024139999999999</c:v>
                </c:pt>
                <c:pt idx="50">
                  <c:v>25.02563</c:v>
                </c:pt>
                <c:pt idx="51">
                  <c:v>25.026050000000001</c:v>
                </c:pt>
                <c:pt idx="52">
                  <c:v>25.025849999999998</c:v>
                </c:pt>
                <c:pt idx="53">
                  <c:v>25.025169999999999</c:v>
                </c:pt>
                <c:pt idx="54">
                  <c:v>25.02486</c:v>
                </c:pt>
                <c:pt idx="55">
                  <c:v>25.026309999999999</c:v>
                </c:pt>
                <c:pt idx="56">
                  <c:v>25.028469999999999</c:v>
                </c:pt>
                <c:pt idx="57">
                  <c:v>25.03021</c:v>
                </c:pt>
                <c:pt idx="58">
                  <c:v>25.031860000000002</c:v>
                </c:pt>
                <c:pt idx="59">
                  <c:v>25.0322</c:v>
                </c:pt>
                <c:pt idx="60">
                  <c:v>25.031220000000001</c:v>
                </c:pt>
                <c:pt idx="61">
                  <c:v>25.03002</c:v>
                </c:pt>
                <c:pt idx="62">
                  <c:v>25.02983</c:v>
                </c:pt>
                <c:pt idx="63">
                  <c:v>25.028960000000001</c:v>
                </c:pt>
                <c:pt idx="64">
                  <c:v>25.027059999999999</c:v>
                </c:pt>
                <c:pt idx="65">
                  <c:v>25.026150000000001</c:v>
                </c:pt>
                <c:pt idx="66">
                  <c:v>25.028320000000001</c:v>
                </c:pt>
                <c:pt idx="67">
                  <c:v>25.032889999999998</c:v>
                </c:pt>
                <c:pt idx="68">
                  <c:v>25.037739999999999</c:v>
                </c:pt>
                <c:pt idx="69">
                  <c:v>25.040649999999999</c:v>
                </c:pt>
                <c:pt idx="70">
                  <c:v>25.042200000000001</c:v>
                </c:pt>
                <c:pt idx="71" formatCode="0.000000">
                  <c:v>25.04383</c:v>
                </c:pt>
                <c:pt idx="72">
                  <c:v>25.0459</c:v>
                </c:pt>
                <c:pt idx="73">
                  <c:v>25.046959999999999</c:v>
                </c:pt>
                <c:pt idx="74">
                  <c:v>25.048629999999999</c:v>
                </c:pt>
                <c:pt idx="75">
                  <c:v>25.050519999999999</c:v>
                </c:pt>
                <c:pt idx="76">
                  <c:v>25.050550000000001</c:v>
                </c:pt>
                <c:pt idx="77">
                  <c:v>25.04973</c:v>
                </c:pt>
                <c:pt idx="78">
                  <c:v>25.049530000000001</c:v>
                </c:pt>
                <c:pt idx="79">
                  <c:v>25.051559999999998</c:v>
                </c:pt>
                <c:pt idx="80">
                  <c:v>25.051210000000001</c:v>
                </c:pt>
                <c:pt idx="81">
                  <c:v>25.05048</c:v>
                </c:pt>
                <c:pt idx="82">
                  <c:v>25.049630000000001</c:v>
                </c:pt>
                <c:pt idx="83">
                  <c:v>25.049510000000001</c:v>
                </c:pt>
                <c:pt idx="84">
                  <c:v>25.04834</c:v>
                </c:pt>
                <c:pt idx="85">
                  <c:v>25.047899999999998</c:v>
                </c:pt>
                <c:pt idx="86">
                  <c:v>25.05058</c:v>
                </c:pt>
                <c:pt idx="87">
                  <c:v>25.051939999999998</c:v>
                </c:pt>
                <c:pt idx="88">
                  <c:v>25.052569999999999</c:v>
                </c:pt>
                <c:pt idx="89">
                  <c:v>25.052759999999999</c:v>
                </c:pt>
                <c:pt idx="90">
                  <c:v>25.053850000000001</c:v>
                </c:pt>
                <c:pt idx="91">
                  <c:v>25.0564</c:v>
                </c:pt>
                <c:pt idx="92">
                  <c:v>25.060220000000001</c:v>
                </c:pt>
                <c:pt idx="93">
                  <c:v>25.064019999999999</c:v>
                </c:pt>
                <c:pt idx="94">
                  <c:v>25.067240000000002</c:v>
                </c:pt>
                <c:pt idx="95">
                  <c:v>25.069579999999998</c:v>
                </c:pt>
                <c:pt idx="96">
                  <c:v>25.071619999999999</c:v>
                </c:pt>
                <c:pt idx="97">
                  <c:v>25.07263</c:v>
                </c:pt>
                <c:pt idx="98">
                  <c:v>25.073609999999999</c:v>
                </c:pt>
                <c:pt idx="99">
                  <c:v>25.075679999999998</c:v>
                </c:pt>
                <c:pt idx="100">
                  <c:v>25.07779</c:v>
                </c:pt>
                <c:pt idx="101">
                  <c:v>25.079429999999999</c:v>
                </c:pt>
                <c:pt idx="102">
                  <c:v>25.08006</c:v>
                </c:pt>
                <c:pt idx="103">
                  <c:v>25.08081</c:v>
                </c:pt>
                <c:pt idx="104">
                  <c:v>25.081890000000001</c:v>
                </c:pt>
                <c:pt idx="105">
                  <c:v>25.082540000000002</c:v>
                </c:pt>
                <c:pt idx="106">
                  <c:v>25.084109999999999</c:v>
                </c:pt>
              </c:numCache>
            </c:numRef>
          </c:yVal>
        </c:ser>
        <c:ser>
          <c:idx val="3"/>
          <c:order val="3"/>
          <c:tx>
            <c:v>ESP</c:v>
          </c:tx>
          <c:spPr>
            <a:ln w="28575">
              <a:noFill/>
            </a:ln>
          </c:spPr>
          <c:marker>
            <c:symbol val="square"/>
            <c:size val="7"/>
            <c:spPr>
              <a:solidFill>
                <a:srgbClr val="FF8000"/>
              </a:solidFill>
              <a:ln>
                <a:solidFill>
                  <a:schemeClr val="tx1"/>
                </a:solidFill>
              </a:ln>
            </c:spPr>
          </c:marker>
          <c:xVal>
            <c:numRef>
              <c:f>'Calc-Deploy 2'!$BL$27:$BL$30</c:f>
              <c:numCache>
                <c:formatCode>0.000</c:formatCode>
                <c:ptCount val="4"/>
                <c:pt idx="0" formatCode="0.00000">
                  <c:v>-157.4776</c:v>
                </c:pt>
                <c:pt idx="1">
                  <c:v>-158.22523333333334</c:v>
                </c:pt>
              </c:numCache>
            </c:numRef>
          </c:xVal>
          <c:yVal>
            <c:numRef>
              <c:f>'Calc-Deploy 2'!$BK$27:$BK$30</c:f>
              <c:numCache>
                <c:formatCode>0.000</c:formatCode>
                <c:ptCount val="4"/>
                <c:pt idx="0" formatCode="0.00000">
                  <c:v>24.970199999999998</c:v>
                </c:pt>
                <c:pt idx="1">
                  <c:v>25.141400000000001</c:v>
                </c:pt>
              </c:numCache>
            </c:numRef>
          </c:yVal>
        </c:ser>
        <c:ser>
          <c:idx val="4"/>
          <c:order val="4"/>
          <c:tx>
            <c:v>Gas Array</c:v>
          </c:tx>
          <c:spPr>
            <a:ln w="28575">
              <a:noFill/>
            </a:ln>
          </c:spPr>
          <c:marker>
            <c:symbol val="square"/>
            <c:size val="7"/>
            <c:spPr>
              <a:solidFill>
                <a:srgbClr val="D000B7"/>
              </a:solidFill>
              <a:ln>
                <a:solidFill>
                  <a:prstClr val="black"/>
                </a:solidFill>
              </a:ln>
            </c:spPr>
          </c:marker>
          <c:xVal>
            <c:numRef>
              <c:f>'Calc-Deploy 2'!$BL$12:$BL$16</c:f>
              <c:numCache>
                <c:formatCode>0.000</c:formatCode>
                <c:ptCount val="5"/>
                <c:pt idx="0">
                  <c:v>-157.69300000000001</c:v>
                </c:pt>
                <c:pt idx="1">
                  <c:v>-157.77799999999999</c:v>
                </c:pt>
                <c:pt idx="2">
                  <c:v>-157.81299999999999</c:v>
                </c:pt>
                <c:pt idx="3">
                  <c:v>-157.83699999999999</c:v>
                </c:pt>
                <c:pt idx="4">
                  <c:v>-157.863</c:v>
                </c:pt>
              </c:numCache>
            </c:numRef>
          </c:xVal>
          <c:yVal>
            <c:numRef>
              <c:f>'Calc-Deploy 2'!$BK$12:$BK$16</c:f>
              <c:numCache>
                <c:formatCode>General</c:formatCode>
                <c:ptCount val="5"/>
                <c:pt idx="0">
                  <c:v>25.007000000000001</c:v>
                </c:pt>
                <c:pt idx="1">
                  <c:v>25.013000000000002</c:v>
                </c:pt>
                <c:pt idx="2">
                  <c:v>25.015000000000001</c:v>
                </c:pt>
                <c:pt idx="3">
                  <c:v>25.024999999999999</c:v>
                </c:pt>
                <c:pt idx="4">
                  <c:v>25.023</c:v>
                </c:pt>
              </c:numCache>
            </c:numRef>
          </c:yVal>
        </c:ser>
        <c:axId val="92897664"/>
        <c:axId val="92899968"/>
      </c:scatterChart>
      <c:valAx>
        <c:axId val="92897664"/>
        <c:scaling>
          <c:orientation val="minMax"/>
          <c:max val="-157.4"/>
          <c:min val="-158.30000000000001"/>
        </c:scaling>
        <c:axPos val="b"/>
        <c:title>
          <c:tx>
            <c:rich>
              <a:bodyPr/>
              <a:lstStyle/>
              <a:p>
                <a:pPr>
                  <a:defRPr/>
                </a:pPr>
                <a:r>
                  <a:rPr lang="en-US" sz="1400"/>
                  <a:t>E Longitude</a:t>
                </a:r>
              </a:p>
            </c:rich>
          </c:tx>
          <c:layout>
            <c:manualLayout>
              <c:xMode val="edge"/>
              <c:yMode val="edge"/>
              <c:x val="0.39744145703272482"/>
              <c:y val="7.0858610656059723E-2"/>
            </c:manualLayout>
          </c:layout>
        </c:title>
        <c:numFmt formatCode="General" sourceLinked="1"/>
        <c:minorTickMark val="in"/>
        <c:tickLblPos val="high"/>
        <c:crossAx val="92899968"/>
        <c:crosses val="autoZero"/>
        <c:crossBetween val="midCat"/>
      </c:valAx>
      <c:valAx>
        <c:axId val="92899968"/>
        <c:scaling>
          <c:orientation val="minMax"/>
          <c:max val="25.150000000000013"/>
          <c:min val="24.95"/>
        </c:scaling>
        <c:axPos val="l"/>
        <c:majorGridlines/>
        <c:title>
          <c:tx>
            <c:rich>
              <a:bodyPr rot="-5400000" vert="horz"/>
              <a:lstStyle/>
              <a:p>
                <a:pPr>
                  <a:defRPr sz="1400"/>
                </a:pPr>
                <a:r>
                  <a:rPr lang="en-US" sz="1400"/>
                  <a:t>N Latitude</a:t>
                </a:r>
              </a:p>
            </c:rich>
          </c:tx>
          <c:layout>
            <c:manualLayout>
              <c:xMode val="edge"/>
              <c:yMode val="edge"/>
              <c:x val="0.94040303716479445"/>
              <c:y val="0.49732315607440375"/>
            </c:manualLayout>
          </c:layout>
        </c:title>
        <c:numFmt formatCode="General" sourceLinked="1"/>
        <c:minorTickMark val="in"/>
        <c:tickLblPos val="high"/>
        <c:crossAx val="92897664"/>
        <c:crosses val="autoZero"/>
        <c:crossBetween val="midCat"/>
      </c:valAx>
    </c:plotArea>
    <c:legend>
      <c:legendPos val="r"/>
      <c:layout>
        <c:manualLayout>
          <c:xMode val="edge"/>
          <c:yMode val="edge"/>
          <c:x val="7.4304245714315542E-2"/>
          <c:y val="0.76439910580061121"/>
          <c:w val="0.1437843207431829"/>
          <c:h val="0.18404995001504287"/>
        </c:manualLayout>
      </c:layout>
      <c:spPr>
        <a:solidFill>
          <a:schemeClr val="bg1"/>
        </a:solidFill>
        <a:ln>
          <a:solidFill>
            <a:schemeClr val="tx1"/>
          </a:solidFill>
        </a:ln>
      </c:spPr>
    </c:legend>
    <c:plotVisOnly val="1"/>
    <c:dispBlanksAs val="gap"/>
  </c:chart>
  <c:printSettings>
    <c:headerFooter/>
    <c:pageMargins b="0.75000000000000178" l="0.70000000000000062" r="0.70000000000000062" t="0.75000000000000178" header="0.30000000000000032" footer="0.3000000000000003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4388425753469244"/>
          <c:y val="5.4892297945515547E-2"/>
          <c:w val="0.80002003827824963"/>
          <c:h val="0.8057948683138757"/>
        </c:manualLayout>
      </c:layout>
      <c:scatterChart>
        <c:scatterStyle val="lineMarker"/>
        <c:ser>
          <c:idx val="0"/>
          <c:order val="0"/>
          <c:tx>
            <c:v>Sable</c:v>
          </c:tx>
          <c:spPr>
            <a:ln>
              <a:noFill/>
            </a:ln>
          </c:spPr>
          <c:marker>
            <c:symbol val="circle"/>
            <c:size val="7"/>
            <c:spPr>
              <a:solidFill>
                <a:srgbClr val="FF0000"/>
              </a:solidFill>
              <a:ln>
                <a:solidFill>
                  <a:sysClr val="windowText" lastClr="000000"/>
                </a:solidFill>
              </a:ln>
            </c:spPr>
          </c:marker>
          <c:xVal>
            <c:numRef>
              <c:f>'Calc-Deploy 2'!$D$12:$D$50</c:f>
              <c:numCache>
                <c:formatCode>h:mm:ss;@</c:formatCode>
                <c:ptCount val="39"/>
                <c:pt idx="0">
                  <c:v>40800.709722222222</c:v>
                </c:pt>
                <c:pt idx="1">
                  <c:v>40800.834722222222</c:v>
                </c:pt>
                <c:pt idx="2">
                  <c:v>40801.084722222222</c:v>
                </c:pt>
                <c:pt idx="3">
                  <c:v>40801.209722222222</c:v>
                </c:pt>
                <c:pt idx="4">
                  <c:v>40801.334722222222</c:v>
                </c:pt>
                <c:pt idx="5">
                  <c:v>40801.459027777782</c:v>
                </c:pt>
                <c:pt idx="6">
                  <c:v>40801.584722222222</c:v>
                </c:pt>
                <c:pt idx="7">
                  <c:v>40801.959722222222</c:v>
                </c:pt>
                <c:pt idx="8">
                  <c:v>40802.084027777782</c:v>
                </c:pt>
                <c:pt idx="9">
                  <c:v>40802.209722222222</c:v>
                </c:pt>
                <c:pt idx="10">
                  <c:v>40802.334722222222</c:v>
                </c:pt>
                <c:pt idx="11">
                  <c:v>40802.459722222222</c:v>
                </c:pt>
                <c:pt idx="12">
                  <c:v>40802.584722222222</c:v>
                </c:pt>
                <c:pt idx="13">
                  <c:v>40802.709027777782</c:v>
                </c:pt>
                <c:pt idx="14">
                  <c:v>40802.959722222222</c:v>
                </c:pt>
                <c:pt idx="15">
                  <c:v>40803.084722222222</c:v>
                </c:pt>
                <c:pt idx="16">
                  <c:v>40803.334722222222</c:v>
                </c:pt>
                <c:pt idx="17">
                  <c:v>40803.458333333336</c:v>
                </c:pt>
                <c:pt idx="18">
                  <c:v>40803.584722222222</c:v>
                </c:pt>
                <c:pt idx="19">
                  <c:v>40803.709722222222</c:v>
                </c:pt>
                <c:pt idx="20">
                  <c:v>40803.959722222222</c:v>
                </c:pt>
                <c:pt idx="21">
                  <c:v>40804.084722222222</c:v>
                </c:pt>
                <c:pt idx="22">
                  <c:v>40804.209722222222</c:v>
                </c:pt>
                <c:pt idx="23">
                  <c:v>40804.459027777782</c:v>
                </c:pt>
                <c:pt idx="24">
                  <c:v>40804.709027777782</c:v>
                </c:pt>
                <c:pt idx="25">
                  <c:v>40805.334722222222</c:v>
                </c:pt>
                <c:pt idx="27">
                  <c:v>40805.084722222222</c:v>
                </c:pt>
                <c:pt idx="28">
                  <c:v>40805.334722222222</c:v>
                </c:pt>
              </c:numCache>
            </c:numRef>
          </c:xVal>
          <c:yVal>
            <c:numRef>
              <c:f>'Calc-Deploy 2'!$N$12:$N$50</c:f>
              <c:numCache>
                <c:formatCode>0.00</c:formatCode>
                <c:ptCount val="39"/>
                <c:pt idx="0">
                  <c:v>292.81260587004601</c:v>
                </c:pt>
                <c:pt idx="1">
                  <c:v>279.33136047371306</c:v>
                </c:pt>
                <c:pt idx="2">
                  <c:v>11.935779609533684</c:v>
                </c:pt>
                <c:pt idx="3">
                  <c:v>214.06015051430049</c:v>
                </c:pt>
                <c:pt idx="4">
                  <c:v>234.57223333463472</c:v>
                </c:pt>
                <c:pt idx="5">
                  <c:v>280.63320494288712</c:v>
                </c:pt>
                <c:pt idx="6">
                  <c:v>305.53599803319241</c:v>
                </c:pt>
                <c:pt idx="7">
                  <c:v>14.981475439260945</c:v>
                </c:pt>
                <c:pt idx="8">
                  <c:v>84.204231141593382</c:v>
                </c:pt>
                <c:pt idx="9">
                  <c:v>225.88987067702152</c:v>
                </c:pt>
                <c:pt idx="10">
                  <c:v>233.69788123363469</c:v>
                </c:pt>
                <c:pt idx="11">
                  <c:v>278.11336606804542</c:v>
                </c:pt>
                <c:pt idx="12">
                  <c:v>299.53858742369607</c:v>
                </c:pt>
                <c:pt idx="13">
                  <c:v>300.13516453316566</c:v>
                </c:pt>
                <c:pt idx="14">
                  <c:v>259.27161332210011</c:v>
                </c:pt>
                <c:pt idx="15">
                  <c:v>289.43082991789328</c:v>
                </c:pt>
                <c:pt idx="16">
                  <c:v>261.82814948497276</c:v>
                </c:pt>
                <c:pt idx="17">
                  <c:v>263.6518319856533</c:v>
                </c:pt>
                <c:pt idx="18">
                  <c:v>306.98267580688594</c:v>
                </c:pt>
                <c:pt idx="19">
                  <c:v>295.9347952468986</c:v>
                </c:pt>
                <c:pt idx="20">
                  <c:v>264.73699564845873</c:v>
                </c:pt>
                <c:pt idx="21">
                  <c:v>277.89038621003874</c:v>
                </c:pt>
                <c:pt idx="22">
                  <c:v>271.02932242763546</c:v>
                </c:pt>
                <c:pt idx="23">
                  <c:v>288.55018166304387</c:v>
                </c:pt>
                <c:pt idx="24">
                  <c:v>292.49948436451893</c:v>
                </c:pt>
                <c:pt idx="25">
                  <c:v>43.756861696414838</c:v>
                </c:pt>
                <c:pt idx="27">
                  <c:v>282.86323418812634</c:v>
                </c:pt>
              </c:numCache>
            </c:numRef>
          </c:yVal>
        </c:ser>
        <c:ser>
          <c:idx val="1"/>
          <c:order val="1"/>
          <c:tx>
            <c:v>Melo</c:v>
          </c:tx>
          <c:spPr>
            <a:ln>
              <a:noFill/>
            </a:ln>
          </c:spPr>
          <c:marker>
            <c:symbol val="circle"/>
            <c:size val="7"/>
            <c:spPr>
              <a:solidFill>
                <a:srgbClr val="0000FF"/>
              </a:solidFill>
              <a:ln>
                <a:noFill/>
              </a:ln>
            </c:spPr>
          </c:marker>
          <c:xVal>
            <c:numRef>
              <c:f>'Calc-Deploy 2'!$AA$12:$AA$150</c:f>
              <c:numCache>
                <c:formatCode>h:mm:ss;@</c:formatCode>
                <c:ptCount val="139"/>
                <c:pt idx="0">
                  <c:v>40800.768750000003</c:v>
                </c:pt>
                <c:pt idx="1">
                  <c:v>40800.811111111114</c:v>
                </c:pt>
                <c:pt idx="2">
                  <c:v>40800.854166666672</c:v>
                </c:pt>
                <c:pt idx="3">
                  <c:v>40800.9375</c:v>
                </c:pt>
                <c:pt idx="4">
                  <c:v>40800.979166666672</c:v>
                </c:pt>
                <c:pt idx="5">
                  <c:v>40801.021527777782</c:v>
                </c:pt>
                <c:pt idx="6">
                  <c:v>40801.063194444447</c:v>
                </c:pt>
                <c:pt idx="7">
                  <c:v>40801.105555555558</c:v>
                </c:pt>
                <c:pt idx="8">
                  <c:v>40801.147916666669</c:v>
                </c:pt>
                <c:pt idx="9">
                  <c:v>40801.190972222226</c:v>
                </c:pt>
                <c:pt idx="10">
                  <c:v>40801.232638888891</c:v>
                </c:pt>
                <c:pt idx="11">
                  <c:v>40801.275000000001</c:v>
                </c:pt>
                <c:pt idx="12">
                  <c:v>40801.317361111112</c:v>
                </c:pt>
                <c:pt idx="13">
                  <c:v>40801.361111111117</c:v>
                </c:pt>
                <c:pt idx="14">
                  <c:v>40801.402083333334</c:v>
                </c:pt>
                <c:pt idx="15">
                  <c:v>40801.445138888892</c:v>
                </c:pt>
                <c:pt idx="16">
                  <c:v>40801.487500000003</c:v>
                </c:pt>
                <c:pt idx="17">
                  <c:v>40801.528472222228</c:v>
                </c:pt>
                <c:pt idx="18">
                  <c:v>40801.570833333339</c:v>
                </c:pt>
                <c:pt idx="19">
                  <c:v>40801.613888888889</c:v>
                </c:pt>
                <c:pt idx="20">
                  <c:v>40801.654861111114</c:v>
                </c:pt>
                <c:pt idx="21">
                  <c:v>40801.697916666672</c:v>
                </c:pt>
                <c:pt idx="22">
                  <c:v>40801.739583333336</c:v>
                </c:pt>
                <c:pt idx="23">
                  <c:v>40801.781944444447</c:v>
                </c:pt>
                <c:pt idx="24">
                  <c:v>40801.824305555558</c:v>
                </c:pt>
                <c:pt idx="25">
                  <c:v>40801.865972222222</c:v>
                </c:pt>
                <c:pt idx="26">
                  <c:v>40801.908333333333</c:v>
                </c:pt>
                <c:pt idx="27">
                  <c:v>40801.951388888891</c:v>
                </c:pt>
                <c:pt idx="28">
                  <c:v>40801.993055555555</c:v>
                </c:pt>
                <c:pt idx="29">
                  <c:v>40802.034722222226</c:v>
                </c:pt>
                <c:pt idx="30">
                  <c:v>40802.077083333337</c:v>
                </c:pt>
                <c:pt idx="31">
                  <c:v>40802.119444444448</c:v>
                </c:pt>
                <c:pt idx="32">
                  <c:v>40802.161111111112</c:v>
                </c:pt>
                <c:pt idx="33">
                  <c:v>40802.203472222223</c:v>
                </c:pt>
                <c:pt idx="34">
                  <c:v>40802.245138888895</c:v>
                </c:pt>
                <c:pt idx="35">
                  <c:v>40802.288194444445</c:v>
                </c:pt>
                <c:pt idx="36">
                  <c:v>40802.330555555556</c:v>
                </c:pt>
                <c:pt idx="37">
                  <c:v>40802.372222222228</c:v>
                </c:pt>
                <c:pt idx="38">
                  <c:v>40802.414583333339</c:v>
                </c:pt>
                <c:pt idx="39">
                  <c:v>40802.45694444445</c:v>
                </c:pt>
                <c:pt idx="40">
                  <c:v>40802.497916666667</c:v>
                </c:pt>
                <c:pt idx="41">
                  <c:v>40802.540277777778</c:v>
                </c:pt>
                <c:pt idx="42">
                  <c:v>40802.582638888889</c:v>
                </c:pt>
                <c:pt idx="43">
                  <c:v>40802.625694444447</c:v>
                </c:pt>
                <c:pt idx="44">
                  <c:v>40802.667361111111</c:v>
                </c:pt>
                <c:pt idx="45">
                  <c:v>40802.709027777782</c:v>
                </c:pt>
                <c:pt idx="46">
                  <c:v>40802.752083333333</c:v>
                </c:pt>
                <c:pt idx="47">
                  <c:v>40802.793750000004</c:v>
                </c:pt>
                <c:pt idx="48">
                  <c:v>40802.836111111115</c:v>
                </c:pt>
                <c:pt idx="49">
                  <c:v>40802.87777777778</c:v>
                </c:pt>
                <c:pt idx="50">
                  <c:v>40802.920833333337</c:v>
                </c:pt>
                <c:pt idx="51">
                  <c:v>40802.962500000001</c:v>
                </c:pt>
                <c:pt idx="52">
                  <c:v>40803.004861111112</c:v>
                </c:pt>
                <c:pt idx="53">
                  <c:v>40803.045833333337</c:v>
                </c:pt>
                <c:pt idx="54">
                  <c:v>40803.085416666669</c:v>
                </c:pt>
                <c:pt idx="55">
                  <c:v>40803.130555555559</c:v>
                </c:pt>
                <c:pt idx="56">
                  <c:v>40803.17291666667</c:v>
                </c:pt>
                <c:pt idx="57">
                  <c:v>40803.215277777781</c:v>
                </c:pt>
                <c:pt idx="58">
                  <c:v>40803.258333333339</c:v>
                </c:pt>
                <c:pt idx="59">
                  <c:v>40803.299305555556</c:v>
                </c:pt>
                <c:pt idx="60">
                  <c:v>40803.341666666667</c:v>
                </c:pt>
                <c:pt idx="61">
                  <c:v>40803.384027777778</c:v>
                </c:pt>
                <c:pt idx="62">
                  <c:v>40803.425000000003</c:v>
                </c:pt>
                <c:pt idx="63">
                  <c:v>40803.467361111114</c:v>
                </c:pt>
                <c:pt idx="64">
                  <c:v>40803.510416666672</c:v>
                </c:pt>
                <c:pt idx="65">
                  <c:v>40803.551388888889</c:v>
                </c:pt>
                <c:pt idx="66">
                  <c:v>40803.593055555561</c:v>
                </c:pt>
                <c:pt idx="67">
                  <c:v>40803.635416666672</c:v>
                </c:pt>
                <c:pt idx="68">
                  <c:v>40803.678472222222</c:v>
                </c:pt>
                <c:pt idx="69">
                  <c:v>40803.719444444447</c:v>
                </c:pt>
                <c:pt idx="70">
                  <c:v>40803.761805555558</c:v>
                </c:pt>
                <c:pt idx="71">
                  <c:v>40803.803472222222</c:v>
                </c:pt>
                <c:pt idx="72">
                  <c:v>40803.84652777778</c:v>
                </c:pt>
                <c:pt idx="73">
                  <c:v>40803.888194444444</c:v>
                </c:pt>
                <c:pt idx="74">
                  <c:v>40803.929861111115</c:v>
                </c:pt>
                <c:pt idx="75">
                  <c:v>40803.972916666666</c:v>
                </c:pt>
                <c:pt idx="76">
                  <c:v>40804.014583333337</c:v>
                </c:pt>
                <c:pt idx="77">
                  <c:v>40804.056250000001</c:v>
                </c:pt>
                <c:pt idx="78">
                  <c:v>40804.099305555559</c:v>
                </c:pt>
                <c:pt idx="79">
                  <c:v>40804.140277777777</c:v>
                </c:pt>
                <c:pt idx="80">
                  <c:v>40804.182638888895</c:v>
                </c:pt>
                <c:pt idx="81">
                  <c:v>40804.225000000006</c:v>
                </c:pt>
                <c:pt idx="82">
                  <c:v>40804.268055555556</c:v>
                </c:pt>
                <c:pt idx="83">
                  <c:v>40804.309722222228</c:v>
                </c:pt>
                <c:pt idx="84">
                  <c:v>40804.352083333339</c:v>
                </c:pt>
                <c:pt idx="85">
                  <c:v>40804.395138888889</c:v>
                </c:pt>
                <c:pt idx="86">
                  <c:v>40804.436805555561</c:v>
                </c:pt>
                <c:pt idx="87">
                  <c:v>40804.479166666672</c:v>
                </c:pt>
                <c:pt idx="88">
                  <c:v>40804.520833333336</c:v>
                </c:pt>
                <c:pt idx="89">
                  <c:v>40804.563888888893</c:v>
                </c:pt>
                <c:pt idx="90">
                  <c:v>40804.606250000004</c:v>
                </c:pt>
                <c:pt idx="91">
                  <c:v>40804.647916666669</c:v>
                </c:pt>
                <c:pt idx="92">
                  <c:v>40804.69027777778</c:v>
                </c:pt>
                <c:pt idx="93">
                  <c:v>40804.731944444444</c:v>
                </c:pt>
                <c:pt idx="94">
                  <c:v>40804.775694444448</c:v>
                </c:pt>
                <c:pt idx="95">
                  <c:v>40804.816666666666</c:v>
                </c:pt>
                <c:pt idx="96">
                  <c:v>40804.859027777777</c:v>
                </c:pt>
                <c:pt idx="97">
                  <c:v>40804.901388888895</c:v>
                </c:pt>
                <c:pt idx="98">
                  <c:v>40804.943750000006</c:v>
                </c:pt>
                <c:pt idx="99">
                  <c:v>40804.98541666667</c:v>
                </c:pt>
                <c:pt idx="100">
                  <c:v>40805.027777777781</c:v>
                </c:pt>
                <c:pt idx="101">
                  <c:v>40805.070138888892</c:v>
                </c:pt>
                <c:pt idx="102">
                  <c:v>40805.11319444445</c:v>
                </c:pt>
                <c:pt idx="103">
                  <c:v>40805.154166666667</c:v>
                </c:pt>
                <c:pt idx="104">
                  <c:v>40805.196527777778</c:v>
                </c:pt>
                <c:pt idx="105">
                  <c:v>40805.238888888889</c:v>
                </c:pt>
                <c:pt idx="106">
                  <c:v>40805.281944444447</c:v>
                </c:pt>
              </c:numCache>
            </c:numRef>
          </c:xVal>
          <c:yVal>
            <c:numRef>
              <c:f>'Calc-Deploy 2'!$AK$12:$AK$150</c:f>
              <c:numCache>
                <c:formatCode>0.00</c:formatCode>
                <c:ptCount val="139"/>
                <c:pt idx="0">
                  <c:v>274.27246212581002</c:v>
                </c:pt>
                <c:pt idx="1">
                  <c:v>254.80348786559017</c:v>
                </c:pt>
                <c:pt idx="2">
                  <c:v>249.2538659697957</c:v>
                </c:pt>
                <c:pt idx="3">
                  <c:v>292.10747303401291</c:v>
                </c:pt>
                <c:pt idx="4">
                  <c:v>315.59527696902205</c:v>
                </c:pt>
                <c:pt idx="5">
                  <c:v>2.6921957609544198</c:v>
                </c:pt>
                <c:pt idx="6">
                  <c:v>4.4880742004088923</c:v>
                </c:pt>
                <c:pt idx="7">
                  <c:v>2.2645046924120997</c:v>
                </c:pt>
                <c:pt idx="8">
                  <c:v>30.518065835990583</c:v>
                </c:pt>
                <c:pt idx="9">
                  <c:v>164.97030993474294</c:v>
                </c:pt>
                <c:pt idx="10">
                  <c:v>210.03254484392613</c:v>
                </c:pt>
                <c:pt idx="11">
                  <c:v>211.89569024036876</c:v>
                </c:pt>
                <c:pt idx="12">
                  <c:v>231.33937177309011</c:v>
                </c:pt>
                <c:pt idx="13">
                  <c:v>232.83122338459719</c:v>
                </c:pt>
                <c:pt idx="14">
                  <c:v>236.62554670558634</c:v>
                </c:pt>
                <c:pt idx="15">
                  <c:v>244.95965101220719</c:v>
                </c:pt>
                <c:pt idx="16">
                  <c:v>272.887358173221</c:v>
                </c:pt>
                <c:pt idx="17">
                  <c:v>300.83366579243966</c:v>
                </c:pt>
                <c:pt idx="18">
                  <c:v>319.87713217982036</c:v>
                </c:pt>
                <c:pt idx="19">
                  <c:v>316.06026593051178</c:v>
                </c:pt>
                <c:pt idx="20">
                  <c:v>321.62349890406898</c:v>
                </c:pt>
                <c:pt idx="21">
                  <c:v>320.13402152176775</c:v>
                </c:pt>
                <c:pt idx="22">
                  <c:v>304.95006781714289</c:v>
                </c:pt>
                <c:pt idx="23">
                  <c:v>278.48961276848308</c:v>
                </c:pt>
                <c:pt idx="24">
                  <c:v>288.15319827282343</c:v>
                </c:pt>
                <c:pt idx="25">
                  <c:v>276.69635349109961</c:v>
                </c:pt>
                <c:pt idx="26">
                  <c:v>287.5004910331624</c:v>
                </c:pt>
                <c:pt idx="27">
                  <c:v>339.47180430251842</c:v>
                </c:pt>
                <c:pt idx="28">
                  <c:v>38.770829237332705</c:v>
                </c:pt>
                <c:pt idx="29">
                  <c:v>22.575558149888721</c:v>
                </c:pt>
                <c:pt idx="30">
                  <c:v>47.369886086149073</c:v>
                </c:pt>
                <c:pt idx="31">
                  <c:v>86.999948484585673</c:v>
                </c:pt>
                <c:pt idx="32">
                  <c:v>143.44728871172674</c:v>
                </c:pt>
                <c:pt idx="33">
                  <c:v>220.04955583465431</c:v>
                </c:pt>
                <c:pt idx="34">
                  <c:v>224.13826113747135</c:v>
                </c:pt>
                <c:pt idx="35">
                  <c:v>229.99181580471614</c:v>
                </c:pt>
                <c:pt idx="36">
                  <c:v>224.32533940212608</c:v>
                </c:pt>
                <c:pt idx="37">
                  <c:v>232.42135624858031</c:v>
                </c:pt>
                <c:pt idx="38">
                  <c:v>240.62908681797796</c:v>
                </c:pt>
                <c:pt idx="39">
                  <c:v>256.41446786896654</c:v>
                </c:pt>
                <c:pt idx="40">
                  <c:v>284.41174835730413</c:v>
                </c:pt>
                <c:pt idx="41">
                  <c:v>298.23822062608002</c:v>
                </c:pt>
                <c:pt idx="42">
                  <c:v>294.5074488054255</c:v>
                </c:pt>
                <c:pt idx="43">
                  <c:v>299.74465765079299</c:v>
                </c:pt>
                <c:pt idx="44">
                  <c:v>303.25496016900172</c:v>
                </c:pt>
                <c:pt idx="45">
                  <c:v>313.98920332127835</c:v>
                </c:pt>
                <c:pt idx="46">
                  <c:v>299.10631785688656</c:v>
                </c:pt>
                <c:pt idx="47">
                  <c:v>288.8418056487269</c:v>
                </c:pt>
                <c:pt idx="48">
                  <c:v>300.73078876538784</c:v>
                </c:pt>
                <c:pt idx="49">
                  <c:v>301.34301189805461</c:v>
                </c:pt>
                <c:pt idx="50">
                  <c:v>281.44306338289294</c:v>
                </c:pt>
                <c:pt idx="51">
                  <c:v>264.91454952942809</c:v>
                </c:pt>
                <c:pt idx="52">
                  <c:v>255.63444051917392</c:v>
                </c:pt>
                <c:pt idx="53">
                  <c:v>258.93882265822322</c:v>
                </c:pt>
                <c:pt idx="54">
                  <c:v>314.12308508710095</c:v>
                </c:pt>
                <c:pt idx="55">
                  <c:v>308.5648278148073</c:v>
                </c:pt>
                <c:pt idx="56">
                  <c:v>296.75006592738288</c:v>
                </c:pt>
                <c:pt idx="57">
                  <c:v>294.64170151270372</c:v>
                </c:pt>
                <c:pt idx="58">
                  <c:v>275.21755809142161</c:v>
                </c:pt>
                <c:pt idx="59">
                  <c:v>257.84220582467799</c:v>
                </c:pt>
                <c:pt idx="60">
                  <c:v>255.41648882562026</c:v>
                </c:pt>
                <c:pt idx="61">
                  <c:v>268.00299408868443</c:v>
                </c:pt>
                <c:pt idx="62">
                  <c:v>259.7325673793012</c:v>
                </c:pt>
                <c:pt idx="63">
                  <c:v>246.00232422848092</c:v>
                </c:pt>
                <c:pt idx="64">
                  <c:v>261.95045376027042</c:v>
                </c:pt>
                <c:pt idx="65">
                  <c:v>288.25774385092501</c:v>
                </c:pt>
                <c:pt idx="66">
                  <c:v>306.64727692581539</c:v>
                </c:pt>
                <c:pt idx="67">
                  <c:v>313.65786263054241</c:v>
                </c:pt>
                <c:pt idx="68">
                  <c:v>298.16182157312215</c:v>
                </c:pt>
                <c:pt idx="69">
                  <c:v>288.89008653114126</c:v>
                </c:pt>
                <c:pt idx="70">
                  <c:v>299.27037747476618</c:v>
                </c:pt>
                <c:pt idx="71">
                  <c:v>303.98030725739585</c:v>
                </c:pt>
                <c:pt idx="72">
                  <c:v>283.17155124794715</c:v>
                </c:pt>
                <c:pt idx="73">
                  <c:v>298.89518132864856</c:v>
                </c:pt>
                <c:pt idx="74">
                  <c:v>309.0689027268977</c:v>
                </c:pt>
                <c:pt idx="75">
                  <c:v>270.57217429120772</c:v>
                </c:pt>
                <c:pt idx="76">
                  <c:v>255.54065519347228</c:v>
                </c:pt>
                <c:pt idx="77">
                  <c:v>267.28865962187598</c:v>
                </c:pt>
                <c:pt idx="78">
                  <c:v>307.12708429481182</c:v>
                </c:pt>
                <c:pt idx="79">
                  <c:v>264.91389456528162</c:v>
                </c:pt>
                <c:pt idx="80">
                  <c:v>262.01007154320575</c:v>
                </c:pt>
                <c:pt idx="81">
                  <c:v>261.99428201207752</c:v>
                </c:pt>
                <c:pt idx="82">
                  <c:v>268.8175422812044</c:v>
                </c:pt>
                <c:pt idx="83">
                  <c:v>257.01473675608253</c:v>
                </c:pt>
                <c:pt idx="84">
                  <c:v>264.89003155881619</c:v>
                </c:pt>
                <c:pt idx="85">
                  <c:v>306.0120210505325</c:v>
                </c:pt>
                <c:pt idx="86">
                  <c:v>295.62412312631744</c:v>
                </c:pt>
                <c:pt idx="87">
                  <c:v>278.52479337243597</c:v>
                </c:pt>
                <c:pt idx="88">
                  <c:v>271.77325194812255</c:v>
                </c:pt>
                <c:pt idx="89">
                  <c:v>281.05347298462635</c:v>
                </c:pt>
                <c:pt idx="90">
                  <c:v>293.22542639946181</c:v>
                </c:pt>
                <c:pt idx="91">
                  <c:v>303.34082801422477</c:v>
                </c:pt>
                <c:pt idx="92">
                  <c:v>307.53650237658411</c:v>
                </c:pt>
                <c:pt idx="93">
                  <c:v>301.54912461542062</c:v>
                </c:pt>
                <c:pt idx="94">
                  <c:v>294.88286809959948</c:v>
                </c:pt>
                <c:pt idx="95">
                  <c:v>300.26301436844017</c:v>
                </c:pt>
                <c:pt idx="96">
                  <c:v>291.92790193829643</c:v>
                </c:pt>
                <c:pt idx="97">
                  <c:v>294.53820234785587</c:v>
                </c:pt>
                <c:pt idx="98">
                  <c:v>310.45661023280462</c:v>
                </c:pt>
                <c:pt idx="99">
                  <c:v>319.0716250589814</c:v>
                </c:pt>
                <c:pt idx="100">
                  <c:v>303.07803085893971</c:v>
                </c:pt>
                <c:pt idx="101">
                  <c:v>279.6992535446679</c:v>
                </c:pt>
                <c:pt idx="102">
                  <c:v>279.59311921182825</c:v>
                </c:pt>
                <c:pt idx="103">
                  <c:v>284.9376159937309</c:v>
                </c:pt>
                <c:pt idx="104">
                  <c:v>276.7552782253594</c:v>
                </c:pt>
                <c:pt idx="105">
                  <c:v>282.68896137582226</c:v>
                </c:pt>
              </c:numCache>
            </c:numRef>
          </c:yVal>
        </c:ser>
        <c:ser>
          <c:idx val="2"/>
          <c:order val="2"/>
          <c:tx>
            <c:v>Wind Towards</c:v>
          </c:tx>
          <c:spPr>
            <a:ln w="28575">
              <a:noFill/>
            </a:ln>
          </c:spPr>
          <c:marker>
            <c:symbol val="circle"/>
            <c:size val="7"/>
            <c:spPr>
              <a:solidFill>
                <a:srgbClr val="00FF00"/>
              </a:solidFill>
              <a:ln>
                <a:solidFill>
                  <a:sysClr val="windowText" lastClr="000000"/>
                </a:solidFill>
              </a:ln>
            </c:spPr>
          </c:marker>
          <c:xVal>
            <c:numRef>
              <c:f>'Calc-Deploy 2'!$AY$11:$AY$30</c:f>
              <c:numCache>
                <c:formatCode>h:mm:ss;@</c:formatCode>
                <c:ptCount val="20"/>
                <c:pt idx="0">
                  <c:v>40800.870138888895</c:v>
                </c:pt>
                <c:pt idx="1">
                  <c:v>40800.897916666669</c:v>
                </c:pt>
                <c:pt idx="2">
                  <c:v>40801.484027777777</c:v>
                </c:pt>
                <c:pt idx="3">
                  <c:v>40801.597916666666</c:v>
                </c:pt>
                <c:pt idx="4">
                  <c:v>40801.818750000006</c:v>
                </c:pt>
                <c:pt idx="5">
                  <c:v>40802.595833333333</c:v>
                </c:pt>
                <c:pt idx="6">
                  <c:v>40803.563194444447</c:v>
                </c:pt>
                <c:pt idx="7">
                  <c:v>40804.530555555561</c:v>
                </c:pt>
                <c:pt idx="8">
                  <c:v>40804.618750000001</c:v>
                </c:pt>
                <c:pt idx="9">
                  <c:v>40804.86041666667</c:v>
                </c:pt>
                <c:pt idx="10">
                  <c:v>40805.343055555561</c:v>
                </c:pt>
              </c:numCache>
            </c:numRef>
          </c:xVal>
          <c:yVal>
            <c:numRef>
              <c:f>'Calc-Deploy 2'!$BC$11:$BC$30</c:f>
              <c:numCache>
                <c:formatCode>0.000</c:formatCode>
                <c:ptCount val="20"/>
                <c:pt idx="0">
                  <c:v>-157.47751666666667</c:v>
                </c:pt>
                <c:pt idx="1">
                  <c:v>-157.48878333333334</c:v>
                </c:pt>
                <c:pt idx="2">
                  <c:v>-157.59389999999999</c:v>
                </c:pt>
                <c:pt idx="3">
                  <c:v>-157.5916</c:v>
                </c:pt>
                <c:pt idx="4">
                  <c:v>-157.65096666666668</c:v>
                </c:pt>
                <c:pt idx="5">
                  <c:v>-157.77940000000001</c:v>
                </c:pt>
                <c:pt idx="6">
                  <c:v>-157.9819</c:v>
                </c:pt>
                <c:pt idx="7">
                  <c:v>-158.19925000000001</c:v>
                </c:pt>
                <c:pt idx="8">
                  <c:v>-158.22523333333334</c:v>
                </c:pt>
                <c:pt idx="9">
                  <c:v>-157.85265000000001</c:v>
                </c:pt>
                <c:pt idx="10">
                  <c:v>-157.90766666666667</c:v>
                </c:pt>
              </c:numCache>
            </c:numRef>
          </c:yVal>
        </c:ser>
        <c:axId val="92692480"/>
        <c:axId val="92694784"/>
      </c:scatterChart>
      <c:valAx>
        <c:axId val="92692480"/>
        <c:scaling>
          <c:orientation val="minMax"/>
        </c:scaling>
        <c:axPos val="b"/>
        <c:title>
          <c:tx>
            <c:rich>
              <a:bodyPr/>
              <a:lstStyle/>
              <a:p>
                <a:pPr>
                  <a:defRPr sz="1400"/>
                </a:pPr>
                <a:r>
                  <a:rPr lang="en-US" sz="1400"/>
                  <a:t>Time of Day</a:t>
                </a:r>
              </a:p>
            </c:rich>
          </c:tx>
          <c:layout/>
        </c:title>
        <c:numFmt formatCode="h:mm:ss;@" sourceLinked="1"/>
        <c:minorTickMark val="in"/>
        <c:tickLblPos val="nextTo"/>
        <c:crossAx val="92694784"/>
        <c:crosses val="autoZero"/>
        <c:crossBetween val="midCat"/>
      </c:valAx>
      <c:valAx>
        <c:axId val="92694784"/>
        <c:scaling>
          <c:orientation val="minMax"/>
          <c:max val="360"/>
          <c:min val="0"/>
        </c:scaling>
        <c:axPos val="l"/>
        <c:majorGridlines/>
        <c:title>
          <c:tx>
            <c:rich>
              <a:bodyPr rot="-5400000" vert="horz"/>
              <a:lstStyle/>
              <a:p>
                <a:pPr>
                  <a:defRPr sz="1400"/>
                </a:pPr>
                <a:r>
                  <a:rPr lang="en-US" sz="1400"/>
                  <a:t>Bearing (degrees)</a:t>
                </a:r>
              </a:p>
            </c:rich>
          </c:tx>
          <c:layout/>
        </c:title>
        <c:numFmt formatCode="0.00" sourceLinked="1"/>
        <c:tickLblPos val="nextTo"/>
        <c:crossAx val="92692480"/>
        <c:crosses val="autoZero"/>
        <c:crossBetween val="midCat"/>
      </c:valAx>
    </c:plotArea>
    <c:legend>
      <c:legendPos val="r"/>
      <c:layout>
        <c:manualLayout>
          <c:xMode val="edge"/>
          <c:yMode val="edge"/>
          <c:x val="0.1487854153159365"/>
          <c:y val="0.63493822970404568"/>
          <c:w val="0.14519803694208194"/>
          <c:h val="0.15588718436057589"/>
        </c:manualLayout>
      </c:layout>
      <c:spPr>
        <a:solidFill>
          <a:schemeClr val="bg1"/>
        </a:solidFill>
        <a:ln>
          <a:solidFill>
            <a:sysClr val="windowText" lastClr="000000"/>
          </a:solidFill>
        </a:ln>
      </c:spPr>
    </c:legend>
    <c:plotVisOnly val="1"/>
  </c:chart>
  <c:printSettings>
    <c:headerFooter/>
    <c:pageMargins b="0.75000000000000178" l="0.70000000000000062" r="0.70000000000000062" t="0.75000000000000178"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sz="1400"/>
              <a:t>Drift Rate (Kotts)</a:t>
            </a:r>
            <a:endParaRPr lang="en-US" sz="1400" baseline="0"/>
          </a:p>
        </c:rich>
      </c:tx>
      <c:layout/>
    </c:title>
    <c:plotArea>
      <c:layout>
        <c:manualLayout>
          <c:layoutTarget val="inner"/>
          <c:xMode val="edge"/>
          <c:yMode val="edge"/>
          <c:x val="0.13914681119405528"/>
          <c:y val="0.13736849375822549"/>
          <c:w val="0.80719518014793556"/>
          <c:h val="0.6463032841116465"/>
        </c:manualLayout>
      </c:layout>
      <c:scatterChart>
        <c:scatterStyle val="lineMarker"/>
        <c:ser>
          <c:idx val="0"/>
          <c:order val="0"/>
          <c:tx>
            <c:v>Sable</c:v>
          </c:tx>
          <c:spPr>
            <a:ln>
              <a:noFill/>
            </a:ln>
          </c:spPr>
          <c:marker>
            <c:symbol val="circle"/>
            <c:size val="5"/>
            <c:spPr>
              <a:solidFill>
                <a:srgbClr val="FF0000"/>
              </a:solidFill>
              <a:ln>
                <a:solidFill>
                  <a:schemeClr val="tx1"/>
                </a:solidFill>
              </a:ln>
            </c:spPr>
          </c:marker>
          <c:xVal>
            <c:numRef>
              <c:f>'Calc-Deploy 2'!$D$13:$D$60</c:f>
              <c:numCache>
                <c:formatCode>h:mm:ss;@</c:formatCode>
                <c:ptCount val="48"/>
                <c:pt idx="0">
                  <c:v>40800.834722222222</c:v>
                </c:pt>
                <c:pt idx="1">
                  <c:v>40801.084722222222</c:v>
                </c:pt>
                <c:pt idx="2">
                  <c:v>40801.209722222222</c:v>
                </c:pt>
                <c:pt idx="3">
                  <c:v>40801.334722222222</c:v>
                </c:pt>
                <c:pt idx="4">
                  <c:v>40801.459027777782</c:v>
                </c:pt>
                <c:pt idx="5">
                  <c:v>40801.584722222222</c:v>
                </c:pt>
                <c:pt idx="6">
                  <c:v>40801.959722222222</c:v>
                </c:pt>
                <c:pt idx="7">
                  <c:v>40802.084027777782</c:v>
                </c:pt>
                <c:pt idx="8">
                  <c:v>40802.209722222222</c:v>
                </c:pt>
                <c:pt idx="9">
                  <c:v>40802.334722222222</c:v>
                </c:pt>
                <c:pt idx="10">
                  <c:v>40802.459722222222</c:v>
                </c:pt>
                <c:pt idx="11">
                  <c:v>40802.584722222222</c:v>
                </c:pt>
                <c:pt idx="12">
                  <c:v>40802.709027777782</c:v>
                </c:pt>
                <c:pt idx="13">
                  <c:v>40802.959722222222</c:v>
                </c:pt>
                <c:pt idx="14">
                  <c:v>40803.084722222222</c:v>
                </c:pt>
                <c:pt idx="15">
                  <c:v>40803.334722222222</c:v>
                </c:pt>
                <c:pt idx="16">
                  <c:v>40803.458333333336</c:v>
                </c:pt>
                <c:pt idx="17">
                  <c:v>40803.584722222222</c:v>
                </c:pt>
                <c:pt idx="18">
                  <c:v>40803.709722222222</c:v>
                </c:pt>
                <c:pt idx="19">
                  <c:v>40803.959722222222</c:v>
                </c:pt>
                <c:pt idx="20">
                  <c:v>40804.084722222222</c:v>
                </c:pt>
                <c:pt idx="21">
                  <c:v>40804.209722222222</c:v>
                </c:pt>
                <c:pt idx="22">
                  <c:v>40804.459027777782</c:v>
                </c:pt>
                <c:pt idx="23">
                  <c:v>40804.709027777782</c:v>
                </c:pt>
                <c:pt idx="24">
                  <c:v>40805.334722222222</c:v>
                </c:pt>
                <c:pt idx="26">
                  <c:v>40805.084722222222</c:v>
                </c:pt>
                <c:pt idx="27">
                  <c:v>40805.334722222222</c:v>
                </c:pt>
              </c:numCache>
            </c:numRef>
          </c:xVal>
          <c:yVal>
            <c:numRef>
              <c:f>'Calc-Deploy 2'!$Q$12:$Q$60</c:f>
              <c:numCache>
                <c:formatCode>0.00</c:formatCode>
                <c:ptCount val="49"/>
                <c:pt idx="0">
                  <c:v>0.13163724948981656</c:v>
                </c:pt>
                <c:pt idx="1">
                  <c:v>0.133350323045063</c:v>
                </c:pt>
                <c:pt idx="2">
                  <c:v>0.10084846296068159</c:v>
                </c:pt>
                <c:pt idx="3">
                  <c:v>0.19398684116067846</c:v>
                </c:pt>
                <c:pt idx="4">
                  <c:v>0.38256631021466003</c:v>
                </c:pt>
                <c:pt idx="5">
                  <c:v>0.31183191140898631</c:v>
                </c:pt>
                <c:pt idx="6">
                  <c:v>0.23935930351317053</c:v>
                </c:pt>
                <c:pt idx="7">
                  <c:v>7.1251530956036466E-2</c:v>
                </c:pt>
                <c:pt idx="8">
                  <c:v>0.11039773748650746</c:v>
                </c:pt>
                <c:pt idx="9">
                  <c:v>0.25158636422691061</c:v>
                </c:pt>
                <c:pt idx="10">
                  <c:v>0.36032848967221121</c:v>
                </c:pt>
                <c:pt idx="11">
                  <c:v>0.24825261559211687</c:v>
                </c:pt>
                <c:pt idx="12">
                  <c:v>0.32701695066249864</c:v>
                </c:pt>
                <c:pt idx="13">
                  <c:v>0.25009316573545354</c:v>
                </c:pt>
                <c:pt idx="14">
                  <c:v>0.13437143459625128</c:v>
                </c:pt>
                <c:pt idx="15">
                  <c:v>0.20008013107145603</c:v>
                </c:pt>
                <c:pt idx="16">
                  <c:v>0.30457055509349168</c:v>
                </c:pt>
                <c:pt idx="17">
                  <c:v>0.33276762474009752</c:v>
                </c:pt>
                <c:pt idx="18">
                  <c:v>0.41789741624585486</c:v>
                </c:pt>
                <c:pt idx="19">
                  <c:v>0.23296808558463458</c:v>
                </c:pt>
                <c:pt idx="20">
                  <c:v>0.1962836487523284</c:v>
                </c:pt>
                <c:pt idx="21">
                  <c:v>0.22313110463864172</c:v>
                </c:pt>
                <c:pt idx="22">
                  <c:v>0.29240681031382576</c:v>
                </c:pt>
                <c:pt idx="23">
                  <c:v>0.33197586297869081</c:v>
                </c:pt>
                <c:pt idx="24">
                  <c:v>0.26115472284934538</c:v>
                </c:pt>
                <c:pt idx="25">
                  <c:v>-9.0154643063170524E-3</c:v>
                </c:pt>
                <c:pt idx="27">
                  <c:v>0.32202029682701072</c:v>
                </c:pt>
              </c:numCache>
            </c:numRef>
          </c:yVal>
        </c:ser>
        <c:ser>
          <c:idx val="1"/>
          <c:order val="1"/>
          <c:tx>
            <c:v>Melo</c:v>
          </c:tx>
          <c:spPr>
            <a:ln>
              <a:noFill/>
            </a:ln>
          </c:spPr>
          <c:marker>
            <c:symbol val="circle"/>
            <c:size val="5"/>
            <c:spPr>
              <a:solidFill>
                <a:srgbClr val="0000FF"/>
              </a:solidFill>
              <a:ln>
                <a:noFill/>
              </a:ln>
            </c:spPr>
          </c:marker>
          <c:xVal>
            <c:numRef>
              <c:f>'Calc-Deploy 2'!$AA$12:$AA$150</c:f>
              <c:numCache>
                <c:formatCode>h:mm:ss;@</c:formatCode>
                <c:ptCount val="139"/>
                <c:pt idx="0">
                  <c:v>40800.768750000003</c:v>
                </c:pt>
                <c:pt idx="1">
                  <c:v>40800.811111111114</c:v>
                </c:pt>
                <c:pt idx="2">
                  <c:v>40800.854166666672</c:v>
                </c:pt>
                <c:pt idx="3">
                  <c:v>40800.9375</c:v>
                </c:pt>
                <c:pt idx="4">
                  <c:v>40800.979166666672</c:v>
                </c:pt>
                <c:pt idx="5">
                  <c:v>40801.021527777782</c:v>
                </c:pt>
                <c:pt idx="6">
                  <c:v>40801.063194444447</c:v>
                </c:pt>
                <c:pt idx="7">
                  <c:v>40801.105555555558</c:v>
                </c:pt>
                <c:pt idx="8">
                  <c:v>40801.147916666669</c:v>
                </c:pt>
                <c:pt idx="9">
                  <c:v>40801.190972222226</c:v>
                </c:pt>
                <c:pt idx="10">
                  <c:v>40801.232638888891</c:v>
                </c:pt>
                <c:pt idx="11">
                  <c:v>40801.275000000001</c:v>
                </c:pt>
                <c:pt idx="12">
                  <c:v>40801.317361111112</c:v>
                </c:pt>
                <c:pt idx="13">
                  <c:v>40801.361111111117</c:v>
                </c:pt>
                <c:pt idx="14">
                  <c:v>40801.402083333334</c:v>
                </c:pt>
                <c:pt idx="15">
                  <c:v>40801.445138888892</c:v>
                </c:pt>
                <c:pt idx="16">
                  <c:v>40801.487500000003</c:v>
                </c:pt>
                <c:pt idx="17">
                  <c:v>40801.528472222228</c:v>
                </c:pt>
                <c:pt idx="18">
                  <c:v>40801.570833333339</c:v>
                </c:pt>
                <c:pt idx="19">
                  <c:v>40801.613888888889</c:v>
                </c:pt>
                <c:pt idx="20">
                  <c:v>40801.654861111114</c:v>
                </c:pt>
                <c:pt idx="21">
                  <c:v>40801.697916666672</c:v>
                </c:pt>
                <c:pt idx="22">
                  <c:v>40801.739583333336</c:v>
                </c:pt>
                <c:pt idx="23">
                  <c:v>40801.781944444447</c:v>
                </c:pt>
                <c:pt idx="24">
                  <c:v>40801.824305555558</c:v>
                </c:pt>
                <c:pt idx="25">
                  <c:v>40801.865972222222</c:v>
                </c:pt>
                <c:pt idx="26">
                  <c:v>40801.908333333333</c:v>
                </c:pt>
                <c:pt idx="27">
                  <c:v>40801.951388888891</c:v>
                </c:pt>
                <c:pt idx="28">
                  <c:v>40801.993055555555</c:v>
                </c:pt>
                <c:pt idx="29">
                  <c:v>40802.034722222226</c:v>
                </c:pt>
                <c:pt idx="30">
                  <c:v>40802.077083333337</c:v>
                </c:pt>
                <c:pt idx="31">
                  <c:v>40802.119444444448</c:v>
                </c:pt>
                <c:pt idx="32">
                  <c:v>40802.161111111112</c:v>
                </c:pt>
                <c:pt idx="33">
                  <c:v>40802.203472222223</c:v>
                </c:pt>
                <c:pt idx="34">
                  <c:v>40802.245138888895</c:v>
                </c:pt>
                <c:pt idx="35">
                  <c:v>40802.288194444445</c:v>
                </c:pt>
                <c:pt idx="36">
                  <c:v>40802.330555555556</c:v>
                </c:pt>
                <c:pt idx="37">
                  <c:v>40802.372222222228</c:v>
                </c:pt>
                <c:pt idx="38">
                  <c:v>40802.414583333339</c:v>
                </c:pt>
                <c:pt idx="39">
                  <c:v>40802.45694444445</c:v>
                </c:pt>
                <c:pt idx="40">
                  <c:v>40802.497916666667</c:v>
                </c:pt>
                <c:pt idx="41">
                  <c:v>40802.540277777778</c:v>
                </c:pt>
                <c:pt idx="42">
                  <c:v>40802.582638888889</c:v>
                </c:pt>
                <c:pt idx="43">
                  <c:v>40802.625694444447</c:v>
                </c:pt>
                <c:pt idx="44">
                  <c:v>40802.667361111111</c:v>
                </c:pt>
                <c:pt idx="45">
                  <c:v>40802.709027777782</c:v>
                </c:pt>
                <c:pt idx="46">
                  <c:v>40802.752083333333</c:v>
                </c:pt>
                <c:pt idx="47">
                  <c:v>40802.793750000004</c:v>
                </c:pt>
                <c:pt idx="48">
                  <c:v>40802.836111111115</c:v>
                </c:pt>
                <c:pt idx="49">
                  <c:v>40802.87777777778</c:v>
                </c:pt>
                <c:pt idx="50">
                  <c:v>40802.920833333337</c:v>
                </c:pt>
                <c:pt idx="51">
                  <c:v>40802.962500000001</c:v>
                </c:pt>
                <c:pt idx="52">
                  <c:v>40803.004861111112</c:v>
                </c:pt>
                <c:pt idx="53">
                  <c:v>40803.045833333337</c:v>
                </c:pt>
                <c:pt idx="54">
                  <c:v>40803.085416666669</c:v>
                </c:pt>
                <c:pt idx="55">
                  <c:v>40803.130555555559</c:v>
                </c:pt>
                <c:pt idx="56">
                  <c:v>40803.17291666667</c:v>
                </c:pt>
                <c:pt idx="57">
                  <c:v>40803.215277777781</c:v>
                </c:pt>
                <c:pt idx="58">
                  <c:v>40803.258333333339</c:v>
                </c:pt>
                <c:pt idx="59">
                  <c:v>40803.299305555556</c:v>
                </c:pt>
                <c:pt idx="60">
                  <c:v>40803.341666666667</c:v>
                </c:pt>
                <c:pt idx="61">
                  <c:v>40803.384027777778</c:v>
                </c:pt>
                <c:pt idx="62">
                  <c:v>40803.425000000003</c:v>
                </c:pt>
                <c:pt idx="63">
                  <c:v>40803.467361111114</c:v>
                </c:pt>
                <c:pt idx="64">
                  <c:v>40803.510416666672</c:v>
                </c:pt>
                <c:pt idx="65">
                  <c:v>40803.551388888889</c:v>
                </c:pt>
                <c:pt idx="66">
                  <c:v>40803.593055555561</c:v>
                </c:pt>
                <c:pt idx="67">
                  <c:v>40803.635416666672</c:v>
                </c:pt>
                <c:pt idx="68">
                  <c:v>40803.678472222222</c:v>
                </c:pt>
                <c:pt idx="69">
                  <c:v>40803.719444444447</c:v>
                </c:pt>
                <c:pt idx="70">
                  <c:v>40803.761805555558</c:v>
                </c:pt>
                <c:pt idx="71">
                  <c:v>40803.803472222222</c:v>
                </c:pt>
                <c:pt idx="72">
                  <c:v>40803.84652777778</c:v>
                </c:pt>
                <c:pt idx="73">
                  <c:v>40803.888194444444</c:v>
                </c:pt>
                <c:pt idx="74">
                  <c:v>40803.929861111115</c:v>
                </c:pt>
                <c:pt idx="75">
                  <c:v>40803.972916666666</c:v>
                </c:pt>
                <c:pt idx="76">
                  <c:v>40804.014583333337</c:v>
                </c:pt>
                <c:pt idx="77">
                  <c:v>40804.056250000001</c:v>
                </c:pt>
                <c:pt idx="78">
                  <c:v>40804.099305555559</c:v>
                </c:pt>
                <c:pt idx="79">
                  <c:v>40804.140277777777</c:v>
                </c:pt>
                <c:pt idx="80">
                  <c:v>40804.182638888895</c:v>
                </c:pt>
                <c:pt idx="81">
                  <c:v>40804.225000000006</c:v>
                </c:pt>
                <c:pt idx="82">
                  <c:v>40804.268055555556</c:v>
                </c:pt>
                <c:pt idx="83">
                  <c:v>40804.309722222228</c:v>
                </c:pt>
                <c:pt idx="84">
                  <c:v>40804.352083333339</c:v>
                </c:pt>
                <c:pt idx="85">
                  <c:v>40804.395138888889</c:v>
                </c:pt>
                <c:pt idx="86">
                  <c:v>40804.436805555561</c:v>
                </c:pt>
                <c:pt idx="87">
                  <c:v>40804.479166666672</c:v>
                </c:pt>
                <c:pt idx="88">
                  <c:v>40804.520833333336</c:v>
                </c:pt>
                <c:pt idx="89">
                  <c:v>40804.563888888893</c:v>
                </c:pt>
                <c:pt idx="90">
                  <c:v>40804.606250000004</c:v>
                </c:pt>
                <c:pt idx="91">
                  <c:v>40804.647916666669</c:v>
                </c:pt>
                <c:pt idx="92">
                  <c:v>40804.69027777778</c:v>
                </c:pt>
                <c:pt idx="93">
                  <c:v>40804.731944444444</c:v>
                </c:pt>
                <c:pt idx="94">
                  <c:v>40804.775694444448</c:v>
                </c:pt>
                <c:pt idx="95">
                  <c:v>40804.816666666666</c:v>
                </c:pt>
                <c:pt idx="96">
                  <c:v>40804.859027777777</c:v>
                </c:pt>
                <c:pt idx="97">
                  <c:v>40804.901388888895</c:v>
                </c:pt>
                <c:pt idx="98">
                  <c:v>40804.943750000006</c:v>
                </c:pt>
                <c:pt idx="99">
                  <c:v>40804.98541666667</c:v>
                </c:pt>
                <c:pt idx="100">
                  <c:v>40805.027777777781</c:v>
                </c:pt>
                <c:pt idx="101">
                  <c:v>40805.070138888892</c:v>
                </c:pt>
                <c:pt idx="102">
                  <c:v>40805.11319444445</c:v>
                </c:pt>
                <c:pt idx="103">
                  <c:v>40805.154166666667</c:v>
                </c:pt>
                <c:pt idx="104">
                  <c:v>40805.196527777778</c:v>
                </c:pt>
                <c:pt idx="105">
                  <c:v>40805.238888888889</c:v>
                </c:pt>
                <c:pt idx="106">
                  <c:v>40805.281944444447</c:v>
                </c:pt>
              </c:numCache>
            </c:numRef>
          </c:xVal>
          <c:yVal>
            <c:numRef>
              <c:f>'Calc-Deploy 2'!$AN$12:$AN$150</c:f>
              <c:numCache>
                <c:formatCode>0.00</c:formatCode>
                <c:ptCount val="139"/>
                <c:pt idx="0">
                  <c:v>0.17442613947522576</c:v>
                </c:pt>
                <c:pt idx="1">
                  <c:v>0.2859247288529877</c:v>
                </c:pt>
                <c:pt idx="2">
                  <c:v>0.25253265781637274</c:v>
                </c:pt>
                <c:pt idx="3">
                  <c:v>0.10689232172467523</c:v>
                </c:pt>
                <c:pt idx="4">
                  <c:v>0.1330914774382235</c:v>
                </c:pt>
                <c:pt idx="5">
                  <c:v>0.12742842635410334</c:v>
                </c:pt>
                <c:pt idx="6">
                  <c:v>0.15046646158884477</c:v>
                </c:pt>
                <c:pt idx="7">
                  <c:v>0.16253399275572389</c:v>
                </c:pt>
                <c:pt idx="8">
                  <c:v>6.9471794827627054E-2</c:v>
                </c:pt>
                <c:pt idx="9">
                  <c:v>1.6785390669297903E-2</c:v>
                </c:pt>
                <c:pt idx="10">
                  <c:v>0.15825984393108733</c:v>
                </c:pt>
                <c:pt idx="11">
                  <c:v>0.27754209181127742</c:v>
                </c:pt>
                <c:pt idx="12">
                  <c:v>0.29931218449199731</c:v>
                </c:pt>
                <c:pt idx="13">
                  <c:v>0.38403113152634716</c:v>
                </c:pt>
                <c:pt idx="14">
                  <c:v>0.42881656503372623</c:v>
                </c:pt>
                <c:pt idx="15">
                  <c:v>0.37810815061226327</c:v>
                </c:pt>
                <c:pt idx="16">
                  <c:v>0.3152897750166227</c:v>
                </c:pt>
                <c:pt idx="17">
                  <c:v>0.34222308090994974</c:v>
                </c:pt>
                <c:pt idx="18">
                  <c:v>0.32522859177487723</c:v>
                </c:pt>
                <c:pt idx="19">
                  <c:v>0.37480450955578726</c:v>
                </c:pt>
                <c:pt idx="20">
                  <c:v>0.32908714708597631</c:v>
                </c:pt>
                <c:pt idx="21">
                  <c:v>0.2792666415097152</c:v>
                </c:pt>
                <c:pt idx="22">
                  <c:v>0.21546454023378858</c:v>
                </c:pt>
                <c:pt idx="23">
                  <c:v>0.26405452993272527</c:v>
                </c:pt>
                <c:pt idx="24">
                  <c:v>0.23704788543971708</c:v>
                </c:pt>
                <c:pt idx="25">
                  <c:v>0.15195165318871065</c:v>
                </c:pt>
                <c:pt idx="26">
                  <c:v>0.1313946715578318</c:v>
                </c:pt>
                <c:pt idx="27">
                  <c:v>7.7576259456220903E-2</c:v>
                </c:pt>
                <c:pt idx="28">
                  <c:v>3.3884452944422452E-2</c:v>
                </c:pt>
                <c:pt idx="29">
                  <c:v>0.10872864247076677</c:v>
                </c:pt>
                <c:pt idx="30">
                  <c:v>0.15783284359992994</c:v>
                </c:pt>
                <c:pt idx="31">
                  <c:v>0.18359729302920283</c:v>
                </c:pt>
                <c:pt idx="32">
                  <c:v>7.2781935550322432E-2</c:v>
                </c:pt>
                <c:pt idx="33">
                  <c:v>0.11922133204235905</c:v>
                </c:pt>
                <c:pt idx="34">
                  <c:v>0.28579826762050159</c:v>
                </c:pt>
                <c:pt idx="35">
                  <c:v>0.31232100226137444</c:v>
                </c:pt>
                <c:pt idx="36">
                  <c:v>0.30213993696647418</c:v>
                </c:pt>
                <c:pt idx="37">
                  <c:v>0.38831282484442348</c:v>
                </c:pt>
                <c:pt idx="38">
                  <c:v>0.39613654731018488</c:v>
                </c:pt>
                <c:pt idx="39">
                  <c:v>0.31709988375453207</c:v>
                </c:pt>
                <c:pt idx="40">
                  <c:v>0.24204431180929295</c:v>
                </c:pt>
                <c:pt idx="41">
                  <c:v>0.22842634606471976</c:v>
                </c:pt>
                <c:pt idx="42">
                  <c:v>0.29977231308498303</c:v>
                </c:pt>
                <c:pt idx="43">
                  <c:v>0.33402155616301721</c:v>
                </c:pt>
                <c:pt idx="44">
                  <c:v>0.33833877644276766</c:v>
                </c:pt>
                <c:pt idx="45">
                  <c:v>0.35054666046195943</c:v>
                </c:pt>
                <c:pt idx="46">
                  <c:v>0.34809206065758147</c:v>
                </c:pt>
                <c:pt idx="47">
                  <c:v>0.28894122714597065</c:v>
                </c:pt>
                <c:pt idx="48">
                  <c:v>0.23734890655666555</c:v>
                </c:pt>
                <c:pt idx="49">
                  <c:v>0.1664433441478306</c:v>
                </c:pt>
                <c:pt idx="50">
                  <c:v>0.1271128768877163</c:v>
                </c:pt>
                <c:pt idx="51">
                  <c:v>0.13323585828145845</c:v>
                </c:pt>
                <c:pt idx="52">
                  <c:v>0.16734027509934477</c:v>
                </c:pt>
                <c:pt idx="53">
                  <c:v>0.10211671760757648</c:v>
                </c:pt>
                <c:pt idx="54">
                  <c:v>0.1154314423175402</c:v>
                </c:pt>
                <c:pt idx="55">
                  <c:v>0.20462816326197092</c:v>
                </c:pt>
                <c:pt idx="56">
                  <c:v>0.2283100833792262</c:v>
                </c:pt>
                <c:pt idx="57">
                  <c:v>0.22994928903811326</c:v>
                </c:pt>
                <c:pt idx="58">
                  <c:v>0.22832679682635634</c:v>
                </c:pt>
                <c:pt idx="59">
                  <c:v>0.27478484888532256</c:v>
                </c:pt>
                <c:pt idx="60">
                  <c:v>0.28143761979207071</c:v>
                </c:pt>
                <c:pt idx="61">
                  <c:v>0.33270441864891659</c:v>
                </c:pt>
                <c:pt idx="62">
                  <c:v>0.28822538569543737</c:v>
                </c:pt>
                <c:pt idx="63">
                  <c:v>0.27143963765344159</c:v>
                </c:pt>
                <c:pt idx="64">
                  <c:v>0.39672703219646532</c:v>
                </c:pt>
                <c:pt idx="65">
                  <c:v>0.4159070605297347</c:v>
                </c:pt>
                <c:pt idx="66">
                  <c:v>0.45217946402925707</c:v>
                </c:pt>
                <c:pt idx="67">
                  <c:v>0.40821773937920203</c:v>
                </c:pt>
                <c:pt idx="68">
                  <c:v>0.3764893378784358</c:v>
                </c:pt>
                <c:pt idx="69">
                  <c:v>0.28275649387469293</c:v>
                </c:pt>
                <c:pt idx="70">
                  <c:v>0.20017026616883615</c:v>
                </c:pt>
                <c:pt idx="71">
                  <c:v>0.21520309977900623</c:v>
                </c:pt>
                <c:pt idx="72">
                  <c:v>0.27932427835748119</c:v>
                </c:pt>
                <c:pt idx="73">
                  <c:v>0.20751152351660385</c:v>
                </c:pt>
                <c:pt idx="74">
                  <c:v>0.17424538828194983</c:v>
                </c:pt>
                <c:pt idx="75">
                  <c:v>0.18059568421120784</c:v>
                </c:pt>
                <c:pt idx="76">
                  <c:v>0.19716802075334236</c:v>
                </c:pt>
                <c:pt idx="77">
                  <c:v>0.24557444889490454</c:v>
                </c:pt>
                <c:pt idx="78">
                  <c:v>0.20535910038954952</c:v>
                </c:pt>
                <c:pt idx="79">
                  <c:v>0.23311477861102872</c:v>
                </c:pt>
                <c:pt idx="80">
                  <c:v>0.31011137525307353</c:v>
                </c:pt>
                <c:pt idx="81">
                  <c:v>0.35455989510584746</c:v>
                </c:pt>
                <c:pt idx="82">
                  <c:v>0.34874006534795121</c:v>
                </c:pt>
                <c:pt idx="83">
                  <c:v>0.30747882372584662</c:v>
                </c:pt>
                <c:pt idx="84">
                  <c:v>0.28697622993705491</c:v>
                </c:pt>
                <c:pt idx="85">
                  <c:v>0.27368469868938761</c:v>
                </c:pt>
                <c:pt idx="86">
                  <c:v>0.18572494067757073</c:v>
                </c:pt>
                <c:pt idx="87">
                  <c:v>0.25520156619042828</c:v>
                </c:pt>
                <c:pt idx="88">
                  <c:v>0.35705662480088579</c:v>
                </c:pt>
                <c:pt idx="89">
                  <c:v>0.33579210818422256</c:v>
                </c:pt>
                <c:pt idx="90">
                  <c:v>0.38827009750331243</c:v>
                </c:pt>
                <c:pt idx="91">
                  <c:v>0.41047817608070347</c:v>
                </c:pt>
                <c:pt idx="92">
                  <c:v>0.37448837907701138</c:v>
                </c:pt>
                <c:pt idx="93">
                  <c:v>0.35191710046873775</c:v>
                </c:pt>
                <c:pt idx="94">
                  <c:v>0.33958305877912487</c:v>
                </c:pt>
                <c:pt idx="95">
                  <c:v>0.23906069365554156</c:v>
                </c:pt>
                <c:pt idx="96">
                  <c:v>0.15972919467428826</c:v>
                </c:pt>
                <c:pt idx="97">
                  <c:v>0.13936214434168298</c:v>
                </c:pt>
                <c:pt idx="98">
                  <c:v>0.19154338887360106</c:v>
                </c:pt>
                <c:pt idx="99">
                  <c:v>0.16493250985430016</c:v>
                </c:pt>
                <c:pt idx="100">
                  <c:v>0.17746174610148063</c:v>
                </c:pt>
                <c:pt idx="101">
                  <c:v>0.21729500695902723</c:v>
                </c:pt>
                <c:pt idx="102">
                  <c:v>0.27482212381874244</c:v>
                </c:pt>
                <c:pt idx="103">
                  <c:v>0.24745445167798649</c:v>
                </c:pt>
                <c:pt idx="104">
                  <c:v>0.32640275683822928</c:v>
                </c:pt>
                <c:pt idx="105">
                  <c:v>0.41535308838029794</c:v>
                </c:pt>
              </c:numCache>
            </c:numRef>
          </c:yVal>
        </c:ser>
        <c:axId val="92932736"/>
        <c:axId val="92939392"/>
      </c:scatterChart>
      <c:valAx>
        <c:axId val="92932736"/>
        <c:scaling>
          <c:orientation val="minMax"/>
        </c:scaling>
        <c:axPos val="b"/>
        <c:title>
          <c:tx>
            <c:rich>
              <a:bodyPr/>
              <a:lstStyle/>
              <a:p>
                <a:pPr>
                  <a:defRPr sz="1400"/>
                </a:pPr>
                <a:r>
                  <a:rPr lang="en-US" sz="1400"/>
                  <a:t>Time of Day</a:t>
                </a:r>
              </a:p>
            </c:rich>
          </c:tx>
          <c:layout/>
        </c:title>
        <c:numFmt formatCode="h:mm:ss;@" sourceLinked="1"/>
        <c:tickLblPos val="nextTo"/>
        <c:crossAx val="92939392"/>
        <c:crosses val="autoZero"/>
        <c:crossBetween val="midCat"/>
      </c:valAx>
      <c:valAx>
        <c:axId val="92939392"/>
        <c:scaling>
          <c:orientation val="minMax"/>
          <c:max val="0.5"/>
        </c:scaling>
        <c:axPos val="l"/>
        <c:majorGridlines/>
        <c:title>
          <c:tx>
            <c:rich>
              <a:bodyPr rot="-5400000" vert="horz"/>
              <a:lstStyle/>
              <a:p>
                <a:pPr>
                  <a:defRPr/>
                </a:pPr>
                <a:r>
                  <a:rPr lang="en-US" sz="1400"/>
                  <a:t>Drift rate (Kn)</a:t>
                </a:r>
              </a:p>
            </c:rich>
          </c:tx>
          <c:layout/>
        </c:title>
        <c:numFmt formatCode="0.00" sourceLinked="1"/>
        <c:tickLblPos val="nextTo"/>
        <c:crossAx val="92932736"/>
        <c:crosses val="autoZero"/>
        <c:crossBetween val="midCat"/>
      </c:valAx>
    </c:plotArea>
    <c:legend>
      <c:legendPos val="r"/>
      <c:layout>
        <c:manualLayout>
          <c:xMode val="edge"/>
          <c:yMode val="edge"/>
          <c:x val="0.9102115430042389"/>
          <c:y val="3.617510415076234E-2"/>
          <c:w val="7.592872267247705E-2"/>
          <c:h val="0.13357646083713276"/>
        </c:manualLayout>
      </c:layout>
      <c:spPr>
        <a:solidFill>
          <a:sysClr val="window" lastClr="FFFFFF"/>
        </a:solidFill>
        <a:ln>
          <a:solidFill>
            <a:sysClr val="windowText" lastClr="000000"/>
          </a:solidFill>
        </a:ln>
      </c:spPr>
    </c:legend>
    <c:plotVisOnly val="1"/>
  </c:chart>
  <c:printSettings>
    <c:headerFooter/>
    <c:pageMargins b="0.75000000000000178" l="0.70000000000000062" r="0.70000000000000062" t="0.75000000000000178"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0.14852649939274176"/>
          <c:y val="6.9919072615923034E-2"/>
          <c:w val="0.72964505209456487"/>
          <c:h val="0.79822506561679785"/>
        </c:manualLayout>
      </c:layout>
      <c:scatterChart>
        <c:scatterStyle val="lineMarker"/>
        <c:ser>
          <c:idx val="0"/>
          <c:order val="0"/>
          <c:tx>
            <c:v>Sable</c:v>
          </c:tx>
          <c:spPr>
            <a:ln>
              <a:noFill/>
            </a:ln>
          </c:spPr>
          <c:marker>
            <c:symbol val="circle"/>
            <c:size val="5"/>
            <c:spPr>
              <a:solidFill>
                <a:srgbClr val="FF0000"/>
              </a:solidFill>
              <a:ln>
                <a:solidFill>
                  <a:sysClr val="windowText" lastClr="000000"/>
                </a:solidFill>
              </a:ln>
            </c:spPr>
          </c:marker>
          <c:xVal>
            <c:numRef>
              <c:f>'Calc-Deploy 2'!$N$12:$N$60</c:f>
              <c:numCache>
                <c:formatCode>0.00</c:formatCode>
                <c:ptCount val="49"/>
                <c:pt idx="0">
                  <c:v>292.81260587004601</c:v>
                </c:pt>
                <c:pt idx="1">
                  <c:v>279.33136047371306</c:v>
                </c:pt>
                <c:pt idx="2">
                  <c:v>11.935779609533684</c:v>
                </c:pt>
                <c:pt idx="3">
                  <c:v>214.06015051430049</c:v>
                </c:pt>
                <c:pt idx="4">
                  <c:v>234.57223333463472</c:v>
                </c:pt>
                <c:pt idx="5">
                  <c:v>280.63320494288712</c:v>
                </c:pt>
                <c:pt idx="6">
                  <c:v>305.53599803319241</c:v>
                </c:pt>
                <c:pt idx="7">
                  <c:v>14.981475439260945</c:v>
                </c:pt>
                <c:pt idx="8">
                  <c:v>84.204231141593382</c:v>
                </c:pt>
                <c:pt idx="9">
                  <c:v>225.88987067702152</c:v>
                </c:pt>
                <c:pt idx="10">
                  <c:v>233.69788123363469</c:v>
                </c:pt>
                <c:pt idx="11">
                  <c:v>278.11336606804542</c:v>
                </c:pt>
                <c:pt idx="12">
                  <c:v>299.53858742369607</c:v>
                </c:pt>
                <c:pt idx="13">
                  <c:v>300.13516453316566</c:v>
                </c:pt>
                <c:pt idx="14">
                  <c:v>259.27161332210011</c:v>
                </c:pt>
                <c:pt idx="15">
                  <c:v>289.43082991789328</c:v>
                </c:pt>
                <c:pt idx="16">
                  <c:v>261.82814948497276</c:v>
                </c:pt>
                <c:pt idx="17">
                  <c:v>263.6518319856533</c:v>
                </c:pt>
                <c:pt idx="18">
                  <c:v>306.98267580688594</c:v>
                </c:pt>
                <c:pt idx="19">
                  <c:v>295.9347952468986</c:v>
                </c:pt>
                <c:pt idx="20">
                  <c:v>264.73699564845873</c:v>
                </c:pt>
                <c:pt idx="21">
                  <c:v>277.89038621003874</c:v>
                </c:pt>
                <c:pt idx="22">
                  <c:v>271.02932242763546</c:v>
                </c:pt>
                <c:pt idx="23">
                  <c:v>288.55018166304387</c:v>
                </c:pt>
                <c:pt idx="24">
                  <c:v>292.49948436451893</c:v>
                </c:pt>
                <c:pt idx="25">
                  <c:v>43.756861696414838</c:v>
                </c:pt>
                <c:pt idx="27">
                  <c:v>282.86323418812634</c:v>
                </c:pt>
              </c:numCache>
            </c:numRef>
          </c:xVal>
          <c:yVal>
            <c:numRef>
              <c:f>'Calc-Deploy 2'!$Q$12:$Q$60</c:f>
              <c:numCache>
                <c:formatCode>0.00</c:formatCode>
                <c:ptCount val="49"/>
                <c:pt idx="0">
                  <c:v>0.13163724948981656</c:v>
                </c:pt>
                <c:pt idx="1">
                  <c:v>0.133350323045063</c:v>
                </c:pt>
                <c:pt idx="2">
                  <c:v>0.10084846296068159</c:v>
                </c:pt>
                <c:pt idx="3">
                  <c:v>0.19398684116067846</c:v>
                </c:pt>
                <c:pt idx="4">
                  <c:v>0.38256631021466003</c:v>
                </c:pt>
                <c:pt idx="5">
                  <c:v>0.31183191140898631</c:v>
                </c:pt>
                <c:pt idx="6">
                  <c:v>0.23935930351317053</c:v>
                </c:pt>
                <c:pt idx="7">
                  <c:v>7.1251530956036466E-2</c:v>
                </c:pt>
                <c:pt idx="8">
                  <c:v>0.11039773748650746</c:v>
                </c:pt>
                <c:pt idx="9">
                  <c:v>0.25158636422691061</c:v>
                </c:pt>
                <c:pt idx="10">
                  <c:v>0.36032848967221121</c:v>
                </c:pt>
                <c:pt idx="11">
                  <c:v>0.24825261559211687</c:v>
                </c:pt>
                <c:pt idx="12">
                  <c:v>0.32701695066249864</c:v>
                </c:pt>
                <c:pt idx="13">
                  <c:v>0.25009316573545354</c:v>
                </c:pt>
                <c:pt idx="14">
                  <c:v>0.13437143459625128</c:v>
                </c:pt>
                <c:pt idx="15">
                  <c:v>0.20008013107145603</c:v>
                </c:pt>
                <c:pt idx="16">
                  <c:v>0.30457055509349168</c:v>
                </c:pt>
                <c:pt idx="17">
                  <c:v>0.33276762474009752</c:v>
                </c:pt>
                <c:pt idx="18">
                  <c:v>0.41789741624585486</c:v>
                </c:pt>
                <c:pt idx="19">
                  <c:v>0.23296808558463458</c:v>
                </c:pt>
                <c:pt idx="20">
                  <c:v>0.1962836487523284</c:v>
                </c:pt>
                <c:pt idx="21">
                  <c:v>0.22313110463864172</c:v>
                </c:pt>
                <c:pt idx="22">
                  <c:v>0.29240681031382576</c:v>
                </c:pt>
                <c:pt idx="23">
                  <c:v>0.33197586297869081</c:v>
                </c:pt>
                <c:pt idx="24">
                  <c:v>0.26115472284934538</c:v>
                </c:pt>
                <c:pt idx="25">
                  <c:v>-9.0154643063170524E-3</c:v>
                </c:pt>
                <c:pt idx="27">
                  <c:v>0.32202029682701072</c:v>
                </c:pt>
              </c:numCache>
            </c:numRef>
          </c:yVal>
        </c:ser>
        <c:ser>
          <c:idx val="1"/>
          <c:order val="1"/>
          <c:tx>
            <c:v>Melo</c:v>
          </c:tx>
          <c:spPr>
            <a:ln w="28575">
              <a:noFill/>
              <a:prstDash val="sysDot"/>
            </a:ln>
          </c:spPr>
          <c:marker>
            <c:symbol val="circle"/>
            <c:size val="5"/>
            <c:spPr>
              <a:solidFill>
                <a:srgbClr val="0000FF"/>
              </a:solidFill>
              <a:ln>
                <a:noFill/>
              </a:ln>
            </c:spPr>
          </c:marker>
          <c:xVal>
            <c:numRef>
              <c:f>'Calc-Deploy 2'!$AK$12:$AK$150</c:f>
              <c:numCache>
                <c:formatCode>0.00</c:formatCode>
                <c:ptCount val="139"/>
                <c:pt idx="0">
                  <c:v>274.27246212581002</c:v>
                </c:pt>
                <c:pt idx="1">
                  <c:v>254.80348786559017</c:v>
                </c:pt>
                <c:pt idx="2">
                  <c:v>249.2538659697957</c:v>
                </c:pt>
                <c:pt idx="3">
                  <c:v>292.10747303401291</c:v>
                </c:pt>
                <c:pt idx="4">
                  <c:v>315.59527696902205</c:v>
                </c:pt>
                <c:pt idx="5">
                  <c:v>2.6921957609544198</c:v>
                </c:pt>
                <c:pt idx="6">
                  <c:v>4.4880742004088923</c:v>
                </c:pt>
                <c:pt idx="7">
                  <c:v>2.2645046924120997</c:v>
                </c:pt>
                <c:pt idx="8">
                  <c:v>30.518065835990583</c:v>
                </c:pt>
                <c:pt idx="9">
                  <c:v>164.97030993474294</c:v>
                </c:pt>
                <c:pt idx="10">
                  <c:v>210.03254484392613</c:v>
                </c:pt>
                <c:pt idx="11">
                  <c:v>211.89569024036876</c:v>
                </c:pt>
                <c:pt idx="12">
                  <c:v>231.33937177309011</c:v>
                </c:pt>
                <c:pt idx="13">
                  <c:v>232.83122338459719</c:v>
                </c:pt>
                <c:pt idx="14">
                  <c:v>236.62554670558634</c:v>
                </c:pt>
                <c:pt idx="15">
                  <c:v>244.95965101220719</c:v>
                </c:pt>
                <c:pt idx="16">
                  <c:v>272.887358173221</c:v>
                </c:pt>
                <c:pt idx="17">
                  <c:v>300.83366579243966</c:v>
                </c:pt>
                <c:pt idx="18">
                  <c:v>319.87713217982036</c:v>
                </c:pt>
                <c:pt idx="19">
                  <c:v>316.06026593051178</c:v>
                </c:pt>
                <c:pt idx="20">
                  <c:v>321.62349890406898</c:v>
                </c:pt>
                <c:pt idx="21">
                  <c:v>320.13402152176775</c:v>
                </c:pt>
                <c:pt idx="22">
                  <c:v>304.95006781714289</c:v>
                </c:pt>
                <c:pt idx="23">
                  <c:v>278.48961276848308</c:v>
                </c:pt>
                <c:pt idx="24">
                  <c:v>288.15319827282343</c:v>
                </c:pt>
                <c:pt idx="25">
                  <c:v>276.69635349109961</c:v>
                </c:pt>
                <c:pt idx="26">
                  <c:v>287.5004910331624</c:v>
                </c:pt>
                <c:pt idx="27">
                  <c:v>339.47180430251842</c:v>
                </c:pt>
                <c:pt idx="28">
                  <c:v>38.770829237332705</c:v>
                </c:pt>
                <c:pt idx="29">
                  <c:v>22.575558149888721</c:v>
                </c:pt>
                <c:pt idx="30">
                  <c:v>47.369886086149073</c:v>
                </c:pt>
                <c:pt idx="31">
                  <c:v>86.999948484585673</c:v>
                </c:pt>
                <c:pt idx="32">
                  <c:v>143.44728871172674</c:v>
                </c:pt>
                <c:pt idx="33">
                  <c:v>220.04955583465431</c:v>
                </c:pt>
                <c:pt idx="34">
                  <c:v>224.13826113747135</c:v>
                </c:pt>
                <c:pt idx="35">
                  <c:v>229.99181580471614</c:v>
                </c:pt>
                <c:pt idx="36">
                  <c:v>224.32533940212608</c:v>
                </c:pt>
                <c:pt idx="37">
                  <c:v>232.42135624858031</c:v>
                </c:pt>
                <c:pt idx="38">
                  <c:v>240.62908681797796</c:v>
                </c:pt>
                <c:pt idx="39">
                  <c:v>256.41446786896654</c:v>
                </c:pt>
                <c:pt idx="40">
                  <c:v>284.41174835730413</c:v>
                </c:pt>
                <c:pt idx="41">
                  <c:v>298.23822062608002</c:v>
                </c:pt>
                <c:pt idx="42">
                  <c:v>294.5074488054255</c:v>
                </c:pt>
                <c:pt idx="43">
                  <c:v>299.74465765079299</c:v>
                </c:pt>
                <c:pt idx="44">
                  <c:v>303.25496016900172</c:v>
                </c:pt>
                <c:pt idx="45">
                  <c:v>313.98920332127835</c:v>
                </c:pt>
                <c:pt idx="46">
                  <c:v>299.10631785688656</c:v>
                </c:pt>
                <c:pt idx="47">
                  <c:v>288.8418056487269</c:v>
                </c:pt>
                <c:pt idx="48">
                  <c:v>300.73078876538784</c:v>
                </c:pt>
                <c:pt idx="49">
                  <c:v>301.34301189805461</c:v>
                </c:pt>
                <c:pt idx="50">
                  <c:v>281.44306338289294</c:v>
                </c:pt>
                <c:pt idx="51">
                  <c:v>264.91454952942809</c:v>
                </c:pt>
                <c:pt idx="52">
                  <c:v>255.63444051917392</c:v>
                </c:pt>
                <c:pt idx="53">
                  <c:v>258.93882265822322</c:v>
                </c:pt>
                <c:pt idx="54">
                  <c:v>314.12308508710095</c:v>
                </c:pt>
                <c:pt idx="55">
                  <c:v>308.5648278148073</c:v>
                </c:pt>
                <c:pt idx="56">
                  <c:v>296.75006592738288</c:v>
                </c:pt>
                <c:pt idx="57">
                  <c:v>294.64170151270372</c:v>
                </c:pt>
                <c:pt idx="58">
                  <c:v>275.21755809142161</c:v>
                </c:pt>
                <c:pt idx="59">
                  <c:v>257.84220582467799</c:v>
                </c:pt>
                <c:pt idx="60">
                  <c:v>255.41648882562026</c:v>
                </c:pt>
                <c:pt idx="61">
                  <c:v>268.00299408868443</c:v>
                </c:pt>
                <c:pt idx="62">
                  <c:v>259.7325673793012</c:v>
                </c:pt>
                <c:pt idx="63">
                  <c:v>246.00232422848092</c:v>
                </c:pt>
                <c:pt idx="64">
                  <c:v>261.95045376027042</c:v>
                </c:pt>
                <c:pt idx="65">
                  <c:v>288.25774385092501</c:v>
                </c:pt>
                <c:pt idx="66">
                  <c:v>306.64727692581539</c:v>
                </c:pt>
                <c:pt idx="67">
                  <c:v>313.65786263054241</c:v>
                </c:pt>
                <c:pt idx="68">
                  <c:v>298.16182157312215</c:v>
                </c:pt>
                <c:pt idx="69">
                  <c:v>288.89008653114126</c:v>
                </c:pt>
                <c:pt idx="70">
                  <c:v>299.27037747476618</c:v>
                </c:pt>
                <c:pt idx="71">
                  <c:v>303.98030725739585</c:v>
                </c:pt>
                <c:pt idx="72">
                  <c:v>283.17155124794715</c:v>
                </c:pt>
                <c:pt idx="73">
                  <c:v>298.89518132864856</c:v>
                </c:pt>
                <c:pt idx="74">
                  <c:v>309.0689027268977</c:v>
                </c:pt>
                <c:pt idx="75">
                  <c:v>270.57217429120772</c:v>
                </c:pt>
                <c:pt idx="76">
                  <c:v>255.54065519347228</c:v>
                </c:pt>
                <c:pt idx="77">
                  <c:v>267.28865962187598</c:v>
                </c:pt>
                <c:pt idx="78">
                  <c:v>307.12708429481182</c:v>
                </c:pt>
                <c:pt idx="79">
                  <c:v>264.91389456528162</c:v>
                </c:pt>
                <c:pt idx="80">
                  <c:v>262.01007154320575</c:v>
                </c:pt>
                <c:pt idx="81">
                  <c:v>261.99428201207752</c:v>
                </c:pt>
                <c:pt idx="82">
                  <c:v>268.8175422812044</c:v>
                </c:pt>
                <c:pt idx="83">
                  <c:v>257.01473675608253</c:v>
                </c:pt>
                <c:pt idx="84">
                  <c:v>264.89003155881619</c:v>
                </c:pt>
                <c:pt idx="85">
                  <c:v>306.0120210505325</c:v>
                </c:pt>
                <c:pt idx="86">
                  <c:v>295.62412312631744</c:v>
                </c:pt>
                <c:pt idx="87">
                  <c:v>278.52479337243597</c:v>
                </c:pt>
                <c:pt idx="88">
                  <c:v>271.77325194812255</c:v>
                </c:pt>
                <c:pt idx="89">
                  <c:v>281.05347298462635</c:v>
                </c:pt>
                <c:pt idx="90">
                  <c:v>293.22542639946181</c:v>
                </c:pt>
                <c:pt idx="91">
                  <c:v>303.34082801422477</c:v>
                </c:pt>
                <c:pt idx="92">
                  <c:v>307.53650237658411</c:v>
                </c:pt>
                <c:pt idx="93">
                  <c:v>301.54912461542062</c:v>
                </c:pt>
                <c:pt idx="94">
                  <c:v>294.88286809959948</c:v>
                </c:pt>
                <c:pt idx="95">
                  <c:v>300.26301436844017</c:v>
                </c:pt>
                <c:pt idx="96">
                  <c:v>291.92790193829643</c:v>
                </c:pt>
                <c:pt idx="97">
                  <c:v>294.53820234785587</c:v>
                </c:pt>
                <c:pt idx="98">
                  <c:v>310.45661023280462</c:v>
                </c:pt>
                <c:pt idx="99">
                  <c:v>319.0716250589814</c:v>
                </c:pt>
                <c:pt idx="100">
                  <c:v>303.07803085893971</c:v>
                </c:pt>
                <c:pt idx="101">
                  <c:v>279.6992535446679</c:v>
                </c:pt>
                <c:pt idx="102">
                  <c:v>279.59311921182825</c:v>
                </c:pt>
                <c:pt idx="103">
                  <c:v>284.9376159937309</c:v>
                </c:pt>
                <c:pt idx="104">
                  <c:v>276.7552782253594</c:v>
                </c:pt>
                <c:pt idx="105">
                  <c:v>282.68896137582226</c:v>
                </c:pt>
              </c:numCache>
            </c:numRef>
          </c:xVal>
          <c:yVal>
            <c:numRef>
              <c:f>'Calc-Deploy 2'!$AN$12:$AN$150</c:f>
              <c:numCache>
                <c:formatCode>0.00</c:formatCode>
                <c:ptCount val="139"/>
                <c:pt idx="0">
                  <c:v>0.17442613947522576</c:v>
                </c:pt>
                <c:pt idx="1">
                  <c:v>0.2859247288529877</c:v>
                </c:pt>
                <c:pt idx="2">
                  <c:v>0.25253265781637274</c:v>
                </c:pt>
                <c:pt idx="3">
                  <c:v>0.10689232172467523</c:v>
                </c:pt>
                <c:pt idx="4">
                  <c:v>0.1330914774382235</c:v>
                </c:pt>
                <c:pt idx="5">
                  <c:v>0.12742842635410334</c:v>
                </c:pt>
                <c:pt idx="6">
                  <c:v>0.15046646158884477</c:v>
                </c:pt>
                <c:pt idx="7">
                  <c:v>0.16253399275572389</c:v>
                </c:pt>
                <c:pt idx="8">
                  <c:v>6.9471794827627054E-2</c:v>
                </c:pt>
                <c:pt idx="9">
                  <c:v>1.6785390669297903E-2</c:v>
                </c:pt>
                <c:pt idx="10">
                  <c:v>0.15825984393108733</c:v>
                </c:pt>
                <c:pt idx="11">
                  <c:v>0.27754209181127742</c:v>
                </c:pt>
                <c:pt idx="12">
                  <c:v>0.29931218449199731</c:v>
                </c:pt>
                <c:pt idx="13">
                  <c:v>0.38403113152634716</c:v>
                </c:pt>
                <c:pt idx="14">
                  <c:v>0.42881656503372623</c:v>
                </c:pt>
                <c:pt idx="15">
                  <c:v>0.37810815061226327</c:v>
                </c:pt>
                <c:pt idx="16">
                  <c:v>0.3152897750166227</c:v>
                </c:pt>
                <c:pt idx="17">
                  <c:v>0.34222308090994974</c:v>
                </c:pt>
                <c:pt idx="18">
                  <c:v>0.32522859177487723</c:v>
                </c:pt>
                <c:pt idx="19">
                  <c:v>0.37480450955578726</c:v>
                </c:pt>
                <c:pt idx="20">
                  <c:v>0.32908714708597631</c:v>
                </c:pt>
                <c:pt idx="21">
                  <c:v>0.2792666415097152</c:v>
                </c:pt>
                <c:pt idx="22">
                  <c:v>0.21546454023378858</c:v>
                </c:pt>
                <c:pt idx="23">
                  <c:v>0.26405452993272527</c:v>
                </c:pt>
                <c:pt idx="24">
                  <c:v>0.23704788543971708</c:v>
                </c:pt>
                <c:pt idx="25">
                  <c:v>0.15195165318871065</c:v>
                </c:pt>
                <c:pt idx="26">
                  <c:v>0.1313946715578318</c:v>
                </c:pt>
                <c:pt idx="27">
                  <c:v>7.7576259456220903E-2</c:v>
                </c:pt>
                <c:pt idx="28">
                  <c:v>3.3884452944422452E-2</c:v>
                </c:pt>
                <c:pt idx="29">
                  <c:v>0.10872864247076677</c:v>
                </c:pt>
                <c:pt idx="30">
                  <c:v>0.15783284359992994</c:v>
                </c:pt>
                <c:pt idx="31">
                  <c:v>0.18359729302920283</c:v>
                </c:pt>
                <c:pt idx="32">
                  <c:v>7.2781935550322432E-2</c:v>
                </c:pt>
                <c:pt idx="33">
                  <c:v>0.11922133204235905</c:v>
                </c:pt>
                <c:pt idx="34">
                  <c:v>0.28579826762050159</c:v>
                </c:pt>
                <c:pt idx="35">
                  <c:v>0.31232100226137444</c:v>
                </c:pt>
                <c:pt idx="36">
                  <c:v>0.30213993696647418</c:v>
                </c:pt>
                <c:pt idx="37">
                  <c:v>0.38831282484442348</c:v>
                </c:pt>
                <c:pt idx="38">
                  <c:v>0.39613654731018488</c:v>
                </c:pt>
                <c:pt idx="39">
                  <c:v>0.31709988375453207</c:v>
                </c:pt>
                <c:pt idx="40">
                  <c:v>0.24204431180929295</c:v>
                </c:pt>
                <c:pt idx="41">
                  <c:v>0.22842634606471976</c:v>
                </c:pt>
                <c:pt idx="42">
                  <c:v>0.29977231308498303</c:v>
                </c:pt>
                <c:pt idx="43">
                  <c:v>0.33402155616301721</c:v>
                </c:pt>
                <c:pt idx="44">
                  <c:v>0.33833877644276766</c:v>
                </c:pt>
                <c:pt idx="45">
                  <c:v>0.35054666046195943</c:v>
                </c:pt>
                <c:pt idx="46">
                  <c:v>0.34809206065758147</c:v>
                </c:pt>
                <c:pt idx="47">
                  <c:v>0.28894122714597065</c:v>
                </c:pt>
                <c:pt idx="48">
                  <c:v>0.23734890655666555</c:v>
                </c:pt>
                <c:pt idx="49">
                  <c:v>0.1664433441478306</c:v>
                </c:pt>
                <c:pt idx="50">
                  <c:v>0.1271128768877163</c:v>
                </c:pt>
                <c:pt idx="51">
                  <c:v>0.13323585828145845</c:v>
                </c:pt>
                <c:pt idx="52">
                  <c:v>0.16734027509934477</c:v>
                </c:pt>
                <c:pt idx="53">
                  <c:v>0.10211671760757648</c:v>
                </c:pt>
                <c:pt idx="54">
                  <c:v>0.1154314423175402</c:v>
                </c:pt>
                <c:pt idx="55">
                  <c:v>0.20462816326197092</c:v>
                </c:pt>
                <c:pt idx="56">
                  <c:v>0.2283100833792262</c:v>
                </c:pt>
                <c:pt idx="57">
                  <c:v>0.22994928903811326</c:v>
                </c:pt>
                <c:pt idx="58">
                  <c:v>0.22832679682635634</c:v>
                </c:pt>
                <c:pt idx="59">
                  <c:v>0.27478484888532256</c:v>
                </c:pt>
                <c:pt idx="60">
                  <c:v>0.28143761979207071</c:v>
                </c:pt>
                <c:pt idx="61">
                  <c:v>0.33270441864891659</c:v>
                </c:pt>
                <c:pt idx="62">
                  <c:v>0.28822538569543737</c:v>
                </c:pt>
                <c:pt idx="63">
                  <c:v>0.27143963765344159</c:v>
                </c:pt>
                <c:pt idx="64">
                  <c:v>0.39672703219646532</c:v>
                </c:pt>
                <c:pt idx="65">
                  <c:v>0.4159070605297347</c:v>
                </c:pt>
                <c:pt idx="66">
                  <c:v>0.45217946402925707</c:v>
                </c:pt>
                <c:pt idx="67">
                  <c:v>0.40821773937920203</c:v>
                </c:pt>
                <c:pt idx="68">
                  <c:v>0.3764893378784358</c:v>
                </c:pt>
                <c:pt idx="69">
                  <c:v>0.28275649387469293</c:v>
                </c:pt>
                <c:pt idx="70">
                  <c:v>0.20017026616883615</c:v>
                </c:pt>
                <c:pt idx="71">
                  <c:v>0.21520309977900623</c:v>
                </c:pt>
                <c:pt idx="72">
                  <c:v>0.27932427835748119</c:v>
                </c:pt>
                <c:pt idx="73">
                  <c:v>0.20751152351660385</c:v>
                </c:pt>
                <c:pt idx="74">
                  <c:v>0.17424538828194983</c:v>
                </c:pt>
                <c:pt idx="75">
                  <c:v>0.18059568421120784</c:v>
                </c:pt>
                <c:pt idx="76">
                  <c:v>0.19716802075334236</c:v>
                </c:pt>
                <c:pt idx="77">
                  <c:v>0.24557444889490454</c:v>
                </c:pt>
                <c:pt idx="78">
                  <c:v>0.20535910038954952</c:v>
                </c:pt>
                <c:pt idx="79">
                  <c:v>0.23311477861102872</c:v>
                </c:pt>
                <c:pt idx="80">
                  <c:v>0.31011137525307353</c:v>
                </c:pt>
                <c:pt idx="81">
                  <c:v>0.35455989510584746</c:v>
                </c:pt>
                <c:pt idx="82">
                  <c:v>0.34874006534795121</c:v>
                </c:pt>
                <c:pt idx="83">
                  <c:v>0.30747882372584662</c:v>
                </c:pt>
                <c:pt idx="84">
                  <c:v>0.28697622993705491</c:v>
                </c:pt>
                <c:pt idx="85">
                  <c:v>0.27368469868938761</c:v>
                </c:pt>
                <c:pt idx="86">
                  <c:v>0.18572494067757073</c:v>
                </c:pt>
                <c:pt idx="87">
                  <c:v>0.25520156619042828</c:v>
                </c:pt>
                <c:pt idx="88">
                  <c:v>0.35705662480088579</c:v>
                </c:pt>
                <c:pt idx="89">
                  <c:v>0.33579210818422256</c:v>
                </c:pt>
                <c:pt idx="90">
                  <c:v>0.38827009750331243</c:v>
                </c:pt>
                <c:pt idx="91">
                  <c:v>0.41047817608070347</c:v>
                </c:pt>
                <c:pt idx="92">
                  <c:v>0.37448837907701138</c:v>
                </c:pt>
                <c:pt idx="93">
                  <c:v>0.35191710046873775</c:v>
                </c:pt>
                <c:pt idx="94">
                  <c:v>0.33958305877912487</c:v>
                </c:pt>
                <c:pt idx="95">
                  <c:v>0.23906069365554156</c:v>
                </c:pt>
                <c:pt idx="96">
                  <c:v>0.15972919467428826</c:v>
                </c:pt>
                <c:pt idx="97">
                  <c:v>0.13936214434168298</c:v>
                </c:pt>
                <c:pt idx="98">
                  <c:v>0.19154338887360106</c:v>
                </c:pt>
                <c:pt idx="99">
                  <c:v>0.16493250985430016</c:v>
                </c:pt>
                <c:pt idx="100">
                  <c:v>0.17746174610148063</c:v>
                </c:pt>
                <c:pt idx="101">
                  <c:v>0.21729500695902723</c:v>
                </c:pt>
                <c:pt idx="102">
                  <c:v>0.27482212381874244</c:v>
                </c:pt>
                <c:pt idx="103">
                  <c:v>0.24745445167798649</c:v>
                </c:pt>
                <c:pt idx="104">
                  <c:v>0.32640275683822928</c:v>
                </c:pt>
                <c:pt idx="105">
                  <c:v>0.41535308838029794</c:v>
                </c:pt>
              </c:numCache>
            </c:numRef>
          </c:yVal>
        </c:ser>
        <c:axId val="92956160"/>
        <c:axId val="92979200"/>
      </c:scatterChart>
      <c:valAx>
        <c:axId val="92956160"/>
        <c:scaling>
          <c:orientation val="minMax"/>
          <c:max val="360"/>
          <c:min val="0"/>
        </c:scaling>
        <c:axPos val="b"/>
        <c:title>
          <c:tx>
            <c:rich>
              <a:bodyPr/>
              <a:lstStyle/>
              <a:p>
                <a:pPr>
                  <a:defRPr sz="1400"/>
                </a:pPr>
                <a:r>
                  <a:rPr lang="en-US" sz="1400"/>
                  <a:t>Bearing</a:t>
                </a:r>
                <a:r>
                  <a:rPr lang="en-US" sz="1400" baseline="0"/>
                  <a:t> (Degrees)</a:t>
                </a:r>
                <a:endParaRPr lang="en-US" sz="1400"/>
              </a:p>
            </c:rich>
          </c:tx>
        </c:title>
        <c:numFmt formatCode="0.00" sourceLinked="1"/>
        <c:tickLblPos val="nextTo"/>
        <c:crossAx val="92979200"/>
        <c:crosses val="autoZero"/>
        <c:crossBetween val="midCat"/>
      </c:valAx>
      <c:valAx>
        <c:axId val="92979200"/>
        <c:scaling>
          <c:orientation val="minMax"/>
          <c:max val="0.5"/>
        </c:scaling>
        <c:axPos val="l"/>
        <c:majorGridlines/>
        <c:title>
          <c:tx>
            <c:rich>
              <a:bodyPr rot="-5400000" vert="horz"/>
              <a:lstStyle/>
              <a:p>
                <a:pPr>
                  <a:defRPr sz="1400"/>
                </a:pPr>
                <a:r>
                  <a:rPr lang="en-US" sz="1400"/>
                  <a:t>Drift Rate (Kn)</a:t>
                </a:r>
              </a:p>
            </c:rich>
          </c:tx>
          <c:layout>
            <c:manualLayout>
              <c:xMode val="edge"/>
              <c:yMode val="edge"/>
              <c:x val="2.6801865898633648E-2"/>
              <c:y val="0.43275876879026576"/>
            </c:manualLayout>
          </c:layout>
        </c:title>
        <c:numFmt formatCode="0.00" sourceLinked="1"/>
        <c:tickLblPos val="nextTo"/>
        <c:crossAx val="92956160"/>
        <c:crosses val="autoZero"/>
        <c:crossBetween val="midCat"/>
      </c:valAx>
    </c:plotArea>
    <c:legend>
      <c:legendPos val="r"/>
      <c:layout>
        <c:manualLayout>
          <c:xMode val="edge"/>
          <c:yMode val="edge"/>
          <c:x val="0.84000622205603115"/>
          <c:y val="2.1086375566690619E-2"/>
          <c:w val="0.1461429521506532"/>
          <c:h val="0.10959341445955648"/>
        </c:manualLayout>
      </c:layout>
      <c:spPr>
        <a:solidFill>
          <a:schemeClr val="lt1"/>
        </a:solidFill>
        <a:ln>
          <a:solidFill>
            <a:schemeClr val="tx1"/>
          </a:solidFill>
        </a:ln>
      </c:spPr>
    </c:legend>
    <c:plotVisOnly val="1"/>
  </c:chart>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122464</xdr:rowOff>
    </xdr:from>
    <xdr:to>
      <xdr:col>5</xdr:col>
      <xdr:colOff>408214</xdr:colOff>
      <xdr:row>7</xdr:row>
      <xdr:rowOff>177799</xdr:rowOff>
    </xdr:to>
    <xdr:sp macro="" textlink="">
      <xdr:nvSpPr>
        <xdr:cNvPr id="2" name="TextBox 1"/>
        <xdr:cNvSpPr txBox="1"/>
      </xdr:nvSpPr>
      <xdr:spPr>
        <a:xfrm>
          <a:off x="285750" y="122464"/>
          <a:ext cx="4567464" cy="1388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1.  Time of beginning of deployment:</a:t>
          </a:r>
          <a:r>
            <a:rPr lang="en-US" sz="1100" baseline="0"/>
            <a:t>  09/09/11 06:00</a:t>
          </a:r>
        </a:p>
        <a:p>
          <a:r>
            <a:rPr lang="en-US" sz="1100" baseline="0"/>
            <a:t>2.  Time of end of deploymet:   09/13/11  09:00</a:t>
          </a:r>
        </a:p>
        <a:p>
          <a:r>
            <a:rPr lang="en-US" sz="1100" baseline="0"/>
            <a:t>3.  Lat Lon of release of Array:  </a:t>
          </a:r>
        </a:p>
        <a:p>
          <a:endParaRPr lang="en-US" sz="1100" baseline="0"/>
        </a:p>
        <a:p>
          <a:r>
            <a:rPr lang="en-US" sz="1100">
              <a:solidFill>
                <a:schemeClr val="dk1"/>
              </a:solidFill>
              <a:latin typeface="+mn-lt"/>
              <a:ea typeface="+mn-ea"/>
              <a:cs typeface="+mn-cs"/>
            </a:rPr>
            <a:t>1.  Time of beginning of recovery:</a:t>
          </a:r>
          <a:r>
            <a:rPr lang="en-US" sz="1100" baseline="0">
              <a:solidFill>
                <a:schemeClr val="dk1"/>
              </a:solidFill>
              <a:latin typeface="+mn-lt"/>
              <a:ea typeface="+mn-ea"/>
              <a:cs typeface="+mn-cs"/>
            </a:rPr>
            <a:t>  </a:t>
          </a:r>
          <a:endParaRPr lang="en-US"/>
        </a:p>
        <a:p>
          <a:r>
            <a:rPr lang="en-US" sz="1100" baseline="0">
              <a:solidFill>
                <a:schemeClr val="dk1"/>
              </a:solidFill>
              <a:latin typeface="+mn-lt"/>
              <a:ea typeface="+mn-ea"/>
              <a:cs typeface="+mn-cs"/>
            </a:rPr>
            <a:t>2.  Time of end of recovery:  </a:t>
          </a:r>
          <a:endParaRPr lang="en-US"/>
        </a:p>
        <a:p>
          <a:r>
            <a:rPr lang="en-US" sz="1100" baseline="0">
              <a:solidFill>
                <a:schemeClr val="dk1"/>
              </a:solidFill>
              <a:latin typeface="+mn-lt"/>
              <a:ea typeface="+mn-ea"/>
              <a:cs typeface="+mn-cs"/>
            </a:rPr>
            <a:t>3.  Lat Lon of Array Recovery:</a:t>
          </a:r>
          <a:endParaRPr lang="en-US"/>
        </a:p>
      </xdr:txBody>
    </xdr:sp>
    <xdr:clientData/>
  </xdr:twoCellAnchor>
  <xdr:twoCellAnchor>
    <xdr:from>
      <xdr:col>15</xdr:col>
      <xdr:colOff>435429</xdr:colOff>
      <xdr:row>39</xdr:row>
      <xdr:rowOff>108858</xdr:rowOff>
    </xdr:from>
    <xdr:to>
      <xdr:col>23</xdr:col>
      <xdr:colOff>149679</xdr:colOff>
      <xdr:row>69</xdr:row>
      <xdr:rowOff>54429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0</xdr:colOff>
      <xdr:row>1</xdr:row>
      <xdr:rowOff>0</xdr:rowOff>
    </xdr:from>
    <xdr:to>
      <xdr:col>44</xdr:col>
      <xdr:colOff>104322</xdr:colOff>
      <xdr:row>7</xdr:row>
      <xdr:rowOff>203200</xdr:rowOff>
    </xdr:to>
    <xdr:sp macro="" textlink="">
      <xdr:nvSpPr>
        <xdr:cNvPr id="4" name="TextBox 3"/>
        <xdr:cNvSpPr txBox="1"/>
      </xdr:nvSpPr>
      <xdr:spPr>
        <a:xfrm>
          <a:off x="29418643" y="190500"/>
          <a:ext cx="7683500" cy="134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6</xdr:col>
      <xdr:colOff>0</xdr:colOff>
      <xdr:row>0</xdr:row>
      <xdr:rowOff>139700</xdr:rowOff>
    </xdr:from>
    <xdr:to>
      <xdr:col>15</xdr:col>
      <xdr:colOff>0</xdr:colOff>
      <xdr:row>8</xdr:row>
      <xdr:rowOff>12700</xdr:rowOff>
    </xdr:to>
    <xdr:sp macro="" textlink="">
      <xdr:nvSpPr>
        <xdr:cNvPr id="5" name="TextBox 4"/>
        <xdr:cNvSpPr txBox="1"/>
      </xdr:nvSpPr>
      <xdr:spPr>
        <a:xfrm>
          <a:off x="5295900" y="139700"/>
          <a:ext cx="7708900"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Array:</a:t>
          </a:r>
        </a:p>
        <a:p>
          <a:r>
            <a:rPr lang="en-US" sz="1100"/>
            <a:t>Subsurface floats (~5m), 10m shot+5m shot+Deep-SID+100m</a:t>
          </a:r>
          <a:r>
            <a:rPr lang="en-US" sz="1100" baseline="0"/>
            <a:t> shot+IPS-1+5m shot+IPS-2+5m shot+weight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302078</xdr:colOff>
      <xdr:row>0</xdr:row>
      <xdr:rowOff>133802</xdr:rowOff>
    </xdr:from>
    <xdr:to>
      <xdr:col>10</xdr:col>
      <xdr:colOff>330654</xdr:colOff>
      <xdr:row>33</xdr:row>
      <xdr:rowOff>86179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114299</xdr:colOff>
      <xdr:row>0</xdr:row>
      <xdr:rowOff>180975</xdr:rowOff>
    </xdr:from>
    <xdr:to>
      <xdr:col>22</xdr:col>
      <xdr:colOff>28575</xdr:colOff>
      <xdr:row>24</xdr:row>
      <xdr:rowOff>28575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228599</xdr:colOff>
      <xdr:row>25</xdr:row>
      <xdr:rowOff>28575</xdr:rowOff>
    </xdr:from>
    <xdr:to>
      <xdr:col>22</xdr:col>
      <xdr:colOff>28574</xdr:colOff>
      <xdr:row>43</xdr:row>
      <xdr:rowOff>38100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247649</xdr:colOff>
      <xdr:row>43</xdr:row>
      <xdr:rowOff>152400</xdr:rowOff>
    </xdr:from>
    <xdr:to>
      <xdr:col>22</xdr:col>
      <xdr:colOff>28575</xdr:colOff>
      <xdr:row>66</xdr:row>
      <xdr:rowOff>114300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137432</xdr:colOff>
      <xdr:row>0</xdr:row>
      <xdr:rowOff>126547</xdr:rowOff>
    </xdr:from>
    <xdr:to>
      <xdr:col>5</xdr:col>
      <xdr:colOff>450396</xdr:colOff>
      <xdr:row>7</xdr:row>
      <xdr:rowOff>72119</xdr:rowOff>
    </xdr:to>
    <xdr:sp macro="" textlink="">
      <xdr:nvSpPr>
        <xdr:cNvPr id="2" name="TextBox 1"/>
        <xdr:cNvSpPr txBox="1"/>
      </xdr:nvSpPr>
      <xdr:spPr>
        <a:xfrm>
          <a:off x="137432" y="126547"/>
          <a:ext cx="4551589" cy="12790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1.  Time of beginning of deployment:</a:t>
          </a:r>
          <a:r>
            <a:rPr lang="en-US" sz="1100" baseline="0"/>
            <a:t>  </a:t>
          </a:r>
        </a:p>
        <a:p>
          <a:r>
            <a:rPr lang="en-US" sz="1100" baseline="0"/>
            <a:t>2.  Time of end of deploymet:  </a:t>
          </a:r>
        </a:p>
        <a:p>
          <a:r>
            <a:rPr lang="en-US" sz="1100" baseline="0"/>
            <a:t>3.  Lat Lon of release of Array:</a:t>
          </a:r>
        </a:p>
        <a:p>
          <a:endParaRPr lang="en-US" sz="1100" baseline="0"/>
        </a:p>
        <a:p>
          <a:r>
            <a:rPr lang="en-US" sz="1100">
              <a:solidFill>
                <a:schemeClr val="dk1"/>
              </a:solidFill>
              <a:latin typeface="+mn-lt"/>
              <a:ea typeface="+mn-ea"/>
              <a:cs typeface="+mn-cs"/>
            </a:rPr>
            <a:t>1.  Time of beginning of recovery:</a:t>
          </a:r>
          <a:r>
            <a:rPr lang="en-US" sz="1100" baseline="0">
              <a:solidFill>
                <a:schemeClr val="dk1"/>
              </a:solidFill>
              <a:latin typeface="+mn-lt"/>
              <a:ea typeface="+mn-ea"/>
              <a:cs typeface="+mn-cs"/>
            </a:rPr>
            <a:t>  </a:t>
          </a:r>
          <a:endParaRPr lang="en-US"/>
        </a:p>
        <a:p>
          <a:r>
            <a:rPr lang="en-US" sz="1100" baseline="0">
              <a:solidFill>
                <a:schemeClr val="dk1"/>
              </a:solidFill>
              <a:latin typeface="+mn-lt"/>
              <a:ea typeface="+mn-ea"/>
              <a:cs typeface="+mn-cs"/>
            </a:rPr>
            <a:t>2.  Time of end of recovery: 1600 Local time,  2100 GMT </a:t>
          </a:r>
          <a:endParaRPr lang="en-US"/>
        </a:p>
        <a:p>
          <a:r>
            <a:rPr lang="en-US" sz="1100" baseline="0">
              <a:solidFill>
                <a:schemeClr val="dk1"/>
              </a:solidFill>
              <a:latin typeface="+mn-lt"/>
              <a:ea typeface="+mn-ea"/>
              <a:cs typeface="+mn-cs"/>
            </a:rPr>
            <a:t>3.  Lat Lon of Array Recovery:</a:t>
          </a:r>
          <a:endParaRPr lang="en-US"/>
        </a:p>
      </xdr:txBody>
    </xdr:sp>
    <xdr:clientData/>
  </xdr:twoCellAnchor>
  <xdr:twoCellAnchor>
    <xdr:from>
      <xdr:col>6</xdr:col>
      <xdr:colOff>0</xdr:colOff>
      <xdr:row>1</xdr:row>
      <xdr:rowOff>0</xdr:rowOff>
    </xdr:from>
    <xdr:to>
      <xdr:col>15</xdr:col>
      <xdr:colOff>75406</xdr:colOff>
      <xdr:row>8</xdr:row>
      <xdr:rowOff>794</xdr:rowOff>
    </xdr:to>
    <xdr:sp macro="" textlink="">
      <xdr:nvSpPr>
        <xdr:cNvPr id="3" name="TextBox 2"/>
        <xdr:cNvSpPr txBox="1"/>
      </xdr:nvSpPr>
      <xdr:spPr>
        <a:xfrm>
          <a:off x="5429250" y="190500"/>
          <a:ext cx="7683500" cy="134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ArraY:</a:t>
          </a:r>
        </a:p>
        <a:p>
          <a:endParaRPr lang="en-US" sz="1100"/>
        </a:p>
        <a:p>
          <a:r>
            <a:rPr lang="en-US" sz="1100"/>
            <a:t>Subsurface</a:t>
          </a:r>
          <a:r>
            <a:rPr lang="en-US" sz="1100" baseline="0"/>
            <a:t> floats (~5m)+10m shot+5m shot+5m shot+Deep-SID+100m shot+IPS-1+5m shot+IPS-2+5m shot+weight.</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340178</xdr:colOff>
      <xdr:row>0</xdr:row>
      <xdr:rowOff>159202</xdr:rowOff>
    </xdr:from>
    <xdr:to>
      <xdr:col>10</xdr:col>
      <xdr:colOff>368754</xdr:colOff>
      <xdr:row>33</xdr:row>
      <xdr:rowOff>111579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114299</xdr:colOff>
      <xdr:row>1</xdr:row>
      <xdr:rowOff>28575</xdr:rowOff>
    </xdr:from>
    <xdr:to>
      <xdr:col>22</xdr:col>
      <xdr:colOff>28575</xdr:colOff>
      <xdr:row>24</xdr:row>
      <xdr:rowOff>66675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24</xdr:row>
      <xdr:rowOff>142875</xdr:rowOff>
    </xdr:from>
    <xdr:to>
      <xdr:col>22</xdr:col>
      <xdr:colOff>12700</xdr:colOff>
      <xdr:row>42</xdr:row>
      <xdr:rowOff>152400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247648</xdr:colOff>
      <xdr:row>43</xdr:row>
      <xdr:rowOff>152400</xdr:rowOff>
    </xdr:from>
    <xdr:to>
      <xdr:col>23</xdr:col>
      <xdr:colOff>190499</xdr:colOff>
      <xdr:row>65</xdr:row>
      <xdr:rowOff>152400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324303</xdr:colOff>
      <xdr:row>34</xdr:row>
      <xdr:rowOff>60325</xdr:rowOff>
    </xdr:from>
    <xdr:to>
      <xdr:col>10</xdr:col>
      <xdr:colOff>324304</xdr:colOff>
      <xdr:row>66</xdr:row>
      <xdr:rowOff>12700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70</xdr:row>
      <xdr:rowOff>0</xdr:rowOff>
    </xdr:from>
    <xdr:to>
      <xdr:col>18</xdr:col>
      <xdr:colOff>273050</xdr:colOff>
      <xdr:row>99</xdr:row>
      <xdr:rowOff>34471</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137432</xdr:colOff>
      <xdr:row>0</xdr:row>
      <xdr:rowOff>126547</xdr:rowOff>
    </xdr:from>
    <xdr:to>
      <xdr:col>5</xdr:col>
      <xdr:colOff>450396</xdr:colOff>
      <xdr:row>7</xdr:row>
      <xdr:rowOff>72119</xdr:rowOff>
    </xdr:to>
    <xdr:sp macro="" textlink="">
      <xdr:nvSpPr>
        <xdr:cNvPr id="2" name="TextBox 1"/>
        <xdr:cNvSpPr txBox="1"/>
      </xdr:nvSpPr>
      <xdr:spPr>
        <a:xfrm>
          <a:off x="137432" y="126547"/>
          <a:ext cx="4551589" cy="12790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1.  Time of beginning of deployment:</a:t>
          </a:r>
          <a:r>
            <a:rPr lang="en-US" sz="1100" baseline="0"/>
            <a:t>  </a:t>
          </a:r>
        </a:p>
        <a:p>
          <a:r>
            <a:rPr lang="en-US" sz="1100" baseline="0"/>
            <a:t>2.  Time of end of deploymet:  </a:t>
          </a:r>
        </a:p>
        <a:p>
          <a:r>
            <a:rPr lang="en-US" sz="1100" baseline="0"/>
            <a:t>3.  Lat Lon of release of Array:</a:t>
          </a:r>
        </a:p>
        <a:p>
          <a:endParaRPr lang="en-US" sz="1100" baseline="0"/>
        </a:p>
        <a:p>
          <a:r>
            <a:rPr lang="en-US" sz="1100">
              <a:solidFill>
                <a:schemeClr val="dk1"/>
              </a:solidFill>
              <a:latin typeface="+mn-lt"/>
              <a:ea typeface="+mn-ea"/>
              <a:cs typeface="+mn-cs"/>
            </a:rPr>
            <a:t>1.  Time of beginning of recovery:</a:t>
          </a:r>
          <a:r>
            <a:rPr lang="en-US" sz="1100" baseline="0">
              <a:solidFill>
                <a:schemeClr val="dk1"/>
              </a:solidFill>
              <a:latin typeface="+mn-lt"/>
              <a:ea typeface="+mn-ea"/>
              <a:cs typeface="+mn-cs"/>
            </a:rPr>
            <a:t>  </a:t>
          </a:r>
          <a:endParaRPr lang="en-US"/>
        </a:p>
        <a:p>
          <a:r>
            <a:rPr lang="en-US" sz="1100" baseline="0">
              <a:solidFill>
                <a:schemeClr val="dk1"/>
              </a:solidFill>
              <a:latin typeface="+mn-lt"/>
              <a:ea typeface="+mn-ea"/>
              <a:cs typeface="+mn-cs"/>
            </a:rPr>
            <a:t>2.  Time of end of recovery:  </a:t>
          </a:r>
          <a:endParaRPr lang="en-US"/>
        </a:p>
        <a:p>
          <a:r>
            <a:rPr lang="en-US" sz="1100" baseline="0">
              <a:solidFill>
                <a:schemeClr val="dk1"/>
              </a:solidFill>
              <a:latin typeface="+mn-lt"/>
              <a:ea typeface="+mn-ea"/>
              <a:cs typeface="+mn-cs"/>
            </a:rPr>
            <a:t>3.  Lat Lon of Array Recovery:</a:t>
          </a:r>
          <a:endParaRPr lang="en-US"/>
        </a:p>
      </xdr:txBody>
    </xdr:sp>
    <xdr:clientData/>
  </xdr:twoCellAnchor>
  <xdr:twoCellAnchor>
    <xdr:from>
      <xdr:col>5</xdr:col>
      <xdr:colOff>838200</xdr:colOff>
      <xdr:row>1</xdr:row>
      <xdr:rowOff>0</xdr:rowOff>
    </xdr:from>
    <xdr:to>
      <xdr:col>15</xdr:col>
      <xdr:colOff>12700</xdr:colOff>
      <xdr:row>8</xdr:row>
      <xdr:rowOff>0</xdr:rowOff>
    </xdr:to>
    <xdr:sp macro="" textlink="">
      <xdr:nvSpPr>
        <xdr:cNvPr id="3" name="TextBox 2"/>
        <xdr:cNvSpPr txBox="1"/>
      </xdr:nvSpPr>
      <xdr:spPr>
        <a:xfrm>
          <a:off x="5257800" y="190500"/>
          <a:ext cx="7683500" cy="134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1.  0.55</a:t>
          </a:r>
          <a:r>
            <a:rPr lang="en-US" sz="1100" baseline="0"/>
            <a:t> ml of tracer injected into each loop.  Used a  1 ml syringe with a leur adapter and union.  The leur adapter was cleared of liquid so that no fluid remained.  The injection was preceeded by a small bubble that kept the tracer isolated from the fluid in  the loop.  The union/adapter was removed and the loop screwed back into the valve.</a:t>
          </a:r>
        </a:p>
        <a:p>
          <a:r>
            <a:rPr lang="en-US" sz="1100" baseline="0"/>
            <a:t>2.  Instrument programmed for 12 hr incubations centered on solar noon, which was 13:30 at this location.</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latin typeface="+mn-lt"/>
              <a:ea typeface="+mn-ea"/>
              <a:cs typeface="+mn-cs"/>
            </a:rPr>
            <a:t>3.  Tracer was 1 gm of 98% 13C-bicarbonate dissolved into 50 ml of DIW, pH was ~9 according to pH paper.</a:t>
          </a:r>
          <a:endParaRPr lang="en-US" sz="1100">
            <a:solidFill>
              <a:schemeClr val="dk1"/>
            </a:solidFill>
            <a:latin typeface="+mn-lt"/>
            <a:ea typeface="+mn-ea"/>
            <a:cs typeface="+mn-cs"/>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403678</xdr:colOff>
      <xdr:row>1</xdr:row>
      <xdr:rowOff>70302</xdr:rowOff>
    </xdr:from>
    <xdr:to>
      <xdr:col>10</xdr:col>
      <xdr:colOff>432254</xdr:colOff>
      <xdr:row>34</xdr:row>
      <xdr:rowOff>22679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63500</xdr:colOff>
      <xdr:row>1</xdr:row>
      <xdr:rowOff>63500</xdr:rowOff>
    </xdr:from>
    <xdr:to>
      <xdr:col>21</xdr:col>
      <xdr:colOff>536575</xdr:colOff>
      <xdr:row>24</xdr:row>
      <xdr:rowOff>101600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66674</xdr:colOff>
      <xdr:row>25</xdr:row>
      <xdr:rowOff>38100</xdr:rowOff>
    </xdr:from>
    <xdr:to>
      <xdr:col>21</xdr:col>
      <xdr:colOff>523874</xdr:colOff>
      <xdr:row>43</xdr:row>
      <xdr:rowOff>47625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66674</xdr:colOff>
      <xdr:row>48</xdr:row>
      <xdr:rowOff>47625</xdr:rowOff>
    </xdr:from>
    <xdr:to>
      <xdr:col>21</xdr:col>
      <xdr:colOff>508000</xdr:colOff>
      <xdr:row>69</xdr:row>
      <xdr:rowOff>111125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488497</xdr:colOff>
      <xdr:row>6</xdr:row>
      <xdr:rowOff>114300</xdr:rowOff>
    </xdr:from>
    <xdr:to>
      <xdr:col>6</xdr:col>
      <xdr:colOff>12701</xdr:colOff>
      <xdr:row>7</xdr:row>
      <xdr:rowOff>189140</xdr:rowOff>
    </xdr:to>
    <xdr:sp macro="" textlink="">
      <xdr:nvSpPr>
        <xdr:cNvPr id="7" name="TextBox 6"/>
        <xdr:cNvSpPr txBox="1"/>
      </xdr:nvSpPr>
      <xdr:spPr>
        <a:xfrm>
          <a:off x="1707697" y="1257300"/>
          <a:ext cx="1962604" cy="265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0" i="0" u="none" strike="noStrike">
              <a:solidFill>
                <a:schemeClr val="dk1"/>
              </a:solidFill>
              <a:latin typeface="+mn-lt"/>
              <a:ea typeface="+mn-ea"/>
              <a:cs typeface="+mn-cs"/>
            </a:rPr>
            <a:t>Loc. Time = 12/11/10 -</a:t>
          </a:r>
          <a:r>
            <a:rPr lang="en-US" sz="1100" b="0" i="0" u="none" strike="noStrike" baseline="0">
              <a:solidFill>
                <a:schemeClr val="dk1"/>
              </a:solidFill>
              <a:latin typeface="+mn-lt"/>
              <a:ea typeface="+mn-ea"/>
              <a:cs typeface="+mn-cs"/>
            </a:rPr>
            <a:t> 21:18</a:t>
          </a:r>
        </a:p>
      </xdr:txBody>
    </xdr:sp>
    <xdr:clientData/>
  </xdr:twoCellAnchor>
  <xdr:twoCellAnchor>
    <xdr:from>
      <xdr:col>2</xdr:col>
      <xdr:colOff>152400</xdr:colOff>
      <xdr:row>7</xdr:row>
      <xdr:rowOff>63500</xdr:rowOff>
    </xdr:from>
    <xdr:to>
      <xdr:col>2</xdr:col>
      <xdr:colOff>520700</xdr:colOff>
      <xdr:row>11</xdr:row>
      <xdr:rowOff>127000</xdr:rowOff>
    </xdr:to>
    <xdr:cxnSp macro="">
      <xdr:nvCxnSpPr>
        <xdr:cNvPr id="8" name="Straight Arrow Connector 7"/>
        <xdr:cNvCxnSpPr/>
      </xdr:nvCxnSpPr>
      <xdr:spPr>
        <a:xfrm rot="5400000">
          <a:off x="1143000" y="1625600"/>
          <a:ext cx="825500" cy="368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215900</xdr:colOff>
      <xdr:row>0</xdr:row>
      <xdr:rowOff>76200</xdr:rowOff>
    </xdr:from>
    <xdr:to>
      <xdr:col>30</xdr:col>
      <xdr:colOff>520700</xdr:colOff>
      <xdr:row>24</xdr:row>
      <xdr:rowOff>88900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0</xdr:colOff>
      <xdr:row>51</xdr:row>
      <xdr:rowOff>165100</xdr:rowOff>
    </xdr:from>
    <xdr:to>
      <xdr:col>31</xdr:col>
      <xdr:colOff>177800</xdr:colOff>
      <xdr:row>74</xdr:row>
      <xdr:rowOff>177800</xdr:rowOff>
    </xdr:to>
    <xdr:graphicFrame macro="">
      <xdr:nvGraphicFramePr>
        <xdr:cNvPr id="27" name="Chart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596900</xdr:colOff>
      <xdr:row>12</xdr:row>
      <xdr:rowOff>127000</xdr:rowOff>
    </xdr:from>
    <xdr:to>
      <xdr:col>9</xdr:col>
      <xdr:colOff>12700</xdr:colOff>
      <xdr:row>14</xdr:row>
      <xdr:rowOff>25400</xdr:rowOff>
    </xdr:to>
    <xdr:sp macro="" textlink="">
      <xdr:nvSpPr>
        <xdr:cNvPr id="28" name="TextBox 27"/>
        <xdr:cNvSpPr txBox="1"/>
      </xdr:nvSpPr>
      <xdr:spPr>
        <a:xfrm>
          <a:off x="4254500" y="2413000"/>
          <a:ext cx="1244600" cy="27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12/11/10 - 02:06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257175</xdr:colOff>
      <xdr:row>0</xdr:row>
      <xdr:rowOff>133349</xdr:rowOff>
    </xdr:from>
    <xdr:to>
      <xdr:col>26</xdr:col>
      <xdr:colOff>304800</xdr:colOff>
      <xdr:row>46</xdr:row>
      <xdr:rowOff>76200</xdr:rowOff>
    </xdr:to>
    <xdr:sp macro="" textlink="">
      <xdr:nvSpPr>
        <xdr:cNvPr id="2" name="TextBox 1"/>
        <xdr:cNvSpPr txBox="1"/>
      </xdr:nvSpPr>
      <xdr:spPr>
        <a:xfrm>
          <a:off x="8181975" y="133349"/>
          <a:ext cx="7972425" cy="8705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Copy the following formula in cell E1 of the spread sheet:</a:t>
          </a:r>
          <a:br>
            <a:rPr lang="en-US"/>
          </a:br>
          <a:r>
            <a:rPr lang="en-US"/>
            <a:t/>
          </a:r>
          <a:br>
            <a:rPr lang="en-US"/>
          </a:br>
          <a:r>
            <a:rPr lang="en-US"/>
            <a:t>+SQRT(((B2-B1)*60*1852)^2+((C2-C1)*60*1852*COS(B1*PI()/180))^2) .  </a:t>
          </a:r>
          <a:br>
            <a:rPr lang="en-US"/>
          </a:br>
          <a:endParaRPr lang="en-US"/>
        </a:p>
        <a:p>
          <a:r>
            <a:rPr lang="en-US"/>
            <a:t/>
          </a:r>
          <a:br>
            <a:rPr lang="en-US"/>
          </a:br>
          <a:r>
            <a:rPr lang="en-US"/>
            <a:t>This formula calculates the distance in metres between  the positions in row 1 and row 2.  Copy the furmula and paste it  in the cells below E1, except for the last position.  Now you can sum up the distances in this column to get the total distance travelled.</a:t>
          </a:r>
        </a:p>
        <a:p>
          <a:endParaRPr lang="en-US"/>
        </a:p>
        <a:p>
          <a:r>
            <a:rPr lang="en-US"/>
            <a:t>========================================================</a:t>
          </a:r>
        </a:p>
        <a:p>
          <a:endParaRPr lang="en-US" sz="1100"/>
        </a:p>
        <a:p>
          <a:r>
            <a:rPr lang="en-US" b="1"/>
            <a:t>Answer Number 2 &gt;&gt; Re: Calculate Distance Between Two Gps Positions </a:t>
          </a:r>
        </a:p>
        <a:p>
          <a:r>
            <a:rPr lang="en-US"/>
            <a:t/>
          </a:r>
          <a:br>
            <a:rPr lang="en-US"/>
          </a:br>
          <a:r>
            <a:rPr lang="en-US"/>
            <a:t>On Tue, 8 Mar 2005 16:33:03 -0800, Jon re Excel &lt;Jon re</a:t>
          </a:r>
          <a:br>
            <a:rPr lang="en-US"/>
          </a:br>
          <a:r>
            <a:rPr lang="en-US"/>
            <a:t>Exceldiscussions.microsoft.com&gt; wrote:</a:t>
          </a:r>
          <a:br>
            <a:rPr lang="en-US"/>
          </a:br>
          <a:r>
            <a:rPr lang="en-US"/>
            <a:t/>
          </a:r>
          <a:br>
            <a:rPr lang="en-US"/>
          </a:br>
          <a:r>
            <a:rPr lang="en-US"/>
            <a:t>is there a formula for this?</a:t>
          </a:r>
          <a:br>
            <a:rPr lang="en-US"/>
          </a:br>
          <a:r>
            <a:rPr lang="en-US"/>
            <a:t/>
          </a:r>
          <a:br>
            <a:rPr lang="en-US"/>
          </a:br>
          <a:r>
            <a:rPr lang="en-US"/>
            <a:t/>
          </a:r>
          <a:br>
            <a:rPr lang="en-US"/>
          </a:br>
          <a:r>
            <a:rPr lang="en-US"/>
            <a:t>=60*180/PI()*ACOS((SIN(RADIANS(Pos1 Lat)) * SIN(RADIANS(Pos2 Lat)))</a:t>
          </a:r>
          <a:br>
            <a:rPr lang="en-US"/>
          </a:br>
          <a:r>
            <a:rPr lang="en-US"/>
            <a:t>+ (COS(RADIANS(Pos1 Lat)) * COS(RADIANS(Pos2 Lat)) *</a:t>
          </a:r>
          <a:br>
            <a:rPr lang="en-US"/>
          </a:br>
          <a:r>
            <a:rPr lang="en-US"/>
            <a:t>COS(RADIANS(Pos2 Long) - RADIANS(Pos1 Long))))</a:t>
          </a:r>
          <a:br>
            <a:rPr lang="en-US"/>
          </a:br>
          <a:r>
            <a:rPr lang="en-US"/>
            <a:t/>
          </a:r>
          <a:br>
            <a:rPr lang="en-US"/>
          </a:br>
          <a:r>
            <a:rPr lang="en-US"/>
            <a:t>Pos1 Lat is the Latitude, in decimal degrees of position 1</a:t>
          </a:r>
          <a:br>
            <a:rPr lang="en-US"/>
          </a:br>
          <a:r>
            <a:rPr lang="en-US"/>
            <a:t>and so forth.</a:t>
          </a:r>
          <a:br>
            <a:rPr lang="en-US"/>
          </a:br>
          <a:r>
            <a:rPr lang="en-US"/>
            <a:t/>
          </a:r>
          <a:br>
            <a:rPr lang="en-US"/>
          </a:br>
          <a:r>
            <a:rPr lang="en-US"/>
            <a:t>Positions in the N latitudes and W longitudes are entered as postive numbers.</a:t>
          </a:r>
          <a:br>
            <a:rPr lang="en-US"/>
          </a:br>
          <a:r>
            <a:rPr lang="en-US"/>
            <a:t>Positions in the S latitudes and E longitudes are entered as negative numbers.</a:t>
          </a:r>
          <a:br>
            <a:rPr lang="en-US"/>
          </a:br>
          <a:r>
            <a:rPr lang="en-US"/>
            <a:t/>
          </a:r>
          <a:br>
            <a:rPr lang="en-US"/>
          </a:br>
          <a:r>
            <a:rPr lang="en-US"/>
            <a:t>The result will be in nautical miles.</a:t>
          </a:r>
        </a:p>
        <a:p>
          <a:endParaRPr lang="en-US" sz="1100"/>
        </a:p>
        <a:p>
          <a:r>
            <a:rPr lang="en-US" sz="1100"/>
            <a:t>=================================================================</a:t>
          </a:r>
        </a:p>
        <a:p>
          <a:r>
            <a:rPr lang="en-US"/>
            <a:t>Great Circle Distances With Decimal Degrees Coordinates </a:t>
          </a:r>
        </a:p>
        <a:p>
          <a:r>
            <a:rPr lang="en-US"/>
            <a:t>To calculate the Great Circle Distance between Location 1 and Location 2, where the coordinates are in decimal degree format, use the following formula:</a:t>
          </a:r>
          <a:br>
            <a:rPr lang="en-US"/>
          </a:br>
          <a:r>
            <a:rPr lang="en-US"/>
            <a:t/>
          </a:r>
          <a:br>
            <a:rPr lang="en-US"/>
          </a:br>
          <a:r>
            <a:rPr lang="en-US"/>
            <a:t>=RadiusEarth*((2*ASIN(SQRT((SIN((RADIANS(D71)-RADIANS(D72))/2)^2)+</a:t>
          </a:r>
          <a:br>
            <a:rPr lang="en-US"/>
          </a:br>
          <a:r>
            <a:rPr lang="en-US"/>
            <a:t>COS(RADIANS(D71))*COS(RADIANS(D72))*(SIN((RADIANS(E71)-RADIANS(E72))/2)^2)))))</a:t>
          </a:r>
          <a:br>
            <a:rPr lang="en-US"/>
          </a:br>
          <a:r>
            <a:rPr lang="en-US"/>
            <a:t/>
          </a:r>
          <a:br>
            <a:rPr lang="en-US"/>
          </a:br>
          <a:r>
            <a:rPr lang="en-US"/>
            <a:t>Here, cells D71 and E71 contain the latitude and longitude of Location 1 and cells D72 and E72 contain the latitude and longitude of Location 2. For readability, the formula is split over several lines. In Excel, of course, the formula is in a single line in a single cell. </a:t>
          </a:r>
        </a:p>
        <a:p>
          <a:r>
            <a:rPr lang="en-US"/>
            <a:t>RaduisEarth is a named cell with the value 6371.1 for (statute) Kilometers or 3958.82 for (statute) Miles.</a:t>
          </a:r>
          <a:endParaRPr lang="en-US" sz="1100"/>
        </a:p>
        <a:p>
          <a:endParaRPr lang="en-US" sz="1100"/>
        </a:p>
        <a:p>
          <a:r>
            <a:rPr lang="en-US" sz="1100"/>
            <a:t>====================================================================</a:t>
          </a:r>
        </a:p>
        <a:p>
          <a:endParaRPr lang="en-US" sz="1100"/>
        </a:p>
        <a:p>
          <a:r>
            <a:rPr lang="en-US"/>
            <a:t>You should realize that the values you come up with by using any formula that calculates distance on the surface of a sphere will give slightly erroneous results. Why? Because the Earth is not a perfect sphere. Thus, the distances should only be considered approximate. If you want to get a bit more accurate, then you can use the following formula to determine your nautical miles:</a:t>
          </a:r>
        </a:p>
        <a:p>
          <a:r>
            <a:rPr lang="en-US"/>
            <a:t>=ACOS(SIN(Lat1)*SIN(Lat2)+COS(Lat1)*COS(Lat2)*COS(Lon2-Lon1))*3443.89849 This formula substitutes the radius of the earth (3443.89849 nautical miles) for the radius of a sphere (180/PI()*60, or 3437.746771). Either way, the answer should still be considered approximate.</a:t>
          </a:r>
        </a:p>
        <a:p>
          <a:endParaRPr lang="en-US" sz="1100"/>
        </a:p>
      </xdr:txBody>
    </xdr:sp>
    <xdr:clientData/>
  </xdr:twoCellAnchor>
  <xdr:twoCellAnchor>
    <xdr:from>
      <xdr:col>0</xdr:col>
      <xdr:colOff>66675</xdr:colOff>
      <xdr:row>0</xdr:row>
      <xdr:rowOff>171451</xdr:rowOff>
    </xdr:from>
    <xdr:to>
      <xdr:col>12</xdr:col>
      <xdr:colOff>180975</xdr:colOff>
      <xdr:row>46</xdr:row>
      <xdr:rowOff>38101</xdr:rowOff>
    </xdr:to>
    <xdr:sp macro="" textlink="">
      <xdr:nvSpPr>
        <xdr:cNvPr id="3" name="TextBox 2"/>
        <xdr:cNvSpPr txBox="1"/>
      </xdr:nvSpPr>
      <xdr:spPr>
        <a:xfrm>
          <a:off x="66675" y="171451"/>
          <a:ext cx="7429500" cy="862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latin typeface="+mn-lt"/>
              <a:ea typeface="+mn-ea"/>
              <a:cs typeface="+mn-cs"/>
            </a:rPr>
            <a:t>Calculations of distance &amp; bearing between GPS fixes, etc.</a:t>
          </a:r>
          <a:br>
            <a:rPr lang="en-US" sz="1100" b="1">
              <a:solidFill>
                <a:schemeClr val="dk1"/>
              </a:solidFill>
              <a:latin typeface="+mn-lt"/>
              <a:ea typeface="+mn-ea"/>
              <a:cs typeface="+mn-cs"/>
            </a:rPr>
          </a:br>
          <a:r>
            <a:rPr lang="en-US" sz="1100" b="1">
              <a:solidFill>
                <a:schemeClr val="dk1"/>
              </a:solidFill>
              <a:latin typeface="+mn-lt"/>
              <a:ea typeface="+mn-ea"/>
              <a:cs typeface="+mn-cs"/>
            </a:rPr>
            <a:t>using Excel spreadsheet.</a:t>
          </a:r>
          <a:endParaRPr lang="en-US" sz="1100">
            <a:solidFill>
              <a:schemeClr val="dk1"/>
            </a:solidFill>
            <a:latin typeface="+mn-lt"/>
            <a:ea typeface="+mn-ea"/>
            <a:cs typeface="+mn-cs"/>
          </a:endParaRPr>
        </a:p>
        <a:p>
          <a:pPr lvl="0"/>
          <a:r>
            <a:rPr lang="en-US" sz="1100" b="1" i="1">
              <a:solidFill>
                <a:schemeClr val="dk1"/>
              </a:solidFill>
              <a:latin typeface="+mn-lt"/>
              <a:ea typeface="+mn-ea"/>
              <a:cs typeface="+mn-cs"/>
            </a:rPr>
            <a:t>1.  Distance between Lat-Lon fixes (km):</a:t>
          </a:r>
        </a:p>
        <a:p>
          <a:pPr lvl="0"/>
          <a:endParaRPr lang="en-US" sz="1100">
            <a:solidFill>
              <a:schemeClr val="dk1"/>
            </a:solidFill>
            <a:latin typeface="+mn-lt"/>
            <a:ea typeface="+mn-ea"/>
            <a:cs typeface="+mn-cs"/>
          </a:endParaRPr>
        </a:p>
        <a:p>
          <a:r>
            <a:rPr lang="en-US" sz="1100" b="1">
              <a:solidFill>
                <a:schemeClr val="dk1"/>
              </a:solidFill>
              <a:latin typeface="+mn-lt"/>
              <a:ea typeface="+mn-ea"/>
              <a:cs typeface="+mn-cs"/>
            </a:rPr>
            <a:t>=ACOS(SIN(RADIANS(Lat1))*SIN(RADIANS(Lat2))+COS(RADIANS(Lat1))*COS(RADIANS(Lat2))*COS(RADIANS(Lon2)-RADIANS(Lon1)))*6371.1</a:t>
          </a:r>
          <a:endParaRPr lang="en-US" sz="1100">
            <a:solidFill>
              <a:schemeClr val="dk1"/>
            </a:solidFill>
            <a:latin typeface="+mn-lt"/>
            <a:ea typeface="+mn-ea"/>
            <a:cs typeface="+mn-cs"/>
          </a:endParaRPr>
        </a:p>
        <a:p>
          <a:r>
            <a:rPr lang="en-US" sz="1100">
              <a:solidFill>
                <a:schemeClr val="dk1"/>
              </a:solidFill>
              <a:latin typeface="+mn-lt"/>
              <a:ea typeface="+mn-ea"/>
              <a:cs typeface="+mn-cs"/>
            </a:rPr>
            <a:t>Where Lat1,2 Lon1,2 are the Excel cells containing the respective Lat Lon positions, the number 6371.1 is the radius of the earth in km.  Excel does trigonometry with angles expressed in radians, hence the terms "RADIANS(Lat1)” which convert</a:t>
          </a:r>
          <a:r>
            <a:rPr lang="en-US" sz="1100" baseline="0">
              <a:solidFill>
                <a:schemeClr val="dk1"/>
              </a:solidFill>
              <a:latin typeface="+mn-lt"/>
              <a:ea typeface="+mn-ea"/>
              <a:cs typeface="+mn-cs"/>
            </a:rPr>
            <a:t>  Lat -Lon  in </a:t>
          </a:r>
          <a:r>
            <a:rPr lang="en-US" sz="1100" b="1" u="sng" baseline="0">
              <a:solidFill>
                <a:schemeClr val="dk1"/>
              </a:solidFill>
              <a:latin typeface="+mn-lt"/>
              <a:ea typeface="+mn-ea"/>
              <a:cs typeface="+mn-cs"/>
            </a:rPr>
            <a:t>decimal degrees </a:t>
          </a:r>
          <a:r>
            <a:rPr lang="en-US" sz="1100" baseline="0">
              <a:solidFill>
                <a:schemeClr val="dk1"/>
              </a:solidFill>
              <a:latin typeface="+mn-lt"/>
              <a:ea typeface="+mn-ea"/>
              <a:cs typeface="+mn-cs"/>
            </a:rPr>
            <a:t>to radians.</a:t>
          </a:r>
          <a:endParaRPr lang="en-US" sz="1100">
            <a:solidFill>
              <a:schemeClr val="dk1"/>
            </a:solidFill>
            <a:latin typeface="+mn-lt"/>
            <a:ea typeface="+mn-ea"/>
            <a:cs typeface="+mn-cs"/>
          </a:endParaRPr>
        </a:p>
        <a:p>
          <a:pPr lvl="0"/>
          <a:endParaRPr lang="en-US" sz="1100" b="1" i="1">
            <a:solidFill>
              <a:schemeClr val="dk1"/>
            </a:solidFill>
            <a:latin typeface="+mn-lt"/>
            <a:ea typeface="+mn-ea"/>
            <a:cs typeface="+mn-cs"/>
          </a:endParaRPr>
        </a:p>
        <a:p>
          <a:pPr lvl="0"/>
          <a:r>
            <a:rPr lang="en-US" sz="1100" b="1" i="1">
              <a:solidFill>
                <a:schemeClr val="dk1"/>
              </a:solidFill>
              <a:latin typeface="+mn-lt"/>
              <a:ea typeface="+mn-ea"/>
              <a:cs typeface="+mn-cs"/>
            </a:rPr>
            <a:t>2.  Initial Bearing (Forward Azimuth) between two Lat-Lon fixes (degrees):</a:t>
          </a:r>
          <a:endParaRPr lang="en-US" sz="1100">
            <a:solidFill>
              <a:schemeClr val="dk1"/>
            </a:solidFill>
            <a:latin typeface="+mn-lt"/>
            <a:ea typeface="+mn-ea"/>
            <a:cs typeface="+mn-cs"/>
          </a:endParaRPr>
        </a:p>
        <a:p>
          <a:endParaRPr lang="en-US" sz="1100" b="1">
            <a:solidFill>
              <a:schemeClr val="dk1"/>
            </a:solidFill>
            <a:latin typeface="+mn-lt"/>
            <a:ea typeface="+mn-ea"/>
            <a:cs typeface="+mn-cs"/>
          </a:endParaRPr>
        </a:p>
        <a:p>
          <a:r>
            <a:rPr lang="en-US" sz="1100" b="1">
              <a:solidFill>
                <a:schemeClr val="dk1"/>
              </a:solidFill>
              <a:latin typeface="+mn-lt"/>
              <a:ea typeface="+mn-ea"/>
              <a:cs typeface="+mn-cs"/>
            </a:rPr>
            <a:t>=MOD(DEGREES(ATAN2(COS(RADIANS(Lat1))*SIN(RADIANS(Lat2))-SIN(RADIANS(Lat1))*COS(RADIANS(Lat2))*COS(RADIANS(Lon2)-RADIANS(Lon1)),SIN(RADIANS(Lon2)-RADIANS(Lon1))*COS(RADIANS(Lat2)))), 360)</a:t>
          </a:r>
          <a:endParaRPr lang="en-US" sz="1100">
            <a:solidFill>
              <a:schemeClr val="dk1"/>
            </a:solidFill>
            <a:latin typeface="+mn-lt"/>
            <a:ea typeface="+mn-ea"/>
            <a:cs typeface="+mn-cs"/>
          </a:endParaRPr>
        </a:p>
        <a:p>
          <a:r>
            <a:rPr lang="en-US" sz="1100">
              <a:solidFill>
                <a:schemeClr val="dk1"/>
              </a:solidFill>
              <a:latin typeface="+mn-lt"/>
              <a:ea typeface="+mn-ea"/>
              <a:cs typeface="+mn-cs"/>
            </a:rPr>
            <a:t>Where the same cells in item 1 are inserted for Lat1,2 &amp; Lon1,2.</a:t>
          </a:r>
        </a:p>
        <a:p>
          <a:endParaRPr lang="en-US" sz="1100">
            <a:solidFill>
              <a:schemeClr val="dk1"/>
            </a:solidFill>
            <a:latin typeface="+mn-lt"/>
            <a:ea typeface="+mn-ea"/>
            <a:cs typeface="+mn-cs"/>
          </a:endParaRPr>
        </a:p>
        <a:p>
          <a:pPr lvl="0"/>
          <a:r>
            <a:rPr lang="en-US" sz="1100" b="1" i="1">
              <a:solidFill>
                <a:schemeClr val="dk1"/>
              </a:solidFill>
              <a:latin typeface="+mn-lt"/>
              <a:ea typeface="+mn-ea"/>
              <a:cs typeface="+mn-cs"/>
            </a:rPr>
            <a:t>3.  Drift rate (km/hr):</a:t>
          </a:r>
        </a:p>
        <a:p>
          <a:pPr lvl="0"/>
          <a:endParaRPr lang="en-US" sz="1100">
            <a:solidFill>
              <a:schemeClr val="dk1"/>
            </a:solidFill>
            <a:latin typeface="+mn-lt"/>
            <a:ea typeface="+mn-ea"/>
            <a:cs typeface="+mn-cs"/>
          </a:endParaRPr>
        </a:p>
        <a:p>
          <a:r>
            <a:rPr lang="en-US" sz="1100" b="1">
              <a:solidFill>
                <a:schemeClr val="dk1"/>
              </a:solidFill>
              <a:latin typeface="+mn-lt"/>
              <a:ea typeface="+mn-ea"/>
              <a:cs typeface="+mn-cs"/>
            </a:rPr>
            <a:t>=DBF/((Date-Time2-Date-Time1)*24)</a:t>
          </a:r>
          <a:endParaRPr lang="en-US" sz="1100">
            <a:solidFill>
              <a:schemeClr val="dk1"/>
            </a:solidFill>
            <a:latin typeface="+mn-lt"/>
            <a:ea typeface="+mn-ea"/>
            <a:cs typeface="+mn-cs"/>
          </a:endParaRPr>
        </a:p>
        <a:p>
          <a:r>
            <a:rPr lang="en-US" sz="1100">
              <a:solidFill>
                <a:schemeClr val="dk1"/>
              </a:solidFill>
              <a:latin typeface="+mn-lt"/>
              <a:ea typeface="+mn-ea"/>
              <a:cs typeface="+mn-cs"/>
            </a:rPr>
            <a:t>Where DBF is the cell containing the Distance Between Fixes calculated in Item 1 above.  Where the Excel date time number 40504.45833 represents 11/22/10 at 11:00:00.  The difference between the two date-times yields a result in decimal days, hence, multiplying by 24 to get hours.</a:t>
          </a:r>
        </a:p>
        <a:p>
          <a:pPr lvl="0"/>
          <a:endParaRPr lang="en-US" sz="1100" b="1" i="1">
            <a:solidFill>
              <a:schemeClr val="dk1"/>
            </a:solidFill>
            <a:latin typeface="+mn-lt"/>
            <a:ea typeface="+mn-ea"/>
            <a:cs typeface="+mn-cs"/>
          </a:endParaRPr>
        </a:p>
        <a:p>
          <a:pPr lvl="0"/>
          <a:r>
            <a:rPr lang="en-US" sz="1100" b="1" i="1">
              <a:solidFill>
                <a:schemeClr val="dk1"/>
              </a:solidFill>
              <a:latin typeface="+mn-lt"/>
              <a:ea typeface="+mn-ea"/>
              <a:cs typeface="+mn-cs"/>
            </a:rPr>
            <a:t>4.  Drift rate (cm/sec):</a:t>
          </a:r>
          <a:endParaRPr lang="en-US" sz="1100">
            <a:solidFill>
              <a:schemeClr val="dk1"/>
            </a:solidFill>
            <a:latin typeface="+mn-lt"/>
            <a:ea typeface="+mn-ea"/>
            <a:cs typeface="+mn-cs"/>
          </a:endParaRPr>
        </a:p>
        <a:p>
          <a:endParaRPr lang="en-US" sz="1100" b="1">
            <a:solidFill>
              <a:schemeClr val="dk1"/>
            </a:solidFill>
            <a:latin typeface="+mn-lt"/>
            <a:ea typeface="+mn-ea"/>
            <a:cs typeface="+mn-cs"/>
          </a:endParaRPr>
        </a:p>
        <a:p>
          <a:r>
            <a:rPr lang="en-US" sz="1100" b="1">
              <a:solidFill>
                <a:schemeClr val="dk1"/>
              </a:solidFill>
              <a:latin typeface="+mn-lt"/>
              <a:ea typeface="+mn-ea"/>
              <a:cs typeface="+mn-cs"/>
            </a:rPr>
            <a:t>=DR(km/hr)*1000*100)/3600</a:t>
          </a:r>
          <a:endParaRPr lang="en-US" sz="1100">
            <a:solidFill>
              <a:schemeClr val="dk1"/>
            </a:solidFill>
            <a:latin typeface="+mn-lt"/>
            <a:ea typeface="+mn-ea"/>
            <a:cs typeface="+mn-cs"/>
          </a:endParaRPr>
        </a:p>
        <a:p>
          <a:r>
            <a:rPr lang="en-US" sz="1100">
              <a:solidFill>
                <a:schemeClr val="dk1"/>
              </a:solidFill>
              <a:latin typeface="+mn-lt"/>
              <a:ea typeface="+mn-ea"/>
              <a:cs typeface="+mn-cs"/>
            </a:rPr>
            <a:t>Where DR(km/hr) is the cell containing the drift rate in km/hr calculated in Item 3.  Conversion [km/hr * 1000 m/km * 100 cm/m / 3660 sec/hr].</a:t>
          </a:r>
        </a:p>
        <a:p>
          <a:pPr lvl="0"/>
          <a:endParaRPr lang="en-US" sz="1100" b="1" i="1">
            <a:solidFill>
              <a:schemeClr val="dk1"/>
            </a:solidFill>
            <a:latin typeface="+mn-lt"/>
            <a:ea typeface="+mn-ea"/>
            <a:cs typeface="+mn-cs"/>
          </a:endParaRPr>
        </a:p>
        <a:p>
          <a:pPr lvl="0"/>
          <a:r>
            <a:rPr lang="en-US" sz="1100" b="1" i="1">
              <a:solidFill>
                <a:schemeClr val="dk1"/>
              </a:solidFill>
              <a:latin typeface="+mn-lt"/>
              <a:ea typeface="+mn-ea"/>
              <a:cs typeface="+mn-cs"/>
            </a:rPr>
            <a:t>5.  Drift rate (knotts):</a:t>
          </a:r>
          <a:endParaRPr lang="en-US" sz="1100">
            <a:solidFill>
              <a:schemeClr val="dk1"/>
            </a:solidFill>
            <a:latin typeface="+mn-lt"/>
            <a:ea typeface="+mn-ea"/>
            <a:cs typeface="+mn-cs"/>
          </a:endParaRPr>
        </a:p>
        <a:p>
          <a:endParaRPr lang="en-US" sz="1100" b="1">
            <a:solidFill>
              <a:schemeClr val="dk1"/>
            </a:solidFill>
            <a:latin typeface="+mn-lt"/>
            <a:ea typeface="+mn-ea"/>
            <a:cs typeface="+mn-cs"/>
          </a:endParaRPr>
        </a:p>
        <a:p>
          <a:r>
            <a:rPr lang="en-US" sz="1100" b="1">
              <a:solidFill>
                <a:schemeClr val="dk1"/>
              </a:solidFill>
              <a:latin typeface="+mn-lt"/>
              <a:ea typeface="+mn-ea"/>
              <a:cs typeface="+mn-cs"/>
            </a:rPr>
            <a:t>= DR(km/hr)/1.852</a:t>
          </a:r>
          <a:endParaRPr lang="en-US" sz="1100">
            <a:solidFill>
              <a:schemeClr val="dk1"/>
            </a:solidFill>
            <a:latin typeface="+mn-lt"/>
            <a:ea typeface="+mn-ea"/>
            <a:cs typeface="+mn-cs"/>
          </a:endParaRPr>
        </a:p>
        <a:p>
          <a:r>
            <a:rPr lang="en-US" sz="1100">
              <a:solidFill>
                <a:schemeClr val="dk1"/>
              </a:solidFill>
              <a:latin typeface="+mn-lt"/>
              <a:ea typeface="+mn-ea"/>
              <a:cs typeface="+mn-cs"/>
            </a:rPr>
            <a:t>Where DR(km/hr) is the cell containing the drift rate in km/hr calculated in Item 3 and 1.852 km/nm is the conversion factor for converting km to nm.</a:t>
          </a:r>
        </a:p>
        <a:p>
          <a:endParaRPr lang="en-US" sz="1100">
            <a:solidFill>
              <a:schemeClr val="dk1"/>
            </a:solidFill>
            <a:latin typeface="+mn-lt"/>
            <a:ea typeface="+mn-ea"/>
            <a:cs typeface="+mn-cs"/>
          </a:endParaRPr>
        </a:p>
        <a:p>
          <a:r>
            <a:rPr lang="en-US" sz="1200" b="1" i="1">
              <a:solidFill>
                <a:schemeClr val="dk1"/>
              </a:solidFill>
              <a:latin typeface="+mn-lt"/>
              <a:ea typeface="+mn-ea"/>
              <a:cs typeface="+mn-cs"/>
            </a:rPr>
            <a:t>6.  Great Circle Distances between</a:t>
          </a:r>
          <a:r>
            <a:rPr lang="en-US" sz="1200" b="1" i="1" baseline="0">
              <a:solidFill>
                <a:schemeClr val="dk1"/>
              </a:solidFill>
              <a:latin typeface="+mn-lt"/>
              <a:ea typeface="+mn-ea"/>
              <a:cs typeface="+mn-cs"/>
            </a:rPr>
            <a:t> Fixes (</a:t>
          </a:r>
          <a:r>
            <a:rPr lang="en-US" sz="1200" b="1" i="1">
              <a:solidFill>
                <a:schemeClr val="dk1"/>
              </a:solidFill>
              <a:latin typeface="+mn-lt"/>
              <a:ea typeface="+mn-ea"/>
              <a:cs typeface="+mn-cs"/>
            </a:rPr>
            <a:t>km):</a:t>
          </a:r>
        </a:p>
        <a:p>
          <a:r>
            <a:rPr lang="en-US" sz="1100">
              <a:solidFill>
                <a:schemeClr val="dk1"/>
              </a:solidFill>
              <a:latin typeface="+mn-lt"/>
              <a:ea typeface="+mn-ea"/>
              <a:cs typeface="+mn-cs"/>
            </a:rPr>
            <a:t/>
          </a:r>
          <a:br>
            <a:rPr lang="en-US" sz="1100">
              <a:solidFill>
                <a:schemeClr val="dk1"/>
              </a:solidFill>
              <a:latin typeface="+mn-lt"/>
              <a:ea typeface="+mn-ea"/>
              <a:cs typeface="+mn-cs"/>
            </a:rPr>
          </a:br>
          <a:r>
            <a:rPr lang="en-US" sz="1050" b="1">
              <a:solidFill>
                <a:schemeClr val="dk1"/>
              </a:solidFill>
              <a:latin typeface="+mn-lt"/>
              <a:ea typeface="+mn-ea"/>
              <a:cs typeface="+mn-cs"/>
            </a:rPr>
            <a:t>=6371.1*((2*ASIN(SQRT((SIN((RADIANS(Lat1)-RADIANS(Lat2))/2)^2)+</a:t>
          </a:r>
          <a:br>
            <a:rPr lang="en-US" sz="1050" b="1">
              <a:solidFill>
                <a:schemeClr val="dk1"/>
              </a:solidFill>
              <a:latin typeface="+mn-lt"/>
              <a:ea typeface="+mn-ea"/>
              <a:cs typeface="+mn-cs"/>
            </a:rPr>
          </a:br>
          <a:r>
            <a:rPr lang="en-US" sz="1050" b="1">
              <a:solidFill>
                <a:schemeClr val="dk1"/>
              </a:solidFill>
              <a:latin typeface="+mn-lt"/>
              <a:ea typeface="+mn-ea"/>
              <a:cs typeface="+mn-cs"/>
            </a:rPr>
            <a:t>COS(RADIANS(Lat1))*COS(RADIANS(Lat2))*(SIN((RADIANS(Lon1)-RADIANS(Lon2))/2)^2)))))</a:t>
          </a:r>
          <a:r>
            <a:rPr lang="en-US" sz="1100">
              <a:solidFill>
                <a:schemeClr val="dk1"/>
              </a:solidFill>
              <a:latin typeface="+mn-lt"/>
              <a:ea typeface="+mn-ea"/>
              <a:cs typeface="+mn-cs"/>
            </a:rPr>
            <a:t/>
          </a:r>
          <a:br>
            <a:rPr lang="en-US" sz="1100">
              <a:solidFill>
                <a:schemeClr val="dk1"/>
              </a:solidFill>
              <a:latin typeface="+mn-lt"/>
              <a:ea typeface="+mn-ea"/>
              <a:cs typeface="+mn-cs"/>
            </a:rPr>
          </a:br>
          <a:endParaRPr lang="en-US"/>
        </a:p>
        <a:p>
          <a:r>
            <a:rPr lang="en-US" sz="1100">
              <a:solidFill>
                <a:schemeClr val="dk1"/>
              </a:solidFill>
              <a:latin typeface="+mn-lt"/>
              <a:ea typeface="+mn-ea"/>
              <a:cs typeface="+mn-cs"/>
            </a:rPr>
            <a:t>Where RaduisEarth is a named cell with the value 6371.1 for (statute) Kilometers or 3958.82 for (statute) Miles</a:t>
          </a:r>
          <a:r>
            <a:rPr lang="en-US" sz="1100" baseline="0">
              <a:solidFill>
                <a:schemeClr val="dk1"/>
              </a:solidFill>
              <a:latin typeface="+mn-lt"/>
              <a:ea typeface="+mn-ea"/>
              <a:cs typeface="+mn-cs"/>
            </a:rPr>
            <a:t> or </a:t>
          </a:r>
          <a:r>
            <a:rPr lang="en-US" sz="1100">
              <a:solidFill>
                <a:schemeClr val="dk1"/>
              </a:solidFill>
              <a:latin typeface="+mn-lt"/>
              <a:ea typeface="+mn-ea"/>
              <a:cs typeface="+mn-cs"/>
            </a:rPr>
            <a:t>3443.89849 for nautical miles.</a:t>
          </a:r>
        </a:p>
        <a:p>
          <a:endParaRPr lang="en-US" sz="1100">
            <a:solidFill>
              <a:schemeClr val="dk1"/>
            </a:solidFill>
            <a:latin typeface="+mn-lt"/>
            <a:ea typeface="+mn-ea"/>
            <a:cs typeface="+mn-cs"/>
          </a:endParaRPr>
        </a:p>
        <a:p>
          <a:r>
            <a:rPr lang="en-US" sz="1100">
              <a:solidFill>
                <a:schemeClr val="dk1"/>
              </a:solidFill>
              <a:latin typeface="+mn-lt"/>
              <a:ea typeface="+mn-ea"/>
              <a:cs typeface="+mn-cs"/>
            </a:rPr>
            <a:t>7.  M/sec ---&gt; Knotts</a:t>
          </a:r>
        </a:p>
        <a:p>
          <a:endParaRPr lang="en-US" sz="1100">
            <a:solidFill>
              <a:schemeClr val="dk1"/>
            </a:solidFill>
            <a:latin typeface="+mn-lt"/>
            <a:ea typeface="+mn-ea"/>
            <a:cs typeface="+mn-cs"/>
          </a:endParaRPr>
        </a:p>
        <a:p>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endParaRPr lang="en-US" sz="1100"/>
        </a:p>
      </xdr:txBody>
    </xdr:sp>
    <xdr:clientData/>
  </xdr:twoCellAnchor>
  <xdr:twoCellAnchor editAs="oneCell">
    <xdr:from>
      <xdr:col>0</xdr:col>
      <xdr:colOff>66675</xdr:colOff>
      <xdr:row>47</xdr:row>
      <xdr:rowOff>57150</xdr:rowOff>
    </xdr:from>
    <xdr:to>
      <xdr:col>11</xdr:col>
      <xdr:colOff>171450</xdr:colOff>
      <xdr:row>61</xdr:row>
      <xdr:rowOff>104775</xdr:rowOff>
    </xdr:to>
    <xdr:pic>
      <xdr:nvPicPr>
        <xdr:cNvPr id="307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6675" y="9010650"/>
          <a:ext cx="6810375" cy="2714625"/>
        </a:xfrm>
        <a:prstGeom prst="rect">
          <a:avLst/>
        </a:prstGeom>
        <a:noFill/>
        <a:ln w="1">
          <a:noFill/>
          <a:miter lim="800000"/>
          <a:headEnd/>
          <a:tailEnd type="none" w="med" len="med"/>
        </a:ln>
        <a:effectLst/>
      </xdr:spPr>
    </xdr:pic>
    <xdr:clientData/>
  </xdr:twoCellAnchor>
  <xdr:twoCellAnchor editAs="oneCell">
    <xdr:from>
      <xdr:col>12</xdr:col>
      <xdr:colOff>0</xdr:colOff>
      <xdr:row>47</xdr:row>
      <xdr:rowOff>0</xdr:rowOff>
    </xdr:from>
    <xdr:to>
      <xdr:col>23</xdr:col>
      <xdr:colOff>123825</xdr:colOff>
      <xdr:row>54</xdr:row>
      <xdr:rowOff>28575</xdr:rowOff>
    </xdr:to>
    <xdr:pic>
      <xdr:nvPicPr>
        <xdr:cNvPr id="307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7315200" y="8953500"/>
          <a:ext cx="6829425" cy="1362075"/>
        </a:xfrm>
        <a:prstGeom prst="rect">
          <a:avLst/>
        </a:prstGeom>
        <a:noFill/>
        <a:ln w="1">
          <a:noFill/>
          <a:miter lim="800000"/>
          <a:headEnd/>
          <a:tailEnd type="none" w="med" len="med"/>
        </a:ln>
        <a:effectLst/>
      </xdr:spPr>
    </xdr:pic>
    <xdr:clientData/>
  </xdr:twoCellAnchor>
  <xdr:twoCellAnchor editAs="oneCell">
    <xdr:from>
      <xdr:col>12</xdr:col>
      <xdr:colOff>0</xdr:colOff>
      <xdr:row>55</xdr:row>
      <xdr:rowOff>0</xdr:rowOff>
    </xdr:from>
    <xdr:to>
      <xdr:col>24</xdr:col>
      <xdr:colOff>19050</xdr:colOff>
      <xdr:row>69</xdr:row>
      <xdr:rowOff>76200</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7315200" y="10477500"/>
          <a:ext cx="7334250" cy="2743200"/>
        </a:xfrm>
        <a:prstGeom prst="rect">
          <a:avLst/>
        </a:prstGeom>
        <a:noFill/>
        <a:ln w="1">
          <a:noFill/>
          <a:miter lim="800000"/>
          <a:headEnd/>
          <a:tailEnd type="none" w="med" len="med"/>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12</xdr:col>
      <xdr:colOff>177800</xdr:colOff>
      <xdr:row>24</xdr:row>
      <xdr:rowOff>63500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xdr:row>
      <xdr:rowOff>0</xdr:rowOff>
    </xdr:from>
    <xdr:to>
      <xdr:col>12</xdr:col>
      <xdr:colOff>177800</xdr:colOff>
      <xdr:row>24</xdr:row>
      <xdr:rowOff>63500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1</xdr:row>
      <xdr:rowOff>0</xdr:rowOff>
    </xdr:from>
    <xdr:to>
      <xdr:col>12</xdr:col>
      <xdr:colOff>177800</xdr:colOff>
      <xdr:row>24</xdr:row>
      <xdr:rowOff>63500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2:BC128"/>
  <sheetViews>
    <sheetView zoomScale="75" zoomScaleNormal="75" workbookViewId="0">
      <selection activeCell="AG4" sqref="AG4"/>
    </sheetView>
  </sheetViews>
  <sheetFormatPr defaultRowHeight="15"/>
  <cols>
    <col min="1" max="1" width="15.5703125" customWidth="1"/>
    <col min="2" max="6" width="12.7109375" customWidth="1"/>
    <col min="7" max="7" width="12.7109375" style="24" customWidth="1"/>
    <col min="8" max="8" width="13.42578125" style="24" customWidth="1"/>
    <col min="9" max="9" width="12.7109375" style="24" customWidth="1"/>
    <col min="10" max="12" width="12.7109375" customWidth="1"/>
    <col min="13" max="13" width="12.7109375" style="121" customWidth="1"/>
    <col min="14" max="17" width="12.7109375" customWidth="1"/>
    <col min="18" max="18" width="12.7109375" style="27" customWidth="1"/>
    <col min="19" max="19" width="12.7109375" customWidth="1"/>
    <col min="20" max="20" width="13.140625" customWidth="1"/>
    <col min="21" max="22" width="14.7109375" customWidth="1"/>
    <col min="23" max="23" width="15.42578125" customWidth="1"/>
    <col min="24" max="31" width="12.7109375" customWidth="1"/>
    <col min="32" max="32" width="12.7109375" style="126" customWidth="1"/>
    <col min="33" max="35" width="12.7109375" customWidth="1"/>
    <col min="36" max="36" width="12.7109375" style="121" customWidth="1"/>
    <col min="37" max="39" width="12.7109375" customWidth="1"/>
    <col min="40" max="40" width="10.140625" customWidth="1"/>
    <col min="44" max="55" width="12.7109375" customWidth="1"/>
  </cols>
  <sheetData>
    <row r="2" spans="1:54">
      <c r="AI2" t="s">
        <v>43</v>
      </c>
    </row>
    <row r="6" spans="1:54">
      <c r="U6" t="s">
        <v>29</v>
      </c>
    </row>
    <row r="7" spans="1:54">
      <c r="U7" s="63" t="s">
        <v>30</v>
      </c>
    </row>
    <row r="8" spans="1:54" ht="15.75">
      <c r="B8" s="20"/>
      <c r="U8" s="63" t="s">
        <v>31</v>
      </c>
      <c r="AY8">
        <v>25</v>
      </c>
    </row>
    <row r="9" spans="1:54" ht="21.75" thickBot="1">
      <c r="A9" s="35" t="s">
        <v>18</v>
      </c>
      <c r="X9" s="35" t="s">
        <v>17</v>
      </c>
      <c r="AY9">
        <v>24</v>
      </c>
      <c r="AZ9">
        <v>-157</v>
      </c>
    </row>
    <row r="10" spans="1:54" ht="67.5" customHeight="1" thickBot="1">
      <c r="A10" s="19" t="s">
        <v>15</v>
      </c>
      <c r="B10" s="2" t="s">
        <v>16</v>
      </c>
      <c r="C10" s="1" t="s">
        <v>13</v>
      </c>
      <c r="D10" s="2" t="s">
        <v>14</v>
      </c>
      <c r="E10" s="3" t="s">
        <v>0</v>
      </c>
      <c r="F10" s="4" t="s">
        <v>1</v>
      </c>
      <c r="G10" s="25" t="s">
        <v>24</v>
      </c>
      <c r="H10" s="26" t="s">
        <v>25</v>
      </c>
      <c r="I10" s="6" t="s">
        <v>26</v>
      </c>
      <c r="J10" s="6" t="s">
        <v>19</v>
      </c>
      <c r="K10" s="7" t="s">
        <v>6</v>
      </c>
      <c r="L10" s="8" t="s">
        <v>7</v>
      </c>
      <c r="M10" s="124" t="s">
        <v>8</v>
      </c>
      <c r="N10" s="2" t="s">
        <v>9</v>
      </c>
      <c r="O10" s="9" t="s">
        <v>10</v>
      </c>
      <c r="P10" s="2" t="s">
        <v>11</v>
      </c>
      <c r="Q10" s="10" t="s">
        <v>12</v>
      </c>
      <c r="R10" s="29" t="s">
        <v>21</v>
      </c>
      <c r="S10" s="2" t="s">
        <v>22</v>
      </c>
      <c r="T10" s="10" t="s">
        <v>23</v>
      </c>
      <c r="U10" s="2" t="s">
        <v>32</v>
      </c>
      <c r="V10" s="2" t="s">
        <v>34</v>
      </c>
      <c r="W10" s="11"/>
      <c r="X10" s="19" t="s">
        <v>15</v>
      </c>
      <c r="Y10" s="2" t="s">
        <v>16</v>
      </c>
      <c r="Z10" s="1" t="s">
        <v>13</v>
      </c>
      <c r="AA10" s="2" t="s">
        <v>14</v>
      </c>
      <c r="AB10" s="3" t="s">
        <v>0</v>
      </c>
      <c r="AC10" s="4" t="s">
        <v>1</v>
      </c>
      <c r="AD10" s="5" t="s">
        <v>2</v>
      </c>
      <c r="AE10" s="6" t="s">
        <v>3</v>
      </c>
      <c r="AF10" s="127" t="s">
        <v>26</v>
      </c>
      <c r="AG10" s="6" t="s">
        <v>19</v>
      </c>
      <c r="AH10" s="7" t="s">
        <v>6</v>
      </c>
      <c r="AI10" s="8" t="s">
        <v>7</v>
      </c>
      <c r="AJ10" s="124" t="s">
        <v>8</v>
      </c>
      <c r="AK10" s="2" t="s">
        <v>9</v>
      </c>
      <c r="AL10" s="9" t="s">
        <v>10</v>
      </c>
      <c r="AM10" s="2" t="s">
        <v>11</v>
      </c>
      <c r="AN10" s="10" t="s">
        <v>12</v>
      </c>
      <c r="AO10" s="29" t="s">
        <v>21</v>
      </c>
      <c r="AP10" s="2" t="s">
        <v>22</v>
      </c>
      <c r="AQ10" s="10" t="s">
        <v>23</v>
      </c>
      <c r="AR10" s="2" t="s">
        <v>32</v>
      </c>
      <c r="AS10" s="2" t="s">
        <v>34</v>
      </c>
      <c r="AT10" s="11"/>
      <c r="AU10" s="12" t="s">
        <v>13</v>
      </c>
      <c r="AV10" s="2" t="s">
        <v>14</v>
      </c>
      <c r="AW10" s="33" t="s">
        <v>0</v>
      </c>
      <c r="AX10" s="4" t="s">
        <v>1</v>
      </c>
      <c r="AY10" s="23" t="s">
        <v>4</v>
      </c>
      <c r="AZ10" s="23" t="s">
        <v>5</v>
      </c>
      <c r="BA10" t="s">
        <v>73</v>
      </c>
      <c r="BB10">
        <v>-157</v>
      </c>
    </row>
    <row r="11" spans="1:54" ht="15.75">
      <c r="A11" s="37" t="s">
        <v>20</v>
      </c>
      <c r="B11" s="38"/>
      <c r="C11" s="38"/>
      <c r="D11" s="38"/>
      <c r="E11" s="38"/>
      <c r="F11" s="38"/>
      <c r="G11" s="39"/>
      <c r="H11" s="39"/>
      <c r="I11" s="39"/>
      <c r="J11" s="38"/>
      <c r="K11" s="38"/>
      <c r="L11" s="38"/>
      <c r="M11" s="125"/>
      <c r="N11" s="38"/>
      <c r="O11" s="38"/>
      <c r="P11" s="38"/>
      <c r="Q11" s="38"/>
      <c r="R11" s="40"/>
      <c r="S11" s="38"/>
      <c r="T11" s="38"/>
      <c r="X11" s="38"/>
      <c r="Y11" s="38"/>
      <c r="Z11" s="38"/>
      <c r="AA11" s="38"/>
      <c r="AB11" s="38"/>
      <c r="AC11" s="38"/>
      <c r="AD11" s="38"/>
      <c r="AE11" s="38"/>
      <c r="AF11" s="128"/>
      <c r="AG11" s="38"/>
      <c r="AH11" s="38"/>
      <c r="AI11" s="38"/>
      <c r="AJ11" s="125"/>
      <c r="AK11" s="38"/>
      <c r="AL11" s="38"/>
      <c r="AM11" s="38"/>
      <c r="AN11" s="38"/>
      <c r="AO11" s="53">
        <f>AVERAGE(AN61:AN65)</f>
        <v>0.41137158721318096</v>
      </c>
      <c r="AP11" s="53">
        <f>STDEV(AN61:AN65)</f>
        <v>3.1538939481825824E-2</v>
      </c>
      <c r="AQ11" s="54">
        <f>(AP11/AO11)*100</f>
        <v>7.6667763312203956</v>
      </c>
      <c r="AT11" s="107"/>
      <c r="AU11" s="56">
        <f t="shared" ref="AU11:AU17" si="0">(AW11+AX11)-(10/24)</f>
        <v>40795.668055555558</v>
      </c>
      <c r="AV11" s="57">
        <f t="shared" ref="AV11:AV17" si="1">(AW11+AX11)-(10/24)</f>
        <v>40795.668055555558</v>
      </c>
      <c r="AW11" s="58">
        <v>40796</v>
      </c>
      <c r="AX11" s="59">
        <v>8.4722222222222213E-2</v>
      </c>
      <c r="AY11" s="60">
        <v>24.49747</v>
      </c>
      <c r="AZ11" s="60">
        <v>-157.66980000000001</v>
      </c>
      <c r="BA11" s="34"/>
    </row>
    <row r="12" spans="1:54">
      <c r="A12" s="41"/>
      <c r="B12">
        <v>298</v>
      </c>
      <c r="C12" s="42">
        <f>(E12+F12)-(10/24)</f>
        <v>40795.459027777782</v>
      </c>
      <c r="D12" s="43">
        <f>(E12+F12)-(10/24)</f>
        <v>40795.459027777782</v>
      </c>
      <c r="E12" s="119">
        <v>40795</v>
      </c>
      <c r="F12" s="45">
        <v>0.87569444444444444</v>
      </c>
      <c r="G12" s="41">
        <v>24.62921</v>
      </c>
      <c r="H12" s="41">
        <v>-157.54655</v>
      </c>
      <c r="I12" s="41">
        <v>40</v>
      </c>
      <c r="J12">
        <v>1302</v>
      </c>
      <c r="K12" s="46">
        <f t="shared" ref="K12:K36" si="2">ACOS(SIN(RADIANS(G12))*SIN(RADIANS(G13))+COS(RADIANS(G12))*COS(RADIANS(G13))*COS(RADIANS(H13)-RADIANS(H12)))*6371.1</f>
        <v>2.7640285179272595</v>
      </c>
      <c r="L12" s="46">
        <f t="shared" ref="L12:L36" si="3">L11+K12</f>
        <v>2.7640285179272595</v>
      </c>
      <c r="M12" s="123">
        <f t="shared" ref="M12:M36" si="4">RADIANS(N12)</f>
        <v>1.2776747582353656</v>
      </c>
      <c r="N12" s="47">
        <f t="shared" ref="N12:N36" si="5">MOD(DEGREES(ATAN2(COS(RADIANS(G12))*SIN(RADIANS(G13))-SIN(RADIANS(G12))*COS(RADIANS(G13))*COS(RADIANS(H13)-RADIANS(H12)),SIN(RADIANS(H13)-RADIANS(H12))*COS(RADIANS(G13)))), 360)</f>
        <v>73.205371237284268</v>
      </c>
      <c r="O12" s="47">
        <f t="shared" ref="O12:O36" si="6">K12/((D13-D12)*24)</f>
        <v>0.92134283930908645</v>
      </c>
      <c r="P12" s="47">
        <f t="shared" ref="P12:P33" si="7">(O12*1000*100)/3600</f>
        <v>25.592856647474623</v>
      </c>
      <c r="Q12" s="47">
        <f t="shared" ref="Q12:Q36" si="8">O12/1.852</f>
        <v>0.49748533440015463</v>
      </c>
      <c r="R12" s="48">
        <f>AVERAGE(Q18:Q35)</f>
        <v>0.30200084647402842</v>
      </c>
      <c r="S12" s="48">
        <f>STDEV(Q18:Q35)</f>
        <v>0.10427414722463721</v>
      </c>
      <c r="T12" s="49">
        <f>S12/R12*100</f>
        <v>34.527766541741997</v>
      </c>
      <c r="U12" s="34">
        <f>O12*COS(RADIANS(N12))</f>
        <v>0.26621468967872969</v>
      </c>
      <c r="V12" s="34">
        <f>O12*SIN(RADIANS(N12))</f>
        <v>0.88204442436046648</v>
      </c>
      <c r="W12" s="18"/>
      <c r="X12" s="41"/>
      <c r="Y12" s="41"/>
      <c r="Z12" s="42"/>
      <c r="AA12" s="43"/>
      <c r="AB12" s="51"/>
      <c r="AC12" s="45"/>
      <c r="AD12" s="41"/>
      <c r="AE12" s="41"/>
      <c r="AF12" s="129"/>
      <c r="AG12" s="41"/>
      <c r="AH12" s="46"/>
      <c r="AI12" s="46"/>
      <c r="AJ12" s="123"/>
      <c r="AK12" s="47"/>
      <c r="AL12" s="47"/>
      <c r="AM12" s="47"/>
      <c r="AN12" s="47"/>
      <c r="AO12" s="41"/>
      <c r="AP12" s="41"/>
      <c r="AQ12" s="41"/>
      <c r="AR12" s="34"/>
      <c r="AS12" s="34"/>
      <c r="AT12" s="107"/>
      <c r="AU12" s="42">
        <f t="shared" si="0"/>
        <v>40796.469444444447</v>
      </c>
      <c r="AV12" s="43">
        <f t="shared" si="1"/>
        <v>40796.469444444447</v>
      </c>
      <c r="AW12" s="51">
        <v>40796</v>
      </c>
      <c r="AX12" s="133">
        <v>0.88611111111111107</v>
      </c>
      <c r="AY12" s="61">
        <v>24.8995</v>
      </c>
      <c r="AZ12" s="61">
        <v>-157.45509999999999</v>
      </c>
      <c r="BA12" s="34"/>
    </row>
    <row r="13" spans="1:54">
      <c r="A13" s="41"/>
      <c r="B13">
        <v>299</v>
      </c>
      <c r="C13" s="42">
        <f>(E13+F13)-(10/24)</f>
        <v>40795.584027777782</v>
      </c>
      <c r="D13" s="43">
        <f>(E13+F13)-(10/24)</f>
        <v>40795.584027777782</v>
      </c>
      <c r="E13" s="15">
        <v>40796</v>
      </c>
      <c r="F13" s="45">
        <v>6.9444444444444447E-4</v>
      </c>
      <c r="G13" s="41">
        <v>24.636389999999999</v>
      </c>
      <c r="H13" s="107">
        <v>-157.52037000000001</v>
      </c>
      <c r="I13" s="41">
        <v>40</v>
      </c>
      <c r="J13">
        <v>1302</v>
      </c>
      <c r="K13" s="46">
        <f t="shared" si="2"/>
        <v>1.3793122922096239</v>
      </c>
      <c r="L13" s="46">
        <f t="shared" si="3"/>
        <v>4.1433408101368832</v>
      </c>
      <c r="M13" s="123">
        <f t="shared" si="4"/>
        <v>1.1452673411115202</v>
      </c>
      <c r="N13" s="47">
        <f t="shared" si="5"/>
        <v>65.618985059859696</v>
      </c>
      <c r="O13" s="47">
        <f t="shared" si="6"/>
        <v>0.45977076406987466</v>
      </c>
      <c r="P13" s="47">
        <f t="shared" si="7"/>
        <v>12.771410113052074</v>
      </c>
      <c r="Q13" s="47">
        <f t="shared" si="8"/>
        <v>0.24825635208956515</v>
      </c>
      <c r="R13" s="50"/>
      <c r="S13" s="41"/>
      <c r="T13" s="41"/>
      <c r="U13" s="34">
        <f>O13*COS(RADIANS(N13))</f>
        <v>0.18979459002065074</v>
      </c>
      <c r="V13" s="34">
        <f>O13*SIN(RADIANS(N13))</f>
        <v>0.41876863432244954</v>
      </c>
      <c r="X13" s="118"/>
      <c r="Y13" s="41">
        <v>319</v>
      </c>
      <c r="Z13" s="42">
        <f>(AB13+AC13)-(10/24)</f>
        <v>40795.332638888889</v>
      </c>
      <c r="AA13" s="43">
        <f>(AB13+AC13)-(10/24)</f>
        <v>40795.332638888889</v>
      </c>
      <c r="AB13" s="51">
        <v>40795</v>
      </c>
      <c r="AC13" s="45">
        <v>0.74930555555555556</v>
      </c>
      <c r="AD13" s="41">
        <v>24.610209999999999</v>
      </c>
      <c r="AE13" s="41">
        <v>-157.58277000000001</v>
      </c>
      <c r="AF13" s="129">
        <v>42</v>
      </c>
      <c r="AG13" s="41">
        <v>1305</v>
      </c>
      <c r="AH13" s="46">
        <f t="shared" ref="AH13:AH19" si="9">ACOS(SIN(RADIANS(AD13))*SIN(RADIANS(AD14))+COS(RADIANS(AD13))*COS(RADIANS(AD14))*COS(RADIANS(AE14)-RADIANS(AE13)))*6371.1</f>
        <v>1.476314226461775</v>
      </c>
      <c r="AI13" s="46">
        <f t="shared" ref="AI13:AI19" si="10">AI12+AH13</f>
        <v>1.476314226461775</v>
      </c>
      <c r="AJ13" s="123">
        <f t="shared" ref="AJ13:AJ19" si="11">RADIANS(AK13)</f>
        <v>0.97772035446355765</v>
      </c>
      <c r="AK13" s="47">
        <f t="shared" ref="AK13:AK19" si="12">MOD(DEGREES(ATAN2(COS(RADIANS(AD13))*SIN(RADIANS(AD14))-SIN(RADIANS(AD13))*COS(RADIANS(AD14))*COS(RADIANS(AE14)-RADIANS(AE13)),SIN(RADIANS(AE14)-RADIANS(AE13))*COS(RADIANS(AD14)))), 360)</f>
        <v>56.019249854796691</v>
      </c>
      <c r="AL13" s="130">
        <f>AH13/((AA14-AA13)*24)</f>
        <v>1.4060135488709158</v>
      </c>
      <c r="AM13" s="47">
        <f t="shared" ref="AM13:AM76" si="13">(AL13*1000*100)/3600</f>
        <v>39.055931913080997</v>
      </c>
      <c r="AN13" s="47">
        <f t="shared" ref="AN13:AN19" si="14">AL13/1.852</f>
        <v>0.75918658146377738</v>
      </c>
      <c r="AO13" s="41"/>
      <c r="AP13" s="41"/>
      <c r="AQ13" s="41"/>
      <c r="AR13" s="34">
        <f t="shared" ref="AR13:AR36" si="15">AL13*COS(RADIANS(AK13))</f>
        <v>0.78584113102553443</v>
      </c>
      <c r="AS13" s="34">
        <f t="shared" ref="AS13:AS36" si="16">AL13*SIN(RADIANS(AK13))</f>
        <v>1.1659021470076707</v>
      </c>
      <c r="AT13" s="107"/>
      <c r="AU13" s="42">
        <f t="shared" si="0"/>
        <v>40795.598611111112</v>
      </c>
      <c r="AV13" s="43">
        <f t="shared" si="1"/>
        <v>40795.598611111112</v>
      </c>
      <c r="AW13" s="51">
        <v>40796</v>
      </c>
      <c r="AX13" s="45">
        <v>1.5277777777777777E-2</v>
      </c>
      <c r="AY13" s="61">
        <v>24.9025</v>
      </c>
      <c r="AZ13" s="61">
        <v>-157.428</v>
      </c>
      <c r="BA13" s="34"/>
    </row>
    <row r="14" spans="1:54">
      <c r="A14" s="41"/>
      <c r="B14">
        <v>300</v>
      </c>
      <c r="C14" s="42">
        <f>(E14+F14)-(10/24)</f>
        <v>40795.709027777782</v>
      </c>
      <c r="D14" s="43">
        <f>(E14+F14)-(10/24)</f>
        <v>40795.709027777782</v>
      </c>
      <c r="E14" s="15">
        <v>40796</v>
      </c>
      <c r="F14" s="45">
        <v>0.12569444444444444</v>
      </c>
      <c r="G14" s="41">
        <v>24.64151</v>
      </c>
      <c r="H14" s="41">
        <v>-157.50793999999999</v>
      </c>
      <c r="I14" s="44">
        <v>43</v>
      </c>
      <c r="J14">
        <v>1305</v>
      </c>
      <c r="K14" s="46">
        <f t="shared" si="2"/>
        <v>2.0595175268864963</v>
      </c>
      <c r="L14" s="46">
        <f t="shared" si="3"/>
        <v>6.202858337023379</v>
      </c>
      <c r="M14" s="123">
        <f t="shared" si="4"/>
        <v>0.9213405167080202</v>
      </c>
      <c r="N14" s="47">
        <f t="shared" si="5"/>
        <v>52.788923101772063</v>
      </c>
      <c r="O14" s="47">
        <f t="shared" si="6"/>
        <v>0.68271299236528971</v>
      </c>
      <c r="P14" s="47">
        <f t="shared" si="7"/>
        <v>18.964249787924714</v>
      </c>
      <c r="Q14" s="47">
        <f t="shared" si="8"/>
        <v>0.3686355250352536</v>
      </c>
      <c r="R14" s="52"/>
      <c r="S14" s="41"/>
      <c r="T14" s="41"/>
      <c r="U14" s="34">
        <f>O14*COS(RADIANS(N14))</f>
        <v>0.41287279538461108</v>
      </c>
      <c r="V14" s="34">
        <f>O14*SIN(RADIANS(N14))</f>
        <v>0.5437215139900804</v>
      </c>
      <c r="X14" s="118"/>
      <c r="Y14" s="41">
        <v>320</v>
      </c>
      <c r="Z14" s="42">
        <f t="shared" ref="Z14:Z20" si="17">(AB14+AC14)-(10/24)</f>
        <v>40795.376388888893</v>
      </c>
      <c r="AA14" s="43">
        <f t="shared" ref="AA14:AA20" si="18">(AB14+AC14)-(10/24)</f>
        <v>40795.376388888893</v>
      </c>
      <c r="AB14" s="51">
        <v>40795</v>
      </c>
      <c r="AC14" s="45">
        <v>0.79305555555555562</v>
      </c>
      <c r="AD14" s="41">
        <v>24.617629999999998</v>
      </c>
      <c r="AE14" s="41">
        <v>-157.57066</v>
      </c>
      <c r="AF14" s="129">
        <v>40</v>
      </c>
      <c r="AG14" s="41">
        <v>1305</v>
      </c>
      <c r="AH14" s="46">
        <f t="shared" si="9"/>
        <v>1.4788950844734143</v>
      </c>
      <c r="AI14" s="46">
        <f t="shared" si="10"/>
        <v>2.9552093109351896</v>
      </c>
      <c r="AJ14" s="123">
        <f t="shared" si="11"/>
        <v>1.0323202461745287</v>
      </c>
      <c r="AK14" s="47">
        <f t="shared" si="12"/>
        <v>59.147593211706656</v>
      </c>
      <c r="AL14" s="130">
        <f t="shared" ref="AL14:AL19" si="19">AH14/((AA15-AA14)*24)</f>
        <v>1.5039611030264362</v>
      </c>
      <c r="AM14" s="47">
        <f t="shared" si="13"/>
        <v>41.776697306289897</v>
      </c>
      <c r="AN14" s="47">
        <f t="shared" si="14"/>
        <v>0.81207402971189857</v>
      </c>
      <c r="AO14" s="41"/>
      <c r="AP14" s="41"/>
      <c r="AQ14" s="41"/>
      <c r="AR14" s="34">
        <f t="shared" si="15"/>
        <v>0.77127384021677392</v>
      </c>
      <c r="AS14" s="34">
        <f t="shared" si="16"/>
        <v>1.2911373524198597</v>
      </c>
      <c r="AT14" s="107"/>
      <c r="AU14" s="42">
        <f t="shared" si="0"/>
        <v>40796.815972222226</v>
      </c>
      <c r="AV14" s="43">
        <f t="shared" si="1"/>
        <v>40796.815972222226</v>
      </c>
      <c r="AW14" s="51">
        <v>40797</v>
      </c>
      <c r="AX14" s="45">
        <v>0.23263888888888887</v>
      </c>
      <c r="AY14" s="61">
        <v>24.853300000000001</v>
      </c>
      <c r="AZ14" s="61">
        <v>-157.44909999999999</v>
      </c>
      <c r="BA14" s="34"/>
    </row>
    <row r="15" spans="1:54">
      <c r="A15" s="41"/>
      <c r="B15">
        <v>301</v>
      </c>
      <c r="C15" s="42">
        <f t="shared" ref="C15:C20" si="20">(E15+F15)-(10/24)</f>
        <v>40795.834722222222</v>
      </c>
      <c r="D15" s="43">
        <f t="shared" ref="D15:D20" si="21">(E15+F15)-(10/24)</f>
        <v>40795.834722222222</v>
      </c>
      <c r="E15" s="15">
        <v>40796</v>
      </c>
      <c r="F15" s="45">
        <v>0.25138888888888888</v>
      </c>
      <c r="G15" s="41">
        <v>24.652709999999999</v>
      </c>
      <c r="H15" s="41">
        <v>-157.49171000000001</v>
      </c>
      <c r="I15" s="41">
        <v>42</v>
      </c>
      <c r="J15" s="24">
        <v>1305</v>
      </c>
      <c r="K15" s="46">
        <f t="shared" si="2"/>
        <v>2.6126920102121347</v>
      </c>
      <c r="L15" s="46">
        <f t="shared" si="3"/>
        <v>8.8155503472355132</v>
      </c>
      <c r="M15" s="123">
        <f t="shared" si="4"/>
        <v>0.7481773181058804</v>
      </c>
      <c r="N15" s="47">
        <f t="shared" si="5"/>
        <v>42.867402654883776</v>
      </c>
      <c r="O15" s="47">
        <f t="shared" si="6"/>
        <v>0.87576268495199472</v>
      </c>
      <c r="P15" s="47">
        <f t="shared" si="7"/>
        <v>24.326741248666522</v>
      </c>
      <c r="Q15" s="47">
        <f t="shared" si="8"/>
        <v>0.47287401995248091</v>
      </c>
      <c r="R15" s="52"/>
      <c r="S15" s="41"/>
      <c r="T15" s="41"/>
      <c r="U15" s="34">
        <f t="shared" ref="U15:U36" si="22">O15*COS(RADIANS(N15))</f>
        <v>0.64187280021863791</v>
      </c>
      <c r="V15" s="34">
        <f t="shared" ref="V15:V36" si="23">O15*SIN(RADIANS(N15))</f>
        <v>0.59578485101067424</v>
      </c>
      <c r="X15" s="118"/>
      <c r="Y15" s="41">
        <v>321</v>
      </c>
      <c r="Z15" s="42">
        <f t="shared" si="17"/>
        <v>40795.417361111111</v>
      </c>
      <c r="AA15" s="43">
        <f t="shared" si="18"/>
        <v>40795.417361111111</v>
      </c>
      <c r="AB15" s="51">
        <v>40795</v>
      </c>
      <c r="AC15" s="45">
        <v>0.8340277777777777</v>
      </c>
      <c r="AD15" s="41">
        <v>24.62445</v>
      </c>
      <c r="AE15" s="41">
        <v>-157.5581</v>
      </c>
      <c r="AF15" s="129">
        <v>41</v>
      </c>
      <c r="AG15" s="41">
        <v>1302</v>
      </c>
      <c r="AH15" s="46">
        <f t="shared" si="9"/>
        <v>1.2986038579416754</v>
      </c>
      <c r="AI15" s="46">
        <f t="shared" si="10"/>
        <v>4.2538131688768654</v>
      </c>
      <c r="AJ15" s="123">
        <f t="shared" si="11"/>
        <v>1.1283212805715797</v>
      </c>
      <c r="AK15" s="47">
        <f t="shared" si="12"/>
        <v>64.648047311547927</v>
      </c>
      <c r="AL15" s="130">
        <f t="shared" si="19"/>
        <v>1.2773152701114414</v>
      </c>
      <c r="AM15" s="47">
        <f t="shared" si="13"/>
        <v>35.480979725317816</v>
      </c>
      <c r="AN15" s="47">
        <f t="shared" si="14"/>
        <v>0.68969507025455801</v>
      </c>
      <c r="AO15" s="41"/>
      <c r="AP15" s="41"/>
      <c r="AQ15" s="41"/>
      <c r="AR15" s="34">
        <f t="shared" si="15"/>
        <v>0.54691760841753145</v>
      </c>
      <c r="AS15" s="34">
        <f t="shared" si="16"/>
        <v>1.1543030056543699</v>
      </c>
      <c r="AU15" s="42">
        <f t="shared" si="0"/>
        <v>40797.386111111111</v>
      </c>
      <c r="AV15" s="43">
        <f t="shared" si="1"/>
        <v>40797.386111111111</v>
      </c>
      <c r="AW15" s="51">
        <v>40797</v>
      </c>
      <c r="AX15" s="45">
        <v>0.8027777777777777</v>
      </c>
      <c r="AY15" s="61">
        <f>$AY$9+(BA15/60)</f>
        <v>24.404983333333334</v>
      </c>
      <c r="AZ15" s="61">
        <f>$AZ$9+(BB15/60)</f>
        <v>-157.87501666666665</v>
      </c>
      <c r="BA15">
        <v>24.298999999999999</v>
      </c>
      <c r="BB15">
        <v>-52.500999999999998</v>
      </c>
    </row>
    <row r="16" spans="1:54">
      <c r="A16" s="41"/>
      <c r="B16">
        <v>302</v>
      </c>
      <c r="C16" s="42">
        <f t="shared" si="20"/>
        <v>40795.959027777782</v>
      </c>
      <c r="D16" s="43">
        <f t="shared" si="21"/>
        <v>40795.959027777782</v>
      </c>
      <c r="E16" s="15">
        <v>40796</v>
      </c>
      <c r="F16" s="45">
        <v>0.3756944444444445</v>
      </c>
      <c r="G16" s="41">
        <v>24.669930000000001</v>
      </c>
      <c r="H16" s="41">
        <v>-157.47412</v>
      </c>
      <c r="I16" s="41">
        <v>41</v>
      </c>
      <c r="J16" s="24">
        <v>1302</v>
      </c>
      <c r="K16" s="46">
        <f t="shared" si="2"/>
        <v>2.8366710045767838</v>
      </c>
      <c r="L16" s="46">
        <f t="shared" si="3"/>
        <v>11.652221351812297</v>
      </c>
      <c r="M16" s="123">
        <f t="shared" si="4"/>
        <v>0.7628184661714591</v>
      </c>
      <c r="N16" s="47">
        <f t="shared" si="5"/>
        <v>43.706278646267563</v>
      </c>
      <c r="O16" s="47">
        <f t="shared" si="6"/>
        <v>0.94555700152559463</v>
      </c>
      <c r="P16" s="47">
        <f t="shared" si="7"/>
        <v>26.26547226459985</v>
      </c>
      <c r="Q16" s="47">
        <f t="shared" si="8"/>
        <v>0.51055993602893879</v>
      </c>
      <c r="R16" s="52"/>
      <c r="S16" s="41"/>
      <c r="T16" s="41"/>
      <c r="U16" s="34">
        <f t="shared" si="22"/>
        <v>0.68353505540669857</v>
      </c>
      <c r="V16" s="34">
        <f t="shared" si="23"/>
        <v>0.65334360880338826</v>
      </c>
      <c r="X16" s="118"/>
      <c r="Y16" s="41">
        <v>322</v>
      </c>
      <c r="Z16" s="42">
        <f t="shared" si="17"/>
        <v>40795.459722222222</v>
      </c>
      <c r="AA16" s="43">
        <f t="shared" si="18"/>
        <v>40795.459722222222</v>
      </c>
      <c r="AB16" s="51">
        <v>40795</v>
      </c>
      <c r="AC16" s="45">
        <v>0.87638888888888899</v>
      </c>
      <c r="AD16" s="41">
        <v>24.629449999999999</v>
      </c>
      <c r="AE16" s="41">
        <v>-157.54649000000001</v>
      </c>
      <c r="AF16" s="129">
        <v>41</v>
      </c>
      <c r="AG16" s="41">
        <v>1302</v>
      </c>
      <c r="AH16" s="46">
        <f t="shared" si="9"/>
        <v>1.0757232632932681</v>
      </c>
      <c r="AI16" s="46">
        <f t="shared" si="10"/>
        <v>5.3295364321701335</v>
      </c>
      <c r="AJ16" s="123">
        <f t="shared" si="11"/>
        <v>1.2027871955920852</v>
      </c>
      <c r="AK16" s="47">
        <f t="shared" si="12"/>
        <v>68.914629959802738</v>
      </c>
      <c r="AL16" s="130">
        <f t="shared" si="19"/>
        <v>1.0580884557023351</v>
      </c>
      <c r="AM16" s="47">
        <f t="shared" si="13"/>
        <v>29.39134599173153</v>
      </c>
      <c r="AN16" s="47">
        <f t="shared" si="14"/>
        <v>0.57132206031443578</v>
      </c>
      <c r="AO16" s="41"/>
      <c r="AP16" s="41"/>
      <c r="AQ16" s="41"/>
      <c r="AR16" s="34">
        <f t="shared" si="15"/>
        <v>0.38065639518312056</v>
      </c>
      <c r="AS16" s="34">
        <f t="shared" si="16"/>
        <v>0.98724459426058364</v>
      </c>
      <c r="AU16" s="42">
        <f t="shared" si="0"/>
        <v>40797.913194444445</v>
      </c>
      <c r="AV16" s="43">
        <f t="shared" si="1"/>
        <v>40797.913194444445</v>
      </c>
      <c r="AW16" s="51">
        <v>40798</v>
      </c>
      <c r="AX16" s="45">
        <v>0.3298611111111111</v>
      </c>
      <c r="AY16" s="61">
        <f>$AY$9+(BA16/60)</f>
        <v>24.992533333333334</v>
      </c>
      <c r="AZ16" s="61">
        <f>$AZ$9+(BB16/60)</f>
        <v>-157.33538333333334</v>
      </c>
      <c r="BA16">
        <v>59.552</v>
      </c>
      <c r="BB16">
        <v>-20.123000000000001</v>
      </c>
    </row>
    <row r="17" spans="1:55">
      <c r="A17" s="41"/>
      <c r="B17">
        <v>303</v>
      </c>
      <c r="C17" s="42">
        <f t="shared" si="20"/>
        <v>40796.084027777782</v>
      </c>
      <c r="D17" s="43">
        <f t="shared" si="21"/>
        <v>40796.084027777782</v>
      </c>
      <c r="E17" s="15">
        <v>40796</v>
      </c>
      <c r="F17" s="45">
        <v>0.50069444444444444</v>
      </c>
      <c r="G17" s="41">
        <v>24.688369999999999</v>
      </c>
      <c r="H17" s="41">
        <v>-157.45472000000001</v>
      </c>
      <c r="I17" s="41">
        <v>42</v>
      </c>
      <c r="J17" s="24">
        <v>1305</v>
      </c>
      <c r="K17" s="46">
        <f t="shared" si="2"/>
        <v>2.7322776712588177</v>
      </c>
      <c r="L17" s="46">
        <f t="shared" si="3"/>
        <v>14.384499023071115</v>
      </c>
      <c r="M17" s="123">
        <f t="shared" si="4"/>
        <v>1.0069658798915231</v>
      </c>
      <c r="N17" s="47">
        <f t="shared" si="5"/>
        <v>57.694895031461641</v>
      </c>
      <c r="O17" s="47">
        <f t="shared" si="6"/>
        <v>0.91075922375293927</v>
      </c>
      <c r="P17" s="47">
        <f t="shared" si="7"/>
        <v>25.298867326470535</v>
      </c>
      <c r="Q17" s="47">
        <f t="shared" si="8"/>
        <v>0.49177063917545316</v>
      </c>
      <c r="R17" s="52"/>
      <c r="S17" s="41"/>
      <c r="T17" s="41"/>
      <c r="U17" s="34">
        <f t="shared" si="22"/>
        <v>0.48673491971536553</v>
      </c>
      <c r="V17" s="34">
        <f t="shared" si="23"/>
        <v>0.7697866467929495</v>
      </c>
      <c r="X17" s="118"/>
      <c r="Y17" s="41">
        <v>323</v>
      </c>
      <c r="Z17" s="42">
        <f t="shared" si="17"/>
        <v>40795.502083333333</v>
      </c>
      <c r="AA17" s="43">
        <f t="shared" si="18"/>
        <v>40795.502083333333</v>
      </c>
      <c r="AB17" s="51">
        <v>40795</v>
      </c>
      <c r="AC17" s="45">
        <v>0.91875000000000007</v>
      </c>
      <c r="AD17" s="41">
        <v>24.632930000000002</v>
      </c>
      <c r="AE17" s="41">
        <v>-157.53656000000001</v>
      </c>
      <c r="AF17" s="129">
        <v>41</v>
      </c>
      <c r="AG17" s="41">
        <v>1305</v>
      </c>
      <c r="AH17" s="46">
        <f t="shared" si="9"/>
        <v>0.92893826085261844</v>
      </c>
      <c r="AI17" s="46">
        <f t="shared" si="10"/>
        <v>6.2584746930227517</v>
      </c>
      <c r="AJ17" s="123">
        <f t="shared" si="11"/>
        <v>1.301792035302886</v>
      </c>
      <c r="AK17" s="47">
        <f t="shared" si="12"/>
        <v>74.58718942660083</v>
      </c>
      <c r="AL17" s="130">
        <f t="shared" si="19"/>
        <v>0.94468297707860827</v>
      </c>
      <c r="AM17" s="47">
        <f t="shared" si="13"/>
        <v>26.241193807739119</v>
      </c>
      <c r="AN17" s="47">
        <f t="shared" si="14"/>
        <v>0.51008800058240189</v>
      </c>
      <c r="AO17" s="41"/>
      <c r="AP17" s="41"/>
      <c r="AQ17" s="41"/>
      <c r="AR17" s="34">
        <f t="shared" si="15"/>
        <v>0.25106997219563792</v>
      </c>
      <c r="AS17" s="34">
        <f t="shared" si="16"/>
        <v>0.91070840352100835</v>
      </c>
      <c r="AU17" s="42">
        <f t="shared" si="0"/>
        <v>40798.528472222228</v>
      </c>
      <c r="AV17" s="43">
        <f t="shared" si="1"/>
        <v>40798.528472222228</v>
      </c>
      <c r="AW17" s="51">
        <v>40798</v>
      </c>
      <c r="AX17" s="45">
        <v>0.94513888888888886</v>
      </c>
      <c r="AY17" s="61">
        <f>$AY$8+(BA17/60)</f>
        <v>25.025333333333332</v>
      </c>
      <c r="AZ17" s="61">
        <f>$AZ$9+(BB17/60)</f>
        <v>-157.34375</v>
      </c>
      <c r="BA17" s="24">
        <v>1.52</v>
      </c>
      <c r="BB17" s="22">
        <v>-20.625</v>
      </c>
    </row>
    <row r="18" spans="1:55">
      <c r="A18" s="41"/>
      <c r="B18">
        <v>304</v>
      </c>
      <c r="C18" s="42">
        <f t="shared" si="20"/>
        <v>40796.209027777782</v>
      </c>
      <c r="D18" s="43">
        <f t="shared" si="21"/>
        <v>40796.209027777782</v>
      </c>
      <c r="E18" s="15">
        <v>40796</v>
      </c>
      <c r="F18" s="45">
        <v>0.62569444444444444</v>
      </c>
      <c r="G18" s="41">
        <v>24.701499999999999</v>
      </c>
      <c r="H18" s="41">
        <v>-157.43186</v>
      </c>
      <c r="I18" s="41">
        <v>41</v>
      </c>
      <c r="J18" s="24">
        <v>1305</v>
      </c>
      <c r="K18" s="46">
        <f t="shared" si="2"/>
        <v>5.5027340897861725</v>
      </c>
      <c r="L18" s="46">
        <f t="shared" si="3"/>
        <v>19.887233112857288</v>
      </c>
      <c r="M18" s="123">
        <f t="shared" si="4"/>
        <v>1.1377123118699903</v>
      </c>
      <c r="N18" s="47">
        <f t="shared" si="5"/>
        <v>65.186113770222121</v>
      </c>
      <c r="O18" s="47">
        <f t="shared" si="6"/>
        <v>0.91712234829769546</v>
      </c>
      <c r="P18" s="47">
        <f t="shared" si="7"/>
        <v>25.475620786047095</v>
      </c>
      <c r="Q18" s="47">
        <f t="shared" si="8"/>
        <v>0.49520645156463033</v>
      </c>
      <c r="R18" s="52"/>
      <c r="S18" s="41"/>
      <c r="T18" s="41"/>
      <c r="U18" s="34">
        <f t="shared" si="22"/>
        <v>0.38489064303422887</v>
      </c>
      <c r="V18" s="34">
        <f t="shared" si="23"/>
        <v>0.83244975503136354</v>
      </c>
      <c r="X18" s="118"/>
      <c r="Y18" s="41">
        <v>324</v>
      </c>
      <c r="Z18" s="42">
        <f t="shared" si="17"/>
        <v>40795.543055555558</v>
      </c>
      <c r="AA18" s="43">
        <f t="shared" si="18"/>
        <v>40795.543055555558</v>
      </c>
      <c r="AB18" s="51">
        <v>40795</v>
      </c>
      <c r="AC18" s="45">
        <v>0.95972222222222225</v>
      </c>
      <c r="AD18" s="41">
        <v>24.635149999999999</v>
      </c>
      <c r="AE18" s="41">
        <v>-157.52770000000001</v>
      </c>
      <c r="AF18" s="129">
        <v>41</v>
      </c>
      <c r="AG18" s="41">
        <v>1305</v>
      </c>
      <c r="AH18" s="46">
        <f t="shared" si="9"/>
        <v>0.77182282200555929</v>
      </c>
      <c r="AI18" s="46">
        <f t="shared" si="10"/>
        <v>7.0302975150283107</v>
      </c>
      <c r="AJ18" s="123">
        <f t="shared" si="11"/>
        <v>1.3617902821222487</v>
      </c>
      <c r="AK18" s="47">
        <f t="shared" si="12"/>
        <v>78.024835747534539</v>
      </c>
      <c r="AL18" s="130">
        <f t="shared" si="19"/>
        <v>0.75916998886082487</v>
      </c>
      <c r="AM18" s="47">
        <f t="shared" si="13"/>
        <v>21.088055246134026</v>
      </c>
      <c r="AN18" s="47">
        <f t="shared" si="14"/>
        <v>0.40991900046480823</v>
      </c>
      <c r="AO18" s="41"/>
      <c r="AP18" s="41"/>
      <c r="AQ18" s="41"/>
      <c r="AR18" s="34">
        <f t="shared" si="15"/>
        <v>0.15751841819183049</v>
      </c>
      <c r="AS18" s="34">
        <f t="shared" si="16"/>
        <v>0.74264865173060712</v>
      </c>
      <c r="AU18" s="42">
        <f>(AW18+AX18)-(10/24)</f>
        <v>40799.36319444445</v>
      </c>
      <c r="AV18" s="43">
        <f>(AW18+AX18)-(10/24)</f>
        <v>40799.36319444445</v>
      </c>
      <c r="AW18" s="51">
        <v>40799</v>
      </c>
      <c r="AX18" s="45">
        <v>0.77986111111111101</v>
      </c>
      <c r="AY18" s="132">
        <f>$AY$9+(BA18/60)</f>
        <v>24.781266666666667</v>
      </c>
      <c r="AZ18" s="132">
        <f>$AZ$9+(BB18/60)</f>
        <v>-157.06633333333335</v>
      </c>
      <c r="BA18" s="22">
        <v>46.875999999999998</v>
      </c>
      <c r="BB18" s="22">
        <v>-3.98</v>
      </c>
      <c r="BC18" s="134" t="s">
        <v>74</v>
      </c>
    </row>
    <row r="19" spans="1:55">
      <c r="A19" s="41"/>
      <c r="B19">
        <v>306</v>
      </c>
      <c r="C19" s="42">
        <f t="shared" si="20"/>
        <v>40796.459027777782</v>
      </c>
      <c r="D19" s="43">
        <f t="shared" si="21"/>
        <v>40796.459027777782</v>
      </c>
      <c r="E19" s="15">
        <v>40796</v>
      </c>
      <c r="F19" s="45">
        <v>0.87569444444444444</v>
      </c>
      <c r="G19" s="41">
        <v>24.722259999999999</v>
      </c>
      <c r="H19" s="41">
        <v>-157.38240999999999</v>
      </c>
      <c r="I19" s="41">
        <v>42</v>
      </c>
      <c r="J19" s="24">
        <v>1302</v>
      </c>
      <c r="K19" s="46">
        <f t="shared" si="2"/>
        <v>3.8365382748122956</v>
      </c>
      <c r="L19" s="46">
        <f t="shared" si="3"/>
        <v>23.723771387669583</v>
      </c>
      <c r="M19" s="123">
        <f t="shared" si="4"/>
        <v>1.4748660307299677</v>
      </c>
      <c r="N19" s="47">
        <f t="shared" si="5"/>
        <v>84.503598908039123</v>
      </c>
      <c r="O19" s="47">
        <f t="shared" si="6"/>
        <v>0.63942304580204923</v>
      </c>
      <c r="P19" s="47">
        <f t="shared" si="7"/>
        <v>17.761751272279149</v>
      </c>
      <c r="Q19" s="47">
        <f t="shared" si="8"/>
        <v>0.3452608238671972</v>
      </c>
      <c r="R19" s="52"/>
      <c r="S19" s="41"/>
      <c r="T19" s="41"/>
      <c r="U19" s="34">
        <f t="shared" si="22"/>
        <v>6.1246003841108648E-2</v>
      </c>
      <c r="V19" s="34">
        <f t="shared" si="23"/>
        <v>0.63648311722799411</v>
      </c>
      <c r="X19" s="118"/>
      <c r="Y19" s="41">
        <v>325</v>
      </c>
      <c r="Z19" s="42">
        <f t="shared" si="17"/>
        <v>40795.585416666669</v>
      </c>
      <c r="AA19" s="43">
        <f t="shared" si="18"/>
        <v>40795.585416666669</v>
      </c>
      <c r="AB19" s="51">
        <v>40796</v>
      </c>
      <c r="AC19" s="45">
        <v>2.0833333333333333E-3</v>
      </c>
      <c r="AD19" s="41">
        <v>24.636590000000002</v>
      </c>
      <c r="AE19" s="41">
        <v>-157.52023</v>
      </c>
      <c r="AF19" s="129">
        <v>41</v>
      </c>
      <c r="AG19" s="41">
        <v>1308</v>
      </c>
      <c r="AH19" s="46">
        <f t="shared" si="9"/>
        <v>0.54041014421495137</v>
      </c>
      <c r="AI19" s="46">
        <f t="shared" si="10"/>
        <v>7.5707076592432623</v>
      </c>
      <c r="AJ19" s="123">
        <f t="shared" si="11"/>
        <v>1.3803255733669715</v>
      </c>
      <c r="AK19" s="47">
        <f t="shared" si="12"/>
        <v>79.086829707902936</v>
      </c>
      <c r="AL19" s="130">
        <f t="shared" si="19"/>
        <v>0.52297755889216346</v>
      </c>
      <c r="AM19" s="47">
        <f t="shared" si="13"/>
        <v>14.527154413671207</v>
      </c>
      <c r="AN19" s="47">
        <f t="shared" si="14"/>
        <v>0.28238529097848997</v>
      </c>
      <c r="AO19" s="41"/>
      <c r="AP19" s="41"/>
      <c r="AQ19" s="41"/>
      <c r="AR19" s="34">
        <f t="shared" si="15"/>
        <v>9.9010715955537482E-2</v>
      </c>
      <c r="AS19" s="34">
        <f t="shared" si="16"/>
        <v>0.51351962497141057</v>
      </c>
      <c r="AU19" s="41"/>
      <c r="AV19" s="41"/>
      <c r="AW19" s="41"/>
      <c r="AX19" s="41"/>
      <c r="AY19" s="41"/>
      <c r="AZ19" s="41"/>
    </row>
    <row r="20" spans="1:55">
      <c r="A20" s="41"/>
      <c r="B20">
        <v>307</v>
      </c>
      <c r="C20" s="42">
        <f t="shared" si="20"/>
        <v>40796.709027777782</v>
      </c>
      <c r="D20" s="43">
        <f t="shared" si="21"/>
        <v>40796.709027777782</v>
      </c>
      <c r="E20" s="15">
        <v>40797</v>
      </c>
      <c r="F20" s="45">
        <v>0.12569444444444444</v>
      </c>
      <c r="G20" s="41">
        <v>24.725560000000002</v>
      </c>
      <c r="H20" s="41">
        <v>-157.34460000000001</v>
      </c>
      <c r="I20" s="41">
        <v>41</v>
      </c>
      <c r="J20" s="24">
        <v>1322</v>
      </c>
      <c r="K20" s="46">
        <f t="shared" si="2"/>
        <v>1.1254344174129502</v>
      </c>
      <c r="L20" s="46">
        <f t="shared" si="3"/>
        <v>24.849205805082534</v>
      </c>
      <c r="M20" s="123">
        <f t="shared" si="4"/>
        <v>1.30788732048649</v>
      </c>
      <c r="N20" s="47">
        <f t="shared" si="5"/>
        <v>74.936423542549974</v>
      </c>
      <c r="O20" s="47">
        <f t="shared" si="6"/>
        <v>0.37514480580431675</v>
      </c>
      <c r="P20" s="47">
        <f t="shared" si="7"/>
        <v>10.420689050119911</v>
      </c>
      <c r="Q20" s="47">
        <f t="shared" si="8"/>
        <v>0.20256199017511703</v>
      </c>
      <c r="R20" s="52"/>
      <c r="S20" s="41"/>
      <c r="T20" s="41"/>
      <c r="U20" s="34">
        <f t="shared" si="22"/>
        <v>9.7496644201878216E-2</v>
      </c>
      <c r="V20" s="34">
        <f t="shared" si="23"/>
        <v>0.36225409547903098</v>
      </c>
      <c r="X20" s="118"/>
      <c r="Y20" s="41">
        <v>326</v>
      </c>
      <c r="Z20" s="42">
        <f t="shared" si="17"/>
        <v>40795.628472222226</v>
      </c>
      <c r="AA20" s="43">
        <f t="shared" si="18"/>
        <v>40795.628472222226</v>
      </c>
      <c r="AB20" s="51">
        <v>40796</v>
      </c>
      <c r="AC20" s="45">
        <v>4.5138888888888888E-2</v>
      </c>
      <c r="AD20" s="41">
        <v>24.637509999999999</v>
      </c>
      <c r="AE20" s="41">
        <v>-157.51498000000001</v>
      </c>
      <c r="AF20" s="129">
        <v>43</v>
      </c>
      <c r="AG20" s="41">
        <v>1305</v>
      </c>
      <c r="AH20" s="46">
        <f>ACOS(SIN(RADIANS(AD20))*SIN(RADIANS(AD21))+COS(RADIANS(AD20))*COS(RADIANS(AD21))*COS(RADIANS(AE21)-RADIANS(AE20)))*6371.1</f>
        <v>0.34968475830594192</v>
      </c>
      <c r="AI20" s="46">
        <f>AI19+AH20</f>
        <v>7.9203924175492038</v>
      </c>
      <c r="AJ20" s="123">
        <f>RADIANS(AK20)</f>
        <v>1.0915651265706869</v>
      </c>
      <c r="AK20" s="47">
        <f>MOD(DEGREES(ATAN2(COS(RADIANS(AD20))*SIN(RADIANS(AD21))-SIN(RADIANS(AD20))*COS(RADIANS(AD21))*COS(RADIANS(AE21)-RADIANS(AE20)),SIN(RADIANS(AE21)-RADIANS(AE20))*COS(RADIANS(AD21)))), 360)</f>
        <v>62.542074816163876</v>
      </c>
      <c r="AL20" s="130">
        <f>AH20/((AA21-AA20)*24)</f>
        <v>0.3556116186569091</v>
      </c>
      <c r="AM20" s="47">
        <f t="shared" si="13"/>
        <v>9.878100518247475</v>
      </c>
      <c r="AN20" s="47">
        <f>AL20/1.852</f>
        <v>0.19201491288170036</v>
      </c>
      <c r="AO20" s="41"/>
      <c r="AP20" s="41"/>
      <c r="AQ20" s="41"/>
      <c r="AR20" s="34">
        <f t="shared" si="15"/>
        <v>0.16397149236302674</v>
      </c>
      <c r="AS20" s="34">
        <f t="shared" si="16"/>
        <v>0.31555185471809349</v>
      </c>
      <c r="AU20" s="41"/>
      <c r="AV20" s="41"/>
      <c r="AW20" s="41"/>
      <c r="AX20" s="41"/>
      <c r="AY20" s="41"/>
      <c r="AZ20" s="41"/>
    </row>
    <row r="21" spans="1:55">
      <c r="A21" s="41"/>
      <c r="B21">
        <v>310</v>
      </c>
      <c r="C21" s="42">
        <f t="shared" ref="C21:C37" si="24">(E21+F21)-(10/24)</f>
        <v>40796.834027777782</v>
      </c>
      <c r="D21" s="43">
        <f t="shared" ref="D21:D37" si="25">(E21+F21)-(10/24)</f>
        <v>40796.834027777782</v>
      </c>
      <c r="E21" s="15">
        <v>40797</v>
      </c>
      <c r="F21" s="45">
        <v>0.25069444444444444</v>
      </c>
      <c r="G21" s="41">
        <v>24.728190000000001</v>
      </c>
      <c r="H21" s="41">
        <v>-157.33384000000001</v>
      </c>
      <c r="I21" s="41">
        <v>40</v>
      </c>
      <c r="J21" s="24">
        <v>1308</v>
      </c>
      <c r="K21" s="46">
        <f t="shared" si="2"/>
        <v>1.4836067734891458</v>
      </c>
      <c r="L21" s="46">
        <f t="shared" si="3"/>
        <v>26.33281257857168</v>
      </c>
      <c r="M21" s="123">
        <f t="shared" si="4"/>
        <v>0.88296839796478743</v>
      </c>
      <c r="N21" s="47">
        <f t="shared" si="5"/>
        <v>50.590362646809986</v>
      </c>
      <c r="O21" s="47">
        <f t="shared" si="6"/>
        <v>0.49453559116304863</v>
      </c>
      <c r="P21" s="47">
        <f t="shared" si="7"/>
        <v>13.73709975452913</v>
      </c>
      <c r="Q21" s="47">
        <f t="shared" si="8"/>
        <v>0.26702785699948628</v>
      </c>
      <c r="R21" s="52"/>
      <c r="S21" s="41"/>
      <c r="T21" s="41"/>
      <c r="U21" s="34">
        <f t="shared" si="22"/>
        <v>0.31396110315302411</v>
      </c>
      <c r="V21" s="34">
        <f t="shared" si="23"/>
        <v>0.38209145061610855</v>
      </c>
      <c r="X21" s="118"/>
      <c r="Y21" s="120">
        <v>327</v>
      </c>
      <c r="Z21" s="42">
        <f t="shared" ref="Z21:Z30" si="26">(AB21+AC21)-(10/24)</f>
        <v>40795.669444444444</v>
      </c>
      <c r="AA21" s="43">
        <f t="shared" ref="AA21:AA30" si="27">(AB21+AC21)-(10/24)</f>
        <v>40795.669444444444</v>
      </c>
      <c r="AB21" s="51">
        <v>40796</v>
      </c>
      <c r="AC21" s="55">
        <v>8.6111111111111124E-2</v>
      </c>
      <c r="AD21" s="41">
        <v>24.638960000000001</v>
      </c>
      <c r="AE21" s="41">
        <v>-157.51191</v>
      </c>
      <c r="AF21" s="129">
        <v>41</v>
      </c>
      <c r="AG21" s="41">
        <v>1305</v>
      </c>
      <c r="AH21" s="46">
        <f>ACOS(SIN(RADIANS(AD21))*SIN(RADIANS(AD22))+COS(RADIANS(AD21))*COS(RADIANS(AD22))*COS(RADIANS(AE22)-RADIANS(AE21)))*6371.1</f>
        <v>0.53396480580548122</v>
      </c>
      <c r="AI21" s="46">
        <f>AI20+AH21</f>
        <v>8.4543572233546858</v>
      </c>
      <c r="AJ21" s="123">
        <f>RADIANS(AK21)</f>
        <v>0.9066037036789405</v>
      </c>
      <c r="AK21" s="47">
        <f>MOD(DEGREES(ATAN2(COS(RADIANS(AD21))*SIN(RADIANS(AD22))-SIN(RADIANS(AD21))*COS(RADIANS(AD22))*COS(RADIANS(AE22)-RADIANS(AE21)),SIN(RADIANS(AE22)-RADIANS(AE21))*COS(RADIANS(AD22)))), 360)</f>
        <v>51.944565911732397</v>
      </c>
      <c r="AL21" s="130">
        <f>AH21/((AA22-AA21)*24)</f>
        <v>0.52521128440083864</v>
      </c>
      <c r="AM21" s="47">
        <f t="shared" si="13"/>
        <v>14.58920234446774</v>
      </c>
      <c r="AN21" s="47">
        <f>AL21/1.852</f>
        <v>0.28359140626395174</v>
      </c>
      <c r="AO21" s="41"/>
      <c r="AP21" s="41"/>
      <c r="AQ21" s="41"/>
      <c r="AR21" s="34">
        <f t="shared" si="15"/>
        <v>0.32375262714993691</v>
      </c>
      <c r="AS21" s="34">
        <f t="shared" si="16"/>
        <v>0.41355910058357143</v>
      </c>
      <c r="AU21" s="41"/>
      <c r="AV21" s="41"/>
      <c r="AW21" s="41"/>
      <c r="AX21" s="41"/>
      <c r="AY21" s="41"/>
      <c r="AZ21" s="41"/>
    </row>
    <row r="22" spans="1:55">
      <c r="A22" s="41"/>
      <c r="B22">
        <v>311</v>
      </c>
      <c r="C22" s="42">
        <f t="shared" si="24"/>
        <v>40796.959027777782</v>
      </c>
      <c r="D22" s="43">
        <f t="shared" si="25"/>
        <v>40796.959027777782</v>
      </c>
      <c r="E22" s="15">
        <v>40797</v>
      </c>
      <c r="F22" s="45">
        <v>0.3756944444444445</v>
      </c>
      <c r="G22">
        <v>24.736660000000001</v>
      </c>
      <c r="H22">
        <v>-157.32248999999999</v>
      </c>
      <c r="I22" s="24">
        <v>41</v>
      </c>
      <c r="J22" s="24">
        <v>1308</v>
      </c>
      <c r="K22" s="46">
        <f t="shared" si="2"/>
        <v>2.5617545623007318</v>
      </c>
      <c r="L22" s="46">
        <f t="shared" si="3"/>
        <v>28.894567140872411</v>
      </c>
      <c r="M22" s="123">
        <f t="shared" si="4"/>
        <v>0.7471746712020213</v>
      </c>
      <c r="N22" s="47">
        <f t="shared" si="5"/>
        <v>42.80995521895079</v>
      </c>
      <c r="O22" s="47">
        <f t="shared" si="6"/>
        <v>0.84920040742637137</v>
      </c>
      <c r="P22" s="47">
        <f t="shared" si="7"/>
        <v>23.588900206288095</v>
      </c>
      <c r="Q22" s="47">
        <f t="shared" si="8"/>
        <v>0.45853153748724151</v>
      </c>
      <c r="R22" s="52"/>
      <c r="S22" s="41"/>
      <c r="T22" s="41"/>
      <c r="U22" s="34">
        <f t="shared" si="22"/>
        <v>0.62298343910053111</v>
      </c>
      <c r="V22" s="34">
        <f t="shared" si="23"/>
        <v>0.57709008532428452</v>
      </c>
      <c r="X22" s="118"/>
      <c r="Y22" s="41">
        <v>328</v>
      </c>
      <c r="Z22" s="42">
        <f t="shared" si="26"/>
        <v>40795.711805555555</v>
      </c>
      <c r="AA22" s="43">
        <f t="shared" si="27"/>
        <v>40795.711805555555</v>
      </c>
      <c r="AB22" s="51">
        <v>40796</v>
      </c>
      <c r="AC22" s="45">
        <v>0.12847222222222224</v>
      </c>
      <c r="AD22" s="41">
        <v>24.641919999999999</v>
      </c>
      <c r="AE22" s="41">
        <v>-157.50774999999999</v>
      </c>
      <c r="AF22" s="129">
        <v>44</v>
      </c>
      <c r="AG22" s="41">
        <v>1322</v>
      </c>
      <c r="AH22" s="46">
        <f>ACOS(SIN(RADIANS(AD22))*SIN(RADIANS(AD23))+COS(RADIANS(AD22))*COS(RADIANS(AD23))*COS(RADIANS(AE23)-RADIANS(AE22)))*6371.1</f>
        <v>0.70106151385229021</v>
      </c>
      <c r="AI22" s="46">
        <f>AI21+AH22</f>
        <v>9.1554187372069755</v>
      </c>
      <c r="AJ22" s="123">
        <f>RADIANS(AK22)</f>
        <v>1.0143220721304043</v>
      </c>
      <c r="AK22" s="47">
        <f>MOD(DEGREES(ATAN2(COS(RADIANS(AD22))*SIN(RADIANS(AD23))-SIN(RADIANS(AD22))*COS(RADIANS(AD23))*COS(RADIANS(AE23)-RADIANS(AE22)),SIN(RADIANS(AE23)-RADIANS(AE22))*COS(RADIANS(AD23)))), 360)</f>
        <v>58.116373800036428</v>
      </c>
      <c r="AL22" s="130">
        <f>AH22/((AA23-AA22)*24)</f>
        <v>0.6676776321736525</v>
      </c>
      <c r="AM22" s="47">
        <f t="shared" si="13"/>
        <v>18.546600893712569</v>
      </c>
      <c r="AN22" s="47">
        <f>AL22/1.852</f>
        <v>0.36051708000737176</v>
      </c>
      <c r="AO22" s="41"/>
      <c r="AP22" s="41"/>
      <c r="AQ22" s="41"/>
      <c r="AR22" s="34">
        <f t="shared" si="15"/>
        <v>0.3526644521648078</v>
      </c>
      <c r="AS22" s="34">
        <f t="shared" si="16"/>
        <v>0.56694021261885386</v>
      </c>
      <c r="AU22" s="41"/>
      <c r="AV22" s="41"/>
      <c r="AW22" s="41"/>
      <c r="AX22" s="41"/>
      <c r="AY22" s="41"/>
      <c r="AZ22" s="41"/>
    </row>
    <row r="23" spans="1:55">
      <c r="A23" s="41"/>
      <c r="B23">
        <v>312</v>
      </c>
      <c r="C23" s="42">
        <f t="shared" si="24"/>
        <v>40797.084722222222</v>
      </c>
      <c r="D23" s="43">
        <f t="shared" si="25"/>
        <v>40797.084722222222</v>
      </c>
      <c r="E23" s="15">
        <v>40797</v>
      </c>
      <c r="F23" s="45">
        <v>0.50138888888888888</v>
      </c>
      <c r="G23">
        <v>24.75356</v>
      </c>
      <c r="H23">
        <v>-157.30525</v>
      </c>
      <c r="I23" s="24">
        <v>41</v>
      </c>
      <c r="J23" s="24">
        <v>1308</v>
      </c>
      <c r="K23" s="46">
        <f t="shared" si="2"/>
        <v>1.9474907173290368</v>
      </c>
      <c r="L23" s="46">
        <f t="shared" si="3"/>
        <v>30.842057858201446</v>
      </c>
      <c r="M23" s="123">
        <f t="shared" si="4"/>
        <v>0.99333257506072636</v>
      </c>
      <c r="N23" s="47">
        <f t="shared" si="5"/>
        <v>56.913764203841673</v>
      </c>
      <c r="O23" s="47">
        <f t="shared" si="6"/>
        <v>0.65279018455324322</v>
      </c>
      <c r="P23" s="47">
        <f t="shared" si="7"/>
        <v>18.133060682034532</v>
      </c>
      <c r="Q23" s="47">
        <f t="shared" si="8"/>
        <v>0.35247850137864101</v>
      </c>
      <c r="R23" s="52"/>
      <c r="S23" s="41"/>
      <c r="T23" s="41"/>
      <c r="U23" s="34">
        <f t="shared" si="22"/>
        <v>0.35635861839055727</v>
      </c>
      <c r="V23" s="34">
        <f t="shared" si="23"/>
        <v>0.54694017967948794</v>
      </c>
      <c r="X23" s="118"/>
      <c r="Y23" s="41">
        <v>329</v>
      </c>
      <c r="Z23" s="42">
        <f t="shared" si="26"/>
        <v>40795.755555555559</v>
      </c>
      <c r="AA23" s="43">
        <f t="shared" si="27"/>
        <v>40795.755555555559</v>
      </c>
      <c r="AB23" s="51">
        <v>40796</v>
      </c>
      <c r="AC23" s="45">
        <v>0.17222222222222225</v>
      </c>
      <c r="AD23" s="41">
        <v>24.645250000000001</v>
      </c>
      <c r="AE23" s="41">
        <v>-157.50185999999999</v>
      </c>
      <c r="AF23" s="129">
        <v>42</v>
      </c>
      <c r="AG23" s="41">
        <v>1302</v>
      </c>
      <c r="AH23" s="46">
        <f t="shared" ref="AH23:AH29" si="28">ACOS(SIN(RADIANS(AD23))*SIN(RADIANS(AD24))+COS(RADIANS(AD23))*COS(RADIANS(AD24))*COS(RADIANS(AE24)-RADIANS(AE23)))*6371.1</f>
        <v>0.65725129930275561</v>
      </c>
      <c r="AI23" s="46">
        <f t="shared" ref="AI23:AI29" si="29">AI22+AH23</f>
        <v>9.812670036509731</v>
      </c>
      <c r="AJ23" s="123">
        <f t="shared" ref="AJ23:AJ29" si="30">RADIANS(AK23)</f>
        <v>0.98250400447699737</v>
      </c>
      <c r="AK23" s="47">
        <f t="shared" ref="AK23:AK29" si="31">MOD(DEGREES(ATAN2(COS(RADIANS(AD23))*SIN(RADIANS(AD24))-SIN(RADIANS(AD23))*COS(RADIANS(AD24))*COS(RADIANS(AE24)-RADIANS(AE23)),SIN(RADIANS(AE24)-RADIANS(AE23))*COS(RADIANS(AD24)))), 360)</f>
        <v>56.293332811234485</v>
      </c>
      <c r="AL23" s="130">
        <f t="shared" ref="AL23:AL29" si="32">AH23/((AA24-AA23)*24)</f>
        <v>0.66839115190980292</v>
      </c>
      <c r="AM23" s="47">
        <f t="shared" si="13"/>
        <v>18.566420886383415</v>
      </c>
      <c r="AN23" s="47">
        <f t="shared" ref="AN23:AN29" si="33">AL23/1.852</f>
        <v>0.3609023498433061</v>
      </c>
      <c r="AO23" s="41"/>
      <c r="AP23" s="41"/>
      <c r="AQ23" s="41"/>
      <c r="AR23" s="34">
        <f t="shared" si="15"/>
        <v>0.37091781032140442</v>
      </c>
      <c r="AS23" s="34">
        <f t="shared" si="16"/>
        <v>0.55602761616460017</v>
      </c>
    </row>
    <row r="24" spans="1:55">
      <c r="A24" s="41"/>
      <c r="B24">
        <v>313</v>
      </c>
      <c r="C24" s="42">
        <f t="shared" si="24"/>
        <v>40797.209027777782</v>
      </c>
      <c r="D24" s="43">
        <f t="shared" si="25"/>
        <v>40797.209027777782</v>
      </c>
      <c r="E24" s="15">
        <v>40797</v>
      </c>
      <c r="F24" s="45">
        <v>0.62569444444444444</v>
      </c>
      <c r="G24">
        <v>24.763120000000001</v>
      </c>
      <c r="H24">
        <v>-157.28908999999999</v>
      </c>
      <c r="I24" s="24">
        <v>40</v>
      </c>
      <c r="J24" s="24">
        <v>1305</v>
      </c>
      <c r="K24" s="46">
        <f t="shared" si="2"/>
        <v>2.0678758027522282</v>
      </c>
      <c r="L24" s="46">
        <f t="shared" si="3"/>
        <v>32.909933660953676</v>
      </c>
      <c r="M24" s="123">
        <f t="shared" si="4"/>
        <v>1.2867643965875792</v>
      </c>
      <c r="N24" s="47">
        <f t="shared" si="5"/>
        <v>73.726169152166364</v>
      </c>
      <c r="O24" s="47">
        <f t="shared" si="6"/>
        <v>0.68548369154741073</v>
      </c>
      <c r="P24" s="47">
        <f t="shared" si="7"/>
        <v>19.041213654094747</v>
      </c>
      <c r="Q24" s="47">
        <f t="shared" si="8"/>
        <v>0.37013158290896908</v>
      </c>
      <c r="R24" s="52"/>
      <c r="S24" s="41"/>
      <c r="T24" s="41"/>
      <c r="U24" s="34">
        <f t="shared" si="22"/>
        <v>0.19209192972364048</v>
      </c>
      <c r="V24" s="34">
        <f t="shared" si="23"/>
        <v>0.65801867899970257</v>
      </c>
      <c r="X24" s="118"/>
      <c r="Y24" s="41">
        <v>330</v>
      </c>
      <c r="Z24" s="42">
        <f t="shared" si="26"/>
        <v>40795.796527777777</v>
      </c>
      <c r="AA24" s="43">
        <f t="shared" si="27"/>
        <v>40795.796527777777</v>
      </c>
      <c r="AB24" s="51">
        <v>40796</v>
      </c>
      <c r="AC24" s="45">
        <v>0.21319444444444444</v>
      </c>
      <c r="AD24" s="41">
        <v>24.648530000000001</v>
      </c>
      <c r="AE24" s="41">
        <v>-157.49645000000001</v>
      </c>
      <c r="AF24" s="129">
        <v>43</v>
      </c>
      <c r="AG24" s="41">
        <v>1299</v>
      </c>
      <c r="AH24" s="46">
        <f t="shared" si="28"/>
        <v>0.74179486213609991</v>
      </c>
      <c r="AI24" s="46">
        <f t="shared" si="29"/>
        <v>10.554464898645831</v>
      </c>
      <c r="AJ24" s="123">
        <f t="shared" si="30"/>
        <v>0.77195916664431385</v>
      </c>
      <c r="AK24" s="47">
        <f t="shared" si="31"/>
        <v>44.23000220515538</v>
      </c>
      <c r="AL24" s="130">
        <f t="shared" si="32"/>
        <v>0.72963429050313477</v>
      </c>
      <c r="AM24" s="47">
        <f t="shared" si="13"/>
        <v>20.267619180642633</v>
      </c>
      <c r="AN24" s="47">
        <f t="shared" si="33"/>
        <v>0.39397099919175743</v>
      </c>
      <c r="AO24" s="41"/>
      <c r="AP24" s="41"/>
      <c r="AQ24" s="41"/>
      <c r="AR24" s="34">
        <f t="shared" si="15"/>
        <v>0.52281612938521982</v>
      </c>
      <c r="AS24" s="34">
        <f t="shared" si="16"/>
        <v>0.50894940095521279</v>
      </c>
    </row>
    <row r="25" spans="1:55">
      <c r="A25" s="41"/>
      <c r="B25">
        <v>314</v>
      </c>
      <c r="C25" s="42">
        <f t="shared" si="24"/>
        <v>40797.334722222222</v>
      </c>
      <c r="D25" s="43">
        <f t="shared" si="25"/>
        <v>40797.334722222222</v>
      </c>
      <c r="E25" s="15">
        <v>40797</v>
      </c>
      <c r="F25" s="45">
        <v>0.75138888888888899</v>
      </c>
      <c r="G25">
        <v>24.768329999999999</v>
      </c>
      <c r="H25">
        <v>-157.26943</v>
      </c>
      <c r="I25" s="24">
        <v>40</v>
      </c>
      <c r="J25" s="24">
        <v>1305</v>
      </c>
      <c r="K25" s="46">
        <f t="shared" si="2"/>
        <v>2.4751422789028559</v>
      </c>
      <c r="L25" s="46">
        <f t="shared" si="3"/>
        <v>35.385075939856534</v>
      </c>
      <c r="M25" s="123">
        <f t="shared" si="4"/>
        <v>1.3390746481679872</v>
      </c>
      <c r="N25" s="47">
        <f t="shared" si="5"/>
        <v>76.723325792991275</v>
      </c>
      <c r="O25" s="47">
        <f t="shared" si="6"/>
        <v>0.82965662976638599</v>
      </c>
      <c r="P25" s="47">
        <f t="shared" si="7"/>
        <v>23.046017493510725</v>
      </c>
      <c r="Q25" s="47">
        <f t="shared" si="8"/>
        <v>0.44797874177450647</v>
      </c>
      <c r="R25" s="52"/>
      <c r="S25" s="41"/>
      <c r="T25" s="41"/>
      <c r="U25" s="34">
        <f t="shared" si="22"/>
        <v>0.19053356993568937</v>
      </c>
      <c r="V25" s="34">
        <f t="shared" si="23"/>
        <v>0.80748193914345845</v>
      </c>
      <c r="X25" s="118"/>
      <c r="Y25" s="41">
        <v>331</v>
      </c>
      <c r="Z25" s="42">
        <f t="shared" si="26"/>
        <v>40795.838888888895</v>
      </c>
      <c r="AA25" s="43">
        <f t="shared" si="27"/>
        <v>40795.838888888895</v>
      </c>
      <c r="AB25" s="51">
        <v>40796</v>
      </c>
      <c r="AC25" s="45">
        <v>0.25555555555555559</v>
      </c>
      <c r="AD25" s="41">
        <v>24.653310000000001</v>
      </c>
      <c r="AE25" s="41">
        <v>-157.49133</v>
      </c>
      <c r="AF25" s="129">
        <v>41</v>
      </c>
      <c r="AG25" s="41">
        <v>1305</v>
      </c>
      <c r="AH25" s="46">
        <f t="shared" si="28"/>
        <v>0.79827393810270997</v>
      </c>
      <c r="AI25" s="46">
        <f t="shared" si="29"/>
        <v>11.352738836748541</v>
      </c>
      <c r="AJ25" s="123">
        <f t="shared" si="30"/>
        <v>0.74233660083364161</v>
      </c>
      <c r="AK25" s="47">
        <f t="shared" si="31"/>
        <v>42.532754205855333</v>
      </c>
      <c r="AL25" s="130">
        <f t="shared" si="32"/>
        <v>0.78518748010402317</v>
      </c>
      <c r="AM25" s="47">
        <f t="shared" si="13"/>
        <v>21.810763336222866</v>
      </c>
      <c r="AN25" s="47">
        <f t="shared" si="33"/>
        <v>0.42396732187042285</v>
      </c>
      <c r="AO25" s="41"/>
      <c r="AP25" s="41"/>
      <c r="AQ25" s="41"/>
      <c r="AR25" s="34">
        <f t="shared" si="15"/>
        <v>0.57859758940990136</v>
      </c>
      <c r="AS25" s="34">
        <f t="shared" si="16"/>
        <v>0.5307958255686992</v>
      </c>
    </row>
    <row r="26" spans="1:55">
      <c r="A26" s="41"/>
      <c r="B26" s="41">
        <v>315</v>
      </c>
      <c r="C26" s="42">
        <f t="shared" si="24"/>
        <v>40797.459027777782</v>
      </c>
      <c r="D26" s="43">
        <f t="shared" si="25"/>
        <v>40797.459027777782</v>
      </c>
      <c r="E26" s="15">
        <v>40797</v>
      </c>
      <c r="F26" s="45">
        <v>0.87569444444444444</v>
      </c>
      <c r="G26">
        <v>24.773440000000001</v>
      </c>
      <c r="H26">
        <v>-157.24556999999999</v>
      </c>
      <c r="I26" s="24">
        <v>40</v>
      </c>
      <c r="J26" s="24">
        <v>1308</v>
      </c>
      <c r="K26" s="46">
        <f t="shared" si="2"/>
        <v>2.0576645793370627</v>
      </c>
      <c r="L26" s="46">
        <f t="shared" si="3"/>
        <v>37.442740519193599</v>
      </c>
      <c r="M26" s="123">
        <f t="shared" si="4"/>
        <v>1.3672109508475099</v>
      </c>
      <c r="N26" s="47">
        <f t="shared" si="5"/>
        <v>78.335417187630554</v>
      </c>
      <c r="O26" s="47">
        <f t="shared" si="6"/>
        <v>0.68588819311235427</v>
      </c>
      <c r="P26" s="47">
        <f t="shared" si="7"/>
        <v>19.05244980867651</v>
      </c>
      <c r="Q26" s="47">
        <f t="shared" si="8"/>
        <v>0.37034999628096882</v>
      </c>
      <c r="R26" s="52"/>
      <c r="S26" s="41"/>
      <c r="T26" s="41"/>
      <c r="U26" s="34">
        <f t="shared" si="22"/>
        <v>0.13867421474115643</v>
      </c>
      <c r="V26" s="34">
        <f t="shared" si="23"/>
        <v>0.67172321354621489</v>
      </c>
      <c r="X26" s="118"/>
      <c r="Y26" s="41">
        <v>332</v>
      </c>
      <c r="Z26" s="42">
        <f t="shared" si="26"/>
        <v>40795.881250000006</v>
      </c>
      <c r="AA26" s="43">
        <f t="shared" si="27"/>
        <v>40795.881250000006</v>
      </c>
      <c r="AB26" s="51">
        <v>40796</v>
      </c>
      <c r="AC26" s="45">
        <v>0.29791666666666666</v>
      </c>
      <c r="AD26" s="41">
        <v>24.6586</v>
      </c>
      <c r="AE26" s="41">
        <v>-157.48598999999999</v>
      </c>
      <c r="AF26" s="129">
        <v>41</v>
      </c>
      <c r="AG26" s="41">
        <v>1305</v>
      </c>
      <c r="AH26" s="46">
        <f t="shared" si="28"/>
        <v>0.92709200638223566</v>
      </c>
      <c r="AI26" s="46">
        <f t="shared" si="29"/>
        <v>12.279830843130776</v>
      </c>
      <c r="AJ26" s="123">
        <f t="shared" si="30"/>
        <v>0.78119958406384382</v>
      </c>
      <c r="AK26" s="47">
        <f t="shared" si="31"/>
        <v>44.759439124233616</v>
      </c>
      <c r="AL26" s="130">
        <f t="shared" si="32"/>
        <v>0.92709200643619949</v>
      </c>
      <c r="AM26" s="47">
        <f t="shared" si="13"/>
        <v>25.752555734338877</v>
      </c>
      <c r="AN26" s="47">
        <f t="shared" si="33"/>
        <v>0.50058963630464337</v>
      </c>
      <c r="AO26" s="41"/>
      <c r="AP26" s="41"/>
      <c r="AQ26" s="41"/>
      <c r="AR26" s="34">
        <f t="shared" si="15"/>
        <v>0.65829964985472111</v>
      </c>
      <c r="AS26" s="34">
        <f t="shared" si="16"/>
        <v>0.65279488309809053</v>
      </c>
    </row>
    <row r="27" spans="1:55">
      <c r="A27" s="41"/>
      <c r="B27" s="41">
        <v>316</v>
      </c>
      <c r="C27" s="42">
        <f t="shared" si="24"/>
        <v>40797.584027777782</v>
      </c>
      <c r="D27" s="43">
        <f t="shared" si="25"/>
        <v>40797.584027777782</v>
      </c>
      <c r="E27" s="51">
        <v>40798</v>
      </c>
      <c r="F27" s="45">
        <v>6.9444444444444447E-4</v>
      </c>
      <c r="G27">
        <v>24.777180000000001</v>
      </c>
      <c r="H27">
        <v>-157.22560999999999</v>
      </c>
      <c r="I27" s="24">
        <v>39</v>
      </c>
      <c r="J27" s="24">
        <v>1305</v>
      </c>
      <c r="K27" s="46">
        <f t="shared" si="2"/>
        <v>1.0658015599421811</v>
      </c>
      <c r="L27" s="46">
        <f t="shared" si="3"/>
        <v>38.508542079135779</v>
      </c>
      <c r="M27" s="123">
        <f t="shared" si="4"/>
        <v>1.6417628832359954</v>
      </c>
      <c r="N27" s="47">
        <f t="shared" si="5"/>
        <v>94.066084170651905</v>
      </c>
      <c r="O27" s="47">
        <f t="shared" si="6"/>
        <v>0.35526718664739371</v>
      </c>
      <c r="P27" s="47">
        <f t="shared" si="7"/>
        <v>9.8685329624276026</v>
      </c>
      <c r="Q27" s="47">
        <f t="shared" si="8"/>
        <v>0.19182893447483459</v>
      </c>
      <c r="R27" s="52"/>
      <c r="S27" s="41"/>
      <c r="T27" s="41"/>
      <c r="U27" s="34">
        <f t="shared" si="22"/>
        <v>-2.5190931775160075E-2</v>
      </c>
      <c r="V27" s="34">
        <f t="shared" si="23"/>
        <v>0.35437295447685241</v>
      </c>
      <c r="X27" s="118"/>
      <c r="Y27" s="41">
        <v>333</v>
      </c>
      <c r="Z27" s="42">
        <f t="shared" si="26"/>
        <v>40795.92291666667</v>
      </c>
      <c r="AA27" s="43">
        <f t="shared" si="27"/>
        <v>40795.92291666667</v>
      </c>
      <c r="AB27" s="51">
        <v>40796</v>
      </c>
      <c r="AC27" s="45">
        <v>0.33958333333333335</v>
      </c>
      <c r="AD27" s="41">
        <v>24.66452</v>
      </c>
      <c r="AE27" s="41">
        <v>-157.47953000000001</v>
      </c>
      <c r="AF27" s="129">
        <v>44</v>
      </c>
      <c r="AG27" s="41">
        <v>1305</v>
      </c>
      <c r="AH27" s="46">
        <f t="shared" si="28"/>
        <v>0.9540547957002351</v>
      </c>
      <c r="AI27" s="46">
        <f t="shared" si="29"/>
        <v>13.233885638831012</v>
      </c>
      <c r="AJ27" s="123">
        <f t="shared" si="30"/>
        <v>0.70937993587456438</v>
      </c>
      <c r="AK27" s="47">
        <f t="shared" si="31"/>
        <v>40.644476396873515</v>
      </c>
      <c r="AL27" s="130">
        <f t="shared" si="32"/>
        <v>0.93841455315135403</v>
      </c>
      <c r="AM27" s="47">
        <f t="shared" si="13"/>
        <v>26.067070920870943</v>
      </c>
      <c r="AN27" s="47">
        <f t="shared" si="33"/>
        <v>0.5067033224359363</v>
      </c>
      <c r="AO27" s="41"/>
      <c r="AP27" s="41"/>
      <c r="AQ27" s="41"/>
      <c r="AR27" s="34">
        <f t="shared" si="15"/>
        <v>0.71203697136044963</v>
      </c>
      <c r="AS27" s="34">
        <f t="shared" si="16"/>
        <v>0.61124890591484382</v>
      </c>
    </row>
    <row r="28" spans="1:55">
      <c r="A28" s="41"/>
      <c r="B28" s="41">
        <v>317</v>
      </c>
      <c r="C28" s="42">
        <f t="shared" si="24"/>
        <v>40797.709027777782</v>
      </c>
      <c r="D28" s="43">
        <f t="shared" si="25"/>
        <v>40797.709027777782</v>
      </c>
      <c r="E28" s="51">
        <v>40798</v>
      </c>
      <c r="F28" s="45">
        <v>0.12569444444444444</v>
      </c>
      <c r="G28">
        <v>24.776499999999999</v>
      </c>
      <c r="H28">
        <v>-157.21508</v>
      </c>
      <c r="I28" s="24">
        <v>41</v>
      </c>
      <c r="J28" s="24">
        <v>1305</v>
      </c>
      <c r="K28" s="46">
        <f t="shared" si="2"/>
        <v>0.71344919219831737</v>
      </c>
      <c r="L28" s="46">
        <f t="shared" si="3"/>
        <v>39.221991271334097</v>
      </c>
      <c r="M28" s="123">
        <f t="shared" si="4"/>
        <v>1.7446479311912089</v>
      </c>
      <c r="N28" s="47">
        <f t="shared" si="5"/>
        <v>99.96096319348672</v>
      </c>
      <c r="O28" s="47">
        <f t="shared" si="6"/>
        <v>0.23781639739943913</v>
      </c>
      <c r="P28" s="47">
        <f t="shared" si="7"/>
        <v>6.6060110388733086</v>
      </c>
      <c r="Q28" s="47">
        <f t="shared" si="8"/>
        <v>0.1284105817491572</v>
      </c>
      <c r="R28" s="52"/>
      <c r="S28" s="41"/>
      <c r="T28" s="41"/>
      <c r="U28" s="34">
        <f t="shared" si="22"/>
        <v>-4.1136806784871027E-2</v>
      </c>
      <c r="V28" s="34">
        <f t="shared" si="23"/>
        <v>0.23423151367737038</v>
      </c>
      <c r="X28" s="118"/>
      <c r="Y28" s="41">
        <v>334</v>
      </c>
      <c r="Z28" s="42">
        <f t="shared" si="26"/>
        <v>40795.965277777781</v>
      </c>
      <c r="AA28" s="43">
        <f t="shared" si="27"/>
        <v>40795.965277777781</v>
      </c>
      <c r="AB28" s="51">
        <v>40796</v>
      </c>
      <c r="AC28" s="45">
        <v>0.38194444444444442</v>
      </c>
      <c r="AD28" s="41">
        <v>24.671029999999998</v>
      </c>
      <c r="AE28" s="41">
        <v>-157.47337999999999</v>
      </c>
      <c r="AF28" s="129">
        <v>43</v>
      </c>
      <c r="AG28" s="41">
        <v>1305</v>
      </c>
      <c r="AH28" s="46">
        <f t="shared" si="28"/>
        <v>0.92496127818775331</v>
      </c>
      <c r="AI28" s="46">
        <f t="shared" si="29"/>
        <v>14.158846917018765</v>
      </c>
      <c r="AJ28" s="123">
        <f t="shared" si="30"/>
        <v>0.70037878567829348</v>
      </c>
      <c r="AK28" s="47">
        <f t="shared" si="31"/>
        <v>40.128748479863845</v>
      </c>
      <c r="AL28" s="130">
        <f t="shared" si="32"/>
        <v>0.92496127824159313</v>
      </c>
      <c r="AM28" s="47">
        <f t="shared" si="13"/>
        <v>25.693368840044254</v>
      </c>
      <c r="AN28" s="47">
        <f t="shared" si="33"/>
        <v>0.49943913511965071</v>
      </c>
      <c r="AO28" s="41"/>
      <c r="AP28" s="41"/>
      <c r="AQ28" s="41"/>
      <c r="AR28" s="34">
        <f t="shared" si="15"/>
        <v>0.70722364700502616</v>
      </c>
      <c r="AS28" s="34">
        <f t="shared" si="16"/>
        <v>0.5961443444026221</v>
      </c>
    </row>
    <row r="29" spans="1:55">
      <c r="A29" s="41"/>
      <c r="B29" s="41">
        <v>318</v>
      </c>
      <c r="C29" s="42">
        <f t="shared" si="24"/>
        <v>40797.834027777782</v>
      </c>
      <c r="D29" s="43">
        <f t="shared" si="25"/>
        <v>40797.834027777782</v>
      </c>
      <c r="E29" s="51">
        <v>40798</v>
      </c>
      <c r="F29" s="45">
        <v>0.25069444444444444</v>
      </c>
      <c r="G29">
        <v>24.775390000000002</v>
      </c>
      <c r="H29">
        <v>-157.20812000000001</v>
      </c>
      <c r="I29" s="24">
        <v>41</v>
      </c>
      <c r="J29" s="24">
        <v>1305</v>
      </c>
      <c r="K29" s="46">
        <f t="shared" si="2"/>
        <v>1.2700196799013199</v>
      </c>
      <c r="L29" s="46">
        <f t="shared" si="3"/>
        <v>40.492010951235414</v>
      </c>
      <c r="M29" s="123">
        <f t="shared" si="4"/>
        <v>1.1714853707137376</v>
      </c>
      <c r="N29" s="47">
        <f t="shared" si="5"/>
        <v>67.121167503215815</v>
      </c>
      <c r="O29" s="47">
        <f t="shared" si="6"/>
        <v>0.4210009988791043</v>
      </c>
      <c r="P29" s="47">
        <f t="shared" si="7"/>
        <v>11.694472191086231</v>
      </c>
      <c r="Q29" s="47">
        <f t="shared" si="8"/>
        <v>0.2273223536064278</v>
      </c>
      <c r="R29" s="52"/>
      <c r="S29" s="41"/>
      <c r="T29" s="41"/>
      <c r="U29" s="34">
        <f t="shared" si="22"/>
        <v>0.16367828329010883</v>
      </c>
      <c r="V29" s="34">
        <f t="shared" si="23"/>
        <v>0.3878804720998551</v>
      </c>
      <c r="W29" s="28"/>
      <c r="X29" s="118"/>
      <c r="Y29" s="41">
        <v>335</v>
      </c>
      <c r="Z29" s="42">
        <f t="shared" si="26"/>
        <v>40796.006944444445</v>
      </c>
      <c r="AA29" s="43">
        <f t="shared" si="27"/>
        <v>40796.006944444445</v>
      </c>
      <c r="AB29" s="51">
        <v>40796</v>
      </c>
      <c r="AC29" s="45">
        <v>0.4236111111111111</v>
      </c>
      <c r="AD29" s="41">
        <v>24.677389999999999</v>
      </c>
      <c r="AE29" s="41">
        <v>-157.46747999999999</v>
      </c>
      <c r="AF29" s="129">
        <v>42</v>
      </c>
      <c r="AG29" s="41">
        <v>1305</v>
      </c>
      <c r="AH29" s="46">
        <f t="shared" si="28"/>
        <v>0.99393189769210821</v>
      </c>
      <c r="AI29" s="46">
        <f t="shared" si="29"/>
        <v>15.152778814710874</v>
      </c>
      <c r="AJ29" s="123">
        <f t="shared" si="30"/>
        <v>0.74507242005320662</v>
      </c>
      <c r="AK29" s="47">
        <f t="shared" si="31"/>
        <v>42.689505100647182</v>
      </c>
      <c r="AL29" s="130">
        <f t="shared" si="32"/>
        <v>0.97763793215990358</v>
      </c>
      <c r="AM29" s="47">
        <f t="shared" si="13"/>
        <v>27.156609226663988</v>
      </c>
      <c r="AN29" s="47">
        <f t="shared" si="33"/>
        <v>0.52788225278612499</v>
      </c>
      <c r="AO29" s="41"/>
      <c r="AP29" s="41"/>
      <c r="AQ29" s="41"/>
      <c r="AR29" s="34">
        <f t="shared" si="15"/>
        <v>0.7186018141504541</v>
      </c>
      <c r="AS29" s="34">
        <f t="shared" si="16"/>
        <v>0.66286300175644763</v>
      </c>
    </row>
    <row r="30" spans="1:55">
      <c r="A30" s="41"/>
      <c r="B30" s="41">
        <v>319</v>
      </c>
      <c r="C30" s="42">
        <f t="shared" si="24"/>
        <v>40797.959722222222</v>
      </c>
      <c r="D30" s="43">
        <f t="shared" si="25"/>
        <v>40797.959722222222</v>
      </c>
      <c r="E30" s="51">
        <v>40798</v>
      </c>
      <c r="F30" s="45">
        <v>0.37638888888888888</v>
      </c>
      <c r="G30">
        <v>24.77983</v>
      </c>
      <c r="H30">
        <v>-157.19653</v>
      </c>
      <c r="I30" s="24">
        <v>42</v>
      </c>
      <c r="J30" s="24">
        <v>1305</v>
      </c>
      <c r="K30" s="46">
        <f t="shared" si="2"/>
        <v>1.6266742641612586</v>
      </c>
      <c r="L30" s="46">
        <f t="shared" si="3"/>
        <v>42.118685215396674</v>
      </c>
      <c r="M30" s="123">
        <f t="shared" si="4"/>
        <v>0.93553466440667887</v>
      </c>
      <c r="N30" s="47">
        <f t="shared" si="5"/>
        <v>53.602187858690534</v>
      </c>
      <c r="O30" s="47">
        <f t="shared" si="6"/>
        <v>0.5452539432722906</v>
      </c>
      <c r="P30" s="47">
        <f t="shared" si="7"/>
        <v>15.145942868674739</v>
      </c>
      <c r="Q30" s="47">
        <f t="shared" si="8"/>
        <v>0.29441357628093445</v>
      </c>
      <c r="R30" s="52"/>
      <c r="S30" s="41"/>
      <c r="T30" s="41"/>
      <c r="U30" s="34">
        <f t="shared" si="22"/>
        <v>0.32354722923993828</v>
      </c>
      <c r="V30" s="34">
        <f t="shared" si="23"/>
        <v>0.43888387200390616</v>
      </c>
      <c r="X30" s="118"/>
      <c r="Y30" s="41">
        <v>336</v>
      </c>
      <c r="Z30" s="42">
        <f t="shared" si="26"/>
        <v>40796.049305555556</v>
      </c>
      <c r="AA30" s="43">
        <f t="shared" si="27"/>
        <v>40796.049305555556</v>
      </c>
      <c r="AB30" s="51">
        <v>40796</v>
      </c>
      <c r="AC30" s="45">
        <v>0.46597222222222223</v>
      </c>
      <c r="AD30" s="41">
        <v>24.683959999999999</v>
      </c>
      <c r="AE30" s="41">
        <v>-157.46081000000001</v>
      </c>
      <c r="AF30" s="129">
        <v>42</v>
      </c>
      <c r="AG30" s="41">
        <v>1305</v>
      </c>
      <c r="AH30" s="46">
        <f t="shared" ref="AH30:AH41" si="34">ACOS(SIN(RADIANS(AD30))*SIN(RADIANS(AD31))+COS(RADIANS(AD30))*COS(RADIANS(AD31))*COS(RADIANS(AE31)-RADIANS(AE30)))*6371.1</f>
        <v>0.95569073046305586</v>
      </c>
      <c r="AI30" s="46">
        <f t="shared" ref="AI30:AI41" si="35">AI29+AH30</f>
        <v>16.108469545173929</v>
      </c>
      <c r="AJ30" s="123">
        <f t="shared" ref="AJ30:AJ41" si="36">RADIANS(AK30)</f>
        <v>0.88990486103519895</v>
      </c>
      <c r="AK30" s="47">
        <f t="shared" ref="AK30:AK41" si="37">MOD(DEGREES(ATAN2(COS(RADIANS(AD30))*SIN(RADIANS(AD31))-SIN(RADIANS(AD30))*COS(RADIANS(AD31))*COS(RADIANS(AE31)-RADIANS(AE30)),SIN(RADIANS(AE31)-RADIANS(AE30))*COS(RADIANS(AD31)))), 360)</f>
        <v>50.987792705492922</v>
      </c>
      <c r="AL30" s="130">
        <f t="shared" ref="AL30:AL41" si="38">AH30/((AA31-AA30)*24)</f>
        <v>0.94002366931151182</v>
      </c>
      <c r="AM30" s="47">
        <f t="shared" si="13"/>
        <v>26.111768591986444</v>
      </c>
      <c r="AN30" s="47">
        <f t="shared" ref="AN30:AN41" si="39">AL30/1.852</f>
        <v>0.50757217565416402</v>
      </c>
      <c r="AO30" s="41"/>
      <c r="AP30" s="41"/>
      <c r="AQ30" s="41"/>
      <c r="AR30" s="34">
        <f t="shared" si="15"/>
        <v>0.59173169581420937</v>
      </c>
      <c r="AS30" s="34">
        <f t="shared" si="16"/>
        <v>0.73040954199320163</v>
      </c>
    </row>
    <row r="31" spans="1:55">
      <c r="A31" s="41"/>
      <c r="B31" s="41">
        <v>320</v>
      </c>
      <c r="C31" s="42">
        <f t="shared" si="24"/>
        <v>40798.084027777782</v>
      </c>
      <c r="D31" s="43">
        <f t="shared" si="25"/>
        <v>40798.084027777782</v>
      </c>
      <c r="E31" s="51">
        <v>40798</v>
      </c>
      <c r="F31" s="45">
        <v>0.50069444444444444</v>
      </c>
      <c r="G31">
        <v>24.788509999999999</v>
      </c>
      <c r="H31">
        <v>-157.18356</v>
      </c>
      <c r="I31" s="24">
        <v>41</v>
      </c>
      <c r="J31" s="24">
        <v>1308</v>
      </c>
      <c r="K31" s="46">
        <f t="shared" si="2"/>
        <v>1.4086040849020345</v>
      </c>
      <c r="L31" s="46">
        <f t="shared" si="3"/>
        <v>43.527289300298712</v>
      </c>
      <c r="M31" s="123">
        <f t="shared" si="4"/>
        <v>1.376114182493867</v>
      </c>
      <c r="N31" s="47">
        <f t="shared" si="5"/>
        <v>78.845534784994129</v>
      </c>
      <c r="O31" s="47">
        <f t="shared" si="6"/>
        <v>0.46953469496734485</v>
      </c>
      <c r="P31" s="47">
        <f t="shared" si="7"/>
        <v>13.042630415759579</v>
      </c>
      <c r="Q31" s="47">
        <f t="shared" si="8"/>
        <v>0.2535284530061257</v>
      </c>
      <c r="R31" s="52"/>
      <c r="S31" s="41"/>
      <c r="T31" s="41"/>
      <c r="U31" s="34">
        <f t="shared" si="22"/>
        <v>9.0833690543190501E-2</v>
      </c>
      <c r="V31" s="34">
        <f t="shared" si="23"/>
        <v>0.46066481354709682</v>
      </c>
      <c r="X31" s="118"/>
      <c r="Y31" s="41">
        <v>338</v>
      </c>
      <c r="Z31" s="42">
        <f t="shared" ref="Z31:Z43" si="40">(AB31+AC31)-(10/24)</f>
        <v>40796.091666666667</v>
      </c>
      <c r="AA31" s="43">
        <f t="shared" ref="AA31:AA43" si="41">(AB31+AC31)-(10/24)</f>
        <v>40796.091666666667</v>
      </c>
      <c r="AB31" s="51">
        <v>40796</v>
      </c>
      <c r="AC31" s="45">
        <v>0.5083333333333333</v>
      </c>
      <c r="AD31" s="41">
        <v>24.68937</v>
      </c>
      <c r="AE31" s="41">
        <v>-157.45346000000001</v>
      </c>
      <c r="AF31" s="129">
        <v>41</v>
      </c>
      <c r="AG31" s="41">
        <v>1312</v>
      </c>
      <c r="AH31" s="46">
        <f t="shared" si="34"/>
        <v>0.88642227958631148</v>
      </c>
      <c r="AI31" s="46">
        <f t="shared" si="35"/>
        <v>16.994891824760241</v>
      </c>
      <c r="AJ31" s="123">
        <f t="shared" si="36"/>
        <v>0.91987891679702805</v>
      </c>
      <c r="AK31" s="47">
        <f t="shared" si="37"/>
        <v>52.705179595535519</v>
      </c>
      <c r="AL31" s="130">
        <f t="shared" si="38"/>
        <v>0.90144638596306004</v>
      </c>
      <c r="AM31" s="47">
        <f t="shared" si="13"/>
        <v>25.04017738786278</v>
      </c>
      <c r="AN31" s="47">
        <f t="shared" si="39"/>
        <v>0.48674210905132831</v>
      </c>
      <c r="AO31" s="41"/>
      <c r="AP31" s="41"/>
      <c r="AQ31" s="41"/>
      <c r="AR31" s="34">
        <f t="shared" si="15"/>
        <v>0.54620122667561566</v>
      </c>
      <c r="AS31" s="34">
        <f t="shared" si="16"/>
        <v>0.71712607451124999</v>
      </c>
    </row>
    <row r="32" spans="1:55">
      <c r="A32" s="41"/>
      <c r="B32" s="41">
        <v>321</v>
      </c>
      <c r="C32" s="42">
        <f t="shared" si="24"/>
        <v>40798.209027777782</v>
      </c>
      <c r="D32" s="43">
        <f t="shared" si="25"/>
        <v>40798.209027777782</v>
      </c>
      <c r="E32" s="51">
        <v>40798</v>
      </c>
      <c r="F32" s="45">
        <v>0.62569444444444444</v>
      </c>
      <c r="G32">
        <v>24.790959999999998</v>
      </c>
      <c r="H32">
        <v>-157.16987</v>
      </c>
      <c r="I32" s="24">
        <v>39</v>
      </c>
      <c r="J32" s="24">
        <v>1308</v>
      </c>
      <c r="K32" s="46">
        <f t="shared" si="2"/>
        <v>0.99243635840804256</v>
      </c>
      <c r="L32" s="46">
        <f t="shared" si="3"/>
        <v>44.519725658706754</v>
      </c>
      <c r="M32" s="123">
        <f t="shared" si="4"/>
        <v>1.5853266096979401</v>
      </c>
      <c r="N32" s="47">
        <f t="shared" si="5"/>
        <v>90.832523885475496</v>
      </c>
      <c r="O32" s="47">
        <f t="shared" si="6"/>
        <v>0.32898442821467999</v>
      </c>
      <c r="P32" s="47">
        <f t="shared" si="7"/>
        <v>9.1384563392966669</v>
      </c>
      <c r="Q32" s="47">
        <f t="shared" si="8"/>
        <v>0.17763738024550754</v>
      </c>
      <c r="R32" s="52"/>
      <c r="S32" s="41"/>
      <c r="T32" s="41"/>
      <c r="U32" s="34">
        <f t="shared" si="22"/>
        <v>-4.7800686065647214E-3</v>
      </c>
      <c r="V32" s="34">
        <f t="shared" si="23"/>
        <v>0.32894969972908694</v>
      </c>
      <c r="X32" s="118"/>
      <c r="Y32" s="41">
        <v>339</v>
      </c>
      <c r="Z32" s="42">
        <f t="shared" si="40"/>
        <v>40796.132638888892</v>
      </c>
      <c r="AA32" s="43">
        <f t="shared" si="41"/>
        <v>40796.132638888892</v>
      </c>
      <c r="AB32" s="51">
        <v>40796</v>
      </c>
      <c r="AC32" s="45">
        <v>0.5493055555555556</v>
      </c>
      <c r="AD32" s="41">
        <v>24.694199999999999</v>
      </c>
      <c r="AE32" s="41">
        <v>-157.44648000000001</v>
      </c>
      <c r="AF32" s="129">
        <v>43</v>
      </c>
      <c r="AG32" s="41">
        <v>1305</v>
      </c>
      <c r="AH32" s="46">
        <f t="shared" si="34"/>
        <v>0.93452453257550594</v>
      </c>
      <c r="AI32" s="46">
        <f t="shared" si="35"/>
        <v>17.929416357335747</v>
      </c>
      <c r="AJ32" s="123">
        <f t="shared" si="36"/>
        <v>0.98731178981579992</v>
      </c>
      <c r="AK32" s="47">
        <f t="shared" si="37"/>
        <v>56.568798619952751</v>
      </c>
      <c r="AL32" s="130">
        <f t="shared" si="38"/>
        <v>0.91920445827449793</v>
      </c>
      <c r="AM32" s="47">
        <f t="shared" si="13"/>
        <v>25.533457174291609</v>
      </c>
      <c r="AN32" s="47">
        <f t="shared" si="39"/>
        <v>0.49633070101214788</v>
      </c>
      <c r="AO32" s="41"/>
      <c r="AP32" s="41"/>
      <c r="AQ32" s="41"/>
      <c r="AR32" s="34">
        <f t="shared" si="15"/>
        <v>0.50642217375868859</v>
      </c>
      <c r="AS32" s="34">
        <f t="shared" si="16"/>
        <v>0.76712021094300331</v>
      </c>
    </row>
    <row r="33" spans="1:45">
      <c r="A33" s="41"/>
      <c r="B33" s="41">
        <v>322</v>
      </c>
      <c r="C33" s="42">
        <f t="shared" si="24"/>
        <v>40798.334722222222</v>
      </c>
      <c r="D33" s="43">
        <f t="shared" si="25"/>
        <v>40798.334722222222</v>
      </c>
      <c r="E33" s="51">
        <v>40798</v>
      </c>
      <c r="F33" s="45">
        <v>0.75138888888888899</v>
      </c>
      <c r="G33">
        <v>24.79083</v>
      </c>
      <c r="H33">
        <v>-157.16004000000001</v>
      </c>
      <c r="I33" s="24">
        <v>40</v>
      </c>
      <c r="J33" s="24">
        <v>1308</v>
      </c>
      <c r="K33" s="46">
        <f t="shared" si="2"/>
        <v>1.283473547485289</v>
      </c>
      <c r="L33" s="46">
        <f t="shared" si="3"/>
        <v>45.803199206192041</v>
      </c>
      <c r="M33" s="123">
        <f t="shared" si="4"/>
        <v>1.2316007884638833</v>
      </c>
      <c r="N33" s="47">
        <f t="shared" si="5"/>
        <v>70.565527223965006</v>
      </c>
      <c r="O33" s="47">
        <f t="shared" si="6"/>
        <v>0.43021459690509584</v>
      </c>
      <c r="P33" s="47">
        <f t="shared" si="7"/>
        <v>11.950405469585995</v>
      </c>
      <c r="Q33" s="47">
        <f t="shared" si="8"/>
        <v>0.23229729854486816</v>
      </c>
      <c r="R33" s="52"/>
      <c r="S33" s="41"/>
      <c r="T33" s="41"/>
      <c r="U33" s="34">
        <f t="shared" si="22"/>
        <v>0.14314468948050132</v>
      </c>
      <c r="V33" s="34">
        <f t="shared" si="23"/>
        <v>0.40570210409085256</v>
      </c>
      <c r="X33" s="118"/>
      <c r="Y33" s="41">
        <v>340</v>
      </c>
      <c r="Z33" s="42">
        <f t="shared" si="40"/>
        <v>40796.175000000003</v>
      </c>
      <c r="AA33" s="43">
        <f t="shared" si="41"/>
        <v>40796.175000000003</v>
      </c>
      <c r="AB33" s="51">
        <v>40796</v>
      </c>
      <c r="AC33" s="45">
        <v>0.59166666666666667</v>
      </c>
      <c r="AD33" s="41">
        <v>24.698830000000001</v>
      </c>
      <c r="AE33" s="41">
        <v>-157.43876</v>
      </c>
      <c r="AF33" s="129">
        <v>40</v>
      </c>
      <c r="AG33" s="41">
        <v>1315</v>
      </c>
      <c r="AH33" s="46">
        <f t="shared" si="34"/>
        <v>0.96830248751625803</v>
      </c>
      <c r="AI33" s="46">
        <f t="shared" si="35"/>
        <v>18.897718844852005</v>
      </c>
      <c r="AJ33" s="123">
        <f t="shared" si="36"/>
        <v>1.193233512957514</v>
      </c>
      <c r="AK33" s="47">
        <f t="shared" si="37"/>
        <v>68.367244266034376</v>
      </c>
      <c r="AL33" s="130">
        <f t="shared" si="38"/>
        <v>0.95242867624913496</v>
      </c>
      <c r="AM33" s="47">
        <f t="shared" si="13"/>
        <v>26.456352118031525</v>
      </c>
      <c r="AN33" s="47">
        <f t="shared" si="39"/>
        <v>0.51427034354704915</v>
      </c>
      <c r="AO33" s="41"/>
      <c r="AP33" s="41"/>
      <c r="AQ33" s="41"/>
      <c r="AR33" s="34">
        <f t="shared" si="15"/>
        <v>0.35111858554353337</v>
      </c>
      <c r="AS33" s="34">
        <f t="shared" si="16"/>
        <v>0.8853451994717022</v>
      </c>
    </row>
    <row r="34" spans="1:45">
      <c r="A34" s="41"/>
      <c r="B34" s="41">
        <v>323</v>
      </c>
      <c r="C34" s="42">
        <f t="shared" si="24"/>
        <v>40798.459027777782</v>
      </c>
      <c r="D34" s="43">
        <f t="shared" si="25"/>
        <v>40798.459027777782</v>
      </c>
      <c r="E34" s="51">
        <v>40798</v>
      </c>
      <c r="F34" s="45">
        <v>0.87569444444444444</v>
      </c>
      <c r="G34">
        <v>24.79467</v>
      </c>
      <c r="H34">
        <v>-157.14805000000001</v>
      </c>
      <c r="I34" s="24">
        <v>42</v>
      </c>
      <c r="J34" s="24">
        <v>1308</v>
      </c>
      <c r="K34" s="46">
        <f t="shared" si="2"/>
        <v>2.03294918066804</v>
      </c>
      <c r="L34" s="46">
        <f t="shared" si="3"/>
        <v>47.836148386860081</v>
      </c>
      <c r="M34" s="123">
        <f t="shared" si="4"/>
        <v>1.1581963233966122</v>
      </c>
      <c r="N34" s="47">
        <f t="shared" si="5"/>
        <v>66.359761178194873</v>
      </c>
      <c r="O34" s="47">
        <f t="shared" si="6"/>
        <v>0.67764972688934666</v>
      </c>
      <c r="P34" s="47">
        <f>(O34*1000*100)/3600</f>
        <v>18.823603524704072</v>
      </c>
      <c r="Q34" s="47">
        <f t="shared" si="8"/>
        <v>0.36590158039381565</v>
      </c>
      <c r="R34" s="52"/>
      <c r="S34" s="41"/>
      <c r="T34" s="41"/>
      <c r="U34" s="34">
        <f t="shared" si="22"/>
        <v>0.27173245489187675</v>
      </c>
      <c r="V34" s="34">
        <f t="shared" si="23"/>
        <v>0.62078226884443177</v>
      </c>
      <c r="X34" s="118"/>
      <c r="Y34" s="41">
        <v>341</v>
      </c>
      <c r="Z34" s="42">
        <f t="shared" si="40"/>
        <v>40796.217361111114</v>
      </c>
      <c r="AA34" s="43">
        <f t="shared" si="41"/>
        <v>40796.217361111114</v>
      </c>
      <c r="AB34" s="51">
        <v>40796</v>
      </c>
      <c r="AC34" s="45">
        <v>0.63402777777777775</v>
      </c>
      <c r="AD34" s="41">
        <v>24.70204</v>
      </c>
      <c r="AE34" s="41">
        <v>-157.42984999999999</v>
      </c>
      <c r="AF34" s="129">
        <v>41</v>
      </c>
      <c r="AG34" s="41">
        <v>1305</v>
      </c>
      <c r="AH34" s="46">
        <f t="shared" si="34"/>
        <v>0.9930596702507809</v>
      </c>
      <c r="AI34" s="46">
        <f t="shared" si="35"/>
        <v>19.890778515102784</v>
      </c>
      <c r="AJ34" s="123">
        <f t="shared" si="36"/>
        <v>1.2376737497003061</v>
      </c>
      <c r="AK34" s="47">
        <f t="shared" si="37"/>
        <v>70.913482271958571</v>
      </c>
      <c r="AL34" s="130">
        <f t="shared" si="38"/>
        <v>0.96102548729254877</v>
      </c>
      <c r="AM34" s="47">
        <f t="shared" si="13"/>
        <v>26.695152424793022</v>
      </c>
      <c r="AN34" s="47">
        <f t="shared" si="39"/>
        <v>0.51891225015796372</v>
      </c>
      <c r="AO34" s="41"/>
      <c r="AP34" s="41"/>
      <c r="AQ34" s="41"/>
      <c r="AR34" s="34">
        <f t="shared" si="15"/>
        <v>0.31425104236557833</v>
      </c>
      <c r="AS34" s="34">
        <f t="shared" si="16"/>
        <v>0.90819396033998612</v>
      </c>
    </row>
    <row r="35" spans="1:45">
      <c r="A35" s="41"/>
      <c r="B35" s="41">
        <v>324</v>
      </c>
      <c r="C35" s="42">
        <f t="shared" si="24"/>
        <v>40798.584027777782</v>
      </c>
      <c r="D35" s="43">
        <f t="shared" si="25"/>
        <v>40798.584027777782</v>
      </c>
      <c r="E35" s="51">
        <v>40799</v>
      </c>
      <c r="F35" s="45">
        <v>6.9444444444444447E-4</v>
      </c>
      <c r="G35">
        <v>24.802</v>
      </c>
      <c r="H35">
        <v>-157.12960000000001</v>
      </c>
      <c r="I35" s="24">
        <v>40</v>
      </c>
      <c r="J35" s="24">
        <v>1308</v>
      </c>
      <c r="K35" s="46">
        <f t="shared" si="2"/>
        <v>1.4176000422319193</v>
      </c>
      <c r="L35" s="46">
        <f t="shared" si="3"/>
        <v>49.253748429091999</v>
      </c>
      <c r="M35" s="123">
        <f t="shared" si="4"/>
        <v>2.0281511224538091</v>
      </c>
      <c r="N35" s="47">
        <f t="shared" si="5"/>
        <v>116.20449953132388</v>
      </c>
      <c r="O35" s="47">
        <f t="shared" si="6"/>
        <v>0.47253334741063974</v>
      </c>
      <c r="P35" s="47">
        <f>(O35*1000*100)/3600</f>
        <v>13.125926316962216</v>
      </c>
      <c r="Q35" s="47">
        <f t="shared" si="8"/>
        <v>0.25514759579408192</v>
      </c>
      <c r="R35" s="52"/>
      <c r="S35" s="41"/>
      <c r="T35" s="41"/>
      <c r="U35" s="34">
        <f t="shared" si="22"/>
        <v>-0.20865953407438081</v>
      </c>
      <c r="V35" s="34">
        <f t="shared" si="23"/>
        <v>0.42396811584713145</v>
      </c>
      <c r="X35" s="118"/>
      <c r="Y35" s="41">
        <v>342</v>
      </c>
      <c r="Z35" s="42">
        <f t="shared" si="40"/>
        <v>40796.260416666672</v>
      </c>
      <c r="AA35" s="43">
        <f t="shared" si="41"/>
        <v>40796.260416666672</v>
      </c>
      <c r="AB35" s="51">
        <v>40796</v>
      </c>
      <c r="AC35" s="45">
        <v>0.67708333333333337</v>
      </c>
      <c r="AD35" s="41">
        <v>24.70496</v>
      </c>
      <c r="AE35" s="41">
        <v>-157.42055999999999</v>
      </c>
      <c r="AF35" s="129">
        <v>40</v>
      </c>
      <c r="AG35" s="41">
        <v>1305</v>
      </c>
      <c r="AH35" s="46">
        <f t="shared" si="34"/>
        <v>0.90309798768561922</v>
      </c>
      <c r="AI35" s="46">
        <f t="shared" si="35"/>
        <v>20.793876502788404</v>
      </c>
      <c r="AJ35" s="123">
        <f t="shared" si="36"/>
        <v>1.115650437329464</v>
      </c>
      <c r="AK35" s="47">
        <f t="shared" si="37"/>
        <v>63.92206147090284</v>
      </c>
      <c r="AL35" s="130">
        <f t="shared" si="38"/>
        <v>0.90309798773818639</v>
      </c>
      <c r="AM35" s="47">
        <f t="shared" si="13"/>
        <v>25.086055214949621</v>
      </c>
      <c r="AN35" s="47">
        <f t="shared" si="39"/>
        <v>0.48763390266640733</v>
      </c>
      <c r="AO35" s="41"/>
      <c r="AP35" s="41"/>
      <c r="AQ35" s="41"/>
      <c r="AR35" s="34">
        <f t="shared" si="15"/>
        <v>0.39699587518143853</v>
      </c>
      <c r="AS35" s="34">
        <f t="shared" si="16"/>
        <v>0.81115981812814486</v>
      </c>
    </row>
    <row r="36" spans="1:45">
      <c r="A36" s="41"/>
      <c r="B36" s="41">
        <v>325</v>
      </c>
      <c r="C36" s="42">
        <f t="shared" si="24"/>
        <v>40798.709027777782</v>
      </c>
      <c r="D36" s="43">
        <f t="shared" si="25"/>
        <v>40798.709027777782</v>
      </c>
      <c r="E36" s="51">
        <v>40799</v>
      </c>
      <c r="F36" s="45">
        <v>0.12569444444444444</v>
      </c>
      <c r="G36">
        <v>24.79637</v>
      </c>
      <c r="H36">
        <v>-157.11699999999999</v>
      </c>
      <c r="I36" s="24">
        <v>39</v>
      </c>
      <c r="J36" s="24">
        <v>1308</v>
      </c>
      <c r="K36" s="46">
        <f t="shared" si="2"/>
        <v>1.0498859512195882</v>
      </c>
      <c r="L36" s="46">
        <f t="shared" si="3"/>
        <v>50.303634380311586</v>
      </c>
      <c r="M36" s="123">
        <f t="shared" si="4"/>
        <v>2.1201356603201296</v>
      </c>
      <c r="N36" s="47">
        <f t="shared" si="5"/>
        <v>121.47482533152534</v>
      </c>
      <c r="O36" s="47">
        <f t="shared" si="6"/>
        <v>0.34802849213086889</v>
      </c>
      <c r="P36" s="47">
        <f>(O36*1000*100)/3600</f>
        <v>9.6674581147463563</v>
      </c>
      <c r="Q36" s="47">
        <f t="shared" si="8"/>
        <v>0.18792035212249938</v>
      </c>
      <c r="R36" s="52"/>
      <c r="S36" s="41"/>
      <c r="T36" s="41"/>
      <c r="U36" s="34">
        <f t="shared" si="22"/>
        <v>-0.18171398684626403</v>
      </c>
      <c r="V36" s="34">
        <f t="shared" si="23"/>
        <v>0.29682294102599627</v>
      </c>
      <c r="X36" s="118"/>
      <c r="Y36" s="41">
        <v>343</v>
      </c>
      <c r="Z36" s="42">
        <f t="shared" si="40"/>
        <v>40796.302083333336</v>
      </c>
      <c r="AA36" s="43">
        <f t="shared" si="41"/>
        <v>40796.302083333336</v>
      </c>
      <c r="AB36" s="51">
        <v>40796</v>
      </c>
      <c r="AC36" s="45">
        <v>0.71875</v>
      </c>
      <c r="AD36" s="41">
        <v>24.70853</v>
      </c>
      <c r="AE36" s="41">
        <v>-157.41253</v>
      </c>
      <c r="AF36" s="129">
        <v>41</v>
      </c>
      <c r="AG36" s="41">
        <v>1305</v>
      </c>
      <c r="AH36" s="46">
        <f t="shared" si="34"/>
        <v>0.94196548176374129</v>
      </c>
      <c r="AI36" s="46">
        <f t="shared" si="35"/>
        <v>21.735841984552145</v>
      </c>
      <c r="AJ36" s="123">
        <f t="shared" si="36"/>
        <v>1.0789927942053861</v>
      </c>
      <c r="AK36" s="47">
        <f t="shared" si="37"/>
        <v>61.821733232996408</v>
      </c>
      <c r="AL36" s="130">
        <f t="shared" si="38"/>
        <v>0.94196548181857087</v>
      </c>
      <c r="AM36" s="47">
        <f t="shared" si="13"/>
        <v>26.165707828293634</v>
      </c>
      <c r="AN36" s="47">
        <f t="shared" si="39"/>
        <v>0.508620670528386</v>
      </c>
      <c r="AO36" s="41"/>
      <c r="AP36" s="41"/>
      <c r="AQ36" s="41"/>
      <c r="AR36" s="34">
        <f t="shared" si="15"/>
        <v>0.44481158450992875</v>
      </c>
      <c r="AS36" s="34">
        <f t="shared" si="16"/>
        <v>0.83032621494413794</v>
      </c>
    </row>
    <row r="37" spans="1:45">
      <c r="A37" s="41"/>
      <c r="B37" s="41">
        <v>326</v>
      </c>
      <c r="C37" s="42">
        <f t="shared" si="24"/>
        <v>40798.834722222222</v>
      </c>
      <c r="D37" s="43">
        <f t="shared" si="25"/>
        <v>40798.834722222222</v>
      </c>
      <c r="E37" s="51">
        <v>40799</v>
      </c>
      <c r="F37" s="45">
        <v>0.25138888888888888</v>
      </c>
      <c r="G37">
        <v>24.791440000000001</v>
      </c>
      <c r="H37">
        <v>-157.10812999999999</v>
      </c>
      <c r="I37" s="24">
        <v>36</v>
      </c>
      <c r="J37" s="24">
        <v>1328</v>
      </c>
      <c r="K37" s="41"/>
      <c r="L37" s="41"/>
      <c r="M37" s="123"/>
      <c r="N37" s="41"/>
      <c r="O37" s="41"/>
      <c r="P37" s="41"/>
      <c r="Q37" s="41"/>
      <c r="R37" s="52"/>
      <c r="S37" s="41"/>
      <c r="T37" s="41"/>
      <c r="U37" s="34"/>
      <c r="V37" s="34"/>
      <c r="X37" s="118"/>
      <c r="Y37" s="41">
        <v>344</v>
      </c>
      <c r="Z37" s="42">
        <f t="shared" si="40"/>
        <v>40796.34375</v>
      </c>
      <c r="AA37" s="43">
        <f t="shared" si="41"/>
        <v>40796.34375</v>
      </c>
      <c r="AB37" s="51">
        <v>40796</v>
      </c>
      <c r="AC37" s="45">
        <v>0.76041666666666663</v>
      </c>
      <c r="AD37" s="41">
        <v>24.712530000000001</v>
      </c>
      <c r="AE37" s="41">
        <v>-157.40431000000001</v>
      </c>
      <c r="AF37" s="129">
        <v>43</v>
      </c>
      <c r="AG37" s="41">
        <v>1305</v>
      </c>
      <c r="AH37" s="46">
        <f t="shared" si="34"/>
        <v>0.87232485822568451</v>
      </c>
      <c r="AI37" s="46">
        <f t="shared" si="35"/>
        <v>22.60816684277783</v>
      </c>
      <c r="AJ37" s="123">
        <f t="shared" si="36"/>
        <v>1.0882667024532884</v>
      </c>
      <c r="AK37" s="47">
        <f t="shared" si="37"/>
        <v>62.353089035192774</v>
      </c>
      <c r="AL37" s="130">
        <f t="shared" si="38"/>
        <v>0.84418534662880473</v>
      </c>
      <c r="AM37" s="47">
        <f t="shared" si="13"/>
        <v>23.449592961911243</v>
      </c>
      <c r="AN37" s="47">
        <f t="shared" si="39"/>
        <v>0.45582362128985132</v>
      </c>
      <c r="AO37" s="41"/>
      <c r="AP37" s="41"/>
      <c r="AQ37" s="41"/>
      <c r="AR37" s="34">
        <f t="shared" ref="AR37:AR46" si="42">AL37*COS(RADIANS(AK37))</f>
        <v>0.3917201167447798</v>
      </c>
      <c r="AS37" s="34">
        <f t="shared" ref="AS37:AS46" si="43">AL37*SIN(RADIANS(AK37))</f>
        <v>0.7477996052421072</v>
      </c>
    </row>
    <row r="38" spans="1:45">
      <c r="A38" s="41"/>
      <c r="B38" s="41">
        <v>327</v>
      </c>
      <c r="C38" s="42"/>
      <c r="D38" s="43"/>
      <c r="E38" s="51"/>
      <c r="F38" s="45"/>
      <c r="G38" s="44"/>
      <c r="H38" s="44"/>
      <c r="I38" s="44"/>
      <c r="J38" s="41"/>
      <c r="K38" s="41"/>
      <c r="L38" s="41"/>
      <c r="M38" s="123"/>
      <c r="N38" s="41"/>
      <c r="O38" s="41"/>
      <c r="P38" s="41"/>
      <c r="Q38" s="41"/>
      <c r="R38" s="52"/>
      <c r="S38" s="41"/>
      <c r="T38" s="41"/>
      <c r="U38" s="34"/>
      <c r="V38" s="34"/>
      <c r="X38" s="118"/>
      <c r="Y38" s="41">
        <v>345</v>
      </c>
      <c r="Z38" s="42">
        <f t="shared" si="40"/>
        <v>40796.386805555558</v>
      </c>
      <c r="AA38" s="43">
        <f t="shared" si="41"/>
        <v>40796.386805555558</v>
      </c>
      <c r="AB38" s="51">
        <v>40796</v>
      </c>
      <c r="AC38" s="45">
        <v>0.80347222222222225</v>
      </c>
      <c r="AD38" s="41">
        <v>24.716170000000002</v>
      </c>
      <c r="AE38" s="41">
        <v>-157.39666</v>
      </c>
      <c r="AF38" s="129">
        <v>43</v>
      </c>
      <c r="AG38" s="41">
        <v>1322</v>
      </c>
      <c r="AH38" s="46">
        <f t="shared" si="34"/>
        <v>0.8705180736454311</v>
      </c>
      <c r="AI38" s="46">
        <f t="shared" si="35"/>
        <v>23.478684916423262</v>
      </c>
      <c r="AJ38" s="123">
        <f t="shared" si="36"/>
        <v>1.0972523346333365</v>
      </c>
      <c r="AK38" s="47">
        <f t="shared" si="37"/>
        <v>62.867927835366473</v>
      </c>
      <c r="AL38" s="130">
        <f t="shared" si="38"/>
        <v>0.8705180736961019</v>
      </c>
      <c r="AM38" s="47">
        <f t="shared" si="13"/>
        <v>24.181057602669494</v>
      </c>
      <c r="AN38" s="47">
        <f t="shared" si="39"/>
        <v>0.47004215642338115</v>
      </c>
      <c r="AO38" s="41"/>
      <c r="AP38" s="41"/>
      <c r="AQ38" s="41"/>
      <c r="AR38" s="34">
        <f t="shared" si="42"/>
        <v>0.39699380071171642</v>
      </c>
      <c r="AS38" s="34">
        <f t="shared" si="43"/>
        <v>0.77472423405237412</v>
      </c>
    </row>
    <row r="39" spans="1:45">
      <c r="A39" s="41"/>
      <c r="B39" s="41">
        <v>328</v>
      </c>
      <c r="C39" s="41"/>
      <c r="D39" s="41"/>
      <c r="E39" s="41"/>
      <c r="F39" s="41"/>
      <c r="G39" s="44"/>
      <c r="H39" s="44"/>
      <c r="I39" s="44"/>
      <c r="J39" s="41"/>
      <c r="K39" s="41"/>
      <c r="L39" s="41"/>
      <c r="M39" s="123"/>
      <c r="N39" s="41"/>
      <c r="O39" s="41"/>
      <c r="P39" s="41"/>
      <c r="Q39" s="41"/>
      <c r="R39" s="52"/>
      <c r="S39" s="41"/>
      <c r="T39" s="41"/>
      <c r="U39" s="34"/>
      <c r="V39" s="34"/>
      <c r="X39" s="118"/>
      <c r="Y39" s="41">
        <v>346</v>
      </c>
      <c r="Z39" s="42">
        <f t="shared" si="40"/>
        <v>40796.428472222222</v>
      </c>
      <c r="AA39" s="43">
        <f t="shared" si="41"/>
        <v>40796.428472222222</v>
      </c>
      <c r="AB39" s="51">
        <v>40796</v>
      </c>
      <c r="AC39" s="45">
        <v>0.84513888888888899</v>
      </c>
      <c r="AD39" s="41">
        <v>24.719740000000002</v>
      </c>
      <c r="AE39" s="41">
        <v>-157.38899000000001</v>
      </c>
      <c r="AF39" s="129">
        <v>41</v>
      </c>
      <c r="AG39" s="41">
        <v>1308</v>
      </c>
      <c r="AH39" s="46">
        <f t="shared" si="34"/>
        <v>0.94986717487322292</v>
      </c>
      <c r="AI39" s="46">
        <f t="shared" si="35"/>
        <v>24.428552091296485</v>
      </c>
      <c r="AJ39" s="123">
        <f t="shared" si="36"/>
        <v>1.2044031647510152</v>
      </c>
      <c r="AK39" s="47">
        <f t="shared" si="37"/>
        <v>69.007218172432729</v>
      </c>
      <c r="AL39" s="130">
        <f t="shared" si="38"/>
        <v>0.94986717476264382</v>
      </c>
      <c r="AM39" s="47">
        <f t="shared" si="13"/>
        <v>26.385199298962331</v>
      </c>
      <c r="AN39" s="47">
        <f t="shared" si="39"/>
        <v>0.51288724339235625</v>
      </c>
      <c r="AO39" s="41"/>
      <c r="AP39" s="41"/>
      <c r="AQ39" s="41"/>
      <c r="AR39" s="34">
        <f t="shared" si="42"/>
        <v>0.34029023206609449</v>
      </c>
      <c r="AS39" s="34">
        <f t="shared" si="43"/>
        <v>0.88682027922909534</v>
      </c>
    </row>
    <row r="40" spans="1:45">
      <c r="B40" s="41">
        <v>329</v>
      </c>
      <c r="Y40" s="41">
        <v>347</v>
      </c>
      <c r="Z40" s="42">
        <f t="shared" si="40"/>
        <v>40796.470138888893</v>
      </c>
      <c r="AA40" s="43">
        <f t="shared" si="41"/>
        <v>40796.470138888893</v>
      </c>
      <c r="AB40" s="51">
        <v>40796</v>
      </c>
      <c r="AC40" s="45">
        <v>0.88680555555555562</v>
      </c>
      <c r="AD40" s="41">
        <v>24.722799999999999</v>
      </c>
      <c r="AE40" s="41">
        <v>-157.38021000000001</v>
      </c>
      <c r="AF40" s="129">
        <v>41</v>
      </c>
      <c r="AG40" s="41">
        <v>1308</v>
      </c>
      <c r="AH40" s="46">
        <f t="shared" si="34"/>
        <v>0.97024660868309254</v>
      </c>
      <c r="AI40" s="46">
        <f t="shared" si="35"/>
        <v>25.398798699979576</v>
      </c>
      <c r="AJ40" s="123">
        <f t="shared" si="36"/>
        <v>1.2319594270111225</v>
      </c>
      <c r="AK40" s="47">
        <f t="shared" si="37"/>
        <v>70.586075699092504</v>
      </c>
      <c r="AL40" s="130">
        <f t="shared" si="38"/>
        <v>0.93894833109647202</v>
      </c>
      <c r="AM40" s="47">
        <f t="shared" si="13"/>
        <v>26.081898086013108</v>
      </c>
      <c r="AN40" s="47">
        <f t="shared" si="39"/>
        <v>0.50699153946893738</v>
      </c>
      <c r="AR40" s="34">
        <f t="shared" si="42"/>
        <v>0.31209736314849934</v>
      </c>
      <c r="AS40" s="34">
        <f t="shared" si="43"/>
        <v>0.88556151925464999</v>
      </c>
    </row>
    <row r="41" spans="1:45">
      <c r="B41">
        <v>330</v>
      </c>
      <c r="C41" s="42">
        <f>(E41+F41)-(10/24)</f>
        <v>40799.334722222222</v>
      </c>
      <c r="D41" s="43">
        <f>(E41+F41)-(10/24)</f>
        <v>40799.334722222222</v>
      </c>
      <c r="E41" s="15">
        <v>40799</v>
      </c>
      <c r="F41" s="21">
        <v>0.75138888888888899</v>
      </c>
      <c r="G41">
        <v>24.783709999999999</v>
      </c>
      <c r="H41">
        <v>-157.06826000000001</v>
      </c>
      <c r="I41" s="24">
        <v>37</v>
      </c>
      <c r="J41" s="24">
        <v>1322</v>
      </c>
      <c r="Y41" s="41">
        <v>348</v>
      </c>
      <c r="Z41" s="42">
        <f t="shared" si="40"/>
        <v>40796.513194444444</v>
      </c>
      <c r="AA41" s="43">
        <f t="shared" si="41"/>
        <v>40796.513194444444</v>
      </c>
      <c r="AB41" s="51">
        <v>40796</v>
      </c>
      <c r="AC41" s="45">
        <v>0.92986111111111114</v>
      </c>
      <c r="AD41" s="41">
        <v>24.7257</v>
      </c>
      <c r="AE41" s="41">
        <v>-157.37115</v>
      </c>
      <c r="AF41" s="129">
        <v>42</v>
      </c>
      <c r="AG41" s="41">
        <v>1305</v>
      </c>
      <c r="AH41" s="46">
        <f t="shared" si="34"/>
        <v>0.8226781983268624</v>
      </c>
      <c r="AI41" s="46">
        <f t="shared" si="35"/>
        <v>26.221476898306438</v>
      </c>
      <c r="AJ41" s="123">
        <f t="shared" si="36"/>
        <v>1.35139765633822</v>
      </c>
      <c r="AK41" s="47">
        <f t="shared" si="37"/>
        <v>77.429382152050849</v>
      </c>
      <c r="AL41" s="130">
        <f t="shared" si="38"/>
        <v>0.82267819823109001</v>
      </c>
      <c r="AM41" s="47">
        <f t="shared" si="13"/>
        <v>22.852172173085837</v>
      </c>
      <c r="AN41" s="47">
        <f t="shared" si="39"/>
        <v>0.44421069018957343</v>
      </c>
      <c r="AR41" s="34">
        <f t="shared" si="42"/>
        <v>0.17904994353021339</v>
      </c>
      <c r="AS41" s="34">
        <f t="shared" si="43"/>
        <v>0.80295736846147692</v>
      </c>
    </row>
    <row r="42" spans="1:45">
      <c r="B42" s="41"/>
      <c r="Y42" s="41">
        <v>349</v>
      </c>
      <c r="Z42" s="42">
        <f t="shared" si="40"/>
        <v>40796.554861111115</v>
      </c>
      <c r="AA42" s="43">
        <f t="shared" si="41"/>
        <v>40796.554861111115</v>
      </c>
      <c r="AB42" s="51">
        <v>40796</v>
      </c>
      <c r="AC42" s="45">
        <v>0.97152777777777777</v>
      </c>
      <c r="AD42" s="41">
        <v>24.727309999999999</v>
      </c>
      <c r="AE42" s="41">
        <v>-157.36320000000001</v>
      </c>
      <c r="AF42" s="129">
        <v>43</v>
      </c>
      <c r="AG42" s="41">
        <v>1322</v>
      </c>
      <c r="AH42" s="46">
        <f t="shared" ref="AH42:AH48" si="44">ACOS(SIN(RADIANS(AD42))*SIN(RADIANS(AD43))+COS(RADIANS(AD42))*COS(RADIANS(AD43))*COS(RADIANS(AE43)-RADIANS(AE42)))*6371.1</f>
        <v>0.65677767486691274</v>
      </c>
      <c r="AI42" s="46">
        <f t="shared" ref="AI42:AI48" si="45">AI41+AH42</f>
        <v>26.878254573173351</v>
      </c>
      <c r="AJ42" s="123">
        <f t="shared" ref="AJ42:AJ48" si="46">RADIANS(AK42)</f>
        <v>1.5419865337542742</v>
      </c>
      <c r="AK42" s="47">
        <f t="shared" ref="AK42:AK48" si="47">MOD(DEGREES(ATAN2(COS(RADIANS(AD42))*SIN(RADIANS(AD43))-SIN(RADIANS(AD42))*COS(RADIANS(AD43))*COS(RADIANS(AE43)-RADIANS(AE42)),SIN(RADIANS(AE43)-RADIANS(AE42))*COS(RADIANS(AD43)))), 360)</f>
        <v>88.349320450126967</v>
      </c>
      <c r="AL42" s="130">
        <f t="shared" ref="AL42:AL48" si="48">AH42/((AA43-AA42)*24)</f>
        <v>0.64601082774041274</v>
      </c>
      <c r="AM42" s="47">
        <f t="shared" si="13"/>
        <v>17.944745215011466</v>
      </c>
      <c r="AN42" s="47">
        <f t="shared" ref="AN42:AN48" si="49">AL42/1.852</f>
        <v>0.3488179415444993</v>
      </c>
      <c r="AR42" s="34">
        <f t="shared" si="42"/>
        <v>1.8608863760804874E-2</v>
      </c>
      <c r="AS42" s="34">
        <f t="shared" si="43"/>
        <v>0.64574275044121487</v>
      </c>
    </row>
    <row r="43" spans="1:45">
      <c r="B43" s="41"/>
      <c r="Y43" s="41">
        <v>350</v>
      </c>
      <c r="Z43" s="42">
        <f t="shared" si="40"/>
        <v>40796.597222222226</v>
      </c>
      <c r="AA43" s="43">
        <f t="shared" si="41"/>
        <v>40796.597222222226</v>
      </c>
      <c r="AB43" s="51">
        <v>40797</v>
      </c>
      <c r="AC43" s="45">
        <v>1.3888888888888888E-2</v>
      </c>
      <c r="AD43" s="41">
        <v>24.72748</v>
      </c>
      <c r="AE43" s="41">
        <v>-157.35669999999999</v>
      </c>
      <c r="AF43" s="129">
        <v>43</v>
      </c>
      <c r="AG43" s="41">
        <v>1305</v>
      </c>
      <c r="AH43" s="46">
        <f t="shared" si="44"/>
        <v>0.53727235543358498</v>
      </c>
      <c r="AI43" s="46">
        <f t="shared" si="45"/>
        <v>27.415526928606937</v>
      </c>
      <c r="AJ43" s="123">
        <f t="shared" si="46"/>
        <v>1.7644636312932782</v>
      </c>
      <c r="AK43" s="47">
        <f t="shared" si="47"/>
        <v>101.09631917743225</v>
      </c>
      <c r="AL43" s="130">
        <f t="shared" si="48"/>
        <v>0.52846461190390392</v>
      </c>
      <c r="AM43" s="47">
        <f t="shared" si="13"/>
        <v>14.679572552886221</v>
      </c>
      <c r="AN43" s="47">
        <f t="shared" si="49"/>
        <v>0.28534806258310147</v>
      </c>
      <c r="AR43" s="34">
        <f t="shared" si="42"/>
        <v>-0.10170773135130164</v>
      </c>
      <c r="AS43" s="34">
        <f t="shared" si="43"/>
        <v>0.51858498186711433</v>
      </c>
    </row>
    <row r="44" spans="1:45">
      <c r="Y44" s="41">
        <v>351</v>
      </c>
      <c r="Z44" s="42">
        <f>(AB44+AC44)-(10/24)</f>
        <v>40796.639583333337</v>
      </c>
      <c r="AA44" s="43">
        <f>(AB44+AC44)-(10/24)</f>
        <v>40796.639583333337</v>
      </c>
      <c r="AB44" s="51">
        <v>40797</v>
      </c>
      <c r="AC44" s="45">
        <v>5.6250000000000001E-2</v>
      </c>
      <c r="AD44" s="41">
        <v>24.72655</v>
      </c>
      <c r="AE44" s="41">
        <v>-157.35148000000001</v>
      </c>
      <c r="AF44" s="129">
        <v>42</v>
      </c>
      <c r="AG44" s="41">
        <v>1305</v>
      </c>
      <c r="AH44" s="46">
        <f t="shared" si="44"/>
        <v>0.45628020885284182</v>
      </c>
      <c r="AI44" s="46">
        <f t="shared" si="45"/>
        <v>27.871807137459779</v>
      </c>
      <c r="AJ44" s="123">
        <f t="shared" si="46"/>
        <v>1.7894131711872332</v>
      </c>
      <c r="AK44" s="47">
        <f t="shared" si="47"/>
        <v>102.52582251414914</v>
      </c>
      <c r="AL44" s="130">
        <f t="shared" si="48"/>
        <v>0.4415614924166773</v>
      </c>
      <c r="AM44" s="47">
        <f t="shared" si="13"/>
        <v>12.26559701157437</v>
      </c>
      <c r="AN44" s="47">
        <f t="shared" si="49"/>
        <v>0.23842413197444778</v>
      </c>
      <c r="AR44" s="34">
        <f t="shared" si="42"/>
        <v>-9.5765678407746024E-2</v>
      </c>
      <c r="AS44" s="34">
        <f t="shared" si="43"/>
        <v>0.43105160529146336</v>
      </c>
    </row>
    <row r="45" spans="1:45">
      <c r="Y45" s="41">
        <v>352</v>
      </c>
      <c r="Z45" s="42">
        <f>(AB45+AC45)-(10/24)</f>
        <v>40796.682638888895</v>
      </c>
      <c r="AA45" s="43">
        <f>(AB45+AC45)-(10/24)</f>
        <v>40796.682638888895</v>
      </c>
      <c r="AB45" s="51">
        <v>40797</v>
      </c>
      <c r="AC45" s="45">
        <v>9.930555555555555E-2</v>
      </c>
      <c r="AD45" s="41">
        <v>24.725660000000001</v>
      </c>
      <c r="AE45" s="41">
        <v>-157.34707</v>
      </c>
      <c r="AF45" s="129">
        <v>40</v>
      </c>
      <c r="AG45" s="41">
        <v>1305</v>
      </c>
      <c r="AH45" s="46">
        <f t="shared" si="44"/>
        <v>0.35823869591869667</v>
      </c>
      <c r="AI45" s="46">
        <f t="shared" si="45"/>
        <v>28.230045833378476</v>
      </c>
      <c r="AJ45" s="123">
        <f t="shared" si="46"/>
        <v>1.5086638088289082</v>
      </c>
      <c r="AK45" s="47">
        <f t="shared" si="47"/>
        <v>86.440068950028106</v>
      </c>
      <c r="AL45" s="130">
        <f t="shared" si="48"/>
        <v>0.36431053826409587</v>
      </c>
      <c r="AM45" s="47">
        <f t="shared" si="13"/>
        <v>10.119737174002664</v>
      </c>
      <c r="AN45" s="47">
        <f t="shared" si="49"/>
        <v>0.19671195370631525</v>
      </c>
      <c r="AR45" s="34">
        <f t="shared" si="42"/>
        <v>2.2620969986273366E-2</v>
      </c>
      <c r="AS45" s="34">
        <f t="shared" si="43"/>
        <v>0.36360756318750492</v>
      </c>
    </row>
    <row r="46" spans="1:45">
      <c r="B46" s="41">
        <v>327</v>
      </c>
      <c r="Y46" s="41">
        <v>353</v>
      </c>
      <c r="Z46" s="42">
        <f>(AB46+AC46)-(10/24)</f>
        <v>40796.723611111112</v>
      </c>
      <c r="AA46" s="43">
        <f>(AB46+AC46)-(10/24)</f>
        <v>40796.723611111112</v>
      </c>
      <c r="AB46" s="51">
        <v>40797</v>
      </c>
      <c r="AC46" s="45">
        <v>0.14027777777777778</v>
      </c>
      <c r="AD46" s="41">
        <v>24.725860000000001</v>
      </c>
      <c r="AE46" s="41">
        <v>-157.34352999999999</v>
      </c>
      <c r="AF46" s="129">
        <v>42</v>
      </c>
      <c r="AG46" s="41">
        <v>1308</v>
      </c>
      <c r="AH46" s="46">
        <f t="shared" si="44"/>
        <v>0.34919942036779372</v>
      </c>
      <c r="AI46" s="46">
        <f t="shared" si="45"/>
        <v>28.579245253746269</v>
      </c>
      <c r="AJ46" s="123">
        <f t="shared" si="46"/>
        <v>1.3329064512828059</v>
      </c>
      <c r="AK46" s="47">
        <f t="shared" si="47"/>
        <v>76.369914144264655</v>
      </c>
      <c r="AL46" s="130">
        <f t="shared" si="48"/>
        <v>0.34347483970733761</v>
      </c>
      <c r="AM46" s="47">
        <f t="shared" si="13"/>
        <v>9.5409677696482671</v>
      </c>
      <c r="AN46" s="47">
        <f t="shared" si="49"/>
        <v>0.18546157651584103</v>
      </c>
      <c r="AR46" s="34">
        <f t="shared" si="42"/>
        <v>8.0940689105148345E-2</v>
      </c>
      <c r="AS46" s="34">
        <f t="shared" si="43"/>
        <v>0.33380169316401764</v>
      </c>
    </row>
    <row r="47" spans="1:45">
      <c r="B47" s="41">
        <v>328</v>
      </c>
      <c r="Y47" s="41">
        <v>354</v>
      </c>
      <c r="Z47" s="42">
        <f>(AB47+AC47)-(10/24)</f>
        <v>40796.765972222223</v>
      </c>
      <c r="AA47" s="43">
        <f>(AB47+AC47)-(10/24)</f>
        <v>40796.765972222223</v>
      </c>
      <c r="AB47" s="51">
        <v>40797</v>
      </c>
      <c r="AC47" s="45">
        <v>0.18263888888888891</v>
      </c>
      <c r="AD47" s="44">
        <v>24.726600000000001</v>
      </c>
      <c r="AE47" s="41">
        <v>-157.34017</v>
      </c>
      <c r="AF47" s="129">
        <v>40</v>
      </c>
      <c r="AG47" s="41">
        <v>1308</v>
      </c>
      <c r="AH47" s="46">
        <f t="shared" si="44"/>
        <v>0.39984999402412463</v>
      </c>
      <c r="AI47" s="46">
        <f t="shared" si="45"/>
        <v>28.979095247770392</v>
      </c>
      <c r="AJ47" s="123">
        <f t="shared" si="46"/>
        <v>1.3149328598967369</v>
      </c>
      <c r="AK47" s="47">
        <f t="shared" si="47"/>
        <v>75.340103215150208</v>
      </c>
      <c r="AL47" s="130">
        <f t="shared" si="48"/>
        <v>0.39329507609080411</v>
      </c>
      <c r="AM47" s="47">
        <f t="shared" si="13"/>
        <v>10.924863224744559</v>
      </c>
      <c r="AN47" s="47">
        <f t="shared" si="49"/>
        <v>0.21236235210086613</v>
      </c>
      <c r="AR47" s="34"/>
      <c r="AS47" s="34"/>
    </row>
    <row r="48" spans="1:45">
      <c r="B48" s="41">
        <v>329</v>
      </c>
      <c r="Y48" s="41">
        <v>355</v>
      </c>
      <c r="Z48" s="42">
        <f t="shared" ref="Z48:Z62" si="50">(AB48+AC48)-(10/24)</f>
        <v>40796.808333333334</v>
      </c>
      <c r="AA48" s="43">
        <f t="shared" ref="AA48:AA62" si="51">(AB48+AC48)-(10/24)</f>
        <v>40796.808333333334</v>
      </c>
      <c r="AB48" s="51">
        <v>40797</v>
      </c>
      <c r="AC48" s="45">
        <v>0.22500000000000001</v>
      </c>
      <c r="AD48" s="41">
        <v>24.727509999999999</v>
      </c>
      <c r="AE48" s="41">
        <v>-157.33634000000001</v>
      </c>
      <c r="AF48" s="41">
        <v>40</v>
      </c>
      <c r="AG48" s="41">
        <v>1299</v>
      </c>
      <c r="AH48" s="46">
        <f t="shared" si="44"/>
        <v>0.37670350475400205</v>
      </c>
      <c r="AI48" s="46">
        <f t="shared" si="45"/>
        <v>29.355798752524393</v>
      </c>
      <c r="AJ48" s="123">
        <f t="shared" si="46"/>
        <v>1.2338383286369488</v>
      </c>
      <c r="AK48" s="47">
        <f t="shared" si="47"/>
        <v>70.693728832372628</v>
      </c>
      <c r="AL48" s="130">
        <f t="shared" si="48"/>
        <v>0.36455177877639838</v>
      </c>
      <c r="AM48" s="47">
        <f t="shared" si="13"/>
        <v>10.1264382993444</v>
      </c>
      <c r="AN48" s="47">
        <f t="shared" si="49"/>
        <v>0.19684221316220213</v>
      </c>
      <c r="AR48" s="34"/>
      <c r="AS48" s="34"/>
    </row>
    <row r="49" spans="2:45">
      <c r="B49">
        <v>330</v>
      </c>
      <c r="Y49" s="41">
        <v>356</v>
      </c>
      <c r="Z49" s="42">
        <f t="shared" si="50"/>
        <v>40796.851388888892</v>
      </c>
      <c r="AA49" s="43">
        <f t="shared" si="51"/>
        <v>40796.851388888892</v>
      </c>
      <c r="AB49" s="51">
        <v>40797</v>
      </c>
      <c r="AC49" s="45">
        <v>0.26805555555555555</v>
      </c>
      <c r="AD49" s="41">
        <v>24.728629999999999</v>
      </c>
      <c r="AE49" s="41">
        <v>-157.33282</v>
      </c>
      <c r="AF49" s="41">
        <v>43</v>
      </c>
      <c r="AG49" s="41">
        <v>1305</v>
      </c>
      <c r="AH49" s="46">
        <f t="shared" ref="AH49:AH61" si="52">ACOS(SIN(RADIANS(AD49))*SIN(RADIANS(AD50))+COS(RADIANS(AD49))*COS(RADIANS(AD50))*COS(RADIANS(AE50)-RADIANS(AE49)))*6371.1</f>
        <v>0.41687810625403804</v>
      </c>
      <c r="AI49" s="46">
        <f t="shared" ref="AI49:AI61" si="53">AI48+AH49</f>
        <v>29.772676858778432</v>
      </c>
      <c r="AJ49" s="123">
        <f t="shared" ref="AJ49:AJ61" si="54">RADIANS(AK49)</f>
        <v>1.054716640616856</v>
      </c>
      <c r="AK49" s="47">
        <f t="shared" ref="AK49:AK61" si="55">MOD(DEGREES(ATAN2(COS(RADIANS(AD49))*SIN(RADIANS(AD50))-SIN(RADIANS(AD49))*COS(RADIANS(AD50))*COS(RADIANS(AE50)-RADIANS(AE49)),SIN(RADIANS(AE50)-RADIANS(AE49))*COS(RADIANS(AD50)))), 360)</f>
        <v>60.430812089562266</v>
      </c>
      <c r="AL49" s="130">
        <f t="shared" ref="AL49:AL61" si="56">AH49/((AA50-AA49)*24)</f>
        <v>0.41687810627830352</v>
      </c>
      <c r="AM49" s="47">
        <f t="shared" si="13"/>
        <v>11.579947396619543</v>
      </c>
      <c r="AN49" s="47">
        <f t="shared" ref="AN49:AN61" si="57">AL49/1.852</f>
        <v>0.22509616969670815</v>
      </c>
      <c r="AR49" s="34"/>
      <c r="AS49" s="34"/>
    </row>
    <row r="50" spans="2:45">
      <c r="Y50" s="41">
        <v>357</v>
      </c>
      <c r="Z50" s="42">
        <f t="shared" si="50"/>
        <v>40796.893055555556</v>
      </c>
      <c r="AA50" s="43">
        <f t="shared" si="51"/>
        <v>40796.893055555556</v>
      </c>
      <c r="AB50" s="51">
        <v>40797</v>
      </c>
      <c r="AC50" s="45">
        <v>0.30972222222222223</v>
      </c>
      <c r="AD50" s="41">
        <v>24.73048</v>
      </c>
      <c r="AE50" s="41">
        <v>-157.32923</v>
      </c>
      <c r="AF50" s="41">
        <v>41</v>
      </c>
      <c r="AG50" s="41">
        <v>1305</v>
      </c>
      <c r="AH50" s="46">
        <f t="shared" si="52"/>
        <v>0.58854138178866888</v>
      </c>
      <c r="AI50" s="46">
        <f t="shared" si="53"/>
        <v>30.361218240567101</v>
      </c>
      <c r="AJ50" s="123">
        <f t="shared" si="54"/>
        <v>0.80982154248864369</v>
      </c>
      <c r="AK50" s="47">
        <f t="shared" si="55"/>
        <v>46.399356543373557</v>
      </c>
      <c r="AL50" s="130">
        <f t="shared" si="56"/>
        <v>0.57889316241729372</v>
      </c>
      <c r="AM50" s="47">
        <f t="shared" si="13"/>
        <v>16.080365622702605</v>
      </c>
      <c r="AN50" s="47">
        <f t="shared" si="57"/>
        <v>0.31257730152121688</v>
      </c>
      <c r="AR50" s="34"/>
      <c r="AS50" s="34"/>
    </row>
    <row r="51" spans="2:45">
      <c r="Y51" s="41">
        <v>358</v>
      </c>
      <c r="Z51" s="42">
        <f t="shared" si="50"/>
        <v>40796.935416666667</v>
      </c>
      <c r="AA51" s="43">
        <f t="shared" si="51"/>
        <v>40796.935416666667</v>
      </c>
      <c r="AB51" s="51">
        <v>40797</v>
      </c>
      <c r="AC51" s="45">
        <v>0.3520833333333333</v>
      </c>
      <c r="AD51" s="41">
        <v>24.73413</v>
      </c>
      <c r="AE51" s="41">
        <v>-157.32500999999999</v>
      </c>
      <c r="AF51" s="41">
        <v>41</v>
      </c>
      <c r="AG51" s="41">
        <v>1308</v>
      </c>
      <c r="AH51" s="46">
        <f t="shared" si="52"/>
        <v>0.77235627798600714</v>
      </c>
      <c r="AI51" s="46">
        <f t="shared" si="53"/>
        <v>31.133574518553107</v>
      </c>
      <c r="AJ51" s="123">
        <f t="shared" si="54"/>
        <v>0.68019065928769684</v>
      </c>
      <c r="AK51" s="47">
        <f t="shared" si="55"/>
        <v>38.972054041405976</v>
      </c>
      <c r="AL51" s="130">
        <f t="shared" si="56"/>
        <v>0.7474415593048076</v>
      </c>
      <c r="AM51" s="47">
        <f t="shared" si="13"/>
        <v>20.762265536244655</v>
      </c>
      <c r="AN51" s="47">
        <f t="shared" si="57"/>
        <v>0.40358615513218549</v>
      </c>
    </row>
    <row r="52" spans="2:45">
      <c r="Y52" s="41">
        <v>359</v>
      </c>
      <c r="Z52" s="42">
        <f t="shared" si="50"/>
        <v>40796.978472222225</v>
      </c>
      <c r="AA52" s="43">
        <f t="shared" si="51"/>
        <v>40796.978472222225</v>
      </c>
      <c r="AB52" s="51">
        <v>40797</v>
      </c>
      <c r="AC52" s="45">
        <v>0.39513888888888887</v>
      </c>
      <c r="AD52" s="41">
        <v>24.739529999999998</v>
      </c>
      <c r="AE52" s="41">
        <v>-157.3202</v>
      </c>
      <c r="AF52" s="41">
        <v>40</v>
      </c>
      <c r="AG52" s="41">
        <v>1302</v>
      </c>
      <c r="AH52" s="46">
        <f t="shared" si="52"/>
        <v>0.87207801399868778</v>
      </c>
      <c r="AI52" s="46">
        <f t="shared" si="53"/>
        <v>32.005652532551792</v>
      </c>
      <c r="AJ52" s="123">
        <f t="shared" si="54"/>
        <v>0.70558193528461244</v>
      </c>
      <c r="AK52" s="47">
        <f t="shared" si="55"/>
        <v>40.426866992481074</v>
      </c>
      <c r="AL52" s="130">
        <f t="shared" si="56"/>
        <v>0.88685899723080441</v>
      </c>
      <c r="AM52" s="47">
        <f t="shared" si="13"/>
        <v>24.634972145300122</v>
      </c>
      <c r="AN52" s="47">
        <f t="shared" si="57"/>
        <v>0.47886554926069352</v>
      </c>
    </row>
    <row r="53" spans="2:45">
      <c r="Y53" s="41">
        <v>360</v>
      </c>
      <c r="Z53" s="42">
        <f t="shared" si="50"/>
        <v>40797.01944444445</v>
      </c>
      <c r="AA53" s="43">
        <f t="shared" si="51"/>
        <v>40797.01944444445</v>
      </c>
      <c r="AB53" s="51">
        <v>40797</v>
      </c>
      <c r="AC53" s="45">
        <v>0.43611111111111112</v>
      </c>
      <c r="AD53" s="41">
        <v>24.7455</v>
      </c>
      <c r="AE53" s="41">
        <v>-157.31460000000001</v>
      </c>
      <c r="AF53" s="41">
        <v>43</v>
      </c>
      <c r="AG53" s="41">
        <v>1315</v>
      </c>
      <c r="AH53" s="46">
        <f t="shared" si="52"/>
        <v>0.84970810981171063</v>
      </c>
      <c r="AI53" s="46">
        <f t="shared" si="53"/>
        <v>32.8553606423635</v>
      </c>
      <c r="AJ53" s="123">
        <f t="shared" si="54"/>
        <v>0.76543874396168954</v>
      </c>
      <c r="AK53" s="47">
        <f t="shared" si="55"/>
        <v>43.856409504799636</v>
      </c>
      <c r="AL53" s="130">
        <f t="shared" si="56"/>
        <v>0.84970810986117018</v>
      </c>
      <c r="AM53" s="47">
        <f t="shared" si="13"/>
        <v>23.603003051699172</v>
      </c>
      <c r="AN53" s="47">
        <f t="shared" si="57"/>
        <v>0.45880567487104218</v>
      </c>
    </row>
    <row r="54" spans="2:45">
      <c r="Y54" s="41">
        <v>361</v>
      </c>
      <c r="Z54" s="42">
        <f t="shared" si="50"/>
        <v>40797.061111111114</v>
      </c>
      <c r="AA54" s="43">
        <f t="shared" si="51"/>
        <v>40797.061111111114</v>
      </c>
      <c r="AB54" s="51">
        <v>40797</v>
      </c>
      <c r="AC54" s="45">
        <v>0.4777777777777778</v>
      </c>
      <c r="AD54" s="41">
        <v>24.751010000000001</v>
      </c>
      <c r="AE54" s="41">
        <v>-157.30877000000001</v>
      </c>
      <c r="AF54" s="41">
        <v>41</v>
      </c>
      <c r="AG54" s="41">
        <v>1305</v>
      </c>
      <c r="AH54" s="46">
        <f t="shared" si="52"/>
        <v>0.81007344471114895</v>
      </c>
      <c r="AI54" s="46">
        <f t="shared" si="53"/>
        <v>33.665434087074651</v>
      </c>
      <c r="AJ54" s="123">
        <f t="shared" si="54"/>
        <v>0.8677475918009534</v>
      </c>
      <c r="AK54" s="47">
        <f t="shared" si="55"/>
        <v>49.718274692835585</v>
      </c>
      <c r="AL54" s="130">
        <f t="shared" si="56"/>
        <v>0.78394204323058225</v>
      </c>
      <c r="AM54" s="47">
        <f t="shared" si="13"/>
        <v>21.776167867516172</v>
      </c>
      <c r="AN54" s="47">
        <f t="shared" si="57"/>
        <v>0.42329483975733379</v>
      </c>
    </row>
    <row r="55" spans="2:45">
      <c r="Y55" s="41">
        <v>362</v>
      </c>
      <c r="Z55" s="42">
        <f t="shared" si="50"/>
        <v>40797.104166666672</v>
      </c>
      <c r="AA55" s="43">
        <f t="shared" si="51"/>
        <v>40797.104166666672</v>
      </c>
      <c r="AB55" s="51">
        <v>40797</v>
      </c>
      <c r="AC55" s="45">
        <v>0.52083333333333337</v>
      </c>
      <c r="AD55" s="41">
        <v>24.75572</v>
      </c>
      <c r="AE55" s="41">
        <v>-157.30265</v>
      </c>
      <c r="AF55" s="41">
        <v>41</v>
      </c>
      <c r="AG55" s="41">
        <v>1302</v>
      </c>
      <c r="AH55" s="46">
        <f t="shared" si="52"/>
        <v>0.6713518121141494</v>
      </c>
      <c r="AI55" s="46">
        <f t="shared" si="53"/>
        <v>34.336785899188797</v>
      </c>
      <c r="AJ55" s="123">
        <f t="shared" si="54"/>
        <v>0.8197380486025887</v>
      </c>
      <c r="AK55" s="47">
        <f t="shared" si="55"/>
        <v>46.967530491218284</v>
      </c>
      <c r="AL55" s="130">
        <f t="shared" si="56"/>
        <v>0.67135181215322726</v>
      </c>
      <c r="AM55" s="47">
        <f t="shared" si="13"/>
        <v>18.648661448700757</v>
      </c>
      <c r="AN55" s="47">
        <f t="shared" si="57"/>
        <v>0.36250097848446394</v>
      </c>
    </row>
    <row r="56" spans="2:45">
      <c r="Y56" s="41">
        <v>363</v>
      </c>
      <c r="Z56" s="42">
        <f t="shared" si="50"/>
        <v>40797.145833333336</v>
      </c>
      <c r="AA56" s="43">
        <f t="shared" si="51"/>
        <v>40797.145833333336</v>
      </c>
      <c r="AB56" s="51">
        <v>40797</v>
      </c>
      <c r="AC56" s="45">
        <v>0.5625</v>
      </c>
      <c r="AD56" s="41">
        <v>24.759840000000001</v>
      </c>
      <c r="AE56" s="41">
        <v>-157.29778999999999</v>
      </c>
      <c r="AF56" s="41">
        <v>41</v>
      </c>
      <c r="AG56" s="41">
        <v>1305</v>
      </c>
      <c r="AH56" s="46">
        <f t="shared" si="52"/>
        <v>0.62423303261345175</v>
      </c>
      <c r="AI56" s="46">
        <f t="shared" si="53"/>
        <v>34.961018931802251</v>
      </c>
      <c r="AJ56" s="123">
        <f t="shared" si="54"/>
        <v>1.0791580882956202</v>
      </c>
      <c r="AK56" s="47">
        <f t="shared" si="55"/>
        <v>61.831203886745278</v>
      </c>
      <c r="AL56" s="130">
        <f t="shared" si="56"/>
        <v>0.62423303264978691</v>
      </c>
      <c r="AM56" s="47">
        <f t="shared" si="13"/>
        <v>17.339806462494082</v>
      </c>
      <c r="AN56" s="47">
        <f t="shared" si="57"/>
        <v>0.33705887292105124</v>
      </c>
    </row>
    <row r="57" spans="2:45">
      <c r="Y57" s="41">
        <v>364</v>
      </c>
      <c r="Z57" s="42">
        <f t="shared" si="50"/>
        <v>40797.1875</v>
      </c>
      <c r="AA57" s="43">
        <f t="shared" si="51"/>
        <v>40797.1875</v>
      </c>
      <c r="AB57" s="51">
        <v>40797</v>
      </c>
      <c r="AC57" s="45">
        <v>0.60416666666666663</v>
      </c>
      <c r="AD57" s="41">
        <v>24.76249</v>
      </c>
      <c r="AE57" s="41">
        <v>-157.29234</v>
      </c>
      <c r="AF57" s="41">
        <v>40</v>
      </c>
      <c r="AG57" s="41">
        <v>1305</v>
      </c>
      <c r="AH57" s="46">
        <f t="shared" si="52"/>
        <v>0.67528264448950681</v>
      </c>
      <c r="AI57" s="46">
        <f t="shared" si="53"/>
        <v>35.636301576291757</v>
      </c>
      <c r="AJ57" s="123">
        <f t="shared" si="54"/>
        <v>1.2921897238737532</v>
      </c>
      <c r="AK57" s="47">
        <f t="shared" si="55"/>
        <v>74.03701750814129</v>
      </c>
      <c r="AL57" s="130">
        <f t="shared" si="56"/>
        <v>0.67528264441089358</v>
      </c>
      <c r="AM57" s="47">
        <f t="shared" si="13"/>
        <v>18.757851233635932</v>
      </c>
      <c r="AN57" s="47">
        <f t="shared" si="57"/>
        <v>0.36462345810523411</v>
      </c>
    </row>
    <row r="58" spans="2:45">
      <c r="Y58" s="41">
        <v>365</v>
      </c>
      <c r="Z58" s="42">
        <f t="shared" si="50"/>
        <v>40797.229166666672</v>
      </c>
      <c r="AA58" s="43">
        <f t="shared" si="51"/>
        <v>40797.229166666672</v>
      </c>
      <c r="AB58" s="51">
        <v>40797</v>
      </c>
      <c r="AC58" s="45">
        <v>0.64583333333333337</v>
      </c>
      <c r="AD58" s="41">
        <v>24.76416</v>
      </c>
      <c r="AE58" s="41">
        <v>-157.28591</v>
      </c>
      <c r="AF58" s="41">
        <v>44</v>
      </c>
      <c r="AG58" s="41">
        <v>1305</v>
      </c>
      <c r="AH58" s="46">
        <f t="shared" si="52"/>
        <v>0.67694892296818165</v>
      </c>
      <c r="AI58" s="46">
        <f t="shared" si="53"/>
        <v>36.313250499259937</v>
      </c>
      <c r="AJ58" s="123">
        <f t="shared" si="54"/>
        <v>1.3488447096911018</v>
      </c>
      <c r="AK58" s="47">
        <f t="shared" si="55"/>
        <v>77.283109083848899</v>
      </c>
      <c r="AL58" s="130">
        <f t="shared" si="56"/>
        <v>0.67694892300758525</v>
      </c>
      <c r="AM58" s="47">
        <f t="shared" si="13"/>
        <v>18.804136750210702</v>
      </c>
      <c r="AN58" s="47">
        <f t="shared" si="57"/>
        <v>0.36552317656997041</v>
      </c>
    </row>
    <row r="59" spans="2:45">
      <c r="Y59" s="41">
        <v>366</v>
      </c>
      <c r="Z59" s="42">
        <f t="shared" si="50"/>
        <v>40797.270833333336</v>
      </c>
      <c r="AA59" s="43">
        <f t="shared" si="51"/>
        <v>40797.270833333336</v>
      </c>
      <c r="AB59" s="51">
        <v>40797</v>
      </c>
      <c r="AC59" s="45">
        <v>0.6875</v>
      </c>
      <c r="AD59" s="41">
        <v>24.765499999999999</v>
      </c>
      <c r="AE59" s="41">
        <v>-157.27937</v>
      </c>
      <c r="AF59" s="41">
        <v>42</v>
      </c>
      <c r="AG59" s="41">
        <v>1308</v>
      </c>
      <c r="AH59" s="46">
        <f t="shared" si="52"/>
        <v>0.63981606464576646</v>
      </c>
      <c r="AI59" s="46">
        <f t="shared" si="53"/>
        <v>36.953066563905701</v>
      </c>
      <c r="AJ59" s="123">
        <f t="shared" si="54"/>
        <v>1.2907969556958223</v>
      </c>
      <c r="AK59" s="47">
        <f t="shared" si="55"/>
        <v>73.957217769705721</v>
      </c>
      <c r="AL59" s="130">
        <f t="shared" si="56"/>
        <v>0.63981606468300867</v>
      </c>
      <c r="AM59" s="47">
        <f t="shared" si="13"/>
        <v>17.772668463416906</v>
      </c>
      <c r="AN59" s="47">
        <f t="shared" si="57"/>
        <v>0.3454730370858578</v>
      </c>
    </row>
    <row r="60" spans="2:45">
      <c r="Y60" s="41">
        <v>367</v>
      </c>
      <c r="Z60" s="42">
        <f t="shared" si="50"/>
        <v>40797.3125</v>
      </c>
      <c r="AA60" s="43">
        <f t="shared" si="51"/>
        <v>40797.3125</v>
      </c>
      <c r="AB60" s="51">
        <v>40797</v>
      </c>
      <c r="AC60" s="45">
        <v>0.72916666666666663</v>
      </c>
      <c r="AD60" s="41">
        <v>24.76709</v>
      </c>
      <c r="AE60" s="41">
        <v>-157.27328</v>
      </c>
      <c r="AF60" s="41">
        <v>40</v>
      </c>
      <c r="AG60" s="41">
        <v>1305</v>
      </c>
      <c r="AH60" s="46">
        <f t="shared" si="52"/>
        <v>0.86542305173156875</v>
      </c>
      <c r="AI60" s="46">
        <f t="shared" si="53"/>
        <v>37.818489615637269</v>
      </c>
      <c r="AJ60" s="123">
        <f t="shared" si="54"/>
        <v>1.2559346483874867</v>
      </c>
      <c r="AK60" s="47">
        <f t="shared" si="55"/>
        <v>71.959754696850013</v>
      </c>
      <c r="AL60" s="130">
        <f t="shared" si="56"/>
        <v>0.85123578859167737</v>
      </c>
      <c r="AM60" s="47">
        <f t="shared" si="13"/>
        <v>23.64543857199104</v>
      </c>
      <c r="AN60" s="47">
        <f t="shared" si="57"/>
        <v>0.45963055539507414</v>
      </c>
    </row>
    <row r="61" spans="2:45">
      <c r="X61" s="107"/>
      <c r="Y61" s="41">
        <v>368</v>
      </c>
      <c r="Z61" s="131">
        <f t="shared" si="50"/>
        <v>40797.354861111111</v>
      </c>
      <c r="AA61" s="43">
        <f t="shared" si="51"/>
        <v>40797.354861111111</v>
      </c>
      <c r="AB61" s="51">
        <v>40797</v>
      </c>
      <c r="AC61" s="45">
        <v>0.7715277777777777</v>
      </c>
      <c r="AD61" s="41">
        <v>24.769500000000001</v>
      </c>
      <c r="AE61" s="41">
        <v>-157.26513</v>
      </c>
      <c r="AF61" s="41">
        <v>41</v>
      </c>
      <c r="AG61" s="41">
        <v>1308</v>
      </c>
      <c r="AH61" s="46">
        <f t="shared" si="52"/>
        <v>0.84192249675614128</v>
      </c>
      <c r="AI61" s="46">
        <f t="shared" si="53"/>
        <v>38.660412112393409</v>
      </c>
      <c r="AJ61" s="123">
        <f t="shared" si="54"/>
        <v>1.3753757053886542</v>
      </c>
      <c r="AK61" s="47">
        <f t="shared" si="55"/>
        <v>78.803223163598403</v>
      </c>
      <c r="AL61" s="130">
        <f t="shared" si="56"/>
        <v>0.814763706498425</v>
      </c>
      <c r="AM61" s="47">
        <f t="shared" si="13"/>
        <v>22.632325180511806</v>
      </c>
      <c r="AN61" s="47">
        <f t="shared" si="57"/>
        <v>0.43993720653262686</v>
      </c>
    </row>
    <row r="62" spans="2:45">
      <c r="X62" s="107"/>
      <c r="Y62" s="41">
        <v>369</v>
      </c>
      <c r="Z62" s="131">
        <f t="shared" si="50"/>
        <v>40797.397916666669</v>
      </c>
      <c r="AA62" s="43">
        <f t="shared" si="51"/>
        <v>40797.397916666669</v>
      </c>
      <c r="AB62" s="51">
        <v>40797</v>
      </c>
      <c r="AC62" s="45">
        <v>0.81458333333333333</v>
      </c>
      <c r="AD62" s="41">
        <v>24.770969999999998</v>
      </c>
      <c r="AE62" s="41">
        <v>-157.25694999999999</v>
      </c>
      <c r="AF62" s="41">
        <v>41</v>
      </c>
      <c r="AG62" s="41">
        <v>1305</v>
      </c>
      <c r="AH62" s="46">
        <f t="shared" ref="AH62:AH72" si="58">ACOS(SIN(RADIANS(AD62))*SIN(RADIANS(AD63))+COS(RADIANS(AD62))*COS(RADIANS(AD63))*COS(RADIANS(AE63)-RADIANS(AE62)))*6371.1</f>
        <v>0.79875999170037293</v>
      </c>
      <c r="AI62" s="46">
        <f t="shared" ref="AI62:AI72" si="59">AI61+AH62</f>
        <v>39.459172104093781</v>
      </c>
      <c r="AJ62" s="123">
        <f t="shared" ref="AJ62:AJ72" si="60">RADIANS(AK62)</f>
        <v>1.3504272497511554</v>
      </c>
      <c r="AK62" s="47">
        <f t="shared" ref="AK62:AK72" si="61">MOD(DEGREES(ATAN2(COS(RADIANS(AD62))*SIN(RADIANS(AD63))-SIN(RADIANS(AD62))*COS(RADIANS(AD63))*COS(RADIANS(AE63)-RADIANS(AE62)),SIN(RADIANS(AE63)-RADIANS(AE62))*COS(RADIANS(AD63)))), 360)</f>
        <v>77.373781950200353</v>
      </c>
      <c r="AL62" s="130">
        <f t="shared" ref="AL62:AL72" si="62">AH62/((AA63-AA62)*24)</f>
        <v>0.79875999174686685</v>
      </c>
      <c r="AM62" s="47">
        <f t="shared" si="13"/>
        <v>22.187777548524078</v>
      </c>
      <c r="AN62" s="47">
        <f t="shared" ref="AN62:AN72" si="63">AL62/1.852</f>
        <v>0.43129589187195833</v>
      </c>
    </row>
    <row r="63" spans="2:45">
      <c r="X63" s="107"/>
      <c r="Y63" s="41">
        <v>370</v>
      </c>
      <c r="Z63" s="131">
        <f>(AB63+AC63)-(10/24)</f>
        <v>40797.439583333333</v>
      </c>
      <c r="AA63" s="43">
        <f>(AB63+AC63)-(10/24)</f>
        <v>40797.439583333333</v>
      </c>
      <c r="AB63" s="51">
        <v>40797</v>
      </c>
      <c r="AC63" s="45">
        <v>0.85625000000000007</v>
      </c>
      <c r="AD63">
        <v>24.772539999999999</v>
      </c>
      <c r="AE63" s="107">
        <v>-157.24923000000001</v>
      </c>
      <c r="AF63">
        <v>42</v>
      </c>
      <c r="AG63">
        <v>1308</v>
      </c>
      <c r="AH63" s="46">
        <f t="shared" si="58"/>
        <v>0.78682181022057507</v>
      </c>
      <c r="AI63" s="46">
        <f t="shared" si="59"/>
        <v>40.245993914314354</v>
      </c>
      <c r="AJ63" s="123">
        <f t="shared" si="60"/>
        <v>1.3003843097358887</v>
      </c>
      <c r="AK63" s="47">
        <f t="shared" si="61"/>
        <v>74.506532692899228</v>
      </c>
      <c r="AL63" s="130">
        <f t="shared" si="62"/>
        <v>0.78682181012897701</v>
      </c>
      <c r="AM63" s="47">
        <f t="shared" si="13"/>
        <v>21.856161392471581</v>
      </c>
      <c r="AN63" s="47">
        <f t="shared" si="63"/>
        <v>0.42484978948648866</v>
      </c>
    </row>
    <row r="64" spans="2:45">
      <c r="X64" s="107"/>
      <c r="Y64" s="41">
        <v>371</v>
      </c>
      <c r="Z64" s="131">
        <f>(AB64+AC64)-(10/24)</f>
        <v>40797.481250000004</v>
      </c>
      <c r="AA64" s="43">
        <f>(AB64+AC64)-(10/24)</f>
        <v>40797.481250000004</v>
      </c>
      <c r="AB64" s="51">
        <v>40797</v>
      </c>
      <c r="AC64" s="45">
        <v>0.8979166666666667</v>
      </c>
      <c r="AD64">
        <v>24.774429999999999</v>
      </c>
      <c r="AE64" s="107">
        <v>-157.24171999999999</v>
      </c>
      <c r="AF64">
        <v>42</v>
      </c>
      <c r="AG64">
        <v>1305</v>
      </c>
      <c r="AH64" s="46">
        <f t="shared" si="58"/>
        <v>0.76283436662391058</v>
      </c>
      <c r="AI64" s="46">
        <f t="shared" si="59"/>
        <v>41.008828280938268</v>
      </c>
      <c r="AJ64" s="123">
        <f t="shared" si="60"/>
        <v>1.3203553939391626</v>
      </c>
      <c r="AK64" s="47">
        <f t="shared" si="61"/>
        <v>75.650791530047215</v>
      </c>
      <c r="AL64" s="130">
        <f t="shared" si="62"/>
        <v>0.73822680649894923</v>
      </c>
      <c r="AM64" s="47">
        <f t="shared" si="13"/>
        <v>20.50630018052637</v>
      </c>
      <c r="AN64" s="47">
        <f t="shared" si="63"/>
        <v>0.39861058666249954</v>
      </c>
    </row>
    <row r="65" spans="3:40">
      <c r="Y65" s="41">
        <v>372</v>
      </c>
      <c r="Z65" s="131">
        <f>(AB65+AC65)-(10/24)</f>
        <v>40797.524305555555</v>
      </c>
      <c r="AA65" s="43">
        <f>(AB65+AC65)-(10/24)</f>
        <v>40797.524305555555</v>
      </c>
      <c r="AB65" s="51">
        <v>40797</v>
      </c>
      <c r="AC65" s="45">
        <v>0.94097222222222221</v>
      </c>
      <c r="AD65">
        <v>24.776129999999998</v>
      </c>
      <c r="AE65">
        <v>-157.23439999999999</v>
      </c>
      <c r="AF65">
        <v>43</v>
      </c>
      <c r="AG65">
        <v>1305</v>
      </c>
      <c r="AH65" s="46">
        <f t="shared" si="58"/>
        <v>0.67072858279892056</v>
      </c>
      <c r="AI65" s="46">
        <f t="shared" si="59"/>
        <v>41.67955686373719</v>
      </c>
      <c r="AJ65" s="123">
        <f t="shared" si="60"/>
        <v>1.3856964417151352</v>
      </c>
      <c r="AK65" s="47">
        <f t="shared" si="61"/>
        <v>79.39455779657311</v>
      </c>
      <c r="AL65" s="130">
        <f t="shared" si="62"/>
        <v>0.67072858272083746</v>
      </c>
      <c r="AM65" s="47">
        <f t="shared" si="13"/>
        <v>18.631349520023264</v>
      </c>
      <c r="AN65" s="47">
        <f t="shared" si="63"/>
        <v>0.36216446151233123</v>
      </c>
    </row>
    <row r="66" spans="3:40">
      <c r="Y66" s="41">
        <v>373</v>
      </c>
      <c r="Z66" s="131">
        <f>(AB66+AC66)-(10/24)</f>
        <v>40797.565972222226</v>
      </c>
      <c r="AA66" s="43">
        <f>(AB66+AC66)-(10/24)</f>
        <v>40797.565972222226</v>
      </c>
      <c r="AB66" s="51">
        <v>40797</v>
      </c>
      <c r="AC66" s="45">
        <v>0.98263888888888884</v>
      </c>
      <c r="AD66">
        <v>24.777239999999999</v>
      </c>
      <c r="AE66">
        <v>-157.22787</v>
      </c>
      <c r="AF66">
        <v>44</v>
      </c>
      <c r="AG66">
        <v>1308</v>
      </c>
      <c r="AH66" s="46">
        <f t="shared" si="58"/>
        <v>0.47787346805819958</v>
      </c>
      <c r="AI66" s="46">
        <f t="shared" si="59"/>
        <v>42.157430331795389</v>
      </c>
      <c r="AJ66" s="123">
        <f t="shared" si="60"/>
        <v>1.5335399235401903</v>
      </c>
      <c r="AK66" s="47">
        <f t="shared" si="61"/>
        <v>87.865365333667867</v>
      </c>
      <c r="AL66" s="130">
        <f t="shared" si="62"/>
        <v>0.47003947678035107</v>
      </c>
      <c r="AM66" s="47">
        <f t="shared" si="13"/>
        <v>13.05665213278753</v>
      </c>
      <c r="AN66" s="47">
        <f t="shared" si="63"/>
        <v>0.25380101338031913</v>
      </c>
    </row>
    <row r="67" spans="3:40">
      <c r="Y67" s="41">
        <v>374</v>
      </c>
      <c r="Z67" s="131">
        <f t="shared" ref="Z67:Z72" si="64">(AB67+AC67)-(10/24)</f>
        <v>40797.608333333337</v>
      </c>
      <c r="AA67" s="43">
        <f t="shared" ref="AA67:AA72" si="65">(AB67+AC67)-(10/24)</f>
        <v>40797.608333333337</v>
      </c>
      <c r="AB67" s="51">
        <v>40798</v>
      </c>
      <c r="AC67" s="45">
        <v>2.4999999999999998E-2</v>
      </c>
      <c r="AD67">
        <v>24.7774</v>
      </c>
      <c r="AE67">
        <v>-157.22314</v>
      </c>
      <c r="AF67">
        <v>42</v>
      </c>
      <c r="AG67">
        <v>1305</v>
      </c>
      <c r="AH67" s="46">
        <f t="shared" si="58"/>
        <v>0.42165157776515005</v>
      </c>
      <c r="AI67" s="46">
        <f t="shared" si="59"/>
        <v>42.579081909560536</v>
      </c>
      <c r="AJ67" s="123">
        <f t="shared" si="60"/>
        <v>1.6261899834807589</v>
      </c>
      <c r="AK67" s="47">
        <f t="shared" si="61"/>
        <v>93.173822739896551</v>
      </c>
      <c r="AL67" s="130">
        <f t="shared" si="62"/>
        <v>0.40804991394635354</v>
      </c>
      <c r="AM67" s="47">
        <f t="shared" si="13"/>
        <v>11.334719831843152</v>
      </c>
      <c r="AN67" s="47">
        <f t="shared" si="63"/>
        <v>0.22032932718485612</v>
      </c>
    </row>
    <row r="68" spans="3:40">
      <c r="Y68" s="41">
        <v>375</v>
      </c>
      <c r="Z68" s="131">
        <f t="shared" si="64"/>
        <v>40797.651388888895</v>
      </c>
      <c r="AA68" s="43">
        <f t="shared" si="65"/>
        <v>40797.651388888895</v>
      </c>
      <c r="AB68" s="51">
        <v>40798</v>
      </c>
      <c r="AC68" s="21">
        <v>6.805555555555555E-2</v>
      </c>
      <c r="AD68">
        <v>24.777190000000001</v>
      </c>
      <c r="AE68">
        <v>-157.21897000000001</v>
      </c>
      <c r="AF68">
        <v>44</v>
      </c>
      <c r="AG68">
        <v>1305</v>
      </c>
      <c r="AH68" s="46">
        <f t="shared" si="58"/>
        <v>0.27303734428307364</v>
      </c>
      <c r="AI68" s="46">
        <f t="shared" si="59"/>
        <v>42.852119253843611</v>
      </c>
      <c r="AJ68" s="123">
        <f t="shared" si="60"/>
        <v>1.7716918928981769</v>
      </c>
      <c r="AK68" s="47">
        <f t="shared" si="61"/>
        <v>101.5104680606094</v>
      </c>
      <c r="AL68" s="130">
        <f t="shared" si="62"/>
        <v>0.27303734429896648</v>
      </c>
      <c r="AM68" s="47">
        <f t="shared" si="13"/>
        <v>7.5843706749712911</v>
      </c>
      <c r="AN68" s="47">
        <f t="shared" si="63"/>
        <v>0.14742837165170974</v>
      </c>
    </row>
    <row r="69" spans="3:40">
      <c r="Y69" s="41">
        <v>376</v>
      </c>
      <c r="Z69" s="131">
        <f t="shared" si="64"/>
        <v>40797.693055555559</v>
      </c>
      <c r="AA69" s="43">
        <f t="shared" si="65"/>
        <v>40797.693055555559</v>
      </c>
      <c r="AB69" s="51">
        <v>40798</v>
      </c>
      <c r="AC69" s="21">
        <v>0.10972222222222222</v>
      </c>
      <c r="AD69">
        <v>24.776700000000002</v>
      </c>
      <c r="AE69">
        <v>-157.21632</v>
      </c>
      <c r="AF69">
        <v>41</v>
      </c>
      <c r="AG69">
        <v>1305</v>
      </c>
      <c r="AH69" s="46">
        <f t="shared" si="58"/>
        <v>0.31302791223530307</v>
      </c>
      <c r="AI69" s="46">
        <f t="shared" si="59"/>
        <v>43.165147166078917</v>
      </c>
      <c r="AJ69" s="123">
        <f t="shared" si="60"/>
        <v>1.5885473868196229</v>
      </c>
      <c r="AK69" s="47">
        <f t="shared" si="61"/>
        <v>91.017060821300205</v>
      </c>
      <c r="AL69" s="130">
        <f t="shared" si="62"/>
        <v>0.30293023763227866</v>
      </c>
      <c r="AM69" s="47">
        <f t="shared" si="13"/>
        <v>8.4147288231188515</v>
      </c>
      <c r="AN69" s="47">
        <f t="shared" si="63"/>
        <v>0.16356924278200791</v>
      </c>
    </row>
    <row r="70" spans="3:40">
      <c r="C70" s="13"/>
      <c r="Y70" s="41">
        <v>377</v>
      </c>
      <c r="Z70" s="131">
        <f t="shared" si="64"/>
        <v>40797.736111111117</v>
      </c>
      <c r="AA70" s="43">
        <f t="shared" si="65"/>
        <v>40797.736111111117</v>
      </c>
      <c r="AB70" s="51">
        <v>40798</v>
      </c>
      <c r="AC70" s="21">
        <v>0.15277777777777776</v>
      </c>
      <c r="AD70">
        <v>24.77665</v>
      </c>
      <c r="AE70">
        <v>-157.21322000000001</v>
      </c>
      <c r="AF70">
        <v>41</v>
      </c>
      <c r="AG70">
        <v>1308</v>
      </c>
      <c r="AH70" s="46">
        <f t="shared" si="58"/>
        <v>0.25247488781630084</v>
      </c>
      <c r="AI70" s="46">
        <f t="shared" si="59"/>
        <v>43.417622053895215</v>
      </c>
      <c r="AJ70" s="123">
        <f t="shared" si="60"/>
        <v>1.6634091948186525</v>
      </c>
      <c r="AK70" s="47">
        <f t="shared" si="61"/>
        <v>95.306326466363302</v>
      </c>
      <c r="AL70" s="130">
        <f t="shared" si="62"/>
        <v>0.25675412323240132</v>
      </c>
      <c r="AM70" s="47">
        <f t="shared" si="13"/>
        <v>7.1320589786778132</v>
      </c>
      <c r="AN70" s="47">
        <f t="shared" si="63"/>
        <v>0.13863613565464433</v>
      </c>
    </row>
    <row r="71" spans="3:40">
      <c r="C71" s="13"/>
      <c r="Y71" s="41">
        <v>378</v>
      </c>
      <c r="Z71" s="131">
        <f t="shared" si="64"/>
        <v>40797.777083333334</v>
      </c>
      <c r="AA71" s="43">
        <f t="shared" si="65"/>
        <v>40797.777083333334</v>
      </c>
      <c r="AB71" s="51">
        <v>40798</v>
      </c>
      <c r="AC71" s="21">
        <v>0.19375000000000001</v>
      </c>
      <c r="AD71">
        <v>24.776440000000001</v>
      </c>
      <c r="AE71">
        <v>-157.21073000000001</v>
      </c>
      <c r="AF71">
        <v>43</v>
      </c>
      <c r="AG71">
        <v>1315</v>
      </c>
      <c r="AH71" s="46">
        <f t="shared" si="58"/>
        <v>0.18692192903272789</v>
      </c>
      <c r="AI71" s="46">
        <f t="shared" si="59"/>
        <v>43.604543982927943</v>
      </c>
      <c r="AJ71" s="123">
        <f t="shared" si="60"/>
        <v>2.0871904672503403</v>
      </c>
      <c r="AK71" s="47">
        <f t="shared" si="61"/>
        <v>119.58720481338277</v>
      </c>
      <c r="AL71" s="130">
        <f t="shared" si="62"/>
        <v>0.18385763511486033</v>
      </c>
      <c r="AM71" s="47">
        <f t="shared" si="13"/>
        <v>5.107156530968342</v>
      </c>
      <c r="AN71" s="47">
        <f t="shared" si="63"/>
        <v>9.9275180947548766E-2</v>
      </c>
    </row>
    <row r="72" spans="3:40">
      <c r="C72" s="13"/>
      <c r="Y72" s="41">
        <v>379</v>
      </c>
      <c r="Z72" s="131">
        <f t="shared" si="64"/>
        <v>40797.819444444445</v>
      </c>
      <c r="AA72" s="43">
        <f t="shared" si="65"/>
        <v>40797.819444444445</v>
      </c>
      <c r="AB72" s="51">
        <v>40798</v>
      </c>
      <c r="AC72" s="21">
        <v>0.23611111111111113</v>
      </c>
      <c r="AD72">
        <v>24.77561</v>
      </c>
      <c r="AE72">
        <v>-157.20912000000001</v>
      </c>
      <c r="AF72">
        <v>41</v>
      </c>
      <c r="AG72">
        <v>1305</v>
      </c>
      <c r="AH72" s="46">
        <f t="shared" si="58"/>
        <v>0.3075052979965382</v>
      </c>
      <c r="AI72" s="46">
        <f t="shared" si="59"/>
        <v>43.912049280924478</v>
      </c>
      <c r="AJ72" s="123">
        <f t="shared" si="60"/>
        <v>1.632297517189419</v>
      </c>
      <c r="AK72" s="47">
        <f t="shared" si="61"/>
        <v>93.523758644636644</v>
      </c>
      <c r="AL72" s="130">
        <f t="shared" si="62"/>
        <v>0.29758577224018645</v>
      </c>
      <c r="AM72" s="47">
        <f t="shared" si="13"/>
        <v>8.2662714511162889</v>
      </c>
      <c r="AN72" s="47">
        <f t="shared" si="63"/>
        <v>0.16068346233271405</v>
      </c>
    </row>
    <row r="73" spans="3:40">
      <c r="C73" s="13"/>
      <c r="Y73" s="41">
        <v>380</v>
      </c>
      <c r="Z73" s="131">
        <f>(AB73+AC73)-(10/24)</f>
        <v>40797.862500000003</v>
      </c>
      <c r="AA73" s="43">
        <f>(AB73+AC73)-(10/24)</f>
        <v>40797.862500000003</v>
      </c>
      <c r="AB73" s="51">
        <v>40798</v>
      </c>
      <c r="AC73" s="21">
        <v>0.27916666666666667</v>
      </c>
      <c r="AD73">
        <v>24.77544</v>
      </c>
      <c r="AE73">
        <v>-157.20607999999999</v>
      </c>
      <c r="AF73">
        <v>41</v>
      </c>
      <c r="AG73">
        <v>1308</v>
      </c>
      <c r="AH73" s="46">
        <f t="shared" ref="AH73:AH86" si="66">ACOS(SIN(RADIANS(AD73))*SIN(RADIANS(AD74))+COS(RADIANS(AD73))*COS(RADIANS(AD74))*COS(RADIANS(AE74)-RADIANS(AE73)))*6371.1</f>
        <v>0.36159315171484485</v>
      </c>
      <c r="AI73" s="46">
        <f t="shared" ref="AI73:AI86" si="67">AI72+AH73</f>
        <v>44.273642432639321</v>
      </c>
      <c r="AJ73" s="123">
        <f t="shared" ref="AJ73:AJ86" si="68">RADIANS(AK73)</f>
        <v>1.3852089060275026</v>
      </c>
      <c r="AK73" s="47">
        <f t="shared" ref="AK73:AK86" si="69">MOD(DEGREES(ATAN2(COS(RADIANS(AD73))*SIN(RADIANS(AD74))-SIN(RADIANS(AD73))*COS(RADIANS(AD74))*COS(RADIANS(AE74)-RADIANS(AE73)),SIN(RADIANS(AE74)-RADIANS(AE73))*COS(RADIANS(AD74)))), 360)</f>
        <v>79.366624059309757</v>
      </c>
      <c r="AL73" s="130">
        <f t="shared" ref="AL73:AL86" si="70">AH73/((AA74-AA73)*24)</f>
        <v>0.36772184917831902</v>
      </c>
      <c r="AM73" s="47">
        <f t="shared" si="13"/>
        <v>10.214495810508861</v>
      </c>
      <c r="AN73" s="47">
        <f t="shared" ref="AN73:AN86" si="71">AL73/1.852</f>
        <v>0.1985539142431528</v>
      </c>
    </row>
    <row r="74" spans="3:40">
      <c r="C74" s="13"/>
      <c r="Y74">
        <v>381</v>
      </c>
      <c r="Z74" s="131">
        <f>(AB74+AC74)-(10/24)</f>
        <v>40797.903472222228</v>
      </c>
      <c r="AA74" s="43">
        <f>(AB74+AC74)-(10/24)</f>
        <v>40797.903472222228</v>
      </c>
      <c r="AB74" s="51">
        <v>40798</v>
      </c>
      <c r="AC74" s="21">
        <v>0.32013888888888892</v>
      </c>
      <c r="AD74">
        <v>24.776039999999998</v>
      </c>
      <c r="AE74">
        <v>-157.20256000000001</v>
      </c>
      <c r="AF74">
        <v>41</v>
      </c>
      <c r="AG74">
        <v>1308</v>
      </c>
      <c r="AH74" s="46">
        <f t="shared" si="66"/>
        <v>0.52313792710492102</v>
      </c>
      <c r="AI74" s="46">
        <f t="shared" si="67"/>
        <v>44.79678035974424</v>
      </c>
      <c r="AJ74" s="123">
        <f t="shared" si="68"/>
        <v>0.9517074087463423</v>
      </c>
      <c r="AK74" s="47">
        <f t="shared" si="69"/>
        <v>54.52881785249734</v>
      </c>
      <c r="AL74" s="130">
        <f t="shared" si="70"/>
        <v>0.51456189551500109</v>
      </c>
      <c r="AM74" s="47">
        <f t="shared" si="13"/>
        <v>14.293385986527808</v>
      </c>
      <c r="AN74" s="47">
        <f t="shared" si="71"/>
        <v>0.27784119628239801</v>
      </c>
    </row>
    <row r="75" spans="3:40">
      <c r="Y75">
        <v>382</v>
      </c>
      <c r="Z75" s="131">
        <f>(AB75+AC75)-(10/24)</f>
        <v>40797.945833333339</v>
      </c>
      <c r="AA75" s="43">
        <f>(AB75+AC75)-(10/24)</f>
        <v>40797.945833333339</v>
      </c>
      <c r="AB75" s="51">
        <v>40798</v>
      </c>
      <c r="AC75" s="21">
        <v>0.36249999999999999</v>
      </c>
      <c r="AD75">
        <v>24.778770000000002</v>
      </c>
      <c r="AE75">
        <v>-157.19834</v>
      </c>
      <c r="AF75">
        <v>41</v>
      </c>
      <c r="AG75">
        <v>1302</v>
      </c>
      <c r="AH75" s="46">
        <f t="shared" si="66"/>
        <v>0.69140909609232315</v>
      </c>
      <c r="AI75" s="46">
        <f t="shared" si="67"/>
        <v>45.488189455836562</v>
      </c>
      <c r="AJ75" s="123">
        <f t="shared" si="68"/>
        <v>0.88034332930288062</v>
      </c>
      <c r="AK75" s="47">
        <f t="shared" si="69"/>
        <v>50.43995729155067</v>
      </c>
      <c r="AL75" s="130">
        <f t="shared" si="70"/>
        <v>0.66910557694394535</v>
      </c>
      <c r="AM75" s="47">
        <f t="shared" si="13"/>
        <v>18.586266026220702</v>
      </c>
      <c r="AN75" s="47">
        <f t="shared" si="71"/>
        <v>0.36128810850105036</v>
      </c>
    </row>
    <row r="76" spans="3:40">
      <c r="Y76">
        <v>383</v>
      </c>
      <c r="Z76" s="131">
        <f>(AB76+AC76)-(10/24)</f>
        <v>40797.988888888889</v>
      </c>
      <c r="AA76" s="43">
        <f>(AB76+AC76)-(10/24)</f>
        <v>40797.988888888889</v>
      </c>
      <c r="AB76" s="51">
        <v>40798</v>
      </c>
      <c r="AC76" s="21">
        <v>0.4055555555555555</v>
      </c>
      <c r="AD76">
        <v>24.782730000000001</v>
      </c>
      <c r="AE76">
        <v>-157.19306</v>
      </c>
      <c r="AF76">
        <v>41</v>
      </c>
      <c r="AG76">
        <v>1305</v>
      </c>
      <c r="AH76" s="46">
        <f t="shared" si="66"/>
        <v>0.55760969549714279</v>
      </c>
      <c r="AI76" s="46">
        <f t="shared" si="67"/>
        <v>46.045799151333703</v>
      </c>
      <c r="AJ76" s="123">
        <f t="shared" si="68"/>
        <v>0.78139272051719355</v>
      </c>
      <c r="AK76" s="47">
        <f t="shared" si="69"/>
        <v>44.770505027880681</v>
      </c>
      <c r="AL76" s="130">
        <f t="shared" si="70"/>
        <v>0.55760969543222849</v>
      </c>
      <c r="AM76" s="47">
        <f t="shared" si="13"/>
        <v>15.48915820645079</v>
      </c>
      <c r="AN76" s="47">
        <f t="shared" si="71"/>
        <v>0.30108514872150566</v>
      </c>
    </row>
    <row r="77" spans="3:40">
      <c r="Y77">
        <v>384</v>
      </c>
      <c r="Z77" s="131">
        <f t="shared" ref="Z77:Z87" si="72">(AB77+AC77)-(10/24)</f>
        <v>40798.030555555561</v>
      </c>
      <c r="AA77" s="43">
        <f t="shared" ref="AA77:AA87" si="73">(AB77+AC77)-(10/24)</f>
        <v>40798.030555555561</v>
      </c>
      <c r="AB77" s="51">
        <v>40798</v>
      </c>
      <c r="AC77" s="21">
        <v>0.44722222222222219</v>
      </c>
      <c r="AD77">
        <v>24.786290000000001</v>
      </c>
      <c r="AE77">
        <v>-157.18916999999999</v>
      </c>
      <c r="AF77">
        <v>42</v>
      </c>
      <c r="AG77">
        <v>1305</v>
      </c>
      <c r="AH77" s="46">
        <f t="shared" si="66"/>
        <v>0.48646036364163647</v>
      </c>
      <c r="AI77" s="46">
        <f t="shared" si="67"/>
        <v>46.532259514975337</v>
      </c>
      <c r="AJ77" s="123">
        <f t="shared" si="68"/>
        <v>1.0934022684248452</v>
      </c>
      <c r="AK77" s="47">
        <f t="shared" si="69"/>
        <v>62.647335290773988</v>
      </c>
      <c r="AL77" s="130">
        <f t="shared" si="70"/>
        <v>0.48646036366995221</v>
      </c>
      <c r="AM77" s="47">
        <f t="shared" ref="AM77:AM87" si="74">(AL77*1000*100)/3600</f>
        <v>13.512787879720895</v>
      </c>
      <c r="AN77" s="47">
        <f t="shared" si="71"/>
        <v>0.26266758297513615</v>
      </c>
    </row>
    <row r="78" spans="3:40">
      <c r="Y78">
        <v>385</v>
      </c>
      <c r="Z78" s="131">
        <f t="shared" si="72"/>
        <v>40798.072222222225</v>
      </c>
      <c r="AA78" s="43">
        <f t="shared" si="73"/>
        <v>40798.072222222225</v>
      </c>
      <c r="AB78" s="51">
        <v>40798</v>
      </c>
      <c r="AC78" s="21">
        <v>0.48888888888888887</v>
      </c>
      <c r="AD78">
        <v>24.7883</v>
      </c>
      <c r="AE78">
        <v>-157.18489</v>
      </c>
      <c r="AF78">
        <v>45</v>
      </c>
      <c r="AG78">
        <v>1305</v>
      </c>
      <c r="AH78" s="46">
        <f t="shared" si="66"/>
        <v>0.42422633095787715</v>
      </c>
      <c r="AI78" s="46">
        <f t="shared" si="67"/>
        <v>46.956485845933216</v>
      </c>
      <c r="AJ78" s="123">
        <f t="shared" si="68"/>
        <v>1.4128556745809799</v>
      </c>
      <c r="AK78" s="47">
        <f t="shared" si="69"/>
        <v>80.950667214599008</v>
      </c>
      <c r="AL78" s="130">
        <f t="shared" si="70"/>
        <v>0.41727180094376692</v>
      </c>
      <c r="AM78" s="47">
        <f t="shared" si="74"/>
        <v>11.590883359549082</v>
      </c>
      <c r="AN78" s="47">
        <f t="shared" si="71"/>
        <v>0.22530874780980933</v>
      </c>
    </row>
    <row r="79" spans="3:40">
      <c r="Y79">
        <v>386</v>
      </c>
      <c r="Z79" s="131">
        <f t="shared" si="72"/>
        <v>40798.114583333336</v>
      </c>
      <c r="AA79" s="43">
        <f t="shared" si="73"/>
        <v>40798.114583333336</v>
      </c>
      <c r="AB79" s="51">
        <v>40798</v>
      </c>
      <c r="AC79" s="21">
        <v>0.53125</v>
      </c>
      <c r="AD79">
        <v>24.788900000000002</v>
      </c>
      <c r="AE79">
        <v>-157.18073999999999</v>
      </c>
      <c r="AF79">
        <v>41</v>
      </c>
      <c r="AG79">
        <v>1299</v>
      </c>
      <c r="AH79" s="46">
        <f t="shared" si="66"/>
        <v>0.45968326135706888</v>
      </c>
      <c r="AI79" s="46">
        <f t="shared" si="67"/>
        <v>47.416169107290287</v>
      </c>
      <c r="AJ79" s="123">
        <f t="shared" si="68"/>
        <v>1.3908050545465984</v>
      </c>
      <c r="AK79" s="47">
        <f t="shared" si="69"/>
        <v>79.687259750982335</v>
      </c>
      <c r="AL79" s="130">
        <f t="shared" si="70"/>
        <v>0.45214747018900669</v>
      </c>
      <c r="AM79" s="47">
        <f t="shared" si="74"/>
        <v>12.559651949694631</v>
      </c>
      <c r="AN79" s="47">
        <f t="shared" si="71"/>
        <v>0.24414010269384809</v>
      </c>
    </row>
    <row r="80" spans="3:40">
      <c r="Y80">
        <v>387</v>
      </c>
      <c r="Z80" s="131">
        <f t="shared" si="72"/>
        <v>40798.156944444447</v>
      </c>
      <c r="AA80" s="43">
        <f t="shared" si="73"/>
        <v>40798.156944444447</v>
      </c>
      <c r="AB80" s="51">
        <v>40798</v>
      </c>
      <c r="AC80" s="21">
        <v>0.57361111111111118</v>
      </c>
      <c r="AD80">
        <v>24.789639999999999</v>
      </c>
      <c r="AE80">
        <v>-157.17626000000001</v>
      </c>
      <c r="AF80">
        <v>41</v>
      </c>
      <c r="AG80">
        <v>1305</v>
      </c>
      <c r="AH80" s="46">
        <f t="shared" si="66"/>
        <v>0.54554711378232168</v>
      </c>
      <c r="AI80" s="46">
        <f t="shared" si="67"/>
        <v>47.961716221072606</v>
      </c>
      <c r="AJ80" s="123">
        <f t="shared" si="68"/>
        <v>1.3236791248710491</v>
      </c>
      <c r="AK80" s="47">
        <f t="shared" si="69"/>
        <v>75.841227284681395</v>
      </c>
      <c r="AL80" s="130">
        <f t="shared" si="70"/>
        <v>0.52794881976356944</v>
      </c>
      <c r="AM80" s="47">
        <f t="shared" si="74"/>
        <v>14.665244993432484</v>
      </c>
      <c r="AN80" s="47">
        <f t="shared" si="71"/>
        <v>0.28506955710775889</v>
      </c>
    </row>
    <row r="81" spans="25:40">
      <c r="Y81">
        <v>388</v>
      </c>
      <c r="Z81" s="131">
        <f t="shared" si="72"/>
        <v>40798.200000000004</v>
      </c>
      <c r="AA81" s="43">
        <f t="shared" si="73"/>
        <v>40798.200000000004</v>
      </c>
      <c r="AB81" s="51">
        <v>40798</v>
      </c>
      <c r="AC81" s="21">
        <v>0.6166666666666667</v>
      </c>
      <c r="AD81">
        <v>24.790839999999999</v>
      </c>
      <c r="AE81">
        <v>-157.17102</v>
      </c>
      <c r="AF81">
        <v>40</v>
      </c>
      <c r="AG81">
        <v>1305</v>
      </c>
      <c r="AH81" s="46">
        <f t="shared" si="66"/>
        <v>0.45408849300148307</v>
      </c>
      <c r="AI81" s="46">
        <f t="shared" si="67"/>
        <v>48.415804714074092</v>
      </c>
      <c r="AJ81" s="123">
        <f t="shared" si="68"/>
        <v>1.3410269751505395</v>
      </c>
      <c r="AK81" s="47">
        <f t="shared" si="69"/>
        <v>76.835185889321039</v>
      </c>
      <c r="AL81" s="130">
        <f t="shared" si="70"/>
        <v>0.45408849302791449</v>
      </c>
      <c r="AM81" s="47">
        <f t="shared" si="74"/>
        <v>12.6135692507754</v>
      </c>
      <c r="AN81" s="47">
        <f t="shared" si="71"/>
        <v>0.24518817118137931</v>
      </c>
    </row>
    <row r="82" spans="25:40">
      <c r="Y82">
        <v>389</v>
      </c>
      <c r="Z82" s="131">
        <f t="shared" si="72"/>
        <v>40798.241666666669</v>
      </c>
      <c r="AA82" s="43">
        <f t="shared" si="73"/>
        <v>40798.241666666669</v>
      </c>
      <c r="AB82" s="51">
        <v>40798</v>
      </c>
      <c r="AC82" s="21">
        <v>0.65833333333333333</v>
      </c>
      <c r="AD82">
        <v>24.79177</v>
      </c>
      <c r="AE82">
        <v>-157.16664</v>
      </c>
      <c r="AF82">
        <v>41</v>
      </c>
      <c r="AG82">
        <v>1305</v>
      </c>
      <c r="AH82" s="46">
        <f t="shared" si="66"/>
        <v>0.34664545447213568</v>
      </c>
      <c r="AI82" s="46">
        <f t="shared" si="67"/>
        <v>48.762450168546231</v>
      </c>
      <c r="AJ82" s="123">
        <f t="shared" si="68"/>
        <v>1.6607232109181627</v>
      </c>
      <c r="AK82" s="47">
        <f t="shared" si="69"/>
        <v>95.152430925025158</v>
      </c>
      <c r="AL82" s="130">
        <f t="shared" si="70"/>
        <v>0.3466454544923131</v>
      </c>
      <c r="AM82" s="47">
        <f t="shared" si="74"/>
        <v>9.629040402564252</v>
      </c>
      <c r="AN82" s="47">
        <f t="shared" si="71"/>
        <v>0.18717357154012584</v>
      </c>
    </row>
    <row r="83" spans="25:40">
      <c r="Y83">
        <v>390</v>
      </c>
      <c r="Z83" s="131">
        <f t="shared" si="72"/>
        <v>40798.283333333333</v>
      </c>
      <c r="AA83" s="43">
        <f t="shared" si="73"/>
        <v>40798.283333333333</v>
      </c>
      <c r="AB83" s="51">
        <v>40798</v>
      </c>
      <c r="AC83" s="21">
        <v>0.70000000000000007</v>
      </c>
      <c r="AD83">
        <v>24.79149</v>
      </c>
      <c r="AE83">
        <v>-157.16322</v>
      </c>
      <c r="AF83">
        <v>42</v>
      </c>
      <c r="AG83">
        <v>1305</v>
      </c>
      <c r="AH83" s="46">
        <f t="shared" si="66"/>
        <v>0.26162122588629916</v>
      </c>
      <c r="AI83" s="46">
        <f t="shared" si="67"/>
        <v>49.024071394432532</v>
      </c>
      <c r="AJ83" s="123">
        <f t="shared" si="68"/>
        <v>1.7892864247734148</v>
      </c>
      <c r="AK83" s="47">
        <f>MOD(DEGREES(ATAN2(COS(RADIANS(AD83))*SIN(RADIANS(AD84))-SIN(RADIANS(AD83))*COS(RADIANS(AD84))*COS(RADIANS(AE84)-RADIANS(AE83)),SIN(RADIANS(AE84)-RADIANS(AE83))*COS(RADIANS(AD84)))), 360)</f>
        <v>102.51856047956893</v>
      </c>
      <c r="AL83" s="130">
        <f t="shared" si="70"/>
        <v>0.25733235333176829</v>
      </c>
      <c r="AM83" s="47">
        <f t="shared" si="74"/>
        <v>7.1481209258824521</v>
      </c>
      <c r="AN83" s="47">
        <f t="shared" si="71"/>
        <v>0.13894835493076041</v>
      </c>
    </row>
    <row r="84" spans="25:40">
      <c r="Y84">
        <v>391</v>
      </c>
      <c r="Z84" s="131">
        <f t="shared" si="72"/>
        <v>40798.325694444444</v>
      </c>
      <c r="AA84" s="43">
        <f t="shared" si="73"/>
        <v>40798.325694444444</v>
      </c>
      <c r="AB84" s="51">
        <v>40798</v>
      </c>
      <c r="AC84" s="21">
        <v>0.74236111111111114</v>
      </c>
      <c r="AD84">
        <v>24.790980000000001</v>
      </c>
      <c r="AE84">
        <v>-157.16068999999999</v>
      </c>
      <c r="AF84">
        <v>41</v>
      </c>
      <c r="AG84">
        <v>1305</v>
      </c>
      <c r="AH84" s="46">
        <f t="shared" si="66"/>
        <v>0.31322695213261664</v>
      </c>
      <c r="AI84" s="46">
        <f t="shared" si="67"/>
        <v>49.337298346565149</v>
      </c>
      <c r="AJ84" s="123">
        <f t="shared" si="68"/>
        <v>1.6133983026860923</v>
      </c>
      <c r="AK84" s="47">
        <f t="shared" si="69"/>
        <v>92.4409134174836</v>
      </c>
      <c r="AL84" s="130">
        <f t="shared" si="70"/>
        <v>0.30312285688773399</v>
      </c>
      <c r="AM84" s="47">
        <f t="shared" si="74"/>
        <v>8.420079357992611</v>
      </c>
      <c r="AN84" s="47">
        <f t="shared" si="71"/>
        <v>0.1636732488594676</v>
      </c>
    </row>
    <row r="85" spans="25:40">
      <c r="Y85">
        <v>392</v>
      </c>
      <c r="Z85" s="131">
        <f t="shared" si="72"/>
        <v>40798.368750000001</v>
      </c>
      <c r="AA85" s="43">
        <f t="shared" si="73"/>
        <v>40798.368750000001</v>
      </c>
      <c r="AB85" s="51">
        <v>40798</v>
      </c>
      <c r="AC85" s="21">
        <v>0.78541666666666676</v>
      </c>
      <c r="AD85">
        <v>24.790859999999999</v>
      </c>
      <c r="AE85">
        <v>-157.15759</v>
      </c>
      <c r="AF85">
        <v>42</v>
      </c>
      <c r="AG85">
        <v>1308</v>
      </c>
      <c r="AH85" s="46">
        <f t="shared" si="66"/>
        <v>0.37024701051157632</v>
      </c>
      <c r="AI85" s="46">
        <f t="shared" si="67"/>
        <v>49.707545357076725</v>
      </c>
      <c r="AJ85" s="123">
        <f t="shared" si="68"/>
        <v>1.2245322979622815</v>
      </c>
      <c r="AK85" s="47">
        <f t="shared" si="69"/>
        <v>70.16053255069491</v>
      </c>
      <c r="AL85" s="130">
        <f t="shared" si="70"/>
        <v>0.37652238354732076</v>
      </c>
      <c r="AM85" s="47">
        <f t="shared" si="74"/>
        <v>10.458955098536688</v>
      </c>
      <c r="AN85" s="47">
        <f t="shared" si="71"/>
        <v>0.20330582264974123</v>
      </c>
    </row>
    <row r="86" spans="25:40">
      <c r="Y86">
        <v>393</v>
      </c>
      <c r="Z86" s="131">
        <f t="shared" si="72"/>
        <v>40798.409722222226</v>
      </c>
      <c r="AA86" s="43">
        <f t="shared" si="73"/>
        <v>40798.409722222226</v>
      </c>
      <c r="AB86" s="51">
        <v>40798</v>
      </c>
      <c r="AC86" s="21">
        <v>0.82638888888888884</v>
      </c>
      <c r="AD86">
        <v>24.791989999999998</v>
      </c>
      <c r="AE86">
        <v>-157.15414000000001</v>
      </c>
      <c r="AF86">
        <v>41</v>
      </c>
      <c r="AG86">
        <v>1305</v>
      </c>
      <c r="AH86" s="46">
        <f t="shared" si="66"/>
        <v>0.57853788535183159</v>
      </c>
      <c r="AI86" s="46">
        <f t="shared" si="67"/>
        <v>50.286083242428553</v>
      </c>
      <c r="AJ86" s="123">
        <f t="shared" si="68"/>
        <v>1.0782903939840092</v>
      </c>
      <c r="AK86" s="47">
        <f t="shared" si="69"/>
        <v>61.781488664782458</v>
      </c>
      <c r="AL86" s="130">
        <f t="shared" si="70"/>
        <v>0.56905365772528504</v>
      </c>
      <c r="AM86" s="47">
        <f t="shared" si="74"/>
        <v>15.807046047924583</v>
      </c>
      <c r="AN86" s="47">
        <f t="shared" si="71"/>
        <v>0.30726439402013228</v>
      </c>
    </row>
    <row r="87" spans="25:40">
      <c r="Y87">
        <v>394</v>
      </c>
      <c r="Z87" s="131">
        <f t="shared" si="72"/>
        <v>40798.452083333337</v>
      </c>
      <c r="AA87" s="43">
        <f t="shared" si="73"/>
        <v>40798.452083333337</v>
      </c>
      <c r="AB87" s="51">
        <v>40798</v>
      </c>
      <c r="AC87" s="21">
        <v>0.86875000000000002</v>
      </c>
      <c r="AD87">
        <v>24.794450000000001</v>
      </c>
      <c r="AE87">
        <v>-157.14909</v>
      </c>
      <c r="AF87">
        <v>42</v>
      </c>
      <c r="AG87">
        <v>1308</v>
      </c>
      <c r="AH87" s="46">
        <f>ACOS(SIN(RADIANS(AD87))*SIN(RADIANS(AD88))+COS(RADIANS(AD87))*COS(RADIANS(AD88))*COS(RADIANS(AE88)-RADIANS(AE87)))*6371.1</f>
        <v>0.73600588590091964</v>
      </c>
      <c r="AI87" s="46">
        <f>AI86+AH87</f>
        <v>51.022089128329476</v>
      </c>
      <c r="AJ87" s="123">
        <f>RADIANS(AK87)</f>
        <v>1.1867184250004041</v>
      </c>
      <c r="AK87" s="47">
        <f>MOD(DEGREES(ATAN2(COS(RADIANS(AD87))*SIN(RADIANS(AD88))-SIN(RADIANS(AD87))*COS(RADIANS(AD88))*COS(RADIANS(AE88)-RADIANS(AE87)),SIN(RADIANS(AE88)-RADIANS(AE87))*COS(RADIANS(AD88)))), 360)</f>
        <v>67.993957222935478</v>
      </c>
      <c r="AL87" s="130">
        <f>AH87/((AA88-AA87)*24)</f>
        <v>0.72394021564301203</v>
      </c>
      <c r="AM87" s="47">
        <f t="shared" si="74"/>
        <v>20.109450434528114</v>
      </c>
      <c r="AN87" s="47">
        <f>AL87/1.852</f>
        <v>0.39089644473164792</v>
      </c>
    </row>
    <row r="88" spans="25:40">
      <c r="Y88">
        <v>395</v>
      </c>
      <c r="Z88" s="131">
        <f>(AB88+AC88)-(10/24)</f>
        <v>40798.494444444448</v>
      </c>
      <c r="AA88" s="43">
        <f>(AB88+AC88)-(10/24)</f>
        <v>40798.494444444448</v>
      </c>
      <c r="AB88" s="51">
        <v>40798</v>
      </c>
      <c r="AC88" s="21">
        <v>0.91111111111111109</v>
      </c>
      <c r="AD88">
        <v>24.79693</v>
      </c>
      <c r="AE88">
        <v>-157.14232999999999</v>
      </c>
      <c r="AF88">
        <v>41</v>
      </c>
      <c r="AG88">
        <v>1308</v>
      </c>
      <c r="AH88" s="46">
        <f t="shared" ref="AH88:AH94" si="75">ACOS(SIN(RADIANS(AD88))*SIN(RADIANS(AD89))+COS(RADIANS(AD88))*COS(RADIANS(AD89))*COS(RADIANS(AE89)-RADIANS(AE88)))*6371.1</f>
        <v>0.70876408253094914</v>
      </c>
      <c r="AI88" s="46">
        <f t="shared" ref="AI88:AI94" si="76">AI87+AH88</f>
        <v>51.730853210860424</v>
      </c>
      <c r="AJ88" s="123">
        <f t="shared" ref="AJ88:AJ94" si="77">RADIANS(AK88)</f>
        <v>1.1298928240788819</v>
      </c>
      <c r="AK88" s="47">
        <f t="shared" ref="AK88:AK94" si="78">MOD(DEGREES(ATAN2(COS(RADIANS(AD88))*SIN(RADIANS(AD89))-SIN(RADIANS(AD88))*COS(RADIANS(AD89))*COS(RADIANS(AE89)-RADIANS(AE88)),SIN(RADIANS(AE89)-RADIANS(AE88))*COS(RADIANS(AD89)))), 360)</f>
        <v>64.73809012183753</v>
      </c>
      <c r="AL88" s="130">
        <f t="shared" ref="AL88:AL94" si="79">AH88/((AA89-AA88)*24)</f>
        <v>0.72077703316480846</v>
      </c>
      <c r="AM88" s="47">
        <f t="shared" ref="AM88:AM94" si="80">(AL88*1000*100)/3600</f>
        <v>20.021584254578016</v>
      </c>
      <c r="AN88" s="47">
        <f t="shared" ref="AN88:AN94" si="81">AL88/1.852</f>
        <v>0.38918846283197001</v>
      </c>
    </row>
    <row r="89" spans="25:40">
      <c r="Y89">
        <v>396</v>
      </c>
      <c r="Z89" s="131">
        <f t="shared" ref="Z89:Z95" si="82">(AB89+AC89)-(10/24)</f>
        <v>40798.535416666666</v>
      </c>
      <c r="AA89" s="43">
        <f t="shared" ref="AA89:AA95" si="83">(AB89+AC89)-(10/24)</f>
        <v>40798.535416666666</v>
      </c>
      <c r="AB89" s="51">
        <v>40798</v>
      </c>
      <c r="AC89" s="21">
        <v>0.95208333333333339</v>
      </c>
      <c r="AD89">
        <v>24.79965</v>
      </c>
      <c r="AE89">
        <v>-157.13597999999999</v>
      </c>
      <c r="AF89">
        <v>43</v>
      </c>
      <c r="AG89">
        <v>1308</v>
      </c>
      <c r="AH89" s="46">
        <f t="shared" si="75"/>
        <v>0.60895925270577134</v>
      </c>
      <c r="AI89" s="46">
        <f t="shared" si="76"/>
        <v>52.339812463566197</v>
      </c>
      <c r="AJ89" s="123">
        <f t="shared" si="77"/>
        <v>1.1513892037443894</v>
      </c>
      <c r="AK89" s="47">
        <f t="shared" si="78"/>
        <v>65.96974195148195</v>
      </c>
      <c r="AL89" s="130">
        <f t="shared" si="79"/>
        <v>0.59897631413911046</v>
      </c>
      <c r="AM89" s="47">
        <f t="shared" si="80"/>
        <v>16.638230948308621</v>
      </c>
      <c r="AN89" s="47">
        <f t="shared" si="81"/>
        <v>0.32342133592824535</v>
      </c>
    </row>
    <row r="90" spans="25:40">
      <c r="Y90">
        <v>397</v>
      </c>
      <c r="Z90" s="131">
        <f t="shared" si="82"/>
        <v>40798.577777777777</v>
      </c>
      <c r="AA90" s="43">
        <f t="shared" si="83"/>
        <v>40798.577777777777</v>
      </c>
      <c r="AB90" s="51">
        <v>40798</v>
      </c>
      <c r="AC90" s="21">
        <v>0.99444444444444446</v>
      </c>
      <c r="AD90">
        <v>24.801880000000001</v>
      </c>
      <c r="AE90">
        <v>-157.13047</v>
      </c>
      <c r="AF90">
        <v>43</v>
      </c>
      <c r="AG90">
        <v>1302</v>
      </c>
      <c r="AH90" s="46">
        <f t="shared" si="75"/>
        <v>0.53316052226093791</v>
      </c>
      <c r="AI90" s="46">
        <f t="shared" si="76"/>
        <v>52.872972985827133</v>
      </c>
      <c r="AJ90" s="123">
        <f t="shared" si="77"/>
        <v>1.5436607018443804</v>
      </c>
      <c r="AK90" s="47">
        <f t="shared" si="78"/>
        <v>88.445243215885526</v>
      </c>
      <c r="AL90" s="130">
        <f t="shared" si="79"/>
        <v>0.50777192591213016</v>
      </c>
      <c r="AM90" s="47">
        <f t="shared" si="80"/>
        <v>14.104775719781394</v>
      </c>
      <c r="AN90" s="47">
        <f t="shared" si="81"/>
        <v>0.27417490600007027</v>
      </c>
    </row>
    <row r="91" spans="25:40">
      <c r="Y91">
        <v>398</v>
      </c>
      <c r="Z91" s="131">
        <f t="shared" si="82"/>
        <v>40798.621527777781</v>
      </c>
      <c r="AA91" s="43">
        <f t="shared" si="83"/>
        <v>40798.621527777781</v>
      </c>
      <c r="AB91" s="51">
        <v>40799</v>
      </c>
      <c r="AC91" s="21">
        <v>3.8194444444444441E-2</v>
      </c>
      <c r="AD91">
        <v>24.802009999999999</v>
      </c>
      <c r="AE91">
        <v>-157.12519</v>
      </c>
      <c r="AF91">
        <v>44</v>
      </c>
      <c r="AG91">
        <v>1305</v>
      </c>
      <c r="AH91" s="46">
        <f t="shared" si="75"/>
        <v>0.51715093229650988</v>
      </c>
      <c r="AI91" s="46">
        <f t="shared" si="76"/>
        <v>53.390123918123642</v>
      </c>
      <c r="AJ91" s="123">
        <f t="shared" si="77"/>
        <v>2.1562562941028567</v>
      </c>
      <c r="AK91" s="47">
        <f t="shared" si="78"/>
        <v>123.54438520061326</v>
      </c>
      <c r="AL91" s="130">
        <f t="shared" si="79"/>
        <v>0.52591620230222713</v>
      </c>
      <c r="AM91" s="47">
        <f t="shared" si="80"/>
        <v>14.608783397284085</v>
      </c>
      <c r="AN91" s="47">
        <f t="shared" si="81"/>
        <v>0.28397203148068417</v>
      </c>
    </row>
    <row r="92" spans="25:40">
      <c r="Y92">
        <v>399</v>
      </c>
      <c r="Z92" s="131">
        <f t="shared" si="82"/>
        <v>40798.662500000006</v>
      </c>
      <c r="AA92" s="43">
        <f t="shared" si="83"/>
        <v>40798.662500000006</v>
      </c>
      <c r="AB92" s="51">
        <v>40799</v>
      </c>
      <c r="AC92" s="21">
        <v>7.9166666666666663E-2</v>
      </c>
      <c r="AD92">
        <v>24.799440000000001</v>
      </c>
      <c r="AE92">
        <v>-157.12092000000001</v>
      </c>
      <c r="AF92">
        <v>42</v>
      </c>
      <c r="AG92">
        <v>1308</v>
      </c>
      <c r="AH92" s="46">
        <f t="shared" si="75"/>
        <v>0.49180380072929419</v>
      </c>
      <c r="AI92" s="46">
        <f t="shared" si="76"/>
        <v>53.881927718852936</v>
      </c>
      <c r="AJ92" s="123">
        <f t="shared" si="77"/>
        <v>2.3009499241501223</v>
      </c>
      <c r="AK92" s="47">
        <f t="shared" si="78"/>
        <v>131.83471952474889</v>
      </c>
      <c r="AL92" s="130">
        <f t="shared" si="79"/>
        <v>0.48374144334213576</v>
      </c>
      <c r="AM92" s="47">
        <f t="shared" si="80"/>
        <v>13.437262315059327</v>
      </c>
      <c r="AN92" s="47">
        <f t="shared" si="81"/>
        <v>0.26119948344607763</v>
      </c>
    </row>
    <row r="93" spans="25:40">
      <c r="Y93">
        <v>400</v>
      </c>
      <c r="Z93" s="131">
        <f t="shared" si="82"/>
        <v>40798.704861111117</v>
      </c>
      <c r="AA93" s="43">
        <f t="shared" si="83"/>
        <v>40798.704861111117</v>
      </c>
      <c r="AB93" s="51">
        <v>40799</v>
      </c>
      <c r="AC93" s="21">
        <v>0.12152777777777778</v>
      </c>
      <c r="AD93">
        <v>24.796489999999999</v>
      </c>
      <c r="AE93">
        <v>-157.11729</v>
      </c>
      <c r="AF93">
        <v>41</v>
      </c>
      <c r="AG93">
        <v>1302</v>
      </c>
      <c r="AH93" s="46">
        <f t="shared" si="75"/>
        <v>0.44750789154712539</v>
      </c>
      <c r="AI93" s="46">
        <f t="shared" si="76"/>
        <v>54.329435610400061</v>
      </c>
      <c r="AJ93" s="123">
        <f t="shared" si="77"/>
        <v>2.357684129700182</v>
      </c>
      <c r="AK93" s="47">
        <f t="shared" si="78"/>
        <v>135.08535005679502</v>
      </c>
      <c r="AL93" s="130">
        <f t="shared" si="79"/>
        <v>0.43307215316216391</v>
      </c>
      <c r="AM93" s="47">
        <f t="shared" si="80"/>
        <v>12.029782032282331</v>
      </c>
      <c r="AN93" s="47">
        <f t="shared" si="81"/>
        <v>0.23384025548712953</v>
      </c>
    </row>
    <row r="94" spans="25:40">
      <c r="Y94">
        <v>401</v>
      </c>
      <c r="Z94" s="131">
        <f t="shared" si="82"/>
        <v>40798.747916666667</v>
      </c>
      <c r="AA94" s="43">
        <f t="shared" si="83"/>
        <v>40798.747916666667</v>
      </c>
      <c r="AB94" s="51">
        <v>40799</v>
      </c>
      <c r="AC94" s="21">
        <v>0.16458333333333333</v>
      </c>
      <c r="AD94">
        <v>24.79364</v>
      </c>
      <c r="AE94">
        <v>-157.11416</v>
      </c>
      <c r="AF94">
        <v>42</v>
      </c>
      <c r="AG94">
        <v>1308</v>
      </c>
      <c r="AH94" s="46">
        <f t="shared" si="75"/>
        <v>0.31033481209716901</v>
      </c>
      <c r="AI94" s="46">
        <f t="shared" si="76"/>
        <v>54.639770422497229</v>
      </c>
      <c r="AJ94" s="123">
        <f t="shared" si="77"/>
        <v>2.1087476852802487</v>
      </c>
      <c r="AK94" s="47">
        <f t="shared" si="78"/>
        <v>120.82234242453984</v>
      </c>
      <c r="AL94" s="130">
        <f t="shared" si="79"/>
        <v>0.3103348120610413</v>
      </c>
      <c r="AM94" s="47">
        <f t="shared" si="80"/>
        <v>8.6204114461400358</v>
      </c>
      <c r="AN94" s="47">
        <f t="shared" si="81"/>
        <v>0.16756739312151256</v>
      </c>
    </row>
    <row r="95" spans="25:40">
      <c r="Y95">
        <v>402</v>
      </c>
      <c r="Z95" s="131">
        <f t="shared" si="82"/>
        <v>40798.789583333339</v>
      </c>
      <c r="AA95" s="43">
        <f t="shared" si="83"/>
        <v>40798.789583333339</v>
      </c>
      <c r="AB95" s="51">
        <v>40799</v>
      </c>
      <c r="AC95" s="21">
        <v>0.20625000000000002</v>
      </c>
      <c r="AD95">
        <v>24.792210000000001</v>
      </c>
      <c r="AE95">
        <v>-157.11152000000001</v>
      </c>
      <c r="AF95">
        <v>42</v>
      </c>
      <c r="AG95">
        <v>1308</v>
      </c>
    </row>
    <row r="96" spans="25:40">
      <c r="Y96">
        <v>403</v>
      </c>
      <c r="AB96" s="51">
        <v>40799</v>
      </c>
      <c r="AF96"/>
    </row>
    <row r="97" spans="25:33">
      <c r="Y97">
        <v>404</v>
      </c>
      <c r="AB97" s="51">
        <v>40799</v>
      </c>
      <c r="AF97"/>
    </row>
    <row r="98" spans="25:33">
      <c r="Y98">
        <v>405</v>
      </c>
      <c r="AB98" s="51">
        <v>40799</v>
      </c>
      <c r="AF98"/>
    </row>
    <row r="99" spans="25:33">
      <c r="Y99">
        <v>406</v>
      </c>
      <c r="AB99" s="51">
        <v>40799</v>
      </c>
      <c r="AF99"/>
    </row>
    <row r="100" spans="25:33">
      <c r="Y100">
        <v>407</v>
      </c>
      <c r="AB100" s="51">
        <v>40799</v>
      </c>
    </row>
    <row r="101" spans="25:33">
      <c r="Y101">
        <v>408</v>
      </c>
      <c r="AB101" s="51">
        <v>40799</v>
      </c>
    </row>
    <row r="102" spans="25:33">
      <c r="Y102">
        <v>409</v>
      </c>
      <c r="AB102" s="51">
        <v>40799</v>
      </c>
    </row>
    <row r="103" spans="25:33">
      <c r="Y103">
        <v>410</v>
      </c>
      <c r="AB103" s="51">
        <v>40799</v>
      </c>
    </row>
    <row r="104" spans="25:33">
      <c r="Y104">
        <v>411</v>
      </c>
      <c r="Z104" s="131">
        <f>(AB104+AC104)-(10/24)</f>
        <v>40799.170833333337</v>
      </c>
      <c r="AA104" s="43">
        <f>(AB104+AC104)-(10/24)</f>
        <v>40799.170833333337</v>
      </c>
      <c r="AB104" s="51">
        <v>40799</v>
      </c>
      <c r="AC104" s="21">
        <v>0.58750000000000002</v>
      </c>
      <c r="AD104">
        <v>24.7895</v>
      </c>
      <c r="AE104">
        <v>-157.07866999999999</v>
      </c>
      <c r="AF104">
        <v>42</v>
      </c>
      <c r="AG104">
        <v>1318</v>
      </c>
    </row>
    <row r="105" spans="25:33">
      <c r="Y105">
        <v>412</v>
      </c>
      <c r="AB105" s="51">
        <v>40799</v>
      </c>
      <c r="AC105" s="21"/>
    </row>
    <row r="106" spans="25:33">
      <c r="Y106">
        <v>413</v>
      </c>
      <c r="AB106" s="51">
        <v>40799</v>
      </c>
    </row>
    <row r="107" spans="25:33">
      <c r="Y107">
        <v>414</v>
      </c>
      <c r="Z107" s="131">
        <f>(AB107+AC107)-(10/24)</f>
        <v>40799.254166666666</v>
      </c>
      <c r="AA107" s="43">
        <f>(AB107+AC107)-(10/24)</f>
        <v>40799.254166666666</v>
      </c>
      <c r="AB107" s="51">
        <v>40799</v>
      </c>
      <c r="AC107" s="21">
        <v>0.67083333333333339</v>
      </c>
      <c r="AD107">
        <v>24.787559999999999</v>
      </c>
      <c r="AE107">
        <v>-157.07283000000001</v>
      </c>
      <c r="AF107">
        <v>43</v>
      </c>
      <c r="AG107">
        <v>1305</v>
      </c>
    </row>
    <row r="108" spans="25:33">
      <c r="Y108">
        <v>415</v>
      </c>
      <c r="Z108" s="131">
        <f>(AB108+AC108)-(10/24)</f>
        <v>40799.297222222223</v>
      </c>
      <c r="AA108" s="43">
        <f>(AB108+AC108)-(10/24)</f>
        <v>40799.297222222223</v>
      </c>
      <c r="AB108" s="51">
        <v>40799</v>
      </c>
      <c r="AC108" s="21">
        <v>0.71388888888888891</v>
      </c>
      <c r="AD108">
        <v>24.78612</v>
      </c>
      <c r="AE108">
        <v>-157.07033999999999</v>
      </c>
      <c r="AF108">
        <v>41</v>
      </c>
      <c r="AG108">
        <v>1308</v>
      </c>
    </row>
    <row r="109" spans="25:33">
      <c r="Y109">
        <v>416</v>
      </c>
      <c r="Z109" s="131">
        <f>(AB109+AC109)-(10/24)</f>
        <v>40799.338888888895</v>
      </c>
      <c r="AA109" s="43">
        <f>(AB109+AC109)-(10/24)</f>
        <v>40799.338888888895</v>
      </c>
      <c r="AB109" s="51">
        <v>40799</v>
      </c>
      <c r="AC109" s="21">
        <v>0.75555555555555554</v>
      </c>
      <c r="AD109">
        <v>24.78349</v>
      </c>
      <c r="AE109">
        <v>-157.06823</v>
      </c>
      <c r="AF109">
        <v>41</v>
      </c>
      <c r="AG109">
        <v>1322</v>
      </c>
    </row>
    <row r="110" spans="25:33">
      <c r="Y110">
        <v>417</v>
      </c>
    </row>
    <row r="113" spans="25:32">
      <c r="Y113">
        <v>403</v>
      </c>
    </row>
    <row r="114" spans="25:32">
      <c r="Y114">
        <v>404</v>
      </c>
    </row>
    <row r="115" spans="25:32">
      <c r="Y115">
        <v>405</v>
      </c>
    </row>
    <row r="116" spans="25:32">
      <c r="Y116">
        <v>406</v>
      </c>
    </row>
    <row r="117" spans="25:32">
      <c r="Y117">
        <v>407</v>
      </c>
    </row>
    <row r="118" spans="25:32">
      <c r="Y118">
        <v>408</v>
      </c>
    </row>
    <row r="119" spans="25:32">
      <c r="Y119">
        <v>409</v>
      </c>
    </row>
    <row r="120" spans="25:32">
      <c r="Y120">
        <v>410</v>
      </c>
    </row>
    <row r="121" spans="25:32">
      <c r="Y121">
        <v>411</v>
      </c>
      <c r="AF121"/>
    </row>
    <row r="122" spans="25:32">
      <c r="Y122">
        <v>412</v>
      </c>
      <c r="AF122"/>
    </row>
    <row r="123" spans="25:32">
      <c r="Y123">
        <v>413</v>
      </c>
      <c r="AF123"/>
    </row>
    <row r="124" spans="25:32">
      <c r="Y124">
        <v>414</v>
      </c>
      <c r="AF124"/>
    </row>
    <row r="125" spans="25:32">
      <c r="Y125">
        <v>415</v>
      </c>
      <c r="AF125"/>
    </row>
    <row r="126" spans="25:32">
      <c r="Y126">
        <v>416</v>
      </c>
    </row>
    <row r="127" spans="25:32">
      <c r="Y127">
        <v>417</v>
      </c>
    </row>
    <row r="128" spans="25:32">
      <c r="Y128">
        <v>418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B8:Y128"/>
  <sheetViews>
    <sheetView zoomScale="75" zoomScaleNormal="75" workbookViewId="0">
      <selection activeCell="P70" sqref="P70:P71"/>
    </sheetView>
  </sheetViews>
  <sheetFormatPr defaultRowHeight="15"/>
  <cols>
    <col min="4" max="4" width="9.28515625" style="121" bestFit="1" customWidth="1"/>
    <col min="5" max="5" width="10.42578125" style="121" bestFit="1" customWidth="1"/>
  </cols>
  <sheetData>
    <row r="8" spans="4:25">
      <c r="W8" s="14"/>
      <c r="X8" s="15"/>
      <c r="Y8" s="21"/>
    </row>
    <row r="9" spans="4:25">
      <c r="D9" s="122"/>
      <c r="F9" s="21"/>
    </row>
    <row r="55" spans="12:12">
      <c r="L55" t="s">
        <v>43</v>
      </c>
    </row>
    <row r="73" spans="2:6">
      <c r="B73" s="34"/>
      <c r="C73" s="34"/>
      <c r="D73" s="158"/>
      <c r="E73" s="158"/>
      <c r="F73" s="34"/>
    </row>
    <row r="74" spans="2:6" ht="18.75">
      <c r="B74" s="160"/>
      <c r="C74" s="160"/>
      <c r="D74" s="161"/>
      <c r="E74" s="161"/>
      <c r="F74" s="34"/>
    </row>
    <row r="75" spans="2:6" ht="15.75">
      <c r="B75" s="78"/>
      <c r="C75" s="78"/>
      <c r="D75" s="159"/>
      <c r="E75" s="159"/>
      <c r="F75" s="34"/>
    </row>
    <row r="76" spans="2:6">
      <c r="B76" s="34"/>
      <c r="C76" s="34"/>
      <c r="D76" s="158"/>
      <c r="E76" s="158"/>
      <c r="F76" s="34"/>
    </row>
    <row r="77" spans="2:6">
      <c r="B77" s="34"/>
      <c r="C77" s="34"/>
      <c r="D77" s="158"/>
      <c r="E77" s="158"/>
      <c r="F77" s="34"/>
    </row>
    <row r="78" spans="2:6">
      <c r="B78" s="34"/>
      <c r="C78" s="34"/>
      <c r="D78" s="158"/>
      <c r="E78" s="158"/>
      <c r="F78" s="34"/>
    </row>
    <row r="79" spans="2:6">
      <c r="B79" s="34"/>
      <c r="C79" s="34"/>
      <c r="D79" s="158"/>
      <c r="E79" s="158"/>
      <c r="F79" s="34"/>
    </row>
    <row r="80" spans="2:6">
      <c r="B80" s="34"/>
      <c r="C80" s="34"/>
      <c r="D80" s="158"/>
      <c r="E80" s="158"/>
      <c r="F80" s="34"/>
    </row>
    <row r="81" spans="2:6">
      <c r="B81" s="34"/>
      <c r="C81" s="34"/>
      <c r="D81" s="158"/>
      <c r="E81" s="158"/>
      <c r="F81" s="34"/>
    </row>
    <row r="82" spans="2:6">
      <c r="B82" s="34"/>
      <c r="C82" s="34"/>
      <c r="D82" s="158"/>
      <c r="E82" s="158"/>
      <c r="F82" s="34"/>
    </row>
    <row r="83" spans="2:6">
      <c r="B83" s="34"/>
      <c r="C83" s="34"/>
      <c r="D83" s="158"/>
      <c r="E83" s="158"/>
      <c r="F83" s="34"/>
    </row>
    <row r="84" spans="2:6">
      <c r="B84" s="34"/>
      <c r="C84" s="34"/>
      <c r="D84" s="158"/>
      <c r="E84" s="158"/>
      <c r="F84" s="34"/>
    </row>
    <row r="85" spans="2:6">
      <c r="B85" s="34"/>
      <c r="C85" s="34"/>
      <c r="D85" s="158"/>
      <c r="E85" s="158"/>
      <c r="F85" s="34"/>
    </row>
    <row r="86" spans="2:6">
      <c r="B86" s="34"/>
      <c r="C86" s="34"/>
      <c r="D86" s="158"/>
      <c r="E86" s="158"/>
      <c r="F86" s="34"/>
    </row>
    <row r="87" spans="2:6">
      <c r="B87" s="34"/>
      <c r="C87" s="34"/>
      <c r="D87" s="158"/>
      <c r="E87" s="158"/>
      <c r="F87" s="34"/>
    </row>
    <row r="88" spans="2:6">
      <c r="B88" s="34"/>
      <c r="C88" s="34"/>
      <c r="D88" s="158"/>
      <c r="E88" s="158"/>
      <c r="F88" s="34"/>
    </row>
    <row r="89" spans="2:6">
      <c r="B89" s="34"/>
      <c r="C89" s="34"/>
      <c r="D89" s="158"/>
      <c r="E89" s="158"/>
      <c r="F89" s="34"/>
    </row>
    <row r="90" spans="2:6">
      <c r="B90" s="34"/>
      <c r="C90" s="34"/>
      <c r="D90" s="158"/>
      <c r="E90" s="158"/>
      <c r="F90" s="34"/>
    </row>
    <row r="91" spans="2:6">
      <c r="B91" s="34"/>
      <c r="C91" s="34"/>
      <c r="D91" s="158"/>
      <c r="E91" s="158"/>
      <c r="F91" s="34"/>
    </row>
    <row r="92" spans="2:6">
      <c r="B92" s="34"/>
      <c r="C92" s="34"/>
      <c r="D92" s="158"/>
      <c r="E92" s="158"/>
      <c r="F92" s="34"/>
    </row>
    <row r="93" spans="2:6">
      <c r="B93" s="34"/>
      <c r="C93" s="34"/>
      <c r="D93" s="158"/>
      <c r="E93" s="158"/>
      <c r="F93" s="34"/>
    </row>
    <row r="94" spans="2:6">
      <c r="B94" s="34"/>
      <c r="C94" s="34"/>
      <c r="D94" s="158"/>
      <c r="E94" s="158"/>
      <c r="F94" s="34"/>
    </row>
    <row r="95" spans="2:6">
      <c r="B95" s="34"/>
      <c r="C95" s="34"/>
      <c r="D95" s="158"/>
      <c r="E95" s="158"/>
      <c r="F95" s="34"/>
    </row>
    <row r="96" spans="2:6">
      <c r="B96" s="34"/>
      <c r="C96" s="34"/>
      <c r="D96" s="158"/>
      <c r="E96" s="158"/>
      <c r="F96" s="34"/>
    </row>
    <row r="97" spans="2:6">
      <c r="B97" s="34"/>
      <c r="C97" s="34"/>
      <c r="D97" s="158"/>
      <c r="E97" s="158"/>
      <c r="F97" s="34"/>
    </row>
    <row r="98" spans="2:6">
      <c r="B98" s="34"/>
      <c r="C98" s="34"/>
      <c r="D98" s="158"/>
      <c r="E98" s="158"/>
      <c r="F98" s="34"/>
    </row>
    <row r="99" spans="2:6">
      <c r="B99" s="34"/>
      <c r="C99" s="34"/>
      <c r="D99" s="158"/>
      <c r="E99" s="158"/>
      <c r="F99" s="34"/>
    </row>
    <row r="100" spans="2:6">
      <c r="B100" s="34"/>
      <c r="C100" s="34"/>
      <c r="D100" s="158"/>
      <c r="E100" s="158"/>
      <c r="F100" s="34"/>
    </row>
    <row r="101" spans="2:6">
      <c r="B101" s="34"/>
      <c r="C101" s="34"/>
      <c r="D101" s="158"/>
      <c r="E101" s="158"/>
      <c r="F101" s="34"/>
    </row>
    <row r="102" spans="2:6">
      <c r="B102" s="34"/>
      <c r="C102" s="34"/>
      <c r="D102" s="158"/>
      <c r="E102" s="158"/>
      <c r="F102" s="34"/>
    </row>
    <row r="103" spans="2:6">
      <c r="B103" s="34"/>
      <c r="C103" s="34"/>
      <c r="D103" s="158"/>
      <c r="E103" s="158"/>
      <c r="F103" s="34"/>
    </row>
    <row r="104" spans="2:6">
      <c r="B104" s="34"/>
      <c r="C104" s="34"/>
      <c r="D104" s="158"/>
      <c r="E104" s="158"/>
      <c r="F104" s="34"/>
    </row>
    <row r="105" spans="2:6">
      <c r="B105" s="34"/>
      <c r="C105" s="34"/>
      <c r="D105" s="158"/>
      <c r="E105" s="158"/>
      <c r="F105" s="34"/>
    </row>
    <row r="106" spans="2:6">
      <c r="B106" s="34"/>
      <c r="C106" s="34"/>
      <c r="D106" s="158"/>
      <c r="E106" s="158"/>
      <c r="F106" s="34"/>
    </row>
    <row r="107" spans="2:6">
      <c r="B107" s="34"/>
      <c r="C107" s="34"/>
      <c r="D107" s="158"/>
      <c r="E107" s="158"/>
      <c r="F107" s="34"/>
    </row>
    <row r="108" spans="2:6">
      <c r="B108" s="34"/>
      <c r="C108" s="34"/>
      <c r="D108" s="158"/>
      <c r="E108" s="158"/>
      <c r="F108" s="34"/>
    </row>
    <row r="109" spans="2:6">
      <c r="B109" s="34"/>
      <c r="C109" s="34"/>
      <c r="D109" s="158"/>
      <c r="E109" s="158"/>
      <c r="F109" s="34"/>
    </row>
    <row r="110" spans="2:6">
      <c r="B110" s="34"/>
      <c r="C110" s="34"/>
      <c r="D110" s="158"/>
      <c r="E110" s="158"/>
      <c r="F110" s="34"/>
    </row>
    <row r="111" spans="2:6">
      <c r="B111" s="34"/>
      <c r="C111" s="34"/>
      <c r="D111" s="158"/>
      <c r="E111" s="158"/>
      <c r="F111" s="34"/>
    </row>
    <row r="112" spans="2:6">
      <c r="B112" s="34"/>
      <c r="C112" s="34"/>
      <c r="D112" s="158"/>
      <c r="E112" s="158"/>
      <c r="F112" s="34"/>
    </row>
    <row r="113" spans="2:6">
      <c r="B113" s="34"/>
      <c r="C113" s="34"/>
      <c r="D113" s="158"/>
      <c r="E113" s="158"/>
      <c r="F113" s="34"/>
    </row>
    <row r="114" spans="2:6">
      <c r="B114" s="34"/>
      <c r="C114" s="34"/>
      <c r="D114" s="158"/>
      <c r="E114" s="158"/>
      <c r="F114" s="34"/>
    </row>
    <row r="115" spans="2:6">
      <c r="B115" s="34"/>
      <c r="C115" s="34"/>
      <c r="D115" s="158"/>
      <c r="E115" s="158"/>
      <c r="F115" s="34"/>
    </row>
    <row r="116" spans="2:6">
      <c r="B116" s="34"/>
      <c r="C116" s="34"/>
      <c r="D116" s="158"/>
      <c r="E116" s="158"/>
      <c r="F116" s="34"/>
    </row>
    <row r="117" spans="2:6">
      <c r="B117" s="34"/>
      <c r="C117" s="34"/>
      <c r="D117" s="158"/>
      <c r="E117" s="158"/>
      <c r="F117" s="34"/>
    </row>
    <row r="118" spans="2:6">
      <c r="B118" s="34"/>
      <c r="C118" s="34"/>
      <c r="D118" s="158"/>
      <c r="E118" s="158"/>
      <c r="F118" s="34"/>
    </row>
    <row r="119" spans="2:6">
      <c r="B119" s="34"/>
      <c r="C119" s="34"/>
      <c r="D119" s="158"/>
      <c r="E119" s="158"/>
      <c r="F119" s="34"/>
    </row>
    <row r="120" spans="2:6">
      <c r="B120" s="34"/>
      <c r="C120" s="34"/>
      <c r="D120" s="158"/>
      <c r="E120" s="158"/>
      <c r="F120" s="34"/>
    </row>
    <row r="121" spans="2:6">
      <c r="B121" s="34"/>
      <c r="C121" s="34"/>
      <c r="D121" s="158"/>
      <c r="E121" s="158"/>
      <c r="F121" s="34"/>
    </row>
    <row r="122" spans="2:6">
      <c r="B122" s="34"/>
      <c r="C122" s="34"/>
      <c r="D122" s="158"/>
      <c r="E122" s="158"/>
      <c r="F122" s="34"/>
    </row>
    <row r="123" spans="2:6">
      <c r="B123" s="34"/>
      <c r="C123" s="34"/>
      <c r="D123" s="158"/>
      <c r="E123" s="158"/>
      <c r="F123" s="34"/>
    </row>
    <row r="124" spans="2:6">
      <c r="B124" s="34"/>
      <c r="C124" s="34"/>
      <c r="D124" s="158"/>
      <c r="E124" s="158"/>
      <c r="F124" s="34"/>
    </row>
    <row r="125" spans="2:6">
      <c r="B125" s="34"/>
      <c r="C125" s="34"/>
      <c r="D125" s="158"/>
      <c r="E125" s="158"/>
      <c r="F125" s="34"/>
    </row>
    <row r="126" spans="2:6">
      <c r="B126" s="34"/>
      <c r="C126" s="34"/>
      <c r="D126" s="158"/>
      <c r="E126" s="158"/>
      <c r="F126" s="34"/>
    </row>
    <row r="127" spans="2:6">
      <c r="D127" s="123"/>
      <c r="E127" s="123"/>
    </row>
    <row r="128" spans="2:6">
      <c r="D128" s="123"/>
      <c r="E128" s="123"/>
    </row>
  </sheetData>
  <mergeCells count="2">
    <mergeCell ref="B74:C74"/>
    <mergeCell ref="D74:E74"/>
  </mergeCells>
  <pageMargins left="0.7" right="0.7" top="0.75" bottom="0.75" header="0.3" footer="0.3"/>
  <pageSetup scale="90" orientation="portrait" r:id="rId1"/>
  <rowBreaks count="1" manualBreakCount="1">
    <brk id="34" max="16383" man="1"/>
  </rowBreaks>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dimension ref="A1:CA135"/>
  <sheetViews>
    <sheetView tabSelected="1" zoomScale="70" zoomScaleNormal="70" workbookViewId="0">
      <selection activeCell="Q4" sqref="Q4"/>
    </sheetView>
  </sheetViews>
  <sheetFormatPr defaultRowHeight="15"/>
  <cols>
    <col min="1" max="1" width="14.85546875" customWidth="1"/>
    <col min="2" max="2" width="12.7109375" customWidth="1"/>
    <col min="3" max="3" width="14.85546875" customWidth="1"/>
    <col min="4" max="4" width="12.7109375" customWidth="1"/>
    <col min="5" max="5" width="14.5703125" style="15" customWidth="1"/>
    <col min="6" max="6" width="13.85546875" customWidth="1"/>
    <col min="7" max="7" width="12.7109375" style="24" customWidth="1"/>
    <col min="8" max="12" width="12.7109375" customWidth="1"/>
    <col min="13" max="13" width="12.7109375" style="27" customWidth="1"/>
    <col min="14" max="27" width="12.7109375" customWidth="1"/>
    <col min="28" max="28" width="16.28515625" customWidth="1"/>
    <col min="29" max="30" width="12.7109375" customWidth="1"/>
    <col min="31" max="31" width="12.7109375" style="65" customWidth="1"/>
    <col min="32" max="32" width="12.7109375" customWidth="1"/>
    <col min="33" max="33" width="12.7109375" style="138" customWidth="1"/>
    <col min="34" max="35" width="12.7109375" customWidth="1"/>
    <col min="36" max="36" width="12.7109375" style="27" customWidth="1"/>
    <col min="37" max="39" width="12.7109375" customWidth="1"/>
    <col min="40" max="40" width="12.7109375" style="27" customWidth="1"/>
    <col min="41" max="48" width="12.7109375" customWidth="1"/>
    <col min="50" max="53" width="12.7109375" customWidth="1"/>
    <col min="54" max="54" width="14.28515625" customWidth="1"/>
    <col min="55" max="55" width="14" customWidth="1"/>
    <col min="56" max="56" width="12.7109375" customWidth="1"/>
    <col min="57" max="58" width="12.7109375" style="68" customWidth="1"/>
    <col min="59" max="64" width="12.7109375" customWidth="1"/>
    <col min="76" max="76" width="14.7109375" customWidth="1"/>
  </cols>
  <sheetData>
    <row r="1" spans="1:79">
      <c r="H1" s="24"/>
      <c r="I1" s="24"/>
      <c r="R1" s="27"/>
      <c r="AW1" s="151"/>
      <c r="AX1" s="151"/>
      <c r="AY1" s="151"/>
    </row>
    <row r="2" spans="1:79">
      <c r="H2" s="24"/>
      <c r="I2" s="24"/>
      <c r="R2" s="27"/>
      <c r="AW2" s="151"/>
      <c r="AX2" s="151"/>
      <c r="AY2" s="151"/>
    </row>
    <row r="3" spans="1:79">
      <c r="H3" s="24"/>
      <c r="I3" s="24"/>
      <c r="R3" s="27"/>
      <c r="AW3" s="151"/>
      <c r="AX3" s="151"/>
      <c r="AY3" s="151"/>
      <c r="BB3" s="152" t="s">
        <v>89</v>
      </c>
      <c r="BC3" s="152" t="s">
        <v>89</v>
      </c>
    </row>
    <row r="4" spans="1:79">
      <c r="H4" s="24"/>
      <c r="I4" s="24"/>
      <c r="R4" s="27"/>
      <c r="AW4" s="151"/>
      <c r="AX4" s="151"/>
      <c r="AY4" s="152" t="s">
        <v>86</v>
      </c>
      <c r="AZ4" s="152" t="s">
        <v>87</v>
      </c>
      <c r="BB4" s="152" t="s">
        <v>88</v>
      </c>
      <c r="BC4" s="152" t="s">
        <v>90</v>
      </c>
    </row>
    <row r="5" spans="1:79" ht="15.75">
      <c r="H5" s="24"/>
      <c r="I5" s="24"/>
      <c r="R5" s="27"/>
      <c r="AY5" s="27">
        <f>BB18</f>
        <v>25.127683333333334</v>
      </c>
      <c r="AZ5" s="27">
        <f>BC18</f>
        <v>-158.19925000000001</v>
      </c>
      <c r="BB5" s="153">
        <f>ACOS(SIN(RADIANS(AY5))*SIN(RADIANS(AD98))+COS(RADIANS(AY5))*COS(RADIANS(AD98))*COS(RADIANS(AE98)-RADIANS(AZ5)))*6371.1</f>
        <v>41.014952003699079</v>
      </c>
      <c r="BC5" s="154">
        <f>BB5/1.852</f>
        <v>22.146302377807277</v>
      </c>
    </row>
    <row r="6" spans="1:79">
      <c r="H6" s="24"/>
      <c r="I6" s="24"/>
      <c r="R6" s="27"/>
      <c r="U6" t="s">
        <v>29</v>
      </c>
      <c r="BH6" s="134" t="s">
        <v>74</v>
      </c>
    </row>
    <row r="7" spans="1:79">
      <c r="H7" s="24"/>
      <c r="I7" s="24"/>
      <c r="R7" s="27"/>
      <c r="U7" s="63" t="s">
        <v>30</v>
      </c>
      <c r="AB7" s="24"/>
      <c r="AC7" s="148"/>
    </row>
    <row r="8" spans="1:79" ht="15.75">
      <c r="B8" s="20"/>
      <c r="H8" s="24"/>
      <c r="I8" s="24"/>
      <c r="R8" s="27"/>
      <c r="U8" s="63" t="s">
        <v>31</v>
      </c>
      <c r="AC8" s="148"/>
      <c r="BB8">
        <v>25</v>
      </c>
      <c r="BC8">
        <v>-158</v>
      </c>
      <c r="BE8"/>
      <c r="BF8"/>
    </row>
    <row r="9" spans="1:79" ht="18" customHeight="1" thickBot="1">
      <c r="A9" s="35" t="s">
        <v>18</v>
      </c>
      <c r="H9" s="24"/>
      <c r="I9" s="24"/>
      <c r="R9" s="27"/>
      <c r="X9" s="35" t="s">
        <v>77</v>
      </c>
      <c r="AV9" s="34"/>
      <c r="AX9" s="35" t="s">
        <v>85</v>
      </c>
      <c r="BB9">
        <v>24</v>
      </c>
      <c r="BC9">
        <v>-157</v>
      </c>
      <c r="BE9"/>
      <c r="BF9"/>
      <c r="BG9" s="74" t="s">
        <v>84</v>
      </c>
    </row>
    <row r="10" spans="1:79" ht="65.25" customHeight="1" thickBot="1">
      <c r="A10" s="19" t="s">
        <v>15</v>
      </c>
      <c r="B10" s="2" t="s">
        <v>16</v>
      </c>
      <c r="C10" s="1" t="s">
        <v>13</v>
      </c>
      <c r="D10" s="2" t="s">
        <v>14</v>
      </c>
      <c r="E10" s="36" t="s">
        <v>0</v>
      </c>
      <c r="F10" s="4" t="s">
        <v>1</v>
      </c>
      <c r="G10" s="25" t="s">
        <v>24</v>
      </c>
      <c r="H10" s="26" t="s">
        <v>25</v>
      </c>
      <c r="I10" s="6" t="s">
        <v>26</v>
      </c>
      <c r="J10" s="6" t="s">
        <v>19</v>
      </c>
      <c r="K10" s="7" t="s">
        <v>6</v>
      </c>
      <c r="L10" s="8" t="s">
        <v>7</v>
      </c>
      <c r="M10" s="7" t="s">
        <v>8</v>
      </c>
      <c r="N10" s="2" t="s">
        <v>9</v>
      </c>
      <c r="O10" s="9" t="s">
        <v>10</v>
      </c>
      <c r="P10" s="2" t="s">
        <v>11</v>
      </c>
      <c r="Q10" s="10" t="s">
        <v>12</v>
      </c>
      <c r="R10" s="29" t="s">
        <v>21</v>
      </c>
      <c r="S10" s="2" t="s">
        <v>22</v>
      </c>
      <c r="T10" s="10" t="s">
        <v>23</v>
      </c>
      <c r="U10" s="2" t="s">
        <v>32</v>
      </c>
      <c r="V10" s="2" t="s">
        <v>33</v>
      </c>
      <c r="W10" s="11"/>
      <c r="X10" s="19" t="s">
        <v>15</v>
      </c>
      <c r="Y10" s="2" t="s">
        <v>16</v>
      </c>
      <c r="Z10" s="1" t="s">
        <v>13</v>
      </c>
      <c r="AA10" s="2" t="s">
        <v>14</v>
      </c>
      <c r="AB10" s="3" t="s">
        <v>0</v>
      </c>
      <c r="AC10" s="4" t="s">
        <v>1</v>
      </c>
      <c r="AD10" s="5" t="s">
        <v>2</v>
      </c>
      <c r="AE10" s="6" t="s">
        <v>3</v>
      </c>
      <c r="AF10" s="6" t="s">
        <v>26</v>
      </c>
      <c r="AG10" s="149" t="s">
        <v>19</v>
      </c>
      <c r="AH10" s="7" t="s">
        <v>6</v>
      </c>
      <c r="AI10" s="8" t="s">
        <v>7</v>
      </c>
      <c r="AJ10" s="7" t="s">
        <v>8</v>
      </c>
      <c r="AK10" s="2" t="s">
        <v>9</v>
      </c>
      <c r="AL10" s="9" t="s">
        <v>10</v>
      </c>
      <c r="AM10" s="2" t="s">
        <v>11</v>
      </c>
      <c r="AN10" s="64" t="s">
        <v>12</v>
      </c>
      <c r="AO10" s="29" t="s">
        <v>21</v>
      </c>
      <c r="AP10" s="2" t="s">
        <v>22</v>
      </c>
      <c r="AQ10" s="10" t="s">
        <v>23</v>
      </c>
      <c r="AR10" s="2" t="s">
        <v>41</v>
      </c>
      <c r="AS10" s="2" t="s">
        <v>42</v>
      </c>
      <c r="AT10" s="2" t="s">
        <v>32</v>
      </c>
      <c r="AU10" s="2" t="s">
        <v>34</v>
      </c>
      <c r="AV10" s="11"/>
      <c r="AX10" s="12" t="s">
        <v>13</v>
      </c>
      <c r="AY10" s="2" t="s">
        <v>14</v>
      </c>
      <c r="AZ10" s="33" t="s">
        <v>0</v>
      </c>
      <c r="BA10" s="141" t="s">
        <v>1</v>
      </c>
      <c r="BB10" s="23" t="s">
        <v>4</v>
      </c>
      <c r="BC10" s="23" t="s">
        <v>5</v>
      </c>
      <c r="BD10" s="135" t="s">
        <v>73</v>
      </c>
      <c r="BE10" s="135">
        <v>-157</v>
      </c>
      <c r="BF10" s="135"/>
      <c r="BG10" s="12" t="s">
        <v>13</v>
      </c>
      <c r="BH10" s="2" t="s">
        <v>14</v>
      </c>
      <c r="BI10" s="33" t="s">
        <v>0</v>
      </c>
      <c r="BJ10" s="4" t="s">
        <v>1</v>
      </c>
      <c r="BK10" s="23" t="s">
        <v>75</v>
      </c>
      <c r="BL10" s="23" t="s">
        <v>76</v>
      </c>
      <c r="BO10" s="147" t="s">
        <v>6</v>
      </c>
      <c r="BP10" t="s">
        <v>82</v>
      </c>
    </row>
    <row r="11" spans="1:79" ht="15.75">
      <c r="A11" s="20" t="s">
        <v>27</v>
      </c>
      <c r="H11" s="24"/>
      <c r="I11" s="24"/>
      <c r="R11" s="27"/>
      <c r="AV11" s="34"/>
      <c r="AW11">
        <v>1</v>
      </c>
      <c r="AX11" s="56">
        <f t="shared" ref="AX11:AX21" si="0">(AZ11+BA11)-(10/24)</f>
        <v>40800.870138888895</v>
      </c>
      <c r="AY11" s="57">
        <f t="shared" ref="AY11:AY21" si="1">(AZ11+BA11)-(10/24)</f>
        <v>40800.870138888895</v>
      </c>
      <c r="AZ11" s="58">
        <v>40801</v>
      </c>
      <c r="BA11" s="59">
        <v>0.28680555555555554</v>
      </c>
      <c r="BB11" s="40">
        <f>$BB$9+(BD11/60)</f>
        <v>24.992383333333333</v>
      </c>
      <c r="BC11" s="40">
        <f t="shared" ref="BC11:BC17" si="2">$BC$9+(BE11/60)</f>
        <v>-157.47751666666667</v>
      </c>
      <c r="BD11" s="27">
        <v>59.542999999999999</v>
      </c>
      <c r="BE11" s="27">
        <v>-28.651</v>
      </c>
      <c r="BF11"/>
      <c r="BG11" s="56"/>
      <c r="BH11" s="57"/>
      <c r="BI11" s="58"/>
      <c r="BJ11" s="59"/>
      <c r="BK11" s="61"/>
      <c r="BL11" s="61"/>
    </row>
    <row r="12" spans="1:79">
      <c r="B12">
        <v>341</v>
      </c>
      <c r="C12" s="42">
        <f t="shared" ref="C12:C18" si="3">(E12+F12)-(10/24)</f>
        <v>40800.709722222222</v>
      </c>
      <c r="D12" s="43">
        <f t="shared" ref="D12:D18" si="4">(E12+F12)-(10/24)</f>
        <v>40800.709722222222</v>
      </c>
      <c r="E12" s="15">
        <v>40801</v>
      </c>
      <c r="F12" s="21">
        <v>0.12638888888888888</v>
      </c>
      <c r="G12" s="24">
        <v>25.00489</v>
      </c>
      <c r="H12" s="24">
        <v>-157.47846000000001</v>
      </c>
      <c r="I12" s="24">
        <v>44</v>
      </c>
      <c r="J12" s="24">
        <v>1299</v>
      </c>
      <c r="K12" s="46">
        <f t="shared" ref="K12:K17" si="5">ACOS(SIN(RADIANS(G12))*SIN(RADIANS(G13))+COS(RADIANS(G12))*COS(RADIANS(G13))*COS(RADIANS(H13)-RADIANS(H12)))*6371.1</f>
        <v>0.7313765581654208</v>
      </c>
      <c r="L12" s="46">
        <f t="shared" ref="L12:L17" si="6">L11+K12</f>
        <v>0.7313765581654208</v>
      </c>
      <c r="M12" s="123">
        <f t="shared" ref="M12:M34" si="7">RADIANS(N12)</f>
        <v>5.1105440637767785</v>
      </c>
      <c r="N12" s="47">
        <f t="shared" ref="N12:N17" si="8">MOD(DEGREES(ATAN2(COS(RADIANS(G12))*SIN(RADIANS(G13))-SIN(RADIANS(G12))*COS(RADIANS(G13))*COS(RADIANS(H13)-RADIANS(H12)),SIN(RADIANS(H13)-RADIANS(H12))*COS(RADIANS(G13)))), 360)</f>
        <v>292.81260587004601</v>
      </c>
      <c r="O12" s="47">
        <f t="shared" ref="O12:O17" si="9">K12/((D13-D12)*24)</f>
        <v>0.24379218605514028</v>
      </c>
      <c r="P12" s="47">
        <f t="shared" ref="P12:P34" si="10">(O12*1000*100)/3600</f>
        <v>6.7720051681983406</v>
      </c>
      <c r="Q12" s="47">
        <f t="shared" ref="Q12:Q17" si="11">O12/1.852</f>
        <v>0.13163724948981656</v>
      </c>
      <c r="R12" s="48">
        <f>AVERAGE(Q18:Q35)</f>
        <v>0.25137437954778769</v>
      </c>
      <c r="S12" s="48">
        <f>STDEV(Q18:Q35)</f>
        <v>8.9417846422254296E-2</v>
      </c>
      <c r="T12" s="49">
        <f>S12/R12*100</f>
        <v>35.571583143482393</v>
      </c>
      <c r="U12" s="34">
        <f>O12*COS(RADIANS(N12))</f>
        <v>9.4522716264238776E-2</v>
      </c>
      <c r="V12" s="34">
        <f>O12*SIN(RADIANS(N12))</f>
        <v>-0.22472224209359951</v>
      </c>
      <c r="W12" s="18"/>
      <c r="Y12" s="41">
        <v>451</v>
      </c>
      <c r="Z12" s="42">
        <f>(AB12+AC12)-(10/24)</f>
        <v>40800.768750000003</v>
      </c>
      <c r="AA12" s="43">
        <f>(AB12+AC12)-(10/24)</f>
        <v>40800.768750000003</v>
      </c>
      <c r="AB12" s="51">
        <v>40801</v>
      </c>
      <c r="AC12" s="45">
        <v>0.18541666666666667</v>
      </c>
      <c r="AD12" s="24">
        <v>25.00778</v>
      </c>
      <c r="AE12" s="24">
        <v>-157.47927000000001</v>
      </c>
      <c r="AF12" s="24">
        <v>39</v>
      </c>
      <c r="AG12" s="138">
        <v>1305</v>
      </c>
      <c r="AH12" s="46">
        <f>ACOS(SIN(RADIANS(AD12))*SIN(RADIANS(AD13))+COS(RADIANS(AD12))*COS(RADIANS(AD13))*COS(RADIANS(AE13)-RADIANS(AE12)))*6371.1</f>
        <v>0.32842116381199987</v>
      </c>
      <c r="AI12" s="46">
        <f>AI11+AH12</f>
        <v>0.32842116381199987</v>
      </c>
      <c r="AJ12" s="123">
        <f>RADIANS(AK12)</f>
        <v>4.7869575116468308</v>
      </c>
      <c r="AK12" s="47">
        <f>MOD(DEGREES(ATAN2(COS(RADIANS(AD12))*SIN(RADIANS(AD13))-SIN(RADIANS(AD12))*COS(RADIANS(AD13))*COS(RADIANS(AE13)-RADIANS(AE12)),SIN(RADIANS(AE13)-RADIANS(AE12))*COS(RADIANS(AD13)))), 360)</f>
        <v>274.27246212581002</v>
      </c>
      <c r="AL12" s="130">
        <f t="shared" ref="AL12:AL26" si="12">AH12/((AA13-AA12)*24)</f>
        <v>0.32303721030811811</v>
      </c>
      <c r="AM12" s="47">
        <f>(AL12*1000*100)/3600</f>
        <v>8.9732558418921702</v>
      </c>
      <c r="AN12" s="47">
        <f>AL12/1.852</f>
        <v>0.17442613947522576</v>
      </c>
      <c r="AO12" s="41"/>
      <c r="AP12" s="41"/>
      <c r="AQ12" s="41"/>
      <c r="AR12" s="34">
        <f>AL12*COS(RADIANS(AK12))</f>
        <v>2.4066092724234361E-2</v>
      </c>
      <c r="AS12" s="34">
        <f>AL12*SIN(RADIANS(AK12))</f>
        <v>-0.32213950770534167</v>
      </c>
      <c r="AT12" s="34">
        <f>AN12*COS(RADIANS(AK12))</f>
        <v>1.299465049904663E-2</v>
      </c>
      <c r="AU12" s="34">
        <f>AN12*SIN(RADIANS(AK12))</f>
        <v>-0.17394141884737668</v>
      </c>
      <c r="AV12" s="34"/>
      <c r="AW12">
        <v>2</v>
      </c>
      <c r="AX12" s="42">
        <f t="shared" si="0"/>
        <v>40800.897916666669</v>
      </c>
      <c r="AY12" s="43">
        <f t="shared" si="1"/>
        <v>40800.897916666669</v>
      </c>
      <c r="AZ12" s="51">
        <v>40801</v>
      </c>
      <c r="BA12" s="133">
        <v>0.31458333333333333</v>
      </c>
      <c r="BB12" s="52">
        <f>$BB$9+(BD12/60)</f>
        <v>24.990533333333332</v>
      </c>
      <c r="BC12" s="52">
        <f t="shared" si="2"/>
        <v>-157.48878333333334</v>
      </c>
      <c r="BD12" s="140">
        <v>59.432000000000002</v>
      </c>
      <c r="BE12" s="27">
        <v>-29.327000000000002</v>
      </c>
      <c r="BF12"/>
      <c r="BG12" s="42">
        <f>(BI12+BJ12)-(10/24)</f>
        <v>40801.917361111111</v>
      </c>
      <c r="BH12" s="43">
        <f>(BI12+BJ12)-(10/24)</f>
        <v>40801.917361111111</v>
      </c>
      <c r="BI12" s="15">
        <v>40802</v>
      </c>
      <c r="BJ12" s="146">
        <v>0.33402777777777781</v>
      </c>
      <c r="BK12">
        <v>25.007000000000001</v>
      </c>
      <c r="BL12" s="27">
        <v>-157.69300000000001</v>
      </c>
      <c r="BO12" s="46">
        <f>ACOS(SIN(RADIANS(BK12))*SIN(RADIANS(BK13))+COS(RADIANS(BK12))*COS(RADIANS(BK13))*COS(RADIANS(BL13)-RADIANS(BL12)))*6371.1</f>
        <v>8.5914120288603666</v>
      </c>
      <c r="BP12" s="130">
        <f>BO12/((BH13-BH12)*24)</f>
        <v>0.69007325532627839</v>
      </c>
    </row>
    <row r="13" spans="1:79">
      <c r="B13">
        <v>342</v>
      </c>
      <c r="C13" s="42">
        <f t="shared" si="3"/>
        <v>40800.834722222222</v>
      </c>
      <c r="D13" s="43">
        <f t="shared" si="4"/>
        <v>40800.834722222222</v>
      </c>
      <c r="E13" s="15">
        <v>40801</v>
      </c>
      <c r="F13" s="45">
        <v>0.25138888888888888</v>
      </c>
      <c r="G13" s="24">
        <v>25.007439999999999</v>
      </c>
      <c r="H13" s="24">
        <v>-157.48515</v>
      </c>
      <c r="I13" s="24">
        <v>38</v>
      </c>
      <c r="J13" s="24">
        <v>1308</v>
      </c>
      <c r="K13" s="46">
        <f t="shared" si="5"/>
        <v>1.4817887896767401</v>
      </c>
      <c r="L13" s="46">
        <f t="shared" si="6"/>
        <v>2.2131653478421609</v>
      </c>
      <c r="M13" s="123">
        <f t="shared" si="7"/>
        <v>4.8752519443414402</v>
      </c>
      <c r="N13" s="47">
        <f t="shared" si="8"/>
        <v>279.33136047371306</v>
      </c>
      <c r="O13" s="47">
        <f t="shared" si="9"/>
        <v>0.24696479827945669</v>
      </c>
      <c r="P13" s="47">
        <f t="shared" si="10"/>
        <v>6.8601332855404635</v>
      </c>
      <c r="Q13" s="47">
        <f t="shared" si="11"/>
        <v>0.133350323045063</v>
      </c>
      <c r="U13" s="34">
        <f t="shared" ref="U13:U27" si="13">O13*COS(RADIANS(N13))</f>
        <v>4.00438469043123E-2</v>
      </c>
      <c r="V13" s="34">
        <f t="shared" ref="V13:V27" si="14">O13*SIN(RADIANS(N13))</f>
        <v>-0.24369674169819491</v>
      </c>
      <c r="W13" s="18"/>
      <c r="Y13" s="41">
        <v>452</v>
      </c>
      <c r="Z13" s="42">
        <f>(AB13+AC13)-(10/24)</f>
        <v>40800.811111111114</v>
      </c>
      <c r="AA13" s="43">
        <f>(AB13+AC13)-(10/24)</f>
        <v>40800.811111111114</v>
      </c>
      <c r="AB13" s="51">
        <v>40801</v>
      </c>
      <c r="AC13" s="21">
        <v>0.22777777777777777</v>
      </c>
      <c r="AD13" s="24">
        <v>25.007999999999999</v>
      </c>
      <c r="AE13" s="24">
        <v>-157.48251999999999</v>
      </c>
      <c r="AF13" s="24">
        <v>42</v>
      </c>
      <c r="AG13" s="136">
        <v>1305</v>
      </c>
      <c r="AH13" s="46">
        <f t="shared" ref="AH13:AH26" si="15">ACOS(SIN(RADIANS(AD13))*SIN(RADIANS(AD14))+COS(RADIANS(AD13))*COS(RADIANS(AD14))*COS(RADIANS(AE14)-RADIANS(AE13)))*6371.1</f>
        <v>0.54718368445697085</v>
      </c>
      <c r="AI13" s="46">
        <f t="shared" ref="AI13:AI26" si="16">AI12+AH13</f>
        <v>0.87560484826897067</v>
      </c>
      <c r="AJ13" s="123">
        <f t="shared" ref="AJ13:AJ26" si="17">RADIANS(AK13)</f>
        <v>4.4471598088199675</v>
      </c>
      <c r="AK13" s="47">
        <f t="shared" ref="AK13:AK26" si="18">MOD(DEGREES(ATAN2(COS(RADIANS(AD13))*SIN(RADIANS(AD14))-SIN(RADIANS(AD13))*COS(RADIANS(AD14))*COS(RADIANS(AE14)-RADIANS(AE13)),SIN(RADIANS(AE14)-RADIANS(AE13))*COS(RADIANS(AD14)))), 360)</f>
        <v>254.80348786559017</v>
      </c>
      <c r="AL13" s="130">
        <f t="shared" si="12"/>
        <v>0.52953259783573325</v>
      </c>
      <c r="AM13" s="47">
        <f t="shared" ref="AM13:AM26" si="19">(AL13*1000*100)/3600</f>
        <v>14.709238828770365</v>
      </c>
      <c r="AN13" s="47">
        <f t="shared" ref="AN13:AN26" si="20">AL13/1.852</f>
        <v>0.2859247288529877</v>
      </c>
      <c r="AO13" s="31"/>
      <c r="AP13" s="31"/>
      <c r="AQ13" s="32"/>
      <c r="AR13" s="32"/>
      <c r="AS13" s="32"/>
      <c r="AT13" s="34">
        <f t="shared" ref="AT13:AT36" si="21">AN13*COS(RADIANS(AK13))</f>
        <v>-7.4949572987770524E-2</v>
      </c>
      <c r="AU13" s="34">
        <f t="shared" ref="AU13:AU36" si="22">AN13*SIN(RADIANS(AK13))</f>
        <v>-0.27592664256755889</v>
      </c>
      <c r="AV13" s="34"/>
      <c r="AW13">
        <v>3</v>
      </c>
      <c r="AX13" s="42">
        <f t="shared" si="0"/>
        <v>40801.484027777777</v>
      </c>
      <c r="AY13" s="43">
        <f t="shared" si="1"/>
        <v>40801.484027777777</v>
      </c>
      <c r="AZ13" s="51">
        <v>40801</v>
      </c>
      <c r="BA13" s="45">
        <v>0.90069444444444446</v>
      </c>
      <c r="BB13" s="52">
        <f>$BB$9+(BD13/60)</f>
        <v>24.972666666666665</v>
      </c>
      <c r="BC13" s="52">
        <f t="shared" si="2"/>
        <v>-157.59389999999999</v>
      </c>
      <c r="BD13" s="27">
        <v>58.36</v>
      </c>
      <c r="BE13" s="27">
        <v>-35.634</v>
      </c>
      <c r="BG13" s="42">
        <f>(BI13+BJ13)-(10/24)</f>
        <v>40802.436111111114</v>
      </c>
      <c r="BH13" s="43">
        <f>(BI13+BJ13)-(10/24)</f>
        <v>40802.436111111114</v>
      </c>
      <c r="BI13" s="15">
        <v>40802</v>
      </c>
      <c r="BJ13" s="146">
        <v>0.85277777777777775</v>
      </c>
      <c r="BK13">
        <v>25.013000000000002</v>
      </c>
      <c r="BL13" s="27">
        <v>-157.77799999999999</v>
      </c>
      <c r="BO13" s="46">
        <f>ACOS(SIN(RADIANS(BK13))*SIN(RADIANS(BK14))+COS(RADIANS(BK13))*COS(RADIANS(BK14))*COS(RADIANS(BL14)-RADIANS(BL13)))*6371.1</f>
        <v>3.5338471393460149</v>
      </c>
      <c r="BP13" s="130">
        <f>BO13/((BH14-BH13)*24)</f>
        <v>1.21461234502735</v>
      </c>
    </row>
    <row r="14" spans="1:79">
      <c r="B14">
        <v>343</v>
      </c>
      <c r="C14" s="42">
        <f t="shared" si="3"/>
        <v>40801.084722222222</v>
      </c>
      <c r="D14" s="43">
        <f t="shared" si="4"/>
        <v>40801.084722222222</v>
      </c>
      <c r="E14" s="15">
        <v>40801</v>
      </c>
      <c r="F14" s="21">
        <v>0.50138888888888888</v>
      </c>
      <c r="G14" s="24">
        <v>25.009599999999999</v>
      </c>
      <c r="H14" s="24">
        <v>-157.49966000000001</v>
      </c>
      <c r="I14" s="24">
        <v>41</v>
      </c>
      <c r="J14" s="24">
        <v>1295</v>
      </c>
      <c r="K14" s="46">
        <f t="shared" si="5"/>
        <v>0.56031406020954699</v>
      </c>
      <c r="L14" s="46">
        <f t="shared" si="6"/>
        <v>2.773479408051708</v>
      </c>
      <c r="M14" s="123">
        <f t="shared" si="7"/>
        <v>0.20831865297876595</v>
      </c>
      <c r="N14" s="47">
        <f t="shared" si="8"/>
        <v>11.935779609533684</v>
      </c>
      <c r="O14" s="47">
        <f t="shared" si="9"/>
        <v>0.18677135340318232</v>
      </c>
      <c r="P14" s="47">
        <f t="shared" si="10"/>
        <v>5.188093150088398</v>
      </c>
      <c r="Q14" s="47">
        <f t="shared" si="11"/>
        <v>0.10084846296068159</v>
      </c>
      <c r="R14" s="31"/>
      <c r="S14" s="31"/>
      <c r="T14" s="32"/>
      <c r="U14" s="34">
        <f t="shared" si="13"/>
        <v>0.18273336152014139</v>
      </c>
      <c r="V14" s="34">
        <f t="shared" si="14"/>
        <v>3.8627154174307794E-2</v>
      </c>
      <c r="W14" s="18"/>
      <c r="Y14" s="41">
        <v>453</v>
      </c>
      <c r="Z14" s="42">
        <f t="shared" ref="Z14:Z27" si="23">(AB14+AC14)-(10/24)</f>
        <v>40800.854166666672</v>
      </c>
      <c r="AA14" s="43">
        <f t="shared" ref="AA14:AA27" si="24">(AB14+AC14)-(10/24)</f>
        <v>40800.854166666672</v>
      </c>
      <c r="AB14" s="51">
        <v>40801</v>
      </c>
      <c r="AC14" s="21">
        <v>0.27083333333333331</v>
      </c>
      <c r="AD14" s="24">
        <v>25.006710000000002</v>
      </c>
      <c r="AE14" s="24">
        <v>-157.48776000000001</v>
      </c>
      <c r="AF14" s="24">
        <v>40</v>
      </c>
      <c r="AG14" s="136">
        <v>1299</v>
      </c>
      <c r="AH14" s="46">
        <f t="shared" si="15"/>
        <v>0.93538096449739838</v>
      </c>
      <c r="AI14" s="46">
        <f t="shared" si="16"/>
        <v>1.8109858127663689</v>
      </c>
      <c r="AJ14" s="123">
        <f t="shared" si="17"/>
        <v>4.3503006344975841</v>
      </c>
      <c r="AK14" s="47">
        <f t="shared" si="18"/>
        <v>249.2538659697957</v>
      </c>
      <c r="AL14" s="130">
        <f t="shared" si="12"/>
        <v>0.46769048227592236</v>
      </c>
      <c r="AM14" s="47">
        <f t="shared" si="19"/>
        <v>12.991402285442287</v>
      </c>
      <c r="AN14" s="47">
        <f t="shared" si="20"/>
        <v>0.25253265781637274</v>
      </c>
      <c r="AO14" s="31"/>
      <c r="AP14" s="31"/>
      <c r="AQ14" s="32"/>
      <c r="AR14" s="32"/>
      <c r="AS14" s="32"/>
      <c r="AT14" s="34">
        <f t="shared" si="21"/>
        <v>-8.9454123153452081E-2</v>
      </c>
      <c r="AU14" s="34">
        <f t="shared" si="22"/>
        <v>-0.23615821627597086</v>
      </c>
      <c r="AW14">
        <v>4</v>
      </c>
      <c r="AX14" s="42">
        <f t="shared" si="0"/>
        <v>40801.597916666666</v>
      </c>
      <c r="AY14" s="43">
        <f t="shared" si="1"/>
        <v>40801.597916666666</v>
      </c>
      <c r="AZ14" s="51">
        <v>40802</v>
      </c>
      <c r="BA14" s="45">
        <v>1.4583333333333332E-2</v>
      </c>
      <c r="BB14" s="52">
        <f>$BB$9+(BD14/60)</f>
        <v>24.967133333333333</v>
      </c>
      <c r="BC14" s="52">
        <f t="shared" si="2"/>
        <v>-157.5916</v>
      </c>
      <c r="BD14" s="140">
        <v>58.027999999999999</v>
      </c>
      <c r="BE14" s="27">
        <v>-35.496000000000002</v>
      </c>
      <c r="BF14"/>
      <c r="BG14" s="42">
        <f>(BI14+BJ14)-(10/24)</f>
        <v>40802.557337962964</v>
      </c>
      <c r="BH14" s="43">
        <f>(BI14+BJ14)-(10/24)</f>
        <v>40802.557337962964</v>
      </c>
      <c r="BI14" s="15">
        <v>40802</v>
      </c>
      <c r="BJ14" s="146">
        <v>0.97400462962962964</v>
      </c>
      <c r="BK14">
        <v>25.015000000000001</v>
      </c>
      <c r="BL14" s="27">
        <v>-157.81299999999999</v>
      </c>
      <c r="BO14" s="46">
        <f>ACOS(SIN(RADIANS(BK14))*SIN(RADIANS(BK15))+COS(RADIANS(BK14))*COS(RADIANS(BK15))*COS(RADIANS(BL15)-RADIANS(BL14)))*6371.1</f>
        <v>2.6616887054037837</v>
      </c>
      <c r="BP14" s="130">
        <f>BO14/((BH15-BH14)*24)</f>
        <v>1.5901226916153797</v>
      </c>
    </row>
    <row r="15" spans="1:79" ht="15.75">
      <c r="B15">
        <v>344</v>
      </c>
      <c r="C15" s="42">
        <f t="shared" si="3"/>
        <v>40801.209722222222</v>
      </c>
      <c r="D15" s="43">
        <f t="shared" si="4"/>
        <v>40801.209722222222</v>
      </c>
      <c r="E15" s="15">
        <v>40801</v>
      </c>
      <c r="F15" s="21">
        <v>0.62638888888888888</v>
      </c>
      <c r="G15" s="24">
        <v>25.014530000000001</v>
      </c>
      <c r="H15" s="24">
        <v>-157.49851000000001</v>
      </c>
      <c r="I15" s="24">
        <v>38</v>
      </c>
      <c r="J15" s="24">
        <v>1302</v>
      </c>
      <c r="K15" s="46">
        <f t="shared" si="5"/>
        <v>1.0777908894887296</v>
      </c>
      <c r="L15" s="46">
        <f t="shared" si="6"/>
        <v>3.8512702975404376</v>
      </c>
      <c r="M15" s="123">
        <f t="shared" si="7"/>
        <v>3.7360544237891768</v>
      </c>
      <c r="N15" s="47">
        <f t="shared" si="8"/>
        <v>214.06015051430049</v>
      </c>
      <c r="O15" s="47">
        <f t="shared" si="9"/>
        <v>0.35926362982957655</v>
      </c>
      <c r="P15" s="47">
        <f t="shared" si="10"/>
        <v>9.9795452730437919</v>
      </c>
      <c r="Q15" s="47">
        <f t="shared" si="11"/>
        <v>0.19398684116067846</v>
      </c>
      <c r="U15" s="34">
        <f t="shared" si="13"/>
        <v>-0.29763197618624576</v>
      </c>
      <c r="V15" s="34">
        <f t="shared" si="14"/>
        <v>-0.20121024444543834</v>
      </c>
      <c r="Y15" s="41">
        <v>456</v>
      </c>
      <c r="Z15" s="42">
        <f t="shared" si="23"/>
        <v>40800.9375</v>
      </c>
      <c r="AA15" s="43">
        <f t="shared" si="24"/>
        <v>40800.9375</v>
      </c>
      <c r="AB15" s="51">
        <v>40801</v>
      </c>
      <c r="AC15" s="21">
        <v>0.35416666666666669</v>
      </c>
      <c r="AD15" s="24">
        <v>25.003730000000001</v>
      </c>
      <c r="AE15" s="24">
        <v>-157.49644000000001</v>
      </c>
      <c r="AF15" s="24">
        <v>41</v>
      </c>
      <c r="AG15" s="136">
        <v>1305</v>
      </c>
      <c r="AH15" s="46">
        <f t="shared" si="15"/>
        <v>0.19796457985714466</v>
      </c>
      <c r="AI15" s="46">
        <f t="shared" si="16"/>
        <v>2.0089503926235137</v>
      </c>
      <c r="AJ15" s="123">
        <f t="shared" si="17"/>
        <v>5.0982371741240753</v>
      </c>
      <c r="AK15" s="47">
        <f t="shared" si="18"/>
        <v>292.10747303401291</v>
      </c>
      <c r="AL15" s="130">
        <f t="shared" si="12"/>
        <v>0.19796457983409854</v>
      </c>
      <c r="AM15" s="47">
        <f t="shared" si="19"/>
        <v>5.4990161065027374</v>
      </c>
      <c r="AN15" s="47">
        <f t="shared" si="20"/>
        <v>0.10689232172467523</v>
      </c>
      <c r="AT15" s="34">
        <f t="shared" si="21"/>
        <v>4.0228402170023284E-2</v>
      </c>
      <c r="AU15" s="34">
        <f t="shared" si="22"/>
        <v>-9.9033550388433228E-2</v>
      </c>
      <c r="AW15">
        <v>5</v>
      </c>
      <c r="AX15" s="42">
        <f t="shared" si="0"/>
        <v>40801.818750000006</v>
      </c>
      <c r="AY15" s="43">
        <f t="shared" si="1"/>
        <v>40801.818750000006</v>
      </c>
      <c r="AZ15" s="51">
        <v>40802</v>
      </c>
      <c r="BA15" s="45">
        <v>0.23541666666666669</v>
      </c>
      <c r="BB15" s="52">
        <f>$BB$9+(BD15/60)</f>
        <v>24.996200000000002</v>
      </c>
      <c r="BC15" s="52">
        <f t="shared" si="2"/>
        <v>-157.65096666666668</v>
      </c>
      <c r="BD15" s="27">
        <v>59.771999999999998</v>
      </c>
      <c r="BE15" s="27">
        <v>-39.058</v>
      </c>
      <c r="BF15"/>
      <c r="BG15" s="42">
        <f>(BI15+BJ15)-(10/24)</f>
        <v>40802.627083333333</v>
      </c>
      <c r="BH15" s="43">
        <f>(BI15+BJ15)-(10/24)</f>
        <v>40802.627083333333</v>
      </c>
      <c r="BI15" s="15">
        <v>40803</v>
      </c>
      <c r="BJ15" s="146">
        <v>4.3750000000000004E-2</v>
      </c>
      <c r="BK15">
        <v>25.024999999999999</v>
      </c>
      <c r="BL15" s="27">
        <v>-157.83699999999999</v>
      </c>
      <c r="BO15" s="46">
        <f>ACOS(SIN(RADIANS(BK15))*SIN(RADIANS(BK16))+COS(RADIANS(BK15))*COS(RADIANS(BK16))*COS(RADIANS(BL16)-RADIANS(BL15)))*6371.1</f>
        <v>2.6291493566569173</v>
      </c>
      <c r="BP15" s="130">
        <f>BO15/((BH16-BH15)*24)</f>
        <v>2.6291493563508439</v>
      </c>
      <c r="BR15" s="145">
        <v>739</v>
      </c>
      <c r="BS15">
        <v>60484</v>
      </c>
      <c r="BT15">
        <v>2</v>
      </c>
      <c r="BU15">
        <v>1</v>
      </c>
      <c r="BV15" t="s">
        <v>78</v>
      </c>
      <c r="BW15">
        <v>1</v>
      </c>
      <c r="BX15" s="15">
        <v>40803</v>
      </c>
      <c r="BY15" s="146">
        <v>8.5983796296296308E-2</v>
      </c>
      <c r="BZ15">
        <v>25.023</v>
      </c>
      <c r="CA15">
        <v>202.137</v>
      </c>
    </row>
    <row r="16" spans="1:79" ht="15.75">
      <c r="B16">
        <v>345</v>
      </c>
      <c r="C16" s="42">
        <f t="shared" si="3"/>
        <v>40801.334722222222</v>
      </c>
      <c r="D16" s="43">
        <f t="shared" si="4"/>
        <v>40801.334722222222</v>
      </c>
      <c r="E16" s="15">
        <v>40801</v>
      </c>
      <c r="F16" s="21">
        <v>0.75138888888888899</v>
      </c>
      <c r="G16" s="24">
        <v>25.006499999999999</v>
      </c>
      <c r="H16" s="24">
        <v>-157.50450000000001</v>
      </c>
      <c r="I16" s="24">
        <v>38</v>
      </c>
      <c r="J16" s="24">
        <v>1302</v>
      </c>
      <c r="K16" s="46">
        <f t="shared" si="5"/>
        <v>2.11372987286259</v>
      </c>
      <c r="L16" s="46">
        <f t="shared" si="6"/>
        <v>5.9650001704030275</v>
      </c>
      <c r="M16" s="123">
        <f t="shared" si="7"/>
        <v>4.0940578054457735</v>
      </c>
      <c r="N16" s="47">
        <f t="shared" si="8"/>
        <v>234.57223333463472</v>
      </c>
      <c r="O16" s="47">
        <f t="shared" si="9"/>
        <v>0.70851280651755044</v>
      </c>
      <c r="P16" s="47">
        <f t="shared" si="10"/>
        <v>19.680911292154182</v>
      </c>
      <c r="Q16" s="47">
        <f t="shared" si="11"/>
        <v>0.38256631021466003</v>
      </c>
      <c r="U16" s="34">
        <f t="shared" si="13"/>
        <v>-0.41070796267133119</v>
      </c>
      <c r="V16" s="34">
        <f t="shared" si="14"/>
        <v>-0.57732951284144507</v>
      </c>
      <c r="Y16" s="41">
        <v>457</v>
      </c>
      <c r="Z16" s="42">
        <f t="shared" si="23"/>
        <v>40800.979166666672</v>
      </c>
      <c r="AA16" s="43">
        <f t="shared" si="24"/>
        <v>40800.979166666672</v>
      </c>
      <c r="AB16" s="51">
        <v>40801</v>
      </c>
      <c r="AC16" s="21">
        <v>0.39583333333333331</v>
      </c>
      <c r="AD16" s="24">
        <v>25.0044</v>
      </c>
      <c r="AE16" s="24">
        <v>-157.49825999999999</v>
      </c>
      <c r="AF16" s="24">
        <v>41</v>
      </c>
      <c r="AG16" s="136">
        <v>1305</v>
      </c>
      <c r="AH16" s="46">
        <f t="shared" si="15"/>
        <v>0.25059350648489326</v>
      </c>
      <c r="AI16" s="46">
        <f t="shared" si="16"/>
        <v>2.2595438991084071</v>
      </c>
      <c r="AJ16" s="123">
        <f t="shared" si="17"/>
        <v>5.508176686852865</v>
      </c>
      <c r="AK16" s="47">
        <f t="shared" si="18"/>
        <v>315.59527696902205</v>
      </c>
      <c r="AL16" s="130">
        <f t="shared" si="12"/>
        <v>0.24648541621558992</v>
      </c>
      <c r="AM16" s="47">
        <f t="shared" si="19"/>
        <v>6.8468171170997199</v>
      </c>
      <c r="AN16" s="47">
        <f t="shared" si="20"/>
        <v>0.1330914774382235</v>
      </c>
      <c r="AO16" s="31"/>
      <c r="AP16" s="31"/>
      <c r="AQ16" s="32"/>
      <c r="AR16" s="32"/>
      <c r="AS16" s="32"/>
      <c r="AT16" s="34">
        <f t="shared" si="21"/>
        <v>9.5082548153245405E-2</v>
      </c>
      <c r="AU16" s="34">
        <f t="shared" si="22"/>
        <v>-9.3127065901245504E-2</v>
      </c>
      <c r="AX16" s="42">
        <f t="shared" si="0"/>
        <v>40802.595833333333</v>
      </c>
      <c r="AY16" s="43">
        <f t="shared" si="1"/>
        <v>40802.595833333333</v>
      </c>
      <c r="AZ16" s="51">
        <v>40803</v>
      </c>
      <c r="BA16" s="45">
        <v>1.2499999999999999E-2</v>
      </c>
      <c r="BB16" s="52">
        <f t="shared" ref="BB16:BB21" si="25">$BB$8+(BD16/60)</f>
        <v>25.027166666666666</v>
      </c>
      <c r="BC16" s="52">
        <f t="shared" si="2"/>
        <v>-157.77940000000001</v>
      </c>
      <c r="BD16" s="27">
        <v>1.63</v>
      </c>
      <c r="BE16" s="27">
        <v>-46.764000000000003</v>
      </c>
      <c r="BF16"/>
      <c r="BG16" s="42">
        <f>(BI16+BJ16)-(10/24)</f>
        <v>40802.668750000004</v>
      </c>
      <c r="BH16" s="43">
        <f>(BI16+BJ16)-(10/24)</f>
        <v>40802.668750000004</v>
      </c>
      <c r="BI16" s="15">
        <v>40803</v>
      </c>
      <c r="BJ16" s="146">
        <v>8.5416666666666655E-2</v>
      </c>
      <c r="BK16">
        <v>25.023</v>
      </c>
      <c r="BL16" s="27">
        <v>-157.863</v>
      </c>
      <c r="BO16" s="46"/>
      <c r="BR16" s="145">
        <v>739</v>
      </c>
      <c r="BS16">
        <v>60484</v>
      </c>
      <c r="BT16">
        <v>2</v>
      </c>
      <c r="BU16">
        <v>1</v>
      </c>
      <c r="BV16" t="s">
        <v>79</v>
      </c>
      <c r="BW16">
        <v>3</v>
      </c>
      <c r="BX16" s="15">
        <v>40803</v>
      </c>
      <c r="BY16" s="146">
        <v>4.431712962962963E-2</v>
      </c>
      <c r="BZ16">
        <v>25.024999999999999</v>
      </c>
      <c r="CA16">
        <v>202.16300000000001</v>
      </c>
    </row>
    <row r="17" spans="2:79" ht="15.75">
      <c r="B17">
        <v>346</v>
      </c>
      <c r="C17" s="42">
        <f t="shared" si="3"/>
        <v>40801.459027777782</v>
      </c>
      <c r="D17" s="43">
        <f t="shared" si="4"/>
        <v>40801.459027777782</v>
      </c>
      <c r="E17" s="15">
        <v>40801</v>
      </c>
      <c r="F17" s="21">
        <v>0.87569444444444444</v>
      </c>
      <c r="G17" s="24">
        <v>24.995480000000001</v>
      </c>
      <c r="H17" s="24">
        <v>-157.52159</v>
      </c>
      <c r="I17" s="24">
        <v>41</v>
      </c>
      <c r="J17" s="24">
        <v>1305</v>
      </c>
      <c r="K17" s="46">
        <f t="shared" si="5"/>
        <v>1.7421633113843464</v>
      </c>
      <c r="L17" s="46">
        <f t="shared" si="6"/>
        <v>7.707163481787374</v>
      </c>
      <c r="M17" s="123">
        <f t="shared" si="7"/>
        <v>4.8979734166774058</v>
      </c>
      <c r="N17" s="47">
        <f t="shared" si="8"/>
        <v>280.63320494288712</v>
      </c>
      <c r="O17" s="47">
        <f t="shared" si="9"/>
        <v>0.57751269992944265</v>
      </c>
      <c r="P17" s="47">
        <f t="shared" si="10"/>
        <v>16.04201944248452</v>
      </c>
      <c r="Q17" s="47">
        <f t="shared" si="11"/>
        <v>0.31183191140898631</v>
      </c>
      <c r="R17" s="31"/>
      <c r="S17" s="31"/>
      <c r="T17" s="32"/>
      <c r="U17" s="34">
        <f t="shared" si="13"/>
        <v>0.10656320109425188</v>
      </c>
      <c r="V17" s="34">
        <f t="shared" si="14"/>
        <v>-0.56759598549702628</v>
      </c>
      <c r="Y17" s="41">
        <v>458</v>
      </c>
      <c r="Z17" s="42">
        <f t="shared" si="23"/>
        <v>40801.021527777782</v>
      </c>
      <c r="AA17" s="43">
        <f t="shared" si="24"/>
        <v>40801.021527777782</v>
      </c>
      <c r="AB17" s="51">
        <v>40801</v>
      </c>
      <c r="AC17" s="21">
        <v>0.4381944444444445</v>
      </c>
      <c r="AD17" s="24">
        <v>25.00601</v>
      </c>
      <c r="AE17" s="24">
        <v>-157.5</v>
      </c>
      <c r="AF17" s="24">
        <v>41</v>
      </c>
      <c r="AG17" s="136">
        <v>1305</v>
      </c>
      <c r="AH17" s="46">
        <f t="shared" si="15"/>
        <v>0.23599744559406255</v>
      </c>
      <c r="AI17" s="46">
        <f t="shared" si="16"/>
        <v>2.4955413447024695</v>
      </c>
      <c r="AJ17" s="123">
        <f t="shared" si="17"/>
        <v>4.6987680136888824E-2</v>
      </c>
      <c r="AK17" s="47">
        <f t="shared" si="18"/>
        <v>2.6921957609544198</v>
      </c>
      <c r="AL17" s="130">
        <f t="shared" si="12"/>
        <v>0.23599744560779942</v>
      </c>
      <c r="AM17" s="47">
        <f t="shared" si="19"/>
        <v>6.5554846002166505</v>
      </c>
      <c r="AN17" s="47">
        <f t="shared" si="20"/>
        <v>0.12742842635410334</v>
      </c>
      <c r="AO17" s="31">
        <f>AVERAGE(AN17:AN21)</f>
        <v>0.1053372132391194</v>
      </c>
      <c r="AP17" s="31">
        <f>STDEV(AN17:AN21)</f>
        <v>6.1081699098098213E-2</v>
      </c>
      <c r="AQ17" s="32">
        <f>AP17/AO17*100</f>
        <v>57.986818921666817</v>
      </c>
      <c r="AR17" s="32"/>
      <c r="AS17" s="32"/>
      <c r="AT17" s="34">
        <f t="shared" si="21"/>
        <v>0.12728778131255455</v>
      </c>
      <c r="AU17" s="34">
        <f t="shared" si="22"/>
        <v>5.9853631143335362E-3</v>
      </c>
      <c r="AX17" s="42">
        <f t="shared" si="0"/>
        <v>40803.563194444447</v>
      </c>
      <c r="AY17" s="43">
        <f t="shared" si="1"/>
        <v>40803.563194444447</v>
      </c>
      <c r="AZ17" s="51">
        <v>40803</v>
      </c>
      <c r="BA17" s="45">
        <v>0.97986111111111107</v>
      </c>
      <c r="BB17" s="52">
        <f t="shared" si="25"/>
        <v>25.100283333333334</v>
      </c>
      <c r="BC17" s="52">
        <f t="shared" si="2"/>
        <v>-157.9819</v>
      </c>
      <c r="BD17" s="27">
        <v>6.0170000000000003</v>
      </c>
      <c r="BE17" s="27">
        <v>-58.914000000000001</v>
      </c>
      <c r="BF17" s="22"/>
      <c r="BG17" s="41"/>
      <c r="BH17" s="41"/>
      <c r="BR17" s="145">
        <v>739</v>
      </c>
      <c r="BS17">
        <v>60484</v>
      </c>
      <c r="BT17">
        <v>2</v>
      </c>
      <c r="BU17">
        <v>1</v>
      </c>
      <c r="BV17" t="s">
        <v>79</v>
      </c>
      <c r="BW17">
        <v>1</v>
      </c>
      <c r="BX17" s="15">
        <v>40802</v>
      </c>
      <c r="BY17" s="146">
        <v>0.97400462962962964</v>
      </c>
      <c r="BZ17">
        <v>25.015000000000001</v>
      </c>
      <c r="CA17">
        <v>202.18700000000001</v>
      </c>
    </row>
    <row r="18" spans="2:79" ht="15.75">
      <c r="B18">
        <v>348</v>
      </c>
      <c r="C18" s="42">
        <f t="shared" si="3"/>
        <v>40801.584722222222</v>
      </c>
      <c r="D18" s="43">
        <f t="shared" si="4"/>
        <v>40801.584722222222</v>
      </c>
      <c r="E18" s="15">
        <v>40802</v>
      </c>
      <c r="F18" s="21">
        <v>1.3888888888888889E-3</v>
      </c>
      <c r="G18" s="24">
        <v>24.998370000000001</v>
      </c>
      <c r="H18" s="24">
        <v>-157.53858</v>
      </c>
      <c r="I18" s="24">
        <v>41</v>
      </c>
      <c r="J18" s="24">
        <v>1308</v>
      </c>
      <c r="K18" s="46">
        <f t="shared" ref="K18:K34" si="26">ACOS(SIN(RADIANS(G18))*SIN(RADIANS(G19))+COS(RADIANS(G18))*COS(RADIANS(G19))*COS(RADIANS(H19)-RADIANS(H18)))*6371.1</f>
        <v>3.9896408709575266</v>
      </c>
      <c r="L18" s="46">
        <f t="shared" ref="L18:L34" si="27">L17+K18</f>
        <v>11.6968043527449</v>
      </c>
      <c r="M18" s="123">
        <f t="shared" si="7"/>
        <v>5.3326091490461263</v>
      </c>
      <c r="N18" s="47">
        <f t="shared" ref="N18:N34" si="28">MOD(DEGREES(ATAN2(COS(RADIANS(G18))*SIN(RADIANS(G19))-SIN(RADIANS(G18))*COS(RADIANS(G19))*COS(RADIANS(H19)-RADIANS(H18)),SIN(RADIANS(H19)-RADIANS(H18))*COS(RADIANS(G19)))), 360)</f>
        <v>305.53599803319241</v>
      </c>
      <c r="O18" s="47">
        <f t="shared" ref="O18:O34" si="29">K18/((D19-D18)*24)</f>
        <v>0.44329343010639183</v>
      </c>
      <c r="P18" s="47">
        <f t="shared" si="10"/>
        <v>12.313706391844217</v>
      </c>
      <c r="Q18" s="47">
        <f t="shared" ref="Q18:Q34" si="30">O18/1.852</f>
        <v>0.23935930351317053</v>
      </c>
      <c r="U18" s="34">
        <f t="shared" si="13"/>
        <v>0.25764849706847859</v>
      </c>
      <c r="V18" s="34">
        <f t="shared" si="14"/>
        <v>-0.36073025536243103</v>
      </c>
      <c r="X18" s="24"/>
      <c r="Y18" s="41">
        <v>459</v>
      </c>
      <c r="Z18" s="42">
        <f t="shared" si="23"/>
        <v>40801.063194444447</v>
      </c>
      <c r="AA18" s="43">
        <f t="shared" si="24"/>
        <v>40801.063194444447</v>
      </c>
      <c r="AB18" s="51">
        <v>40801</v>
      </c>
      <c r="AC18" s="21">
        <v>0.47986111111111113</v>
      </c>
      <c r="AD18" s="24">
        <v>25.008130000000001</v>
      </c>
      <c r="AE18" s="24">
        <v>-157.49988999999999</v>
      </c>
      <c r="AF18" s="24">
        <v>41</v>
      </c>
      <c r="AG18" s="136">
        <v>1305</v>
      </c>
      <c r="AH18" s="46">
        <f t="shared" si="15"/>
        <v>0.28330828497583482</v>
      </c>
      <c r="AI18" s="46">
        <f t="shared" si="16"/>
        <v>2.7788496296783043</v>
      </c>
      <c r="AJ18" s="123">
        <f t="shared" si="17"/>
        <v>7.8331671870947001E-2</v>
      </c>
      <c r="AK18" s="47">
        <f t="shared" si="18"/>
        <v>4.4880742004088923</v>
      </c>
      <c r="AL18" s="130">
        <f t="shared" si="12"/>
        <v>0.27866388686254051</v>
      </c>
      <c r="AM18" s="47">
        <f t="shared" si="19"/>
        <v>7.7406635239594586</v>
      </c>
      <c r="AN18" s="47">
        <f t="shared" si="20"/>
        <v>0.15046646158884477</v>
      </c>
      <c r="AT18" s="34">
        <f t="shared" si="21"/>
        <v>0.1500050776957495</v>
      </c>
      <c r="AU18" s="34">
        <f t="shared" si="22"/>
        <v>1.1774240041695059E-2</v>
      </c>
      <c r="AX18" s="42">
        <f t="shared" si="0"/>
        <v>40804.530555555561</v>
      </c>
      <c r="AY18" s="43">
        <f t="shared" si="1"/>
        <v>40804.530555555561</v>
      </c>
      <c r="AZ18" s="51">
        <v>40804</v>
      </c>
      <c r="BA18" s="45">
        <v>0.9472222222222223</v>
      </c>
      <c r="BB18" s="52">
        <f t="shared" si="25"/>
        <v>25.127683333333334</v>
      </c>
      <c r="BC18" s="150">
        <f>$BC$8+(BE18/60)</f>
        <v>-158.19925000000001</v>
      </c>
      <c r="BD18" s="27">
        <v>7.6609999999999996</v>
      </c>
      <c r="BE18" s="27">
        <v>-11.955</v>
      </c>
      <c r="BF18" s="22"/>
      <c r="BR18" s="145">
        <v>739</v>
      </c>
      <c r="BS18">
        <v>60484</v>
      </c>
      <c r="BT18">
        <v>2</v>
      </c>
      <c r="BU18">
        <v>1</v>
      </c>
      <c r="BV18" t="s">
        <v>80</v>
      </c>
      <c r="BW18">
        <v>1</v>
      </c>
      <c r="BX18" s="15">
        <v>40802</v>
      </c>
      <c r="BY18" s="146">
        <v>0.8531712962962964</v>
      </c>
      <c r="BZ18">
        <v>25.013000000000002</v>
      </c>
      <c r="CA18">
        <v>202.22200000000001</v>
      </c>
    </row>
    <row r="19" spans="2:79" ht="15.75">
      <c r="B19">
        <v>351</v>
      </c>
      <c r="C19" s="42">
        <f t="shared" ref="C19:C36" si="31">(E19+F19)-(10/24)</f>
        <v>40801.959722222222</v>
      </c>
      <c r="D19" s="43">
        <f t="shared" ref="D19:D36" si="32">(E19+F19)-(10/24)</f>
        <v>40801.959722222222</v>
      </c>
      <c r="E19" s="15">
        <v>40802</v>
      </c>
      <c r="F19" s="21">
        <v>0.37638888888888888</v>
      </c>
      <c r="G19" s="24">
        <v>25.019220000000001</v>
      </c>
      <c r="H19">
        <v>-157.57079999999999</v>
      </c>
      <c r="I19">
        <v>37</v>
      </c>
      <c r="J19">
        <v>1308</v>
      </c>
      <c r="K19" s="46">
        <f t="shared" si="26"/>
        <v>0.39367420875210291</v>
      </c>
      <c r="L19" s="46">
        <f t="shared" si="27"/>
        <v>12.090478561497003</v>
      </c>
      <c r="M19" s="123">
        <f t="shared" si="7"/>
        <v>0.26147607322176725</v>
      </c>
      <c r="N19" s="47">
        <f t="shared" si="28"/>
        <v>14.981475439260945</v>
      </c>
      <c r="O19" s="47">
        <f t="shared" si="29"/>
        <v>0.13195783533057953</v>
      </c>
      <c r="P19" s="47">
        <f t="shared" si="10"/>
        <v>3.6654954258494317</v>
      </c>
      <c r="Q19" s="47">
        <f t="shared" si="30"/>
        <v>7.1251530956036466E-2</v>
      </c>
      <c r="U19" s="34">
        <f t="shared" si="13"/>
        <v>0.12747251669261886</v>
      </c>
      <c r="V19" s="34">
        <f t="shared" si="14"/>
        <v>3.4111988994814574E-2</v>
      </c>
      <c r="X19" s="24"/>
      <c r="Y19" s="41">
        <v>460</v>
      </c>
      <c r="Z19" s="42">
        <f t="shared" si="23"/>
        <v>40801.105555555558</v>
      </c>
      <c r="AA19" s="43">
        <f t="shared" si="24"/>
        <v>40801.105555555558</v>
      </c>
      <c r="AB19" s="51">
        <v>40801</v>
      </c>
      <c r="AC19" s="21">
        <v>0.52222222222222225</v>
      </c>
      <c r="AD19" s="24">
        <v>25.010670000000001</v>
      </c>
      <c r="AE19" s="24">
        <v>-157.49967000000001</v>
      </c>
      <c r="AF19" s="24">
        <v>40</v>
      </c>
      <c r="AG19" s="136">
        <v>1305</v>
      </c>
      <c r="AH19" s="46">
        <f t="shared" si="15"/>
        <v>0.30602983715882592</v>
      </c>
      <c r="AI19" s="46">
        <f t="shared" si="16"/>
        <v>3.0848794668371302</v>
      </c>
      <c r="AJ19" s="123">
        <f t="shared" si="17"/>
        <v>3.9523062809452593E-2</v>
      </c>
      <c r="AK19" s="47">
        <f t="shared" si="18"/>
        <v>2.2645046924120997</v>
      </c>
      <c r="AL19" s="130">
        <f t="shared" si="12"/>
        <v>0.30101295458360067</v>
      </c>
      <c r="AM19" s="47">
        <f t="shared" si="19"/>
        <v>8.3614709606555735</v>
      </c>
      <c r="AN19" s="47">
        <f t="shared" si="20"/>
        <v>0.16253399275572389</v>
      </c>
      <c r="AT19" s="34">
        <f t="shared" si="21"/>
        <v>0.16240706433993118</v>
      </c>
      <c r="AU19" s="34">
        <f t="shared" si="22"/>
        <v>6.4221689173642538E-3</v>
      </c>
      <c r="AX19" s="42">
        <f t="shared" si="0"/>
        <v>40804.618750000001</v>
      </c>
      <c r="AY19" s="43">
        <f t="shared" si="1"/>
        <v>40804.618750000001</v>
      </c>
      <c r="AZ19" s="51">
        <v>40805</v>
      </c>
      <c r="BA19" s="21">
        <v>3.5416666666666666E-2</v>
      </c>
      <c r="BB19" s="52">
        <f t="shared" si="25"/>
        <v>25.141400000000001</v>
      </c>
      <c r="BC19" s="150">
        <f>$BC$8+(BE19/60)</f>
        <v>-158.22523333333334</v>
      </c>
      <c r="BD19" s="27">
        <v>8.484</v>
      </c>
      <c r="BE19" s="27">
        <v>-13.513999999999999</v>
      </c>
      <c r="BR19" s="145">
        <v>739</v>
      </c>
      <c r="BS19">
        <v>60484</v>
      </c>
      <c r="BT19">
        <v>2</v>
      </c>
      <c r="BU19">
        <v>1</v>
      </c>
      <c r="BV19" t="s">
        <v>80</v>
      </c>
      <c r="BW19">
        <v>1</v>
      </c>
      <c r="BX19" s="15">
        <v>40802</v>
      </c>
      <c r="BY19" s="146">
        <v>0.33443287037037034</v>
      </c>
      <c r="BZ19">
        <v>25.007000000000001</v>
      </c>
      <c r="CA19">
        <v>202.30699999999999</v>
      </c>
    </row>
    <row r="20" spans="2:79">
      <c r="B20">
        <v>352</v>
      </c>
      <c r="C20" s="42">
        <f t="shared" si="31"/>
        <v>40802.084027777782</v>
      </c>
      <c r="D20" s="43">
        <f t="shared" si="32"/>
        <v>40802.084027777782</v>
      </c>
      <c r="E20" s="15">
        <v>40802</v>
      </c>
      <c r="F20" s="21">
        <v>0.50069444444444444</v>
      </c>
      <c r="G20" s="24">
        <v>25.022639999999999</v>
      </c>
      <c r="H20">
        <v>-157.56979000000001</v>
      </c>
      <c r="I20">
        <v>41</v>
      </c>
      <c r="J20">
        <v>1299</v>
      </c>
      <c r="K20" s="46">
        <f t="shared" si="26"/>
        <v>0.6167774396141904</v>
      </c>
      <c r="L20" s="46">
        <f t="shared" si="27"/>
        <v>12.707256001111194</v>
      </c>
      <c r="M20" s="123">
        <f t="shared" si="7"/>
        <v>1.4696410775311481</v>
      </c>
      <c r="N20" s="47">
        <f t="shared" si="28"/>
        <v>84.204231141593382</v>
      </c>
      <c r="O20" s="47">
        <f t="shared" si="29"/>
        <v>0.20445660982501182</v>
      </c>
      <c r="P20" s="47">
        <f t="shared" si="10"/>
        <v>5.6793502729169942</v>
      </c>
      <c r="Q20" s="47">
        <f t="shared" si="30"/>
        <v>0.11039773748650746</v>
      </c>
      <c r="U20" s="34">
        <f t="shared" si="13"/>
        <v>2.0646606581974005E-2</v>
      </c>
      <c r="V20" s="34">
        <f t="shared" si="14"/>
        <v>0.20341146215930486</v>
      </c>
      <c r="X20" s="24"/>
      <c r="Y20" s="41">
        <v>461</v>
      </c>
      <c r="Z20" s="42">
        <f t="shared" si="23"/>
        <v>40801.147916666669</v>
      </c>
      <c r="AA20" s="43">
        <f t="shared" si="24"/>
        <v>40801.147916666669</v>
      </c>
      <c r="AB20" s="51">
        <v>40801</v>
      </c>
      <c r="AC20" s="21">
        <v>0.56458333333333333</v>
      </c>
      <c r="AD20" s="24">
        <v>25.01342</v>
      </c>
      <c r="AE20" s="24">
        <v>-157.49955</v>
      </c>
      <c r="AF20" s="24">
        <v>40</v>
      </c>
      <c r="AG20" s="136">
        <v>1322</v>
      </c>
      <c r="AH20" s="46">
        <f t="shared" si="15"/>
        <v>0.13295048949461472</v>
      </c>
      <c r="AI20" s="46">
        <f t="shared" si="16"/>
        <v>3.217829956331745</v>
      </c>
      <c r="AJ20" s="123">
        <f t="shared" si="17"/>
        <v>0.5326407301784315</v>
      </c>
      <c r="AK20" s="47">
        <f t="shared" si="18"/>
        <v>30.518065835990583</v>
      </c>
      <c r="AL20" s="130">
        <f t="shared" si="12"/>
        <v>0.12866176402076532</v>
      </c>
      <c r="AM20" s="47">
        <f t="shared" si="19"/>
        <v>3.5739378894657028</v>
      </c>
      <c r="AN20" s="47">
        <f t="shared" si="20"/>
        <v>6.9471794827627054E-2</v>
      </c>
      <c r="AT20" s="34">
        <f t="shared" si="21"/>
        <v>5.9847803630744427E-2</v>
      </c>
      <c r="AU20" s="34">
        <f t="shared" si="22"/>
        <v>3.5278473282552396E-2</v>
      </c>
      <c r="AX20" s="42">
        <f t="shared" si="0"/>
        <v>40804.86041666667</v>
      </c>
      <c r="AY20" s="43">
        <f t="shared" si="1"/>
        <v>40804.86041666667</v>
      </c>
      <c r="AZ20" s="15">
        <v>40805</v>
      </c>
      <c r="BA20" s="21">
        <v>0.27708333333333335</v>
      </c>
      <c r="BB20" s="27">
        <f t="shared" si="25"/>
        <v>25.053716666666666</v>
      </c>
      <c r="BC20" s="150">
        <f>$BC$9+(BE20/60)</f>
        <v>-157.85265000000001</v>
      </c>
      <c r="BD20" s="27">
        <v>3.2229999999999999</v>
      </c>
      <c r="BE20" s="27">
        <v>-51.158999999999999</v>
      </c>
    </row>
    <row r="21" spans="2:79">
      <c r="B21">
        <v>353</v>
      </c>
      <c r="C21" s="42">
        <f t="shared" si="31"/>
        <v>40802.209722222222</v>
      </c>
      <c r="D21" s="43">
        <f t="shared" si="32"/>
        <v>40802.209722222222</v>
      </c>
      <c r="E21" s="15">
        <v>40802</v>
      </c>
      <c r="F21" s="21">
        <v>0.62638888888888888</v>
      </c>
      <c r="G21" s="24">
        <v>25.023199999999999</v>
      </c>
      <c r="H21">
        <v>-157.56370000000001</v>
      </c>
      <c r="I21">
        <v>39</v>
      </c>
      <c r="J21">
        <v>1295</v>
      </c>
      <c r="K21" s="46">
        <f t="shared" si="26"/>
        <v>1.3978138396447155</v>
      </c>
      <c r="L21" s="46">
        <f t="shared" si="27"/>
        <v>14.10506984075591</v>
      </c>
      <c r="M21" s="123">
        <f t="shared" si="7"/>
        <v>3.9425219902182183</v>
      </c>
      <c r="N21" s="47">
        <f t="shared" si="28"/>
        <v>225.88987067702152</v>
      </c>
      <c r="O21" s="47">
        <f t="shared" si="29"/>
        <v>0.4659379465482385</v>
      </c>
      <c r="P21" s="47">
        <f t="shared" si="10"/>
        <v>12.94272073745107</v>
      </c>
      <c r="Q21" s="47">
        <f t="shared" si="30"/>
        <v>0.25158636422691061</v>
      </c>
      <c r="U21" s="34">
        <f t="shared" si="13"/>
        <v>-0.32431132870502122</v>
      </c>
      <c r="V21" s="34">
        <f t="shared" si="14"/>
        <v>-0.33454496275862955</v>
      </c>
      <c r="X21" s="24"/>
      <c r="Y21" s="41">
        <v>462</v>
      </c>
      <c r="Z21" s="42">
        <f t="shared" si="23"/>
        <v>40801.190972222226</v>
      </c>
      <c r="AA21" s="43">
        <f t="shared" si="24"/>
        <v>40801.190972222226</v>
      </c>
      <c r="AB21" s="51">
        <v>40801</v>
      </c>
      <c r="AC21" s="21">
        <v>0.60763888888888895</v>
      </c>
      <c r="AD21" s="24">
        <v>25.01445</v>
      </c>
      <c r="AE21" s="24">
        <v>-157.49888000000001</v>
      </c>
      <c r="AF21" s="24">
        <v>42</v>
      </c>
      <c r="AG21" s="136">
        <v>1302</v>
      </c>
      <c r="AH21" s="46">
        <f t="shared" si="15"/>
        <v>3.1086543517730238E-2</v>
      </c>
      <c r="AI21" s="46">
        <f t="shared" si="16"/>
        <v>3.2489164998494751</v>
      </c>
      <c r="AJ21" s="123">
        <f t="shared" si="17"/>
        <v>2.8792750763967763</v>
      </c>
      <c r="AK21" s="47">
        <f t="shared" si="18"/>
        <v>164.97030993474294</v>
      </c>
      <c r="AL21" s="130">
        <f t="shared" si="12"/>
        <v>3.1086543519539715E-2</v>
      </c>
      <c r="AM21" s="47">
        <f t="shared" si="19"/>
        <v>0.86351509776499202</v>
      </c>
      <c r="AN21" s="47">
        <f t="shared" si="20"/>
        <v>1.6785390669297903E-2</v>
      </c>
      <c r="AT21" s="34">
        <f t="shared" si="21"/>
        <v>-1.6211188964099236E-2</v>
      </c>
      <c r="AU21" s="34">
        <f t="shared" si="22"/>
        <v>4.3527798349124215E-3</v>
      </c>
      <c r="AX21" s="42">
        <f t="shared" si="0"/>
        <v>40805.343055555561</v>
      </c>
      <c r="AY21" s="43">
        <f t="shared" si="1"/>
        <v>40805.343055555561</v>
      </c>
      <c r="AZ21" s="15">
        <v>40805</v>
      </c>
      <c r="BA21" s="21">
        <v>0.7597222222222223</v>
      </c>
      <c r="BB21" s="157">
        <f t="shared" si="25"/>
        <v>25.088100000000001</v>
      </c>
      <c r="BC21" s="150">
        <f>$BC$9+(BE21/60)</f>
        <v>-157.90766666666667</v>
      </c>
      <c r="BD21" s="27">
        <v>5.2859999999999996</v>
      </c>
      <c r="BE21" s="27">
        <v>-54.46</v>
      </c>
      <c r="BG21" s="15"/>
      <c r="BJ21" s="27"/>
    </row>
    <row r="22" spans="2:79">
      <c r="B22">
        <v>354</v>
      </c>
      <c r="C22" s="42">
        <f t="shared" si="31"/>
        <v>40802.334722222222</v>
      </c>
      <c r="D22" s="43">
        <f t="shared" si="32"/>
        <v>40802.334722222222</v>
      </c>
      <c r="E22" s="15">
        <v>40802</v>
      </c>
      <c r="F22" s="21">
        <v>0.75138888888888899</v>
      </c>
      <c r="G22" s="24">
        <v>25.01445</v>
      </c>
      <c r="H22">
        <v>-157.57365999999999</v>
      </c>
      <c r="I22">
        <v>41</v>
      </c>
      <c r="J22">
        <v>1299</v>
      </c>
      <c r="K22" s="46">
        <f t="shared" si="26"/>
        <v>2.0019850886188055</v>
      </c>
      <c r="L22" s="46">
        <f t="shared" si="27"/>
        <v>16.107054929374716</v>
      </c>
      <c r="M22" s="123">
        <f t="shared" si="7"/>
        <v>4.0787974824615931</v>
      </c>
      <c r="N22" s="47">
        <f t="shared" si="28"/>
        <v>233.69788123363469</v>
      </c>
      <c r="O22" s="47">
        <f t="shared" si="29"/>
        <v>0.66732836287293518</v>
      </c>
      <c r="P22" s="47">
        <f t="shared" si="10"/>
        <v>18.536898968692643</v>
      </c>
      <c r="Q22" s="47">
        <f t="shared" si="30"/>
        <v>0.36032848967221121</v>
      </c>
      <c r="R22" s="31"/>
      <c r="S22" s="31"/>
      <c r="T22" s="32"/>
      <c r="U22" s="34">
        <f t="shared" si="13"/>
        <v>-0.39508707338017085</v>
      </c>
      <c r="V22" s="34">
        <f t="shared" si="14"/>
        <v>-0.53780419145127845</v>
      </c>
      <c r="X22" s="24"/>
      <c r="Y22" s="41">
        <v>463</v>
      </c>
      <c r="Z22" s="42">
        <f t="shared" si="23"/>
        <v>40801.232638888891</v>
      </c>
      <c r="AA22" s="43">
        <f t="shared" si="24"/>
        <v>40801.232638888891</v>
      </c>
      <c r="AB22" s="51">
        <v>40801</v>
      </c>
      <c r="AC22" s="21">
        <v>0.64930555555555558</v>
      </c>
      <c r="AD22" s="24">
        <v>25.01418</v>
      </c>
      <c r="AE22" s="24">
        <v>-157.49879999999999</v>
      </c>
      <c r="AF22" s="24">
        <v>41</v>
      </c>
      <c r="AG22" s="136">
        <v>1322</v>
      </c>
      <c r="AH22" s="46">
        <f t="shared" si="15"/>
        <v>0.29798218480857597</v>
      </c>
      <c r="AI22" s="46">
        <f t="shared" si="16"/>
        <v>3.5468986846580508</v>
      </c>
      <c r="AJ22" s="123">
        <f t="shared" si="17"/>
        <v>3.6657594438691508</v>
      </c>
      <c r="AK22" s="47">
        <f t="shared" si="18"/>
        <v>210.03254484392613</v>
      </c>
      <c r="AL22" s="130">
        <f t="shared" si="12"/>
        <v>0.29309723096037377</v>
      </c>
      <c r="AM22" s="47">
        <f t="shared" si="19"/>
        <v>8.1415897488992712</v>
      </c>
      <c r="AN22" s="47">
        <f t="shared" si="20"/>
        <v>0.15825984393108733</v>
      </c>
      <c r="AO22" s="31">
        <f>AVERAGE(AN22:AN26)</f>
        <v>0.30959236335888712</v>
      </c>
      <c r="AP22" s="31">
        <f>STDEV(AN22:AN26)</f>
        <v>0.10463027034690739</v>
      </c>
      <c r="AQ22" s="32">
        <f>AP22/AO22*100</f>
        <v>33.796140580385504</v>
      </c>
      <c r="AR22" s="32"/>
      <c r="AS22" s="32"/>
      <c r="AT22" s="34">
        <f t="shared" si="21"/>
        <v>-0.13701207617822325</v>
      </c>
      <c r="AU22" s="34">
        <f t="shared" si="22"/>
        <v>-7.9207759609932593E-2</v>
      </c>
      <c r="BD22" s="27"/>
      <c r="BE22" s="27"/>
      <c r="BG22" s="15"/>
      <c r="BJ22" s="27"/>
    </row>
    <row r="23" spans="2:79">
      <c r="B23">
        <v>355</v>
      </c>
      <c r="C23" s="42">
        <f t="shared" si="31"/>
        <v>40802.459722222222</v>
      </c>
      <c r="D23" s="43">
        <f t="shared" si="32"/>
        <v>40802.459722222222</v>
      </c>
      <c r="E23" s="15">
        <v>40802</v>
      </c>
      <c r="F23" s="21">
        <v>0.87638888888888899</v>
      </c>
      <c r="G23" s="24">
        <v>25.003789999999999</v>
      </c>
      <c r="H23">
        <v>-157.58967000000001</v>
      </c>
      <c r="I23">
        <v>41</v>
      </c>
      <c r="J23">
        <v>1299</v>
      </c>
      <c r="K23" s="46">
        <f t="shared" si="26"/>
        <v>1.3792915322298014</v>
      </c>
      <c r="L23" s="46">
        <f t="shared" si="27"/>
        <v>17.486346461604516</v>
      </c>
      <c r="M23" s="123">
        <f t="shared" si="7"/>
        <v>4.8539939316916687</v>
      </c>
      <c r="N23" s="47">
        <f t="shared" si="28"/>
        <v>278.11336606804542</v>
      </c>
      <c r="O23" s="47">
        <f t="shared" si="29"/>
        <v>0.45976384407660048</v>
      </c>
      <c r="P23" s="47">
        <f t="shared" si="10"/>
        <v>12.771217891016681</v>
      </c>
      <c r="Q23" s="47">
        <f t="shared" si="30"/>
        <v>0.24825261559211687</v>
      </c>
      <c r="U23" s="34">
        <f t="shared" si="13"/>
        <v>6.4887474839663881E-2</v>
      </c>
      <c r="V23" s="34">
        <f t="shared" si="14"/>
        <v>-0.45516195791061514</v>
      </c>
      <c r="X23" s="24" t="s">
        <v>91</v>
      </c>
      <c r="Y23" s="41">
        <v>464</v>
      </c>
      <c r="Z23" s="155">
        <f t="shared" si="23"/>
        <v>40801.275000000001</v>
      </c>
      <c r="AA23" s="156">
        <f t="shared" si="24"/>
        <v>40801.275000000001</v>
      </c>
      <c r="AB23" s="51">
        <v>40801</v>
      </c>
      <c r="AC23" s="21">
        <v>0.69166666666666676</v>
      </c>
      <c r="AD23" s="24">
        <v>25.011859999999999</v>
      </c>
      <c r="AE23" s="24">
        <v>-157.50028</v>
      </c>
      <c r="AF23" s="24">
        <v>41</v>
      </c>
      <c r="AG23" s="136">
        <v>1305</v>
      </c>
      <c r="AH23" s="46">
        <f t="shared" si="15"/>
        <v>0.52257475326639935</v>
      </c>
      <c r="AI23" s="46">
        <f t="shared" si="16"/>
        <v>4.0694734379244499</v>
      </c>
      <c r="AJ23" s="123">
        <f t="shared" si="17"/>
        <v>3.6982774654804498</v>
      </c>
      <c r="AK23" s="47">
        <f t="shared" si="18"/>
        <v>211.89569024036876</v>
      </c>
      <c r="AL23" s="130">
        <f t="shared" si="12"/>
        <v>0.51400795403448585</v>
      </c>
      <c r="AM23" s="47">
        <f t="shared" si="19"/>
        <v>14.277998723180161</v>
      </c>
      <c r="AN23" s="47">
        <f t="shared" si="20"/>
        <v>0.27754209181127742</v>
      </c>
      <c r="AT23" s="34">
        <f t="shared" si="21"/>
        <v>-0.23563640938967878</v>
      </c>
      <c r="AU23" s="34">
        <f t="shared" si="22"/>
        <v>-0.14664615677514101</v>
      </c>
      <c r="BG23" s="15"/>
      <c r="BJ23" s="27"/>
      <c r="BK23">
        <v>25</v>
      </c>
      <c r="BL23">
        <v>-158</v>
      </c>
    </row>
    <row r="24" spans="2:79" ht="19.5" thickBot="1">
      <c r="B24">
        <v>356</v>
      </c>
      <c r="C24" s="42">
        <f t="shared" si="31"/>
        <v>40802.584722222222</v>
      </c>
      <c r="D24" s="43">
        <f t="shared" si="32"/>
        <v>40802.584722222222</v>
      </c>
      <c r="E24" s="15">
        <v>40803</v>
      </c>
      <c r="F24" s="21">
        <v>1.3888888888888889E-3</v>
      </c>
      <c r="G24" s="24">
        <v>25.00554</v>
      </c>
      <c r="H24">
        <v>-157.60321999999999</v>
      </c>
      <c r="I24">
        <v>39</v>
      </c>
      <c r="J24">
        <v>1299</v>
      </c>
      <c r="K24" s="46">
        <f t="shared" si="26"/>
        <v>1.8068122547432488</v>
      </c>
      <c r="L24" s="46">
        <f t="shared" si="27"/>
        <v>19.293158716347765</v>
      </c>
      <c r="M24" s="123">
        <f t="shared" si="7"/>
        <v>5.2279345873163754</v>
      </c>
      <c r="N24" s="47">
        <f t="shared" si="28"/>
        <v>299.53858742369607</v>
      </c>
      <c r="O24" s="47">
        <f t="shared" si="29"/>
        <v>0.60563539262694754</v>
      </c>
      <c r="P24" s="47">
        <f t="shared" si="10"/>
        <v>16.823205350748545</v>
      </c>
      <c r="Q24" s="47">
        <f t="shared" si="30"/>
        <v>0.32701695066249864</v>
      </c>
      <c r="U24" s="34">
        <f t="shared" si="13"/>
        <v>0.29858407080692018</v>
      </c>
      <c r="V24" s="34">
        <f t="shared" si="14"/>
        <v>-0.52691724346690816</v>
      </c>
      <c r="X24" s="24"/>
      <c r="Y24" s="41">
        <v>465</v>
      </c>
      <c r="Z24" s="42">
        <f t="shared" si="23"/>
        <v>40801.317361111112</v>
      </c>
      <c r="AA24" s="43">
        <f t="shared" si="24"/>
        <v>40801.317361111112</v>
      </c>
      <c r="AB24" s="51">
        <v>40801</v>
      </c>
      <c r="AC24" s="21">
        <v>0.73402777777777783</v>
      </c>
      <c r="AD24" s="24">
        <v>25.00787</v>
      </c>
      <c r="AE24" s="24">
        <v>-157.50301999999999</v>
      </c>
      <c r="AF24" s="24">
        <v>40</v>
      </c>
      <c r="AG24" s="136">
        <v>1302</v>
      </c>
      <c r="AH24" s="46">
        <f t="shared" si="15"/>
        <v>0.58204247402121678</v>
      </c>
      <c r="AI24" s="46">
        <f t="shared" si="16"/>
        <v>4.6515159119456664</v>
      </c>
      <c r="AJ24" s="123">
        <f t="shared" si="17"/>
        <v>4.0376337269356544</v>
      </c>
      <c r="AK24" s="47">
        <f t="shared" si="18"/>
        <v>231.33937177309011</v>
      </c>
      <c r="AL24" s="130">
        <f t="shared" si="12"/>
        <v>0.55432616567917903</v>
      </c>
      <c r="AM24" s="47">
        <f t="shared" si="19"/>
        <v>15.397949046643859</v>
      </c>
      <c r="AN24" s="47">
        <f t="shared" si="20"/>
        <v>0.29931218449199731</v>
      </c>
      <c r="AT24" s="34">
        <f t="shared" si="21"/>
        <v>-0.1869821841761117</v>
      </c>
      <c r="AU24" s="34">
        <f t="shared" si="22"/>
        <v>-0.23372087323579399</v>
      </c>
      <c r="BG24" s="74" t="s">
        <v>83</v>
      </c>
      <c r="BK24">
        <v>24</v>
      </c>
      <c r="BL24">
        <v>-157</v>
      </c>
    </row>
    <row r="25" spans="2:79" ht="30.75" thickBot="1">
      <c r="B25">
        <v>357</v>
      </c>
      <c r="C25" s="42">
        <f t="shared" si="31"/>
        <v>40802.709027777782</v>
      </c>
      <c r="D25" s="43">
        <f t="shared" si="32"/>
        <v>40802.709027777782</v>
      </c>
      <c r="E25" s="15">
        <v>40803</v>
      </c>
      <c r="F25" s="21">
        <v>0.12569444444444444</v>
      </c>
      <c r="G25" s="24">
        <v>25.013549999999999</v>
      </c>
      <c r="H25">
        <v>-157.61882</v>
      </c>
      <c r="I25" s="24">
        <v>40</v>
      </c>
      <c r="J25">
        <v>1315</v>
      </c>
      <c r="K25" s="46">
        <f t="shared" si="26"/>
        <v>2.7867547999790099</v>
      </c>
      <c r="L25" s="46">
        <f t="shared" si="27"/>
        <v>22.079913516326776</v>
      </c>
      <c r="M25" s="123">
        <f t="shared" si="7"/>
        <v>5.2383468221186504</v>
      </c>
      <c r="N25" s="47">
        <f t="shared" si="28"/>
        <v>300.13516453316566</v>
      </c>
      <c r="O25" s="47">
        <f t="shared" si="29"/>
        <v>0.46317254294206001</v>
      </c>
      <c r="P25" s="47">
        <f t="shared" si="10"/>
        <v>12.865903970612779</v>
      </c>
      <c r="Q25" s="47">
        <f t="shared" si="30"/>
        <v>0.25009316573545354</v>
      </c>
      <c r="U25" s="34">
        <f t="shared" si="13"/>
        <v>0.23253189287649345</v>
      </c>
      <c r="V25" s="34">
        <f t="shared" si="14"/>
        <v>-0.40057174554714836</v>
      </c>
      <c r="Y25" s="41">
        <v>466</v>
      </c>
      <c r="Z25" s="42">
        <f t="shared" si="23"/>
        <v>40801.361111111117</v>
      </c>
      <c r="AA25" s="43">
        <f t="shared" si="24"/>
        <v>40801.361111111117</v>
      </c>
      <c r="AB25" s="51">
        <v>40801</v>
      </c>
      <c r="AC25" s="21">
        <v>0.77777777777777779</v>
      </c>
      <c r="AD25" s="24">
        <v>25.0046</v>
      </c>
      <c r="AE25" s="24">
        <v>-157.50753</v>
      </c>
      <c r="AF25" s="24">
        <v>40</v>
      </c>
      <c r="AG25" s="136">
        <v>1305</v>
      </c>
      <c r="AH25" s="46">
        <f t="shared" si="15"/>
        <v>0.69937189458031068</v>
      </c>
      <c r="AI25" s="46">
        <f t="shared" si="16"/>
        <v>5.3508878065259768</v>
      </c>
      <c r="AJ25" s="123">
        <f t="shared" si="17"/>
        <v>4.0636714495076367</v>
      </c>
      <c r="AK25" s="47">
        <f t="shared" si="18"/>
        <v>232.83122338459719</v>
      </c>
      <c r="AL25" s="130">
        <f t="shared" si="12"/>
        <v>0.71122565558679496</v>
      </c>
      <c r="AM25" s="47">
        <f t="shared" si="19"/>
        <v>19.756268210744302</v>
      </c>
      <c r="AN25" s="47">
        <f t="shared" si="20"/>
        <v>0.38403113152634716</v>
      </c>
      <c r="AT25" s="34">
        <f t="shared" si="21"/>
        <v>-0.23201815146689067</v>
      </c>
      <c r="AU25" s="34">
        <f t="shared" si="22"/>
        <v>-0.30601876963887942</v>
      </c>
      <c r="BG25" s="12" t="s">
        <v>13</v>
      </c>
      <c r="BH25" s="2" t="s">
        <v>14</v>
      </c>
      <c r="BI25" s="33" t="s">
        <v>0</v>
      </c>
      <c r="BJ25" s="4" t="s">
        <v>1</v>
      </c>
      <c r="BK25" s="23" t="s">
        <v>75</v>
      </c>
      <c r="BL25" s="23" t="s">
        <v>76</v>
      </c>
      <c r="BO25" s="147" t="s">
        <v>81</v>
      </c>
      <c r="BP25" t="s">
        <v>82</v>
      </c>
    </row>
    <row r="26" spans="2:79" ht="15.75" thickBot="1">
      <c r="B26">
        <v>359</v>
      </c>
      <c r="C26" s="42">
        <f t="shared" si="31"/>
        <v>40802.959722222222</v>
      </c>
      <c r="D26" s="43">
        <f t="shared" si="32"/>
        <v>40802.959722222222</v>
      </c>
      <c r="E26" s="15">
        <v>40803</v>
      </c>
      <c r="F26" s="21">
        <v>0.37638888888888888</v>
      </c>
      <c r="G26">
        <v>25.026129999999998</v>
      </c>
      <c r="H26" s="24">
        <v>-157.64274</v>
      </c>
      <c r="I26">
        <v>39</v>
      </c>
      <c r="J26">
        <v>1295</v>
      </c>
      <c r="K26" s="46">
        <f t="shared" si="26"/>
        <v>0.74656769061677208</v>
      </c>
      <c r="L26" s="46">
        <f t="shared" si="27"/>
        <v>22.826481206943548</v>
      </c>
      <c r="M26" s="123">
        <f t="shared" si="7"/>
        <v>4.5251433094282403</v>
      </c>
      <c r="N26" s="47">
        <f t="shared" si="28"/>
        <v>259.27161332210011</v>
      </c>
      <c r="O26" s="47">
        <f t="shared" si="29"/>
        <v>0.24885589687225737</v>
      </c>
      <c r="P26" s="47">
        <f t="shared" si="10"/>
        <v>6.9126638020071489</v>
      </c>
      <c r="Q26" s="47">
        <f t="shared" si="30"/>
        <v>0.13437143459625128</v>
      </c>
      <c r="U26" s="34">
        <f t="shared" si="13"/>
        <v>-4.6325376100394965E-2</v>
      </c>
      <c r="V26" s="34">
        <f t="shared" si="14"/>
        <v>-0.24450606728106472</v>
      </c>
      <c r="Y26" s="41">
        <v>467</v>
      </c>
      <c r="Z26" s="42">
        <f t="shared" si="23"/>
        <v>40801.402083333334</v>
      </c>
      <c r="AA26" s="43">
        <f t="shared" si="24"/>
        <v>40801.402083333334</v>
      </c>
      <c r="AB26" s="51">
        <v>40801</v>
      </c>
      <c r="AC26" s="21">
        <v>0.81874999999999998</v>
      </c>
      <c r="AD26" s="24">
        <v>25.000800000000002</v>
      </c>
      <c r="AE26" s="24">
        <v>-157.51306</v>
      </c>
      <c r="AF26" s="24">
        <v>42</v>
      </c>
      <c r="AG26" s="136">
        <v>1312</v>
      </c>
      <c r="AH26" s="46">
        <f t="shared" si="15"/>
        <v>0.82064055443060613</v>
      </c>
      <c r="AI26" s="46">
        <f t="shared" si="16"/>
        <v>6.1715283609565832</v>
      </c>
      <c r="AJ26" s="123">
        <f t="shared" si="17"/>
        <v>4.129894884344103</v>
      </c>
      <c r="AK26" s="47">
        <f t="shared" si="18"/>
        <v>236.62554670558634</v>
      </c>
      <c r="AL26" s="130">
        <f t="shared" si="12"/>
        <v>0.79416827844246096</v>
      </c>
      <c r="AM26" s="47">
        <f t="shared" si="19"/>
        <v>22.060229956735029</v>
      </c>
      <c r="AN26" s="47">
        <f t="shared" si="20"/>
        <v>0.42881656503372623</v>
      </c>
      <c r="AT26" s="34">
        <f t="shared" si="21"/>
        <v>-0.23589561520356153</v>
      </c>
      <c r="AU26" s="34">
        <f t="shared" si="22"/>
        <v>-0.35810180839400568</v>
      </c>
      <c r="BF26" s="68" t="s">
        <v>43</v>
      </c>
      <c r="BG26" s="56"/>
      <c r="BH26" s="57"/>
      <c r="BI26" s="58"/>
      <c r="BJ26" s="59"/>
      <c r="BK26" s="61"/>
      <c r="BL26" s="61"/>
    </row>
    <row r="27" spans="2:79">
      <c r="B27">
        <v>361</v>
      </c>
      <c r="C27" s="42">
        <f t="shared" si="31"/>
        <v>40803.084722222222</v>
      </c>
      <c r="D27" s="43">
        <f t="shared" si="32"/>
        <v>40803.084722222222</v>
      </c>
      <c r="E27" s="15">
        <v>40803</v>
      </c>
      <c r="F27" s="21">
        <v>0.50138888888888888</v>
      </c>
      <c r="G27">
        <v>25.02488</v>
      </c>
      <c r="H27" s="24">
        <v>-157.65002000000001</v>
      </c>
      <c r="I27">
        <v>40</v>
      </c>
      <c r="J27">
        <v>1295</v>
      </c>
      <c r="K27" s="46">
        <f t="shared" si="26"/>
        <v>2.2232904164660194</v>
      </c>
      <c r="L27" s="46">
        <f t="shared" si="27"/>
        <v>25.049771623409569</v>
      </c>
      <c r="M27" s="123">
        <f t="shared" si="7"/>
        <v>5.0515209388469469</v>
      </c>
      <c r="N27" s="47">
        <f t="shared" si="28"/>
        <v>289.43082991789328</v>
      </c>
      <c r="O27" s="47">
        <f t="shared" si="29"/>
        <v>0.37054840274433659</v>
      </c>
      <c r="P27" s="47">
        <f t="shared" si="10"/>
        <v>10.293011187342683</v>
      </c>
      <c r="Q27" s="47">
        <f t="shared" si="30"/>
        <v>0.20008013107145603</v>
      </c>
      <c r="U27" s="34">
        <f t="shared" si="13"/>
        <v>0.1232698244477427</v>
      </c>
      <c r="V27" s="34">
        <f t="shared" si="14"/>
        <v>-0.34944337045793522</v>
      </c>
      <c r="Y27" s="41">
        <v>468</v>
      </c>
      <c r="Z27" s="42">
        <f t="shared" si="23"/>
        <v>40801.445138888892</v>
      </c>
      <c r="AA27" s="43">
        <f t="shared" si="24"/>
        <v>40801.445138888892</v>
      </c>
      <c r="AB27" s="51">
        <v>40801</v>
      </c>
      <c r="AC27" s="21">
        <v>0.8618055555555556</v>
      </c>
      <c r="AD27" s="24">
        <v>24.996739999999999</v>
      </c>
      <c r="AE27" s="24">
        <v>-157.51985999999999</v>
      </c>
      <c r="AF27" s="24">
        <v>40</v>
      </c>
      <c r="AG27" s="136">
        <v>1302</v>
      </c>
      <c r="AH27" s="46">
        <f>ACOS(SIN(RADIANS(AD27))*SIN(RADIANS(AD28))+COS(RADIANS(AD27))*COS(RADIANS(AD28))*COS(RADIANS(AE28)-RADIANS(AE27)))*6371.1</f>
        <v>0.71192723318009277</v>
      </c>
      <c r="AI27" s="46">
        <f>AI26+AH27</f>
        <v>6.8834555941366755</v>
      </c>
      <c r="AJ27" s="123">
        <f>RADIANS(AK27)</f>
        <v>4.2753524446992754</v>
      </c>
      <c r="AK27" s="47">
        <f>MOD(DEGREES(ATAN2(COS(RADIANS(AD27))*SIN(RADIANS(AD28))-SIN(RADIANS(AD27))*COS(RADIANS(AD28))*COS(RADIANS(AE28)-RADIANS(AE27)),SIN(RADIANS(AE28)-RADIANS(AE27))*COS(RADIANS(AD28)))), 360)</f>
        <v>244.95965101220719</v>
      </c>
      <c r="AL27" s="130">
        <f>AH27/((AA28-AA27)*24)</f>
        <v>0.70025629493391162</v>
      </c>
      <c r="AM27" s="47">
        <f>(AL27*1000*100)/3600</f>
        <v>19.451563748164212</v>
      </c>
      <c r="AN27" s="47">
        <f>AL27/1.852</f>
        <v>0.37810815061226327</v>
      </c>
      <c r="AO27" s="31">
        <f>AVERAGE(AN27:AN31)</f>
        <v>0.34713082157390007</v>
      </c>
      <c r="AP27" s="31">
        <f>STDEV(AN27:AN31)</f>
        <v>2.8473995835351235E-2</v>
      </c>
      <c r="AQ27" s="32">
        <f>AP27/AO27*100</f>
        <v>8.2026700211319188</v>
      </c>
      <c r="AR27" s="32"/>
      <c r="AS27" s="32"/>
      <c r="AT27" s="34">
        <f t="shared" si="21"/>
        <v>-0.16003669441132781</v>
      </c>
      <c r="AU27" s="34">
        <f t="shared" si="22"/>
        <v>-0.34256974472553942</v>
      </c>
      <c r="BG27" s="56">
        <f>(BI27+BJ27)-(10/24)</f>
        <v>40800.875</v>
      </c>
      <c r="BH27" s="57">
        <f>(BI27+BJ27)-(10/24)</f>
        <v>40800.875</v>
      </c>
      <c r="BI27" s="58">
        <v>40801</v>
      </c>
      <c r="BJ27" s="59">
        <v>0.29166666666666669</v>
      </c>
      <c r="BK27" s="61">
        <v>24.970199999999998</v>
      </c>
      <c r="BL27" s="61">
        <v>-157.4776</v>
      </c>
      <c r="BO27" s="46">
        <f>ACOS(SIN(RADIANS(BK27))*SIN(RADIANS(BK28))+COS(RADIANS(BK27))*COS(RADIANS(BK28))*COS(RADIANS(BL28)-RADIANS(BL27)))*6371.1</f>
        <v>77.67969248375708</v>
      </c>
      <c r="BP27" s="130">
        <f>BO27/((BH28-BH27)*24)</f>
        <v>0.86454860861131755</v>
      </c>
    </row>
    <row r="28" spans="2:79">
      <c r="B28">
        <v>362</v>
      </c>
      <c r="C28" s="42">
        <f t="shared" si="31"/>
        <v>40803.334722222222</v>
      </c>
      <c r="D28" s="43">
        <f t="shared" si="32"/>
        <v>40803.334722222222</v>
      </c>
      <c r="E28" s="15">
        <v>40803</v>
      </c>
      <c r="F28" s="21">
        <v>0.75138888888888899</v>
      </c>
      <c r="G28" s="24">
        <v>25.03153</v>
      </c>
      <c r="H28">
        <v>-157.67083</v>
      </c>
      <c r="I28" s="24">
        <v>38</v>
      </c>
      <c r="J28">
        <v>1295</v>
      </c>
      <c r="K28" s="46">
        <f t="shared" si="26"/>
        <v>1.6733918485355455</v>
      </c>
      <c r="L28" s="46">
        <f t="shared" si="27"/>
        <v>26.723163471945114</v>
      </c>
      <c r="M28" s="123">
        <f t="shared" si="7"/>
        <v>4.5697632829166697</v>
      </c>
      <c r="N28" s="47">
        <f t="shared" si="28"/>
        <v>261.82814948497276</v>
      </c>
      <c r="O28" s="47">
        <f t="shared" si="29"/>
        <v>0.56406466803314659</v>
      </c>
      <c r="P28" s="47">
        <f t="shared" si="10"/>
        <v>15.66846300092074</v>
      </c>
      <c r="Q28" s="47">
        <f t="shared" si="30"/>
        <v>0.30457055509349168</v>
      </c>
      <c r="U28" s="34">
        <f t="shared" ref="U28:U34" si="33">O28*COS(RADIANS(N28))</f>
        <v>-8.0177640066796507E-2</v>
      </c>
      <c r="V28" s="34">
        <f t="shared" ref="V28:V34" si="34">O28*SIN(RADIANS(N28))</f>
        <v>-0.55833725986778193</v>
      </c>
      <c r="Y28" s="41">
        <v>469</v>
      </c>
      <c r="Z28" s="42">
        <f>(AB28+AC28)-(10/24)</f>
        <v>40801.487500000003</v>
      </c>
      <c r="AA28" s="43">
        <f>(AB28+AC28)-(10/24)</f>
        <v>40801.487500000003</v>
      </c>
      <c r="AB28" s="51">
        <v>40801</v>
      </c>
      <c r="AC28" s="21">
        <v>0.90416666666666667</v>
      </c>
      <c r="AD28" s="24">
        <v>24.994029999999999</v>
      </c>
      <c r="AE28" s="24">
        <v>-157.52626000000001</v>
      </c>
      <c r="AF28" s="138">
        <v>41</v>
      </c>
      <c r="AG28" s="136">
        <v>1318</v>
      </c>
      <c r="AH28" s="46">
        <f>ACOS(SIN(RADIANS(AD28))*SIN(RADIANS(AD29))+COS(RADIANS(AD28))*COS(RADIANS(AD29))*COS(RADIANS(AE29)-RADIANS(AE28)))*6371.1</f>
        <v>0.57418471897819323</v>
      </c>
      <c r="AI28" s="46">
        <f>AI27+AH28</f>
        <v>7.4576403131148687</v>
      </c>
      <c r="AJ28" s="123">
        <f>RADIANS(AK28)</f>
        <v>4.762782887191765</v>
      </c>
      <c r="AK28" s="47">
        <f>MOD(DEGREES(ATAN2(COS(RADIANS(AD28))*SIN(RADIANS(AD29))-SIN(RADIANS(AD28))*COS(RADIANS(AD29))*COS(RADIANS(AE29)-RADIANS(AE28)),SIN(RADIANS(AE29)-RADIANS(AE28))*COS(RADIANS(AD29)))), 360)</f>
        <v>272.887358173221</v>
      </c>
      <c r="AL28" s="130">
        <f>AH28/((AA29-AA28)*24)</f>
        <v>0.58391666333078529</v>
      </c>
      <c r="AM28" s="47">
        <f>(AL28*1000*100)/3600</f>
        <v>16.219907314744034</v>
      </c>
      <c r="AN28" s="47">
        <f>AL28/1.852</f>
        <v>0.3152897750166227</v>
      </c>
      <c r="AT28" s="34">
        <f t="shared" si="21"/>
        <v>1.5881959386576602E-2</v>
      </c>
      <c r="AU28" s="34">
        <f t="shared" si="22"/>
        <v>-0.31488951331550513</v>
      </c>
      <c r="BG28" s="42">
        <f>(BI28+BJ28)-(10/24)</f>
        <v>40804.618750000001</v>
      </c>
      <c r="BH28" s="43">
        <f>(BI28+BJ28)-(10/24)</f>
        <v>40804.618750000001</v>
      </c>
      <c r="BI28" s="51">
        <v>40805</v>
      </c>
      <c r="BJ28" s="21">
        <v>3.5416666666666666E-2</v>
      </c>
      <c r="BK28" s="52">
        <f>$BB$8+(BM28/60)</f>
        <v>25.141400000000001</v>
      </c>
      <c r="BL28" s="150">
        <f>$BC$8+(BN28/60)</f>
        <v>-158.22523333333334</v>
      </c>
      <c r="BM28" s="27">
        <v>8.484</v>
      </c>
      <c r="BN28" s="27">
        <v>-13.513999999999999</v>
      </c>
      <c r="BO28" s="46">
        <f>ACOS(SIN(RADIANS(BK28))*SIN(RADIANS(BK29))+COS(RADIANS(BK28))*COS(RADIANS(BK29))*COS(RADIANS(BL29)-RADIANS(BL28)))*6371.1</f>
        <v>16369.377642200083</v>
      </c>
      <c r="BP28" s="130">
        <f>BO28/((BH29-BH28)*24)</f>
        <v>-1.6715200941764385E-2</v>
      </c>
    </row>
    <row r="29" spans="2:79">
      <c r="B29">
        <v>363</v>
      </c>
      <c r="C29" s="42">
        <f t="shared" si="31"/>
        <v>40803.458333333336</v>
      </c>
      <c r="D29" s="43">
        <f t="shared" si="32"/>
        <v>40803.458333333336</v>
      </c>
      <c r="E29" s="15">
        <v>40803</v>
      </c>
      <c r="F29" s="21">
        <v>0.875</v>
      </c>
      <c r="G29" s="24">
        <v>25.029389999999999</v>
      </c>
      <c r="H29">
        <v>-157.68727000000001</v>
      </c>
      <c r="I29" s="24">
        <v>39</v>
      </c>
      <c r="J29">
        <v>1302</v>
      </c>
      <c r="K29" s="46">
        <f t="shared" si="26"/>
        <v>1.8693997777159486</v>
      </c>
      <c r="L29" s="46">
        <f t="shared" si="27"/>
        <v>28.592563249661062</v>
      </c>
      <c r="M29" s="123">
        <f t="shared" si="7"/>
        <v>4.6015925470645493</v>
      </c>
      <c r="N29" s="47">
        <f t="shared" si="28"/>
        <v>263.6518319856533</v>
      </c>
      <c r="O29" s="47">
        <f t="shared" si="29"/>
        <v>0.61628564101866068</v>
      </c>
      <c r="P29" s="47">
        <f t="shared" si="10"/>
        <v>17.119045583851687</v>
      </c>
      <c r="Q29" s="47">
        <f t="shared" si="30"/>
        <v>0.33276762474009752</v>
      </c>
      <c r="U29" s="34">
        <f t="shared" si="33"/>
        <v>-6.8142632881139767E-2</v>
      </c>
      <c r="V29" s="34">
        <f t="shared" si="34"/>
        <v>-0.61250679417440568</v>
      </c>
      <c r="Y29" s="24">
        <v>470</v>
      </c>
      <c r="Z29" s="42">
        <f>(AB29+AC29)-(10/24)</f>
        <v>40801.528472222228</v>
      </c>
      <c r="AA29" s="43">
        <f>(AB29+AC29)-(10/24)</f>
        <v>40801.528472222228</v>
      </c>
      <c r="AB29" s="51">
        <v>40801</v>
      </c>
      <c r="AC29" s="21">
        <v>0.94513888888888886</v>
      </c>
      <c r="AD29" s="24">
        <v>24.994289999999999</v>
      </c>
      <c r="AE29" s="24">
        <v>-157.53194999999999</v>
      </c>
      <c r="AF29" s="139">
        <v>42</v>
      </c>
      <c r="AG29" s="138">
        <v>1305</v>
      </c>
      <c r="AH29" s="46">
        <f t="shared" ref="AH29:AH34" si="35">ACOS(SIN(RADIANS(AD29))*SIN(RADIANS(AD30))+COS(RADIANS(AD29))*COS(RADIANS(AD30))*COS(RADIANS(AE30)-RADIANS(AE29)))*6371.1</f>
        <v>0.64436043160685463</v>
      </c>
      <c r="AI29" s="46">
        <f t="shared" ref="AI29:AI34" si="36">AI28+AH29</f>
        <v>8.1020007447217228</v>
      </c>
      <c r="AJ29" s="123">
        <f t="shared" ref="AJ29:AJ34" si="37">RADIANS(AK29)</f>
        <v>5.2505379689223082</v>
      </c>
      <c r="AK29" s="47">
        <f t="shared" ref="AK29:AK34" si="38">MOD(DEGREES(ATAN2(COS(RADIANS(AD29))*SIN(RADIANS(AD30))-SIN(RADIANS(AD29))*COS(RADIANS(AD30))*COS(RADIANS(AE30)-RADIANS(AE29)),SIN(RADIANS(AE30)-RADIANS(AE29))*COS(RADIANS(AD30)))), 360)</f>
        <v>300.83366579243966</v>
      </c>
      <c r="AL29" s="130">
        <f t="shared" ref="AL29:AL34" si="39">AH29/((AA30-AA29)*24)</f>
        <v>0.63379714584522695</v>
      </c>
      <c r="AM29" s="47">
        <f t="shared" ref="AM29:AM34" si="40">(AL29*1000*100)/3600</f>
        <v>17.605476273478526</v>
      </c>
      <c r="AN29" s="47">
        <f t="shared" ref="AN29:AN34" si="41">AL29/1.852</f>
        <v>0.34222308090994974</v>
      </c>
      <c r="AT29" s="34">
        <f t="shared" si="21"/>
        <v>0.17540557880713106</v>
      </c>
      <c r="AU29" s="34">
        <f t="shared" si="22"/>
        <v>-0.29385288841669283</v>
      </c>
      <c r="AY29" s="34"/>
      <c r="BG29" s="42"/>
      <c r="BH29" s="43"/>
      <c r="BI29" s="15"/>
      <c r="BJ29" s="146"/>
      <c r="BL29" s="27"/>
      <c r="BO29" s="46">
        <f>ACOS(SIN(RADIANS(BK29))*SIN(RADIANS(BK30))+COS(RADIANS(BK29))*COS(RADIANS(BK30))*COS(RADIANS(BL30)-RADIANS(BL29)))*6371.1</f>
        <v>0</v>
      </c>
      <c r="BP29" s="130" t="e">
        <f>BO29/((BH30-BH29)*24)</f>
        <v>#DIV/0!</v>
      </c>
    </row>
    <row r="30" spans="2:79">
      <c r="B30">
        <v>364</v>
      </c>
      <c r="C30" s="42">
        <f t="shared" si="31"/>
        <v>40803.584722222222</v>
      </c>
      <c r="D30" s="43">
        <f t="shared" si="32"/>
        <v>40803.584722222222</v>
      </c>
      <c r="E30" s="15">
        <v>40804</v>
      </c>
      <c r="F30" s="21">
        <v>1.3888888888888889E-3</v>
      </c>
      <c r="G30">
        <v>25.027529999999999</v>
      </c>
      <c r="H30" s="24">
        <v>-157.70571000000001</v>
      </c>
      <c r="I30">
        <v>40</v>
      </c>
      <c r="J30">
        <v>1318</v>
      </c>
      <c r="K30" s="46">
        <f t="shared" si="26"/>
        <v>2.3218380446619697</v>
      </c>
      <c r="L30" s="46">
        <f t="shared" si="27"/>
        <v>30.914401294323032</v>
      </c>
      <c r="M30" s="123">
        <f t="shared" si="7"/>
        <v>5.3578584394125004</v>
      </c>
      <c r="N30" s="47">
        <f t="shared" si="28"/>
        <v>306.98267580688594</v>
      </c>
      <c r="O30" s="47">
        <f t="shared" si="29"/>
        <v>0.77394601488732329</v>
      </c>
      <c r="P30" s="47">
        <f t="shared" si="10"/>
        <v>21.498500413536757</v>
      </c>
      <c r="Q30" s="47">
        <f t="shared" si="30"/>
        <v>0.41789741624585486</v>
      </c>
      <c r="U30" s="34">
        <f t="shared" si="33"/>
        <v>0.46558542602810249</v>
      </c>
      <c r="V30" s="34">
        <f t="shared" si="34"/>
        <v>-0.61824157497712751</v>
      </c>
      <c r="Y30" s="24">
        <v>471</v>
      </c>
      <c r="Z30" s="42">
        <f t="shared" ref="Z30:Z35" si="42">(AB30+AC30)-(10/24)</f>
        <v>40801.570833333339</v>
      </c>
      <c r="AA30" s="43">
        <f t="shared" ref="AA30:AA35" si="43">(AB30+AC30)-(10/24)</f>
        <v>40801.570833333339</v>
      </c>
      <c r="AB30" s="51">
        <v>40801</v>
      </c>
      <c r="AC30" s="21">
        <v>0.98749999999999993</v>
      </c>
      <c r="AD30" s="24">
        <v>24.997260000000001</v>
      </c>
      <c r="AE30" s="24">
        <v>-157.53744</v>
      </c>
      <c r="AF30" s="138">
        <v>42</v>
      </c>
      <c r="AG30" s="136">
        <v>1305</v>
      </c>
      <c r="AH30" s="46">
        <f t="shared" si="35"/>
        <v>0.62240079695784745</v>
      </c>
      <c r="AI30" s="46">
        <f t="shared" si="36"/>
        <v>8.7244015416795708</v>
      </c>
      <c r="AJ30" s="123">
        <f t="shared" si="37"/>
        <v>5.5829091583749717</v>
      </c>
      <c r="AK30" s="47">
        <f t="shared" si="38"/>
        <v>319.87713217982036</v>
      </c>
      <c r="AL30" s="130">
        <f t="shared" si="39"/>
        <v>0.60232335196707265</v>
      </c>
      <c r="AM30" s="47">
        <f t="shared" si="40"/>
        <v>16.731204221307575</v>
      </c>
      <c r="AN30" s="47">
        <f t="shared" si="41"/>
        <v>0.32522859177487723</v>
      </c>
      <c r="AT30" s="34">
        <f t="shared" si="21"/>
        <v>0.24869067986839016</v>
      </c>
      <c r="AU30" s="34">
        <f t="shared" si="22"/>
        <v>-0.20958669484122225</v>
      </c>
      <c r="BG30" s="42"/>
      <c r="BH30" s="43"/>
      <c r="BI30" s="15"/>
      <c r="BJ30" s="146"/>
      <c r="BL30" s="27"/>
      <c r="BO30" s="46">
        <f>ACOS(SIN(RADIANS(BK30))*SIN(RADIANS(BK31))+COS(RADIANS(BK30))*COS(RADIANS(BK31))*COS(RADIANS(BL31)-RADIANS(BL30)))*6371.1</f>
        <v>0</v>
      </c>
      <c r="BP30" s="130" t="e">
        <f>BO30/((BH31-BH30)*24)</f>
        <v>#DIV/0!</v>
      </c>
    </row>
    <row r="31" spans="2:79">
      <c r="B31">
        <v>365</v>
      </c>
      <c r="C31" s="42">
        <f t="shared" si="31"/>
        <v>40803.709722222222</v>
      </c>
      <c r="D31" s="43">
        <f t="shared" si="32"/>
        <v>40803.709722222222</v>
      </c>
      <c r="E31" s="15">
        <v>40804</v>
      </c>
      <c r="F31" s="21">
        <v>0.12638888888888888</v>
      </c>
      <c r="G31">
        <v>25.040089999999999</v>
      </c>
      <c r="H31" s="24">
        <v>-157.72412</v>
      </c>
      <c r="I31">
        <v>38</v>
      </c>
      <c r="J31">
        <v>1299</v>
      </c>
      <c r="K31" s="46">
        <f t="shared" si="26"/>
        <v>2.5887413670164596</v>
      </c>
      <c r="L31" s="46">
        <f t="shared" si="27"/>
        <v>33.503142661339488</v>
      </c>
      <c r="M31" s="123">
        <f t="shared" si="7"/>
        <v>5.1650365482736458</v>
      </c>
      <c r="N31" s="47">
        <f t="shared" si="28"/>
        <v>295.9347952468986</v>
      </c>
      <c r="O31" s="47">
        <f t="shared" si="29"/>
        <v>0.43145689450274327</v>
      </c>
      <c r="P31" s="47">
        <f t="shared" si="10"/>
        <v>11.984913736187314</v>
      </c>
      <c r="Q31" s="47">
        <f t="shared" si="30"/>
        <v>0.23296808558463458</v>
      </c>
      <c r="U31" s="34">
        <f t="shared" si="33"/>
        <v>0.18869681062625226</v>
      </c>
      <c r="V31" s="34">
        <f t="shared" si="34"/>
        <v>-0.38800588329744645</v>
      </c>
      <c r="Y31" s="24">
        <v>472</v>
      </c>
      <c r="Z31" s="42">
        <f t="shared" si="42"/>
        <v>40801.613888888889</v>
      </c>
      <c r="AA31" s="43">
        <f t="shared" si="43"/>
        <v>40801.613888888889</v>
      </c>
      <c r="AB31" s="51">
        <v>40802</v>
      </c>
      <c r="AC31" s="21">
        <v>3.0555555555555555E-2</v>
      </c>
      <c r="AD31" s="24">
        <v>25.001539999999999</v>
      </c>
      <c r="AE31" s="24">
        <v>-157.54141999999999</v>
      </c>
      <c r="AF31" s="138">
        <v>41</v>
      </c>
      <c r="AG31" s="136">
        <v>1305</v>
      </c>
      <c r="AH31" s="46">
        <f t="shared" si="35"/>
        <v>0.68256898587879389</v>
      </c>
      <c r="AI31" s="46">
        <f t="shared" si="36"/>
        <v>9.4069705275583644</v>
      </c>
      <c r="AJ31" s="123">
        <f t="shared" si="37"/>
        <v>5.5162922752162897</v>
      </c>
      <c r="AK31" s="47">
        <f t="shared" si="38"/>
        <v>316.06026593051178</v>
      </c>
      <c r="AL31" s="130">
        <f t="shared" si="39"/>
        <v>0.69413795169731807</v>
      </c>
      <c r="AM31" s="47">
        <f t="shared" si="40"/>
        <v>19.281609769369947</v>
      </c>
      <c r="AN31" s="47">
        <f t="shared" si="41"/>
        <v>0.37480450955578726</v>
      </c>
      <c r="AT31" s="34">
        <f t="shared" si="21"/>
        <v>0.26988550980090675</v>
      </c>
      <c r="AU31" s="34">
        <f t="shared" si="22"/>
        <v>-0.26007735768970525</v>
      </c>
      <c r="BG31" s="42"/>
      <c r="BH31" s="43"/>
      <c r="BI31" s="15"/>
      <c r="BJ31" s="146"/>
      <c r="BL31" s="27"/>
      <c r="BO31" s="46"/>
    </row>
    <row r="32" spans="2:79">
      <c r="B32">
        <v>367</v>
      </c>
      <c r="C32" s="42">
        <f t="shared" si="31"/>
        <v>40803.959722222222</v>
      </c>
      <c r="D32" s="43">
        <f t="shared" si="32"/>
        <v>40803.959722222222</v>
      </c>
      <c r="E32" s="15">
        <v>40804</v>
      </c>
      <c r="F32" s="21">
        <v>0.37638888888888888</v>
      </c>
      <c r="G32">
        <v>25.050270000000001</v>
      </c>
      <c r="H32" s="24">
        <v>-157.74723</v>
      </c>
      <c r="I32">
        <v>40</v>
      </c>
      <c r="J32">
        <v>1302</v>
      </c>
      <c r="K32" s="46">
        <f t="shared" si="26"/>
        <v>1.0905519524679366</v>
      </c>
      <c r="L32" s="46">
        <f t="shared" si="27"/>
        <v>34.593694613807422</v>
      </c>
      <c r="M32" s="123">
        <f t="shared" si="7"/>
        <v>4.6205322259035055</v>
      </c>
      <c r="N32" s="47">
        <f t="shared" si="28"/>
        <v>264.73699564845873</v>
      </c>
      <c r="O32" s="47">
        <f t="shared" si="29"/>
        <v>0.36351731748931221</v>
      </c>
      <c r="P32" s="47">
        <f t="shared" si="10"/>
        <v>10.097703263592008</v>
      </c>
      <c r="Q32" s="47">
        <f t="shared" si="30"/>
        <v>0.1962836487523284</v>
      </c>
      <c r="U32" s="34">
        <f t="shared" si="33"/>
        <v>-3.3344583053542119E-2</v>
      </c>
      <c r="V32" s="34">
        <f t="shared" si="34"/>
        <v>-0.36198477716004973</v>
      </c>
      <c r="Y32" s="24">
        <v>473</v>
      </c>
      <c r="Z32" s="42">
        <f t="shared" si="42"/>
        <v>40801.654861111114</v>
      </c>
      <c r="AA32" s="43">
        <f t="shared" si="43"/>
        <v>40801.654861111114</v>
      </c>
      <c r="AB32" s="51">
        <v>40802</v>
      </c>
      <c r="AC32" s="21">
        <v>7.1527777777777787E-2</v>
      </c>
      <c r="AD32" s="24">
        <v>25.005960000000002</v>
      </c>
      <c r="AE32" s="24">
        <v>-157.54612</v>
      </c>
      <c r="AF32" s="138">
        <v>41</v>
      </c>
      <c r="AG32" s="136">
        <v>1305</v>
      </c>
      <c r="AH32" s="46">
        <f t="shared" si="35"/>
        <v>0.62978504298074811</v>
      </c>
      <c r="AI32" s="46">
        <f t="shared" si="36"/>
        <v>10.036755570539112</v>
      </c>
      <c r="AJ32" s="123">
        <f t="shared" si="37"/>
        <v>5.6133890076603778</v>
      </c>
      <c r="AK32" s="47">
        <f t="shared" si="38"/>
        <v>321.62349890406898</v>
      </c>
      <c r="AL32" s="130">
        <f t="shared" si="39"/>
        <v>0.60946939640322817</v>
      </c>
      <c r="AM32" s="47">
        <f t="shared" si="40"/>
        <v>16.929705455645227</v>
      </c>
      <c r="AN32" s="47">
        <f t="shared" si="41"/>
        <v>0.32908714708597631</v>
      </c>
      <c r="AO32" s="31">
        <f>AVERAGE(AN32:AN36)</f>
        <v>0.26498414884038446</v>
      </c>
      <c r="AP32" s="31">
        <f>STDEV(AN32:AN36)</f>
        <v>4.3435799237435659E-2</v>
      </c>
      <c r="AQ32" s="32">
        <f>AP32/AO32*100</f>
        <v>16.391848126583451</v>
      </c>
      <c r="AR32" s="32"/>
      <c r="AS32" s="32"/>
      <c r="AT32" s="34">
        <f t="shared" si="21"/>
        <v>0.2579872584231348</v>
      </c>
      <c r="AU32" s="34">
        <f t="shared" si="22"/>
        <v>-0.20430595896473916</v>
      </c>
      <c r="BG32" s="41"/>
      <c r="BH32" s="41"/>
    </row>
    <row r="33" spans="2:47">
      <c r="B33">
        <v>368</v>
      </c>
      <c r="C33" s="42">
        <f t="shared" si="31"/>
        <v>40804.084722222222</v>
      </c>
      <c r="D33" s="43">
        <f t="shared" si="32"/>
        <v>40804.084722222222</v>
      </c>
      <c r="E33" s="15">
        <v>40804</v>
      </c>
      <c r="F33" s="21">
        <v>0.50138888888888888</v>
      </c>
      <c r="G33">
        <v>25.04937</v>
      </c>
      <c r="H33" s="24">
        <v>-157.75801000000001</v>
      </c>
      <c r="I33">
        <v>39</v>
      </c>
      <c r="J33">
        <v>1295</v>
      </c>
      <c r="K33" s="46">
        <f t="shared" si="26"/>
        <v>1.2397164173722934</v>
      </c>
      <c r="L33" s="46">
        <f t="shared" si="27"/>
        <v>35.833411031179715</v>
      </c>
      <c r="M33" s="123">
        <f t="shared" si="7"/>
        <v>4.8501021990038229</v>
      </c>
      <c r="N33" s="47">
        <f t="shared" si="28"/>
        <v>277.89038621003874</v>
      </c>
      <c r="O33" s="47">
        <f t="shared" si="29"/>
        <v>0.4132388057907645</v>
      </c>
      <c r="P33" s="47">
        <f t="shared" si="10"/>
        <v>11.478855716410125</v>
      </c>
      <c r="Q33" s="47">
        <f t="shared" si="30"/>
        <v>0.22313110463864172</v>
      </c>
      <c r="U33" s="34">
        <f t="shared" si="33"/>
        <v>5.6728739040276623E-2</v>
      </c>
      <c r="V33" s="34">
        <f t="shared" si="34"/>
        <v>-0.40932647212008827</v>
      </c>
      <c r="Y33" s="24">
        <v>474</v>
      </c>
      <c r="Z33" s="42">
        <f t="shared" si="42"/>
        <v>40801.697916666672</v>
      </c>
      <c r="AA33" s="43">
        <f t="shared" si="43"/>
        <v>40801.697916666672</v>
      </c>
      <c r="AB33" s="51">
        <v>40802</v>
      </c>
      <c r="AC33" s="21">
        <v>0.11458333333333333</v>
      </c>
      <c r="AD33" s="24">
        <v>25.010400000000001</v>
      </c>
      <c r="AE33" s="24">
        <v>-157.55000000000001</v>
      </c>
      <c r="AF33" s="138">
        <v>41</v>
      </c>
      <c r="AG33" s="136">
        <v>1302</v>
      </c>
      <c r="AH33" s="46">
        <f t="shared" si="35"/>
        <v>0.51720182004588744</v>
      </c>
      <c r="AI33" s="46">
        <f t="shared" si="36"/>
        <v>10.553957390584999</v>
      </c>
      <c r="AJ33" s="123">
        <f t="shared" si="37"/>
        <v>5.5873927232052347</v>
      </c>
      <c r="AK33" s="47">
        <f t="shared" si="38"/>
        <v>320.13402152176775</v>
      </c>
      <c r="AL33" s="130">
        <f t="shared" si="39"/>
        <v>0.51720182007599258</v>
      </c>
      <c r="AM33" s="47">
        <f t="shared" si="40"/>
        <v>14.366717224333128</v>
      </c>
      <c r="AN33" s="47">
        <f t="shared" si="41"/>
        <v>0.2792666415097152</v>
      </c>
      <c r="AT33" s="34">
        <f t="shared" si="21"/>
        <v>0.21434996607927034</v>
      </c>
      <c r="AU33" s="34">
        <f t="shared" si="22"/>
        <v>-0.17900823752534809</v>
      </c>
    </row>
    <row r="34" spans="2:47">
      <c r="B34">
        <v>369</v>
      </c>
      <c r="C34" s="42">
        <f t="shared" si="31"/>
        <v>40804.209722222222</v>
      </c>
      <c r="D34" s="43">
        <f t="shared" si="32"/>
        <v>40804.209722222222</v>
      </c>
      <c r="E34" s="15">
        <v>40804</v>
      </c>
      <c r="F34" s="21">
        <v>0.62638888888888888</v>
      </c>
      <c r="G34">
        <v>25.050899999999999</v>
      </c>
      <c r="H34" s="24">
        <v>-157.77019999999999</v>
      </c>
      <c r="I34">
        <v>40</v>
      </c>
      <c r="J34">
        <v>1299</v>
      </c>
      <c r="K34" s="46">
        <f t="shared" si="26"/>
        <v>3.2401988527273571</v>
      </c>
      <c r="L34" s="46">
        <f t="shared" si="27"/>
        <v>39.073609883907075</v>
      </c>
      <c r="M34" s="123">
        <f t="shared" si="7"/>
        <v>4.7303540458115494</v>
      </c>
      <c r="N34" s="47">
        <f t="shared" si="28"/>
        <v>271.02932242763546</v>
      </c>
      <c r="O34" s="47">
        <f t="shared" si="29"/>
        <v>0.54153741270120537</v>
      </c>
      <c r="P34" s="47">
        <f t="shared" si="10"/>
        <v>15.042705908366814</v>
      </c>
      <c r="Q34" s="47">
        <f t="shared" si="30"/>
        <v>0.29240681031382576</v>
      </c>
      <c r="U34" s="34">
        <f t="shared" si="33"/>
        <v>9.7282317431820042E-3</v>
      </c>
      <c r="V34" s="34">
        <f t="shared" si="34"/>
        <v>-0.54145002619102955</v>
      </c>
      <c r="Y34" s="24">
        <v>475</v>
      </c>
      <c r="Z34" s="42">
        <f t="shared" si="42"/>
        <v>40801.739583333336</v>
      </c>
      <c r="AA34" s="43">
        <f t="shared" si="43"/>
        <v>40801.739583333336</v>
      </c>
      <c r="AB34" s="51">
        <v>40802</v>
      </c>
      <c r="AC34" s="21">
        <v>0.15625</v>
      </c>
      <c r="AD34" s="24">
        <v>25.01397</v>
      </c>
      <c r="AE34" s="24">
        <v>-157.55329</v>
      </c>
      <c r="AF34" s="138">
        <v>40</v>
      </c>
      <c r="AG34" s="136">
        <v>1305</v>
      </c>
      <c r="AH34" s="46">
        <f t="shared" si="35"/>
        <v>0.40569100065331093</v>
      </c>
      <c r="AI34" s="46">
        <f t="shared" si="36"/>
        <v>10.959648391238311</v>
      </c>
      <c r="AJ34" s="123">
        <f t="shared" si="37"/>
        <v>5.322382737589141</v>
      </c>
      <c r="AK34" s="47">
        <f t="shared" si="38"/>
        <v>304.95006781714289</v>
      </c>
      <c r="AL34" s="130">
        <f t="shared" si="39"/>
        <v>0.39904032851297649</v>
      </c>
      <c r="AM34" s="47">
        <f t="shared" si="40"/>
        <v>11.084453569804902</v>
      </c>
      <c r="AN34" s="47">
        <f t="shared" si="41"/>
        <v>0.21546454023378858</v>
      </c>
      <c r="AT34" s="34">
        <f t="shared" si="21"/>
        <v>0.12343152139361514</v>
      </c>
      <c r="AU34" s="34">
        <f t="shared" si="22"/>
        <v>-0.1766058538798061</v>
      </c>
    </row>
    <row r="35" spans="2:47">
      <c r="B35">
        <v>371</v>
      </c>
      <c r="C35" s="42">
        <f t="shared" si="31"/>
        <v>40804.459027777782</v>
      </c>
      <c r="D35" s="43">
        <f t="shared" si="32"/>
        <v>40804.459027777782</v>
      </c>
      <c r="E35" s="15">
        <v>40804</v>
      </c>
      <c r="F35" s="21">
        <v>0.87569444444444444</v>
      </c>
      <c r="G35">
        <v>25.05142</v>
      </c>
      <c r="H35" s="24">
        <v>-157.80235999999999</v>
      </c>
      <c r="I35">
        <v>39</v>
      </c>
      <c r="J35">
        <v>1295</v>
      </c>
      <c r="K35" s="46">
        <f>ACOS(SIN(RADIANS(G35))*SIN(RADIANS(G36))+COS(RADIANS(G35))*COS(RADIANS(G36))*COS(RADIANS(H36)-RADIANS(H35)))*6371.1</f>
        <v>3.6889157894192119</v>
      </c>
      <c r="L35" s="46">
        <f>L34+K35</f>
        <v>42.762525673326287</v>
      </c>
      <c r="M35" s="123">
        <f>RADIANS(N35)</f>
        <v>5.0361507272478825</v>
      </c>
      <c r="N35" s="47">
        <f>MOD(DEGREES(ATAN2(COS(RADIANS(G35))*SIN(RADIANS(G36))-SIN(RADIANS(G35))*COS(RADIANS(G36))*COS(RADIANS(H36)-RADIANS(H35)),SIN(RADIANS(H36)-RADIANS(H35))*COS(RADIANS(G36)))), 360)</f>
        <v>288.55018166304387</v>
      </c>
      <c r="O35" s="47">
        <f>K35/((D36-D35)*24)</f>
        <v>0.61481929823653536</v>
      </c>
      <c r="P35" s="47">
        <f>(O35*1000*100)/3600</f>
        <v>17.07831383990376</v>
      </c>
      <c r="Q35" s="47">
        <f>O35/1.852</f>
        <v>0.33197586297869081</v>
      </c>
      <c r="U35" s="34"/>
      <c r="V35" s="34"/>
      <c r="Y35" s="24">
        <v>476</v>
      </c>
      <c r="Z35" s="42">
        <f t="shared" si="42"/>
        <v>40801.781944444447</v>
      </c>
      <c r="AA35" s="43">
        <f t="shared" si="43"/>
        <v>40801.781944444447</v>
      </c>
      <c r="AB35" s="51">
        <v>40802</v>
      </c>
      <c r="AC35" s="21">
        <v>0.1986111111111111</v>
      </c>
      <c r="AD35" s="24">
        <v>25.01606</v>
      </c>
      <c r="AE35" s="24">
        <v>-157.55659</v>
      </c>
      <c r="AF35" s="138">
        <v>41</v>
      </c>
      <c r="AG35" s="136">
        <v>1299</v>
      </c>
      <c r="AH35" s="46">
        <f>ACOS(SIN(RADIANS(AD35))*SIN(RADIANS(AD36))+COS(RADIANS(AD35))*COS(RADIANS(AD36))*COS(RADIANS(AE36)-RADIANS(AE35)))*6371.1</f>
        <v>0.49717947259076628</v>
      </c>
      <c r="AI35" s="46">
        <f>AI34+AH35</f>
        <v>11.456827863829076</v>
      </c>
      <c r="AJ35" s="123">
        <f>RADIANS(AK35)</f>
        <v>4.8605606754140709</v>
      </c>
      <c r="AK35" s="47">
        <f>MOD(DEGREES(ATAN2(COS(RADIANS(AD35))*SIN(RADIANS(AD36))-SIN(RADIANS(AD35))*COS(RADIANS(AD36))*COS(RADIANS(AE36)-RADIANS(AE35)),SIN(RADIANS(AE36)-RADIANS(AE35))*COS(RADIANS(AD36)))), 360)</f>
        <v>278.48961276848308</v>
      </c>
      <c r="AL35" s="130">
        <f>AH35/((AA36-AA35)*24)</f>
        <v>0.48902898943540718</v>
      </c>
      <c r="AM35" s="47">
        <f>(AL35*1000*100)/3600</f>
        <v>13.584138595427978</v>
      </c>
      <c r="AN35" s="47">
        <f>AL35/1.852</f>
        <v>0.26405452993272527</v>
      </c>
      <c r="AT35" s="34">
        <f t="shared" si="21"/>
        <v>3.8982398941080069E-2</v>
      </c>
      <c r="AU35" s="34">
        <f t="shared" si="22"/>
        <v>-0.26116119036103164</v>
      </c>
    </row>
    <row r="36" spans="2:47">
      <c r="B36">
        <v>373</v>
      </c>
      <c r="C36" s="42">
        <f t="shared" si="31"/>
        <v>40804.709027777782</v>
      </c>
      <c r="D36" s="43">
        <f t="shared" si="32"/>
        <v>40804.709027777782</v>
      </c>
      <c r="E36" s="15">
        <v>40805</v>
      </c>
      <c r="F36" s="21">
        <v>0.12569444444444444</v>
      </c>
      <c r="G36">
        <v>25.061969999999999</v>
      </c>
      <c r="H36" s="24">
        <v>-157.83707999999999</v>
      </c>
      <c r="I36">
        <v>43</v>
      </c>
      <c r="J36">
        <v>1295</v>
      </c>
      <c r="K36" s="46">
        <f>ACOS(SIN(RADIANS(G36))*SIN(RADIANS(G37))+COS(RADIANS(G36))*COS(RADIANS(G37))*COS(RADIANS(H37)-RADIANS(H36)))*6371.1</f>
        <v>7.2629391764752489</v>
      </c>
      <c r="L36" s="46">
        <f>L35+K36</f>
        <v>50.025464849801537</v>
      </c>
      <c r="M36" s="123">
        <f>RADIANS(N36)</f>
        <v>5.1050790625465297</v>
      </c>
      <c r="N36" s="47">
        <f>MOD(DEGREES(ATAN2(COS(RADIANS(G36))*SIN(RADIANS(G37))-SIN(RADIANS(G36))*COS(RADIANS(G37))*COS(RADIANS(H37)-RADIANS(H36)),SIN(RADIANS(H37)-RADIANS(H36))*COS(RADIANS(G37)))), 360)</f>
        <v>292.49948436451893</v>
      </c>
      <c r="O36" s="47">
        <f>K36/((D37-D36)*24)</f>
        <v>0.48365854671698766</v>
      </c>
      <c r="P36" s="47">
        <f>(O36*1000*100)/3600</f>
        <v>13.434959631027434</v>
      </c>
      <c r="Q36" s="47">
        <f>O36/1.852</f>
        <v>0.26115472284934538</v>
      </c>
      <c r="Y36" s="24">
        <v>477</v>
      </c>
      <c r="Z36" s="42">
        <f>(AB36+AC36)-(10/24)</f>
        <v>40801.824305555558</v>
      </c>
      <c r="AA36" s="43">
        <f>(AB36+AC36)-(10/24)</f>
        <v>40801.824305555558</v>
      </c>
      <c r="AB36" s="51">
        <v>40802</v>
      </c>
      <c r="AC36" s="21">
        <v>0.24097222222222223</v>
      </c>
      <c r="AD36" s="24">
        <v>25.016719999999999</v>
      </c>
      <c r="AE36" s="24">
        <v>-157.56147000000001</v>
      </c>
      <c r="AF36" s="142">
        <v>40</v>
      </c>
      <c r="AG36" s="143">
        <v>1305</v>
      </c>
      <c r="AH36" s="46">
        <f t="shared" ref="AH36:AH49" si="44">ACOS(SIN(RADIANS(AD36))*SIN(RADIANS(AD37))+COS(RADIANS(AD36))*COS(RADIANS(AD37))*COS(RADIANS(AE37)-RADIANS(AE36)))*6371.1</f>
        <v>0.43901268380880215</v>
      </c>
      <c r="AI36" s="46">
        <f t="shared" ref="AI36:AI49" si="45">AI35+AH36</f>
        <v>11.895840547637878</v>
      </c>
      <c r="AJ36" s="123">
        <f t="shared" ref="AJ36:AJ99" si="46">RADIANS(AK36)</f>
        <v>5.0292220600128061</v>
      </c>
      <c r="AK36" s="47">
        <f t="shared" ref="AK36:AK49" si="47">MOD(DEGREES(ATAN2(COS(RADIANS(AD36))*SIN(RADIANS(AD37))-SIN(RADIANS(AD36))*COS(RADIANS(AD37))*COS(RADIANS(AE37)-RADIANS(AE36)),SIN(RADIANS(AE37)-RADIANS(AE36))*COS(RADIANS(AD37)))), 360)</f>
        <v>288.15319827282343</v>
      </c>
      <c r="AL36" s="130">
        <f t="shared" ref="AL36:AL49" si="48">AH36/((AA37-AA36)*24)</f>
        <v>0.43901268383435604</v>
      </c>
      <c r="AM36" s="47">
        <f t="shared" ref="AM36:AM99" si="49">(AL36*1000*100)/3600</f>
        <v>12.194796773176558</v>
      </c>
      <c r="AN36" s="47">
        <f t="shared" ref="AN36:AN49" si="50">AL36/1.852</f>
        <v>0.23704788543971708</v>
      </c>
      <c r="AT36" s="34">
        <f t="shared" si="21"/>
        <v>7.3854363075325072E-2</v>
      </c>
      <c r="AU36" s="34">
        <f t="shared" si="22"/>
        <v>-0.22524926869177467</v>
      </c>
    </row>
    <row r="37" spans="2:47">
      <c r="B37">
        <v>375</v>
      </c>
      <c r="C37" s="42">
        <f>(E37+F37)-(10/24)</f>
        <v>40805.334722222222</v>
      </c>
      <c r="D37" s="43">
        <f>(E37+F37)-(10/24)</f>
        <v>40805.334722222222</v>
      </c>
      <c r="E37" s="15">
        <v>40805</v>
      </c>
      <c r="F37" s="21">
        <v>0.75138888888888899</v>
      </c>
      <c r="G37">
        <v>25.086950000000002</v>
      </c>
      <c r="H37" s="24">
        <v>-157.90370999999999</v>
      </c>
      <c r="I37">
        <v>37</v>
      </c>
      <c r="J37">
        <v>1299</v>
      </c>
      <c r="K37" s="46">
        <f>ACOS(SIN(RADIANS(G37))*SIN(RADIANS(G38))+COS(RADIANS(G37))*COS(RADIANS(G38))*COS(RADIANS(H38)-RADIANS(H37)))*6371.1</f>
        <v>16351.48751193822</v>
      </c>
      <c r="L37" s="46">
        <f>L36+K37</f>
        <v>16401.512976788021</v>
      </c>
      <c r="M37" s="123">
        <f>RADIANS(N37)</f>
        <v>0.76370130694223037</v>
      </c>
      <c r="N37" s="47">
        <f>MOD(DEGREES(ATAN2(COS(RADIANS(G37))*SIN(RADIANS(G38))-SIN(RADIANS(G37))*COS(RADIANS(G38))*COS(RADIANS(H38)-RADIANS(H37)),SIN(RADIANS(H38)-RADIANS(H37))*COS(RADIANS(G38)))), 360)</f>
        <v>43.756861696414838</v>
      </c>
      <c r="O37" s="47">
        <f>K37/((D38-D37)*24)</f>
        <v>-1.6696639895299181E-2</v>
      </c>
      <c r="P37" s="47">
        <f>(O37*1000*100)/3600</f>
        <v>-0.46379555264719946</v>
      </c>
      <c r="Q37" s="47">
        <f>O37/1.852</f>
        <v>-9.0154643063170524E-3</v>
      </c>
      <c r="Y37" s="24">
        <v>478</v>
      </c>
      <c r="Z37" s="42">
        <f t="shared" ref="Z37:Z50" si="51">(AB37+AC37)-(10/24)</f>
        <v>40801.865972222222</v>
      </c>
      <c r="AA37" s="43">
        <f t="shared" ref="AA37:AA50" si="52">(AB37+AC37)-(10/24)</f>
        <v>40801.865972222222</v>
      </c>
      <c r="AB37" s="51">
        <v>40802</v>
      </c>
      <c r="AC37" s="21">
        <v>0.28263888888888888</v>
      </c>
      <c r="AD37" s="24">
        <v>25.017949999999999</v>
      </c>
      <c r="AE37" s="24">
        <v>-157.56560999999999</v>
      </c>
      <c r="AF37" s="138">
        <v>42</v>
      </c>
      <c r="AG37" s="143">
        <v>1305</v>
      </c>
      <c r="AH37" s="46">
        <f t="shared" si="44"/>
        <v>0.28610470273282496</v>
      </c>
      <c r="AI37" s="46">
        <f t="shared" si="45"/>
        <v>12.181945250370703</v>
      </c>
      <c r="AJ37" s="123">
        <f t="shared" si="46"/>
        <v>4.8292623966817949</v>
      </c>
      <c r="AK37" s="47">
        <f t="shared" si="47"/>
        <v>276.69635349109961</v>
      </c>
      <c r="AL37" s="130">
        <f t="shared" si="48"/>
        <v>0.28141446170549211</v>
      </c>
      <c r="AM37" s="47">
        <f t="shared" si="49"/>
        <v>7.8170683807081138</v>
      </c>
      <c r="AN37" s="47">
        <f t="shared" si="50"/>
        <v>0.15195165318871065</v>
      </c>
      <c r="AO37" s="31">
        <f>AVERAGE(AN37:AN41)</f>
        <v>0.10070713592359051</v>
      </c>
      <c r="AP37" s="31">
        <f>STDEV(AN37:AN41)</f>
        <v>4.6455296702872136E-2</v>
      </c>
      <c r="AQ37" s="32">
        <f>AP37/AO37*100</f>
        <v>46.129101256656874</v>
      </c>
      <c r="AR37" s="32"/>
      <c r="AS37" s="32"/>
      <c r="AT37" s="34">
        <f t="shared" ref="AT37:AT76" si="53">AN37*COS(RADIANS(AK37))</f>
        <v>1.7718706641834048E-2</v>
      </c>
      <c r="AU37" s="34">
        <f t="shared" ref="AU37:AU76" si="54">AN37*SIN(RADIANS(AK37))</f>
        <v>-0.15091505008355802</v>
      </c>
    </row>
    <row r="38" spans="2:47">
      <c r="B38">
        <v>376</v>
      </c>
      <c r="E38" s="15">
        <v>40805</v>
      </c>
      <c r="Y38" s="24">
        <v>479</v>
      </c>
      <c r="Z38" s="42">
        <f t="shared" si="51"/>
        <v>40801.908333333333</v>
      </c>
      <c r="AA38" s="43">
        <f t="shared" si="52"/>
        <v>40801.908333333333</v>
      </c>
      <c r="AB38" s="51">
        <v>40802</v>
      </c>
      <c r="AC38" s="21">
        <v>0.32500000000000001</v>
      </c>
      <c r="AD38" s="24">
        <v>25.018249999999998</v>
      </c>
      <c r="AE38" s="24">
        <v>-157.56843000000001</v>
      </c>
      <c r="AF38" s="138">
        <v>41</v>
      </c>
      <c r="AG38" s="143">
        <v>1302</v>
      </c>
      <c r="AH38" s="46">
        <f t="shared" si="44"/>
        <v>0.25145436279488381</v>
      </c>
      <c r="AI38" s="46">
        <f t="shared" si="45"/>
        <v>12.433399613165587</v>
      </c>
      <c r="AJ38" s="123">
        <f t="shared" si="46"/>
        <v>5.0178301696291179</v>
      </c>
      <c r="AK38" s="47">
        <f t="shared" si="47"/>
        <v>287.5004910331624</v>
      </c>
      <c r="AL38" s="130">
        <f t="shared" si="48"/>
        <v>0.24334293172510449</v>
      </c>
      <c r="AM38" s="47">
        <f t="shared" si="49"/>
        <v>6.7595258812529018</v>
      </c>
      <c r="AN38" s="47">
        <f t="shared" si="50"/>
        <v>0.1313946715578318</v>
      </c>
      <c r="AT38" s="34">
        <f t="shared" si="53"/>
        <v>3.9512213713370839E-2</v>
      </c>
      <c r="AU38" s="34">
        <f t="shared" si="54"/>
        <v>-0.12531298688188469</v>
      </c>
    </row>
    <row r="39" spans="2:47">
      <c r="B39">
        <v>377</v>
      </c>
      <c r="C39" s="42">
        <f>(E39+F39)-(10/24)</f>
        <v>40805.084722222222</v>
      </c>
      <c r="D39" s="43">
        <f>(E39+F39)-(10/24)</f>
        <v>40805.084722222222</v>
      </c>
      <c r="E39" s="15">
        <v>40805</v>
      </c>
      <c r="F39" s="21">
        <v>0.50138888888888888</v>
      </c>
      <c r="G39">
        <v>25.079789999999999</v>
      </c>
      <c r="H39" s="24">
        <v>-157.86906999999999</v>
      </c>
      <c r="I39">
        <v>37</v>
      </c>
      <c r="J39">
        <v>1302</v>
      </c>
      <c r="K39" s="46">
        <f>ACOS(SIN(RADIANS(G39))*SIN(RADIANS(G40))+COS(RADIANS(G39))*COS(RADIANS(G40))*COS(RADIANS(H40)-RADIANS(H39)))*6371.1</f>
        <v>3.5782895383417435</v>
      </c>
      <c r="L39" s="46">
        <f>L38+K39</f>
        <v>3.5782895383417435</v>
      </c>
      <c r="M39" s="123">
        <f>RADIANS(N39)</f>
        <v>4.9368947694225938</v>
      </c>
      <c r="N39" s="47">
        <f>MOD(DEGREES(ATAN2(COS(RADIANS(G39))*SIN(RADIANS(G40))-SIN(RADIANS(G39))*COS(RADIANS(G40))*COS(RADIANS(H40)-RADIANS(H39)),SIN(RADIANS(H40)-RADIANS(H39))*COS(RADIANS(G40)))), 360)</f>
        <v>282.86323418812634</v>
      </c>
      <c r="O39" s="47">
        <f>K39/((D40-D39)*24)</f>
        <v>0.59638158972362387</v>
      </c>
      <c r="P39" s="47">
        <f>(O39*1000*100)/3600</f>
        <v>16.566155270100662</v>
      </c>
      <c r="Q39" s="47">
        <f>O39/1.852</f>
        <v>0.32202029682701072</v>
      </c>
      <c r="Y39" s="24">
        <v>480</v>
      </c>
      <c r="Z39" s="42">
        <f t="shared" si="51"/>
        <v>40801.951388888891</v>
      </c>
      <c r="AA39" s="43">
        <f t="shared" si="52"/>
        <v>40801.951388888891</v>
      </c>
      <c r="AB39" s="51">
        <v>40802</v>
      </c>
      <c r="AC39" s="21">
        <v>0.36805555555555558</v>
      </c>
      <c r="AD39" s="24">
        <v>25.018930000000001</v>
      </c>
      <c r="AE39" s="24">
        <v>-157.57080999999999</v>
      </c>
      <c r="AF39" s="138">
        <v>41</v>
      </c>
      <c r="AG39" s="143">
        <v>1305</v>
      </c>
      <c r="AH39" s="46">
        <f t="shared" si="44"/>
        <v>0.14367123250455838</v>
      </c>
      <c r="AI39" s="46">
        <f t="shared" si="45"/>
        <v>12.577070845670146</v>
      </c>
      <c r="AJ39" s="123">
        <f t="shared" si="46"/>
        <v>5.9249007027647993</v>
      </c>
      <c r="AK39" s="47">
        <f t="shared" si="47"/>
        <v>339.47180430251842</v>
      </c>
      <c r="AL39" s="130">
        <f t="shared" si="48"/>
        <v>0.14367123251292113</v>
      </c>
      <c r="AM39" s="47">
        <f t="shared" si="49"/>
        <v>3.9908675698033651</v>
      </c>
      <c r="AN39" s="47">
        <f t="shared" si="50"/>
        <v>7.7576259456220903E-2</v>
      </c>
      <c r="AT39" s="34">
        <f t="shared" si="53"/>
        <v>7.2650146506039001E-2</v>
      </c>
      <c r="AU39" s="34">
        <f t="shared" si="54"/>
        <v>-2.7203533665132021E-2</v>
      </c>
    </row>
    <row r="40" spans="2:47">
      <c r="B40">
        <v>378</v>
      </c>
      <c r="C40" s="42">
        <f>(E40+F40)-(10/24)</f>
        <v>40805.334722222222</v>
      </c>
      <c r="D40" s="43">
        <f>(E40+F40)-(10/24)</f>
        <v>40805.334722222222</v>
      </c>
      <c r="E40" s="15">
        <v>40805</v>
      </c>
      <c r="F40" s="21">
        <v>0.75138888888888899</v>
      </c>
      <c r="G40">
        <v>25.086950000000002</v>
      </c>
      <c r="H40" s="24">
        <v>-157.90370999999999</v>
      </c>
      <c r="I40">
        <v>37</v>
      </c>
      <c r="J40">
        <v>1299</v>
      </c>
      <c r="Y40" s="24">
        <v>481</v>
      </c>
      <c r="Z40" s="42">
        <f t="shared" si="51"/>
        <v>40801.993055555555</v>
      </c>
      <c r="AA40" s="43">
        <f t="shared" si="52"/>
        <v>40801.993055555555</v>
      </c>
      <c r="AB40" s="51">
        <v>40802</v>
      </c>
      <c r="AC40" s="21">
        <v>0.40972222222222227</v>
      </c>
      <c r="AD40" s="24">
        <v>25.020140000000001</v>
      </c>
      <c r="AE40" s="24">
        <v>-157.57131000000001</v>
      </c>
      <c r="AF40" s="138">
        <v>42</v>
      </c>
      <c r="AG40" s="143">
        <v>1305</v>
      </c>
      <c r="AH40" s="46">
        <f t="shared" si="44"/>
        <v>6.275400686037591E-2</v>
      </c>
      <c r="AI40" s="46">
        <f t="shared" si="45"/>
        <v>12.639824852530522</v>
      </c>
      <c r="AJ40" s="123">
        <f t="shared" si="46"/>
        <v>0.67667862391993772</v>
      </c>
      <c r="AK40" s="47">
        <f t="shared" si="47"/>
        <v>38.770829237332705</v>
      </c>
      <c r="AL40" s="130">
        <f t="shared" si="48"/>
        <v>6.2754006853070379E-2</v>
      </c>
      <c r="AM40" s="47">
        <f t="shared" si="49"/>
        <v>1.7431668570297327</v>
      </c>
      <c r="AN40" s="47">
        <f t="shared" si="50"/>
        <v>3.3884452944422452E-2</v>
      </c>
      <c r="AT40" s="34">
        <f t="shared" si="53"/>
        <v>2.6418247002502612E-2</v>
      </c>
      <c r="AU40" s="34">
        <f t="shared" si="54"/>
        <v>2.1218679899030975E-2</v>
      </c>
    </row>
    <row r="41" spans="2:47">
      <c r="B41">
        <v>379</v>
      </c>
      <c r="Y41" s="24">
        <v>482</v>
      </c>
      <c r="Z41" s="42">
        <f t="shared" si="51"/>
        <v>40802.034722222226</v>
      </c>
      <c r="AA41" s="43">
        <f t="shared" si="52"/>
        <v>40802.034722222226</v>
      </c>
      <c r="AB41" s="51">
        <v>40802</v>
      </c>
      <c r="AC41" s="21">
        <v>0.4513888888888889</v>
      </c>
      <c r="AD41" s="24">
        <v>25.020579999999999</v>
      </c>
      <c r="AE41" s="24">
        <v>-157.57092</v>
      </c>
      <c r="AF41" s="138">
        <v>40</v>
      </c>
      <c r="AG41" s="143">
        <v>1302</v>
      </c>
      <c r="AH41" s="46">
        <f t="shared" si="44"/>
        <v>0.204721536619343</v>
      </c>
      <c r="AI41" s="46">
        <f t="shared" si="45"/>
        <v>12.844546389149865</v>
      </c>
      <c r="AJ41" s="123">
        <f t="shared" si="46"/>
        <v>0.39401782019099774</v>
      </c>
      <c r="AK41" s="47">
        <f t="shared" si="47"/>
        <v>22.575558149888721</v>
      </c>
      <c r="AL41" s="130">
        <f t="shared" si="48"/>
        <v>0.20136544585586008</v>
      </c>
      <c r="AM41" s="47">
        <f t="shared" si="49"/>
        <v>5.5934846071072251</v>
      </c>
      <c r="AN41" s="47">
        <f t="shared" si="50"/>
        <v>0.10872864247076677</v>
      </c>
      <c r="AT41" s="34">
        <f t="shared" si="53"/>
        <v>0.10039720911716479</v>
      </c>
      <c r="AU41" s="34">
        <f t="shared" si="54"/>
        <v>4.1741084018268031E-2</v>
      </c>
    </row>
    <row r="42" spans="2:47">
      <c r="B42">
        <v>380</v>
      </c>
      <c r="Y42" s="24">
        <v>483</v>
      </c>
      <c r="Z42" s="42">
        <f t="shared" si="51"/>
        <v>40802.077083333337</v>
      </c>
      <c r="AA42" s="43">
        <f t="shared" si="52"/>
        <v>40802.077083333337</v>
      </c>
      <c r="AB42" s="51">
        <v>40802</v>
      </c>
      <c r="AC42" s="21">
        <v>0.49374999999999997</v>
      </c>
      <c r="AD42" s="24">
        <v>25.022279999999999</v>
      </c>
      <c r="AE42" s="24">
        <v>-157.57014000000001</v>
      </c>
      <c r="AF42" s="138">
        <v>41</v>
      </c>
      <c r="AG42" s="143">
        <v>1305</v>
      </c>
      <c r="AH42" s="46">
        <f t="shared" si="44"/>
        <v>0.29717820011838714</v>
      </c>
      <c r="AI42" s="46">
        <f t="shared" si="45"/>
        <v>13.141724589268252</v>
      </c>
      <c r="AJ42" s="123">
        <f t="shared" si="46"/>
        <v>0.82676047849795165</v>
      </c>
      <c r="AK42" s="47">
        <f t="shared" si="47"/>
        <v>47.369886086149073</v>
      </c>
      <c r="AL42" s="130">
        <f t="shared" si="48"/>
        <v>0.29230642634707027</v>
      </c>
      <c r="AM42" s="47">
        <f t="shared" si="49"/>
        <v>8.1196229540852851</v>
      </c>
      <c r="AN42" s="47">
        <f t="shared" si="50"/>
        <v>0.15783284359992994</v>
      </c>
      <c r="AO42" s="31">
        <f>AVERAGE(AN42:AN46)</f>
        <v>0.16384633436846316</v>
      </c>
      <c r="AP42" s="31">
        <f>STDEV(AN42:AN46)</f>
        <v>7.9972889199817751E-2</v>
      </c>
      <c r="AQ42" s="32">
        <f>AP42/AO42*100</f>
        <v>48.80969080453886</v>
      </c>
      <c r="AR42" s="32"/>
      <c r="AS42" s="32"/>
      <c r="AT42" s="34">
        <f t="shared" si="53"/>
        <v>0.10689430714810784</v>
      </c>
      <c r="AU42" s="34">
        <f t="shared" si="54"/>
        <v>0.11612413021489516</v>
      </c>
    </row>
    <row r="43" spans="2:47">
      <c r="B43">
        <v>381</v>
      </c>
      <c r="Y43" s="24">
        <v>484</v>
      </c>
      <c r="Z43" s="42">
        <f t="shared" si="51"/>
        <v>40802.119444444448</v>
      </c>
      <c r="AA43" s="43">
        <f t="shared" si="52"/>
        <v>40802.119444444448</v>
      </c>
      <c r="AB43" s="51">
        <v>40802</v>
      </c>
      <c r="AC43" s="21">
        <v>0.53611111111111109</v>
      </c>
      <c r="AD43" s="24">
        <v>25.024090000000001</v>
      </c>
      <c r="AE43" s="24">
        <v>-157.56797</v>
      </c>
      <c r="AF43" s="138">
        <v>42</v>
      </c>
      <c r="AG43" s="143">
        <v>1305</v>
      </c>
      <c r="AH43" s="46">
        <f t="shared" si="44"/>
        <v>0.34002218667029177</v>
      </c>
      <c r="AI43" s="46">
        <f t="shared" si="45"/>
        <v>13.481746775938543</v>
      </c>
      <c r="AJ43" s="123">
        <f t="shared" si="46"/>
        <v>1.5184355501214712</v>
      </c>
      <c r="AK43" s="47">
        <f t="shared" si="47"/>
        <v>86.999948484585673</v>
      </c>
      <c r="AL43" s="130">
        <f t="shared" si="48"/>
        <v>0.34002218669008366</v>
      </c>
      <c r="AM43" s="47">
        <f t="shared" si="49"/>
        <v>9.4450607413912131</v>
      </c>
      <c r="AN43" s="47">
        <f t="shared" si="50"/>
        <v>0.18359729302920283</v>
      </c>
      <c r="AT43" s="34">
        <f t="shared" si="53"/>
        <v>9.6089047428883634E-3</v>
      </c>
      <c r="AU43" s="34">
        <f t="shared" si="54"/>
        <v>0.1833456706805292</v>
      </c>
    </row>
    <row r="44" spans="2:47">
      <c r="B44">
        <v>382</v>
      </c>
      <c r="Y44" s="24">
        <v>485</v>
      </c>
      <c r="Z44" s="42">
        <f t="shared" si="51"/>
        <v>40802.161111111112</v>
      </c>
      <c r="AA44" s="43">
        <f t="shared" si="52"/>
        <v>40802.161111111112</v>
      </c>
      <c r="AB44" s="51">
        <v>40802</v>
      </c>
      <c r="AC44" s="21">
        <v>0.57777777777777783</v>
      </c>
      <c r="AD44" s="24">
        <v>25.024249999999999</v>
      </c>
      <c r="AE44" s="24">
        <v>-157.56460000000001</v>
      </c>
      <c r="AF44" s="138">
        <v>38</v>
      </c>
      <c r="AG44" s="143">
        <v>1305</v>
      </c>
      <c r="AH44" s="46">
        <f t="shared" si="44"/>
        <v>0.1370386803826607</v>
      </c>
      <c r="AI44" s="46">
        <f t="shared" si="45"/>
        <v>13.618785456321204</v>
      </c>
      <c r="AJ44" s="123">
        <f t="shared" si="46"/>
        <v>2.5036274910785266</v>
      </c>
      <c r="AK44" s="47">
        <f t="shared" si="47"/>
        <v>143.44728871172674</v>
      </c>
      <c r="AL44" s="130">
        <f t="shared" si="48"/>
        <v>0.13479214463919714</v>
      </c>
      <c r="AM44" s="47">
        <f t="shared" si="49"/>
        <v>3.7442262399776984</v>
      </c>
      <c r="AN44" s="47">
        <f t="shared" si="50"/>
        <v>7.2781935550322432E-2</v>
      </c>
      <c r="AT44" s="34">
        <f t="shared" si="53"/>
        <v>-5.84664051285421E-2</v>
      </c>
      <c r="AU44" s="34">
        <f t="shared" si="54"/>
        <v>4.3346160312033102E-2</v>
      </c>
    </row>
    <row r="45" spans="2:47">
      <c r="B45">
        <v>383</v>
      </c>
      <c r="Y45" s="24">
        <v>486</v>
      </c>
      <c r="Z45" s="42">
        <f t="shared" si="51"/>
        <v>40802.203472222223</v>
      </c>
      <c r="AA45" s="43">
        <f t="shared" si="52"/>
        <v>40802.203472222223</v>
      </c>
      <c r="AB45" s="51">
        <v>40802</v>
      </c>
      <c r="AC45" s="21">
        <v>0.62013888888888891</v>
      </c>
      <c r="AD45" s="24">
        <v>25.023260000000001</v>
      </c>
      <c r="AE45" s="24">
        <v>-157.56379000000001</v>
      </c>
      <c r="AF45" s="138">
        <v>41</v>
      </c>
      <c r="AG45" s="143">
        <v>1322</v>
      </c>
      <c r="AH45" s="46">
        <f t="shared" si="44"/>
        <v>0.22079790696815324</v>
      </c>
      <c r="AI45" s="46">
        <f t="shared" si="45"/>
        <v>13.839583363289357</v>
      </c>
      <c r="AJ45" s="123">
        <f t="shared" si="46"/>
        <v>3.8405892668658166</v>
      </c>
      <c r="AK45" s="47">
        <f t="shared" si="47"/>
        <v>220.04955583465431</v>
      </c>
      <c r="AL45" s="130">
        <f t="shared" si="48"/>
        <v>0.22079790694244897</v>
      </c>
      <c r="AM45" s="47">
        <f t="shared" si="49"/>
        <v>6.1332751928458045</v>
      </c>
      <c r="AN45" s="47">
        <f t="shared" si="50"/>
        <v>0.11922133204235905</v>
      </c>
      <c r="AT45" s="34">
        <f t="shared" si="53"/>
        <v>-9.1262523061633724E-2</v>
      </c>
      <c r="AU45" s="34">
        <f t="shared" si="54"/>
        <v>-7.6712957825775446E-2</v>
      </c>
    </row>
    <row r="46" spans="2:47">
      <c r="B46">
        <v>384</v>
      </c>
      <c r="Y46" s="24">
        <v>487</v>
      </c>
      <c r="Z46" s="42">
        <f t="shared" si="51"/>
        <v>40802.245138888895</v>
      </c>
      <c r="AA46" s="43">
        <f t="shared" si="52"/>
        <v>40802.245138888895</v>
      </c>
      <c r="AB46" s="51">
        <v>40802</v>
      </c>
      <c r="AC46" s="21">
        <v>0.66180555555555554</v>
      </c>
      <c r="AD46" s="24">
        <v>25.021740000000001</v>
      </c>
      <c r="AE46" s="24">
        <v>-157.5652</v>
      </c>
      <c r="AF46" s="138">
        <v>40</v>
      </c>
      <c r="AG46" s="143">
        <v>1305</v>
      </c>
      <c r="AH46" s="46">
        <f t="shared" si="44"/>
        <v>0.5469416712885482</v>
      </c>
      <c r="AI46" s="46">
        <f t="shared" si="45"/>
        <v>14.386525034577906</v>
      </c>
      <c r="AJ46" s="123">
        <f t="shared" si="46"/>
        <v>3.9119506365437258</v>
      </c>
      <c r="AK46" s="47">
        <f t="shared" si="47"/>
        <v>224.13826113747135</v>
      </c>
      <c r="AL46" s="130">
        <f t="shared" si="48"/>
        <v>0.52929839163316894</v>
      </c>
      <c r="AM46" s="47">
        <f t="shared" si="49"/>
        <v>14.702733100921362</v>
      </c>
      <c r="AN46" s="47">
        <f t="shared" si="50"/>
        <v>0.28579826762050159</v>
      </c>
      <c r="AT46" s="34">
        <f t="shared" si="53"/>
        <v>-0.20510639030725808</v>
      </c>
      <c r="AU46" s="34">
        <f t="shared" si="54"/>
        <v>-0.19902768257206471</v>
      </c>
    </row>
    <row r="47" spans="2:47">
      <c r="B47">
        <v>385</v>
      </c>
      <c r="X47" t="s">
        <v>92</v>
      </c>
      <c r="Y47" s="24">
        <v>488</v>
      </c>
      <c r="Z47" s="155">
        <f t="shared" si="51"/>
        <v>40802.288194444445</v>
      </c>
      <c r="AA47" s="156">
        <f t="shared" si="52"/>
        <v>40802.288194444445</v>
      </c>
      <c r="AB47" s="51">
        <v>40802</v>
      </c>
      <c r="AC47" s="21">
        <v>0.70486111111111116</v>
      </c>
      <c r="AD47" s="24">
        <v>25.01821</v>
      </c>
      <c r="AE47" s="24">
        <v>-157.56898000000001</v>
      </c>
      <c r="AF47" s="138">
        <v>42</v>
      </c>
      <c r="AG47" s="143">
        <v>1305</v>
      </c>
      <c r="AH47" s="46">
        <f t="shared" si="44"/>
        <v>0.58805880445562209</v>
      </c>
      <c r="AI47" s="46">
        <f t="shared" si="45"/>
        <v>14.974583839033528</v>
      </c>
      <c r="AJ47" s="123">
        <f t="shared" si="46"/>
        <v>4.0141144384326282</v>
      </c>
      <c r="AK47" s="47">
        <f t="shared" si="47"/>
        <v>229.99181580471614</v>
      </c>
      <c r="AL47" s="130">
        <f t="shared" si="48"/>
        <v>0.57841849618806551</v>
      </c>
      <c r="AM47" s="47">
        <f t="shared" si="49"/>
        <v>16.067180449668488</v>
      </c>
      <c r="AN47" s="47">
        <f t="shared" si="50"/>
        <v>0.31232100226137444</v>
      </c>
      <c r="AO47" s="31">
        <f>AVERAGE(AN47:AN51)</f>
        <v>0.34320203902739782</v>
      </c>
      <c r="AP47" s="31">
        <f>STDEV(AN47:AN51)</f>
        <v>4.5161106971223254E-2</v>
      </c>
      <c r="AQ47" s="32">
        <f>AP47/AO47*100</f>
        <v>13.158752523500608</v>
      </c>
      <c r="AR47" s="32"/>
      <c r="AS47" s="32"/>
      <c r="AT47" s="34">
        <f t="shared" si="53"/>
        <v>-0.20079024344905663</v>
      </c>
      <c r="AU47" s="34">
        <f t="shared" si="54"/>
        <v>-0.23922308958212632</v>
      </c>
    </row>
    <row r="48" spans="2:47">
      <c r="B48">
        <v>386</v>
      </c>
      <c r="Y48" s="24">
        <v>489</v>
      </c>
      <c r="Z48" s="42">
        <f t="shared" si="51"/>
        <v>40802.330555555556</v>
      </c>
      <c r="AA48" s="43">
        <f t="shared" si="52"/>
        <v>40802.330555555556</v>
      </c>
      <c r="AB48" s="51">
        <v>40802</v>
      </c>
      <c r="AC48" s="21">
        <v>0.74722222222222223</v>
      </c>
      <c r="AD48" s="24">
        <v>25.014810000000001</v>
      </c>
      <c r="AE48" s="24">
        <v>-157.57345000000001</v>
      </c>
      <c r="AF48" s="138">
        <v>41</v>
      </c>
      <c r="AG48" s="143">
        <v>1305</v>
      </c>
      <c r="AH48" s="46">
        <f t="shared" si="44"/>
        <v>0.55956316332705203</v>
      </c>
      <c r="AI48" s="46">
        <f t="shared" si="45"/>
        <v>15.53414700236058</v>
      </c>
      <c r="AJ48" s="123">
        <f t="shared" si="46"/>
        <v>3.9152157682208681</v>
      </c>
      <c r="AK48" s="47">
        <f t="shared" si="47"/>
        <v>224.32533940212608</v>
      </c>
      <c r="AL48" s="130">
        <f t="shared" si="48"/>
        <v>0.55956316326191025</v>
      </c>
      <c r="AM48" s="47">
        <f t="shared" si="49"/>
        <v>15.543421201719731</v>
      </c>
      <c r="AN48" s="47">
        <f t="shared" si="50"/>
        <v>0.30213993696647418</v>
      </c>
      <c r="AT48" s="34">
        <f t="shared" si="53"/>
        <v>-0.21614601181965207</v>
      </c>
      <c r="AU48" s="34">
        <f t="shared" si="54"/>
        <v>-0.21111476282951847</v>
      </c>
    </row>
    <row r="49" spans="2:47">
      <c r="Y49" s="24">
        <v>490</v>
      </c>
      <c r="Z49" s="42">
        <f t="shared" si="51"/>
        <v>40802.372222222228</v>
      </c>
      <c r="AA49" s="43">
        <f t="shared" si="52"/>
        <v>40802.372222222228</v>
      </c>
      <c r="AB49" s="51">
        <v>40802</v>
      </c>
      <c r="AC49" s="21">
        <v>0.78888888888888886</v>
      </c>
      <c r="AD49" s="24">
        <v>25.011209999999998</v>
      </c>
      <c r="AE49" s="24">
        <v>-157.57732999999999</v>
      </c>
      <c r="AF49" s="138">
        <v>40</v>
      </c>
      <c r="AG49" s="143">
        <v>1305</v>
      </c>
      <c r="AH49" s="46">
        <f t="shared" si="44"/>
        <v>0.7311412741359461</v>
      </c>
      <c r="AI49" s="46">
        <f t="shared" si="45"/>
        <v>16.265288276496527</v>
      </c>
      <c r="AJ49" s="123">
        <f t="shared" si="46"/>
        <v>4.0565179184884226</v>
      </c>
      <c r="AK49" s="47">
        <f t="shared" si="47"/>
        <v>232.42135624858031</v>
      </c>
      <c r="AL49" s="130">
        <f t="shared" si="48"/>
        <v>0.71915535161187227</v>
      </c>
      <c r="AM49" s="47">
        <f t="shared" si="49"/>
        <v>19.976537544774228</v>
      </c>
      <c r="AN49" s="47">
        <f t="shared" si="50"/>
        <v>0.38831282484442348</v>
      </c>
      <c r="AT49" s="34">
        <f t="shared" si="53"/>
        <v>-0.23681250088886913</v>
      </c>
      <c r="AU49" s="34">
        <f t="shared" si="54"/>
        <v>-0.30774451962856342</v>
      </c>
    </row>
    <row r="50" spans="2:47">
      <c r="Y50" s="24">
        <v>491</v>
      </c>
      <c r="Z50" s="42">
        <f t="shared" si="51"/>
        <v>40802.414583333339</v>
      </c>
      <c r="AA50" s="43">
        <f t="shared" si="52"/>
        <v>40802.414583333339</v>
      </c>
      <c r="AB50" s="51">
        <v>40802</v>
      </c>
      <c r="AC50" s="21">
        <v>0.83124999999999993</v>
      </c>
      <c r="AD50" s="24">
        <v>25.007200000000001</v>
      </c>
      <c r="AE50" s="24">
        <v>-157.58308</v>
      </c>
      <c r="AF50" s="138">
        <v>41</v>
      </c>
      <c r="AG50" s="143">
        <v>1305</v>
      </c>
      <c r="AH50" s="46">
        <f t="shared" ref="AH50:AH58" si="55">ACOS(SIN(RADIANS(AD50))*SIN(RADIANS(AD51))+COS(RADIANS(AD50))*COS(RADIANS(AD51))*COS(RADIANS(AE51)-RADIANS(AE50)))*6371.1</f>
        <v>0.74587230037592323</v>
      </c>
      <c r="AI50" s="46">
        <f t="shared" ref="AI50:AI58" si="56">AI49+AH50</f>
        <v>17.011160576872449</v>
      </c>
      <c r="AJ50" s="123">
        <f t="shared" si="46"/>
        <v>4.1997698410410003</v>
      </c>
      <c r="AK50" s="47">
        <f t="shared" ref="AK50:AK58" si="57">MOD(DEGREES(ATAN2(COS(RADIANS(AD50))*SIN(RADIANS(AD51))-SIN(RADIANS(AD50))*COS(RADIANS(AD51))*COS(RADIANS(AE51)-RADIANS(AE50)),SIN(RADIANS(AE51)-RADIANS(AE50))*COS(RADIANS(AD51)))), 360)</f>
        <v>240.62908681797796</v>
      </c>
      <c r="AL50" s="130">
        <f t="shared" ref="AL50:AL58" si="58">AH50/((AA51-AA50)*24)</f>
        <v>0.73364488561846242</v>
      </c>
      <c r="AM50" s="47">
        <f t="shared" si="49"/>
        <v>20.379024600512846</v>
      </c>
      <c r="AN50" s="47">
        <f t="shared" ref="AN50:AN58" si="59">AL50/1.852</f>
        <v>0.39613654731018488</v>
      </c>
      <c r="AT50" s="34">
        <f t="shared" si="53"/>
        <v>-0.1942896892793157</v>
      </c>
      <c r="AU50" s="34">
        <f t="shared" si="54"/>
        <v>-0.34521830883454213</v>
      </c>
    </row>
    <row r="51" spans="2:47">
      <c r="Y51" s="24">
        <v>492</v>
      </c>
      <c r="Z51" s="42">
        <f t="shared" ref="Z51:Z59" si="60">(AB51+AC51)-(10/24)</f>
        <v>40802.45694444445</v>
      </c>
      <c r="AA51" s="43">
        <f t="shared" ref="AA51:AA59" si="61">(AB51+AC51)-(10/24)</f>
        <v>40802.45694444445</v>
      </c>
      <c r="AB51" s="51">
        <v>40802</v>
      </c>
      <c r="AC51" s="21">
        <v>0.87361111111111101</v>
      </c>
      <c r="AD51">
        <v>25.003910000000001</v>
      </c>
      <c r="AE51">
        <v>-157.58953</v>
      </c>
      <c r="AF51" s="139">
        <v>41</v>
      </c>
      <c r="AG51" s="142">
        <v>1305</v>
      </c>
      <c r="AH51" s="46">
        <f t="shared" si="55"/>
        <v>0.57748116823541529</v>
      </c>
      <c r="AI51" s="46">
        <f t="shared" si="56"/>
        <v>17.588641745107864</v>
      </c>
      <c r="AJ51" s="123">
        <f t="shared" si="46"/>
        <v>4.4752767140626739</v>
      </c>
      <c r="AK51" s="47">
        <f t="shared" si="57"/>
        <v>256.41446786896654</v>
      </c>
      <c r="AL51" s="130">
        <f t="shared" si="58"/>
        <v>0.58726898471339339</v>
      </c>
      <c r="AM51" s="47">
        <f t="shared" si="49"/>
        <v>16.313027353149817</v>
      </c>
      <c r="AN51" s="47">
        <f t="shared" si="59"/>
        <v>0.31709988375453207</v>
      </c>
      <c r="AT51" s="34">
        <f t="shared" si="53"/>
        <v>-7.4485707969555989E-2</v>
      </c>
      <c r="AU51" s="34">
        <f t="shared" si="54"/>
        <v>-0.30822753865514968</v>
      </c>
    </row>
    <row r="52" spans="2:47">
      <c r="B52">
        <v>374</v>
      </c>
      <c r="Y52" s="24">
        <v>493</v>
      </c>
      <c r="Z52" s="42">
        <f t="shared" si="60"/>
        <v>40802.497916666667</v>
      </c>
      <c r="AA52" s="43">
        <f t="shared" si="61"/>
        <v>40802.497916666667</v>
      </c>
      <c r="AB52" s="51">
        <v>40802</v>
      </c>
      <c r="AC52" s="21">
        <v>0.9145833333333333</v>
      </c>
      <c r="AD52">
        <v>25.002690000000001</v>
      </c>
      <c r="AE52">
        <v>-157.5951</v>
      </c>
      <c r="AF52" s="139">
        <v>42</v>
      </c>
      <c r="AG52" s="24">
        <v>1305</v>
      </c>
      <c r="AH52" s="46">
        <f t="shared" si="55"/>
        <v>0.45573716656025121</v>
      </c>
      <c r="AI52" s="46">
        <f t="shared" si="56"/>
        <v>18.044378911668115</v>
      </c>
      <c r="AJ52" s="123">
        <f t="shared" si="46"/>
        <v>4.963921440188531</v>
      </c>
      <c r="AK52" s="47">
        <f t="shared" si="57"/>
        <v>284.41174835730413</v>
      </c>
      <c r="AL52" s="130">
        <f t="shared" si="58"/>
        <v>0.44826606547081055</v>
      </c>
      <c r="AM52" s="47">
        <f t="shared" si="49"/>
        <v>12.451835151966959</v>
      </c>
      <c r="AN52" s="47">
        <f t="shared" si="59"/>
        <v>0.24204431180929295</v>
      </c>
      <c r="AO52" s="31">
        <f>AVERAGE(AN52:AN56)</f>
        <v>0.28852066071295612</v>
      </c>
      <c r="AP52" s="31">
        <f>STDEV(AN52:AN56)</f>
        <v>5.1112996104668837E-2</v>
      </c>
      <c r="AQ52" s="32">
        <f>AP52/AO52*100</f>
        <v>17.715541056354439</v>
      </c>
      <c r="AR52" s="32"/>
      <c r="AS52" s="32"/>
      <c r="AT52" s="34">
        <f t="shared" si="53"/>
        <v>6.0242042675962643E-2</v>
      </c>
      <c r="AU52" s="34">
        <f t="shared" si="54"/>
        <v>-0.23442769711248226</v>
      </c>
    </row>
    <row r="53" spans="2:47">
      <c r="B53">
        <v>375</v>
      </c>
      <c r="Y53" s="24">
        <v>494</v>
      </c>
      <c r="Z53" s="42">
        <f t="shared" si="60"/>
        <v>40802.540277777778</v>
      </c>
      <c r="AA53" s="43">
        <f t="shared" si="61"/>
        <v>40802.540277777778</v>
      </c>
      <c r="AB53" s="51">
        <v>40802</v>
      </c>
      <c r="AC53" s="21">
        <v>0.95694444444444438</v>
      </c>
      <c r="AD53">
        <v>25.003710000000002</v>
      </c>
      <c r="AE53">
        <v>-157.59948</v>
      </c>
      <c r="AF53" s="139">
        <v>42</v>
      </c>
      <c r="AG53" s="24">
        <v>1305</v>
      </c>
      <c r="AH53" s="46">
        <f t="shared" si="55"/>
        <v>0.43009635279208369</v>
      </c>
      <c r="AI53" s="46">
        <f t="shared" si="56"/>
        <v>18.474475264460199</v>
      </c>
      <c r="AJ53" s="123">
        <f t="shared" si="46"/>
        <v>5.2052389052143608</v>
      </c>
      <c r="AK53" s="47">
        <f t="shared" si="57"/>
        <v>298.23822062608002</v>
      </c>
      <c r="AL53" s="130">
        <f t="shared" si="58"/>
        <v>0.423045592911861</v>
      </c>
      <c r="AM53" s="47">
        <f t="shared" si="49"/>
        <v>11.751266469773915</v>
      </c>
      <c r="AN53" s="47">
        <f t="shared" si="59"/>
        <v>0.22842634606471976</v>
      </c>
      <c r="AT53" s="34">
        <f t="shared" si="53"/>
        <v>0.10807731149783543</v>
      </c>
      <c r="AU53" s="34">
        <f t="shared" si="54"/>
        <v>-0.20124087635438026</v>
      </c>
    </row>
    <row r="54" spans="2:47">
      <c r="B54">
        <v>376</v>
      </c>
      <c r="Y54" s="24">
        <v>495</v>
      </c>
      <c r="Z54" s="42">
        <f t="shared" si="60"/>
        <v>40802.582638888889</v>
      </c>
      <c r="AA54" s="43">
        <f t="shared" si="61"/>
        <v>40802.582638888889</v>
      </c>
      <c r="AB54" s="51">
        <v>40802</v>
      </c>
      <c r="AC54" s="21">
        <v>0.99930555555555556</v>
      </c>
      <c r="AD54">
        <v>25.00554</v>
      </c>
      <c r="AE54">
        <v>-157.60324</v>
      </c>
      <c r="AF54" s="139">
        <v>42</v>
      </c>
      <c r="AG54" s="24">
        <v>1322</v>
      </c>
      <c r="AH54" s="46">
        <f t="shared" si="55"/>
        <v>0.57368426798917516</v>
      </c>
      <c r="AI54" s="46">
        <f t="shared" si="56"/>
        <v>19.048159532449375</v>
      </c>
      <c r="AJ54" s="123">
        <f t="shared" si="46"/>
        <v>5.1401246533033156</v>
      </c>
      <c r="AK54" s="47">
        <f t="shared" si="57"/>
        <v>294.5074488054255</v>
      </c>
      <c r="AL54" s="130">
        <f t="shared" si="58"/>
        <v>0.55517832383338861</v>
      </c>
      <c r="AM54" s="47">
        <f t="shared" si="49"/>
        <v>15.421620106483017</v>
      </c>
      <c r="AN54" s="47">
        <f t="shared" si="59"/>
        <v>0.29977231308498303</v>
      </c>
      <c r="AT54" s="34">
        <f t="shared" si="53"/>
        <v>0.12434901476226401</v>
      </c>
      <c r="AU54" s="34">
        <f t="shared" si="54"/>
        <v>-0.27276503115314349</v>
      </c>
    </row>
    <row r="55" spans="2:47">
      <c r="B55">
        <v>377</v>
      </c>
      <c r="Y55" s="24">
        <v>496</v>
      </c>
      <c r="Z55" s="42">
        <f t="shared" si="60"/>
        <v>40802.625694444447</v>
      </c>
      <c r="AA55" s="43">
        <f t="shared" si="61"/>
        <v>40802.625694444447</v>
      </c>
      <c r="AB55" s="15">
        <v>40803</v>
      </c>
      <c r="AC55" s="21">
        <v>4.2361111111111106E-2</v>
      </c>
      <c r="AD55" s="24">
        <v>25.007680000000001</v>
      </c>
      <c r="AE55" s="24">
        <v>-157.60842</v>
      </c>
      <c r="AF55" s="138">
        <v>42</v>
      </c>
      <c r="AG55" s="24">
        <v>1302</v>
      </c>
      <c r="AH55" s="46">
        <f t="shared" si="55"/>
        <v>0.61860792197790015</v>
      </c>
      <c r="AI55" s="46">
        <f t="shared" si="56"/>
        <v>19.666767454427276</v>
      </c>
      <c r="AJ55" s="123">
        <f t="shared" si="46"/>
        <v>5.231531191269549</v>
      </c>
      <c r="AK55" s="47">
        <f t="shared" si="57"/>
        <v>299.74465765079299</v>
      </c>
      <c r="AL55" s="130">
        <f t="shared" si="58"/>
        <v>0.61860792201390791</v>
      </c>
      <c r="AM55" s="47">
        <f t="shared" si="49"/>
        <v>17.183553389275218</v>
      </c>
      <c r="AN55" s="47">
        <f t="shared" si="59"/>
        <v>0.33402155616301721</v>
      </c>
      <c r="AT55" s="34">
        <f t="shared" si="53"/>
        <v>0.16571996824032253</v>
      </c>
      <c r="AU55" s="34">
        <f t="shared" si="54"/>
        <v>-0.29001257232745992</v>
      </c>
    </row>
    <row r="56" spans="2:47">
      <c r="B56">
        <v>378</v>
      </c>
      <c r="Y56" s="24">
        <v>497</v>
      </c>
      <c r="Z56" s="42">
        <f t="shared" si="60"/>
        <v>40802.667361111111</v>
      </c>
      <c r="AA56" s="43">
        <f t="shared" si="61"/>
        <v>40802.667361111111</v>
      </c>
      <c r="AB56" s="15">
        <v>40803</v>
      </c>
      <c r="AC56" s="21">
        <v>8.4027777777777771E-2</v>
      </c>
      <c r="AD56" s="24">
        <v>25.010439999999999</v>
      </c>
      <c r="AE56" s="24">
        <v>-157.61375000000001</v>
      </c>
      <c r="AF56" s="138">
        <v>41</v>
      </c>
      <c r="AG56" s="24">
        <v>1299</v>
      </c>
      <c r="AH56" s="46">
        <f t="shared" si="55"/>
        <v>0.6266034140449519</v>
      </c>
      <c r="AI56" s="46">
        <f t="shared" si="56"/>
        <v>20.293370868472227</v>
      </c>
      <c r="AJ56" s="123">
        <f t="shared" si="46"/>
        <v>5.2927975279533399</v>
      </c>
      <c r="AK56" s="47">
        <f t="shared" si="57"/>
        <v>303.25496016900172</v>
      </c>
      <c r="AL56" s="130">
        <f t="shared" si="58"/>
        <v>0.6266034139720057</v>
      </c>
      <c r="AM56" s="47">
        <f t="shared" si="49"/>
        <v>17.405650388111269</v>
      </c>
      <c r="AN56" s="47">
        <f t="shared" si="59"/>
        <v>0.33833877644276766</v>
      </c>
      <c r="AT56" s="34">
        <f t="shared" si="53"/>
        <v>0.18553335488612571</v>
      </c>
      <c r="AU56" s="34">
        <f t="shared" si="54"/>
        <v>-0.2829319739256913</v>
      </c>
    </row>
    <row r="57" spans="2:47">
      <c r="B57">
        <v>379</v>
      </c>
      <c r="Y57" s="24">
        <v>498</v>
      </c>
      <c r="Z57" s="42">
        <f t="shared" si="60"/>
        <v>40802.709027777782</v>
      </c>
      <c r="AA57" s="43">
        <f t="shared" si="61"/>
        <v>40802.709027777782</v>
      </c>
      <c r="AB57" s="15">
        <v>40803</v>
      </c>
      <c r="AC57" s="21">
        <v>0.12569444444444444</v>
      </c>
      <c r="AD57" s="24">
        <v>25.013529999999999</v>
      </c>
      <c r="AE57" s="24">
        <v>-157.61895000000001</v>
      </c>
      <c r="AF57" s="138">
        <v>41</v>
      </c>
      <c r="AG57" s="24">
        <v>1305</v>
      </c>
      <c r="AH57" s="46">
        <f t="shared" si="55"/>
        <v>0.67085282893411702</v>
      </c>
      <c r="AI57" s="46">
        <f t="shared" si="56"/>
        <v>20.964223697406343</v>
      </c>
      <c r="AJ57" s="123">
        <f t="shared" si="46"/>
        <v>5.4801454136702219</v>
      </c>
      <c r="AK57" s="47">
        <f t="shared" si="57"/>
        <v>313.98920332127835</v>
      </c>
      <c r="AL57" s="130">
        <f t="shared" si="58"/>
        <v>0.64921241517554884</v>
      </c>
      <c r="AM57" s="47">
        <f t="shared" si="49"/>
        <v>18.0336781993208</v>
      </c>
      <c r="AN57" s="47">
        <f t="shared" si="59"/>
        <v>0.35054666046195943</v>
      </c>
      <c r="AO57" s="31">
        <f>AVERAGE(AN57:AN61)</f>
        <v>0.27827443979400152</v>
      </c>
      <c r="AP57" s="31">
        <f>STDEV(AN57:AN61)</f>
        <v>7.8090728706940879E-2</v>
      </c>
      <c r="AQ57" s="32">
        <f>AP57/AO57*100</f>
        <v>28.062487077415078</v>
      </c>
      <c r="AT57" s="34">
        <f t="shared" si="53"/>
        <v>0.24346265077214993</v>
      </c>
      <c r="AU57" s="34">
        <f t="shared" si="54"/>
        <v>-0.2522080467392554</v>
      </c>
    </row>
    <row r="58" spans="2:47">
      <c r="B58">
        <v>380</v>
      </c>
      <c r="Y58" s="24">
        <v>499</v>
      </c>
      <c r="Z58" s="42">
        <f t="shared" si="60"/>
        <v>40802.752083333333</v>
      </c>
      <c r="AA58" s="43">
        <f t="shared" si="61"/>
        <v>40802.752083333333</v>
      </c>
      <c r="AB58" s="15">
        <v>40803</v>
      </c>
      <c r="AC58" s="21">
        <v>0.16874999999999998</v>
      </c>
      <c r="AD58" s="24">
        <v>25.017720000000001</v>
      </c>
      <c r="AE58" s="24">
        <v>-157.62374</v>
      </c>
      <c r="AF58" s="138">
        <v>41</v>
      </c>
      <c r="AG58" s="24">
        <v>1308</v>
      </c>
      <c r="AH58" s="46">
        <f t="shared" si="55"/>
        <v>0.64466649641288998</v>
      </c>
      <c r="AI58" s="46">
        <f t="shared" si="56"/>
        <v>21.608890193819231</v>
      </c>
      <c r="AJ58" s="123">
        <f t="shared" si="46"/>
        <v>5.2203900601193798</v>
      </c>
      <c r="AK58" s="47">
        <f t="shared" si="57"/>
        <v>299.10631785688656</v>
      </c>
      <c r="AL58" s="130">
        <f t="shared" si="58"/>
        <v>0.6446664963378409</v>
      </c>
      <c r="AM58" s="47">
        <f t="shared" si="49"/>
        <v>17.907402676051138</v>
      </c>
      <c r="AN58" s="47">
        <f t="shared" si="59"/>
        <v>0.34809206065758147</v>
      </c>
      <c r="AT58" s="34">
        <f t="shared" si="53"/>
        <v>0.16932302189402812</v>
      </c>
      <c r="AU58" s="34">
        <f t="shared" si="54"/>
        <v>-0.30413450470066011</v>
      </c>
    </row>
    <row r="59" spans="2:47">
      <c r="B59">
        <v>381</v>
      </c>
      <c r="Y59" s="24">
        <v>500</v>
      </c>
      <c r="Z59" s="42">
        <f t="shared" si="60"/>
        <v>40802.793750000004</v>
      </c>
      <c r="AA59" s="43">
        <f t="shared" si="61"/>
        <v>40802.793750000004</v>
      </c>
      <c r="AB59" s="15">
        <v>40803</v>
      </c>
      <c r="AC59" s="21">
        <v>0.21041666666666667</v>
      </c>
      <c r="AD59" s="24">
        <v>25.02054</v>
      </c>
      <c r="AE59" s="24">
        <v>-157.62933000000001</v>
      </c>
      <c r="AF59" s="138">
        <v>41</v>
      </c>
      <c r="AG59" s="136">
        <v>1308</v>
      </c>
      <c r="AH59" s="46">
        <f t="shared" ref="AH59:AH73" si="62">ACOS(SIN(RADIANS(AD59))*SIN(RADIANS(AD60))+COS(RADIANS(AD59))*COS(RADIANS(AD60))*COS(RADIANS(AE60)-RADIANS(AE59)))*6371.1</f>
        <v>0.54403780521683343</v>
      </c>
      <c r="AI59" s="46">
        <f t="shared" ref="AI59:AI73" si="63">AI58+AH59</f>
        <v>22.152927999036066</v>
      </c>
      <c r="AJ59" s="123">
        <f t="shared" si="46"/>
        <v>5.0412405259758408</v>
      </c>
      <c r="AK59" s="47">
        <f t="shared" ref="AK59:AK73" si="64">MOD(DEGREES(ATAN2(COS(RADIANS(AD59))*SIN(RADIANS(AD60))-SIN(RADIANS(AD59))*COS(RADIANS(AD60))*COS(RADIANS(AE60)-RADIANS(AE59)),SIN(RADIANS(AE60)-RADIANS(AE59))*COS(RADIANS(AD60)))), 360)</f>
        <v>288.8418056487269</v>
      </c>
      <c r="AL59" s="130">
        <f t="shared" ref="AL59:AL73" si="65">AH59/((AA60-AA59)*24)</f>
        <v>0.53511915267433763</v>
      </c>
      <c r="AM59" s="47">
        <f t="shared" si="49"/>
        <v>14.864420907620492</v>
      </c>
      <c r="AN59" s="47">
        <f t="shared" ref="AN59:AN73" si="66">AL59/1.852</f>
        <v>0.28894122714597065</v>
      </c>
      <c r="AT59" s="34">
        <f t="shared" si="53"/>
        <v>9.3315397852701668E-2</v>
      </c>
      <c r="AU59" s="34">
        <f t="shared" si="54"/>
        <v>-0.27345798446600789</v>
      </c>
    </row>
    <row r="60" spans="2:47">
      <c r="B60">
        <v>382</v>
      </c>
      <c r="Y60" s="24">
        <v>501</v>
      </c>
      <c r="Z60" s="42">
        <f t="shared" ref="Z60:Z74" si="67">(AB60+AC60)-(10/24)</f>
        <v>40802.836111111115</v>
      </c>
      <c r="AA60" s="43">
        <f t="shared" ref="AA60:AA74" si="68">(AB60+AC60)-(10/24)</f>
        <v>40802.836111111115</v>
      </c>
      <c r="AB60" s="15">
        <v>40803</v>
      </c>
      <c r="AC60" s="21">
        <v>0.25277777777777777</v>
      </c>
      <c r="AD60" s="24">
        <v>25.022120000000001</v>
      </c>
      <c r="AE60" s="24">
        <v>-157.63444000000001</v>
      </c>
      <c r="AF60" s="142">
        <v>40</v>
      </c>
      <c r="AG60" s="143">
        <v>1305</v>
      </c>
      <c r="AH60" s="46">
        <f t="shared" si="62"/>
        <v>0.43957017491735823</v>
      </c>
      <c r="AI60" s="46">
        <f t="shared" si="63"/>
        <v>22.592498173953423</v>
      </c>
      <c r="AJ60" s="123">
        <f t="shared" si="46"/>
        <v>5.2487424260755908</v>
      </c>
      <c r="AK60" s="47">
        <f t="shared" si="64"/>
        <v>300.73078876538784</v>
      </c>
      <c r="AL60" s="130">
        <f t="shared" si="65"/>
        <v>0.43957017494294459</v>
      </c>
      <c r="AM60" s="47">
        <f t="shared" si="49"/>
        <v>12.210282637304019</v>
      </c>
      <c r="AN60" s="47">
        <f t="shared" si="66"/>
        <v>0.23734890655666555</v>
      </c>
      <c r="AT60" s="34">
        <f t="shared" si="53"/>
        <v>0.12128645401688959</v>
      </c>
      <c r="AU60" s="34">
        <f t="shared" si="54"/>
        <v>-0.20401985078823501</v>
      </c>
    </row>
    <row r="61" spans="2:47">
      <c r="Y61" s="24">
        <v>502</v>
      </c>
      <c r="Z61" s="42">
        <f t="shared" si="67"/>
        <v>40802.87777777778</v>
      </c>
      <c r="AA61" s="43">
        <f t="shared" si="68"/>
        <v>40802.87777777778</v>
      </c>
      <c r="AB61" s="15">
        <v>40803</v>
      </c>
      <c r="AC61" s="21">
        <v>0.29444444444444445</v>
      </c>
      <c r="AD61" s="24">
        <v>25.024139999999999</v>
      </c>
      <c r="AE61" s="24">
        <v>-157.63819000000001</v>
      </c>
      <c r="AF61" s="142">
        <v>41</v>
      </c>
      <c r="AG61" s="143">
        <v>1302</v>
      </c>
      <c r="AH61" s="46">
        <f t="shared" si="62"/>
        <v>0.31852817582272541</v>
      </c>
      <c r="AI61" s="46">
        <f t="shared" si="63"/>
        <v>22.911026349776147</v>
      </c>
      <c r="AJ61" s="123">
        <f t="shared" si="46"/>
        <v>5.2594277354974999</v>
      </c>
      <c r="AK61" s="47">
        <f t="shared" si="64"/>
        <v>301.34301189805461</v>
      </c>
      <c r="AL61" s="130">
        <f t="shared" si="65"/>
        <v>0.30825307336178231</v>
      </c>
      <c r="AM61" s="47">
        <f t="shared" si="49"/>
        <v>8.562585371160619</v>
      </c>
      <c r="AN61" s="47">
        <f t="shared" si="66"/>
        <v>0.1664433441478306</v>
      </c>
      <c r="AT61" s="34">
        <f t="shared" si="53"/>
        <v>8.6577237638558305E-2</v>
      </c>
      <c r="AU61" s="34">
        <f t="shared" si="54"/>
        <v>-0.14215403171908203</v>
      </c>
    </row>
    <row r="62" spans="2:47">
      <c r="Y62" s="24">
        <v>503</v>
      </c>
      <c r="Z62" s="42">
        <f t="shared" si="67"/>
        <v>40802.920833333337</v>
      </c>
      <c r="AA62" s="43">
        <f t="shared" si="68"/>
        <v>40802.920833333337</v>
      </c>
      <c r="AB62" s="15">
        <v>40803</v>
      </c>
      <c r="AC62" s="21">
        <v>0.33749999999999997</v>
      </c>
      <c r="AD62" s="24">
        <v>25.02563</v>
      </c>
      <c r="AE62" s="24">
        <v>-157.64089000000001</v>
      </c>
      <c r="AF62" s="142">
        <v>41</v>
      </c>
      <c r="AG62" s="143">
        <v>1302</v>
      </c>
      <c r="AH62" s="46">
        <f t="shared" si="62"/>
        <v>0.23541304798234777</v>
      </c>
      <c r="AI62" s="46">
        <f t="shared" si="63"/>
        <v>23.146439397758495</v>
      </c>
      <c r="AJ62" s="123">
        <f t="shared" si="46"/>
        <v>4.9121081129305724</v>
      </c>
      <c r="AK62" s="47">
        <f t="shared" si="64"/>
        <v>281.44306338289294</v>
      </c>
      <c r="AL62" s="130">
        <f t="shared" si="65"/>
        <v>0.23541304799605062</v>
      </c>
      <c r="AM62" s="47">
        <f t="shared" si="49"/>
        <v>6.5392513332236275</v>
      </c>
      <c r="AN62" s="47">
        <f t="shared" si="66"/>
        <v>0.1271128768877163</v>
      </c>
      <c r="AO62" s="31">
        <f>AVERAGE(AN62:AN66)</f>
        <v>0.12904743403872726</v>
      </c>
      <c r="AP62" s="31">
        <f>STDEV(AN62:AN66)</f>
        <v>2.4486148143122805E-2</v>
      </c>
      <c r="AQ62" s="32">
        <f>AP62/AO62*100</f>
        <v>18.9745331439713</v>
      </c>
      <c r="AT62" s="34">
        <f t="shared" si="53"/>
        <v>2.5218438981431852E-2</v>
      </c>
      <c r="AU62" s="34">
        <f t="shared" si="54"/>
        <v>-0.12458617020364467</v>
      </c>
    </row>
    <row r="63" spans="2:47">
      <c r="Y63" s="24">
        <v>504</v>
      </c>
      <c r="Z63" s="42">
        <f t="shared" si="67"/>
        <v>40802.962500000001</v>
      </c>
      <c r="AA63" s="43">
        <f t="shared" si="68"/>
        <v>40802.962500000001</v>
      </c>
      <c r="AB63" s="15">
        <v>40803</v>
      </c>
      <c r="AC63" s="21">
        <v>0.37916666666666665</v>
      </c>
      <c r="AD63" s="24">
        <v>25.026050000000001</v>
      </c>
      <c r="AE63" s="24">
        <v>-157.64318</v>
      </c>
      <c r="AF63" s="142">
        <v>41</v>
      </c>
      <c r="AG63" s="143">
        <v>1305</v>
      </c>
      <c r="AH63" s="46">
        <f t="shared" si="62"/>
        <v>0.25086535636192459</v>
      </c>
      <c r="AI63" s="46">
        <f t="shared" si="63"/>
        <v>23.39730475412042</v>
      </c>
      <c r="AJ63" s="123">
        <f t="shared" si="46"/>
        <v>4.6236311257261145</v>
      </c>
      <c r="AK63" s="47">
        <f t="shared" si="64"/>
        <v>264.91454952942809</v>
      </c>
      <c r="AL63" s="130">
        <f t="shared" si="65"/>
        <v>0.24675280953726109</v>
      </c>
      <c r="AM63" s="47">
        <f t="shared" si="49"/>
        <v>6.8542447093683636</v>
      </c>
      <c r="AN63" s="47">
        <f t="shared" si="66"/>
        <v>0.13323585828145845</v>
      </c>
      <c r="AT63" s="34">
        <f t="shared" si="53"/>
        <v>-1.1810207962711736E-2</v>
      </c>
      <c r="AU63" s="34">
        <f t="shared" si="54"/>
        <v>-0.13271138956349746</v>
      </c>
    </row>
    <row r="64" spans="2:47">
      <c r="Y64" s="24">
        <v>505</v>
      </c>
      <c r="Z64" s="42">
        <f t="shared" si="67"/>
        <v>40803.004861111112</v>
      </c>
      <c r="AA64" s="43">
        <f t="shared" si="68"/>
        <v>40803.004861111112</v>
      </c>
      <c r="AB64" s="15">
        <v>40803</v>
      </c>
      <c r="AC64" s="21">
        <v>0.42152777777777778</v>
      </c>
      <c r="AD64" s="24">
        <v>25.025849999999998</v>
      </c>
      <c r="AE64" s="24">
        <v>-157.64565999999999</v>
      </c>
      <c r="AF64" s="142">
        <v>40</v>
      </c>
      <c r="AG64" s="143">
        <v>1305</v>
      </c>
      <c r="AH64" s="46">
        <f t="shared" si="62"/>
        <v>0.30474895301182875</v>
      </c>
      <c r="AI64" s="46">
        <f t="shared" si="63"/>
        <v>23.702053707132247</v>
      </c>
      <c r="AJ64" s="123">
        <f t="shared" si="46"/>
        <v>4.4616626685531875</v>
      </c>
      <c r="AK64" s="47">
        <f t="shared" si="64"/>
        <v>255.63444051917392</v>
      </c>
      <c r="AL64" s="130">
        <f t="shared" si="65"/>
        <v>0.30991418948398652</v>
      </c>
      <c r="AM64" s="47">
        <f t="shared" si="49"/>
        <v>8.608727485666293</v>
      </c>
      <c r="AN64" s="47">
        <f t="shared" si="66"/>
        <v>0.16734027509934477</v>
      </c>
      <c r="AT64" s="34">
        <f t="shared" si="53"/>
        <v>-4.1518398471394054E-2</v>
      </c>
      <c r="AU64" s="34">
        <f t="shared" si="54"/>
        <v>-0.16210795865316094</v>
      </c>
    </row>
    <row r="65" spans="24:47">
      <c r="Y65" s="24">
        <v>506</v>
      </c>
      <c r="Z65" s="42">
        <f t="shared" si="67"/>
        <v>40803.045833333337</v>
      </c>
      <c r="AA65" s="43">
        <f t="shared" si="68"/>
        <v>40803.045833333337</v>
      </c>
      <c r="AB65" s="15">
        <v>40803</v>
      </c>
      <c r="AC65" s="21">
        <v>0.46249999999999997</v>
      </c>
      <c r="AD65" s="24">
        <v>25.025169999999999</v>
      </c>
      <c r="AE65" s="24">
        <v>-157.64859000000001</v>
      </c>
      <c r="AF65" s="142">
        <v>40</v>
      </c>
      <c r="AG65" s="143">
        <v>1305</v>
      </c>
      <c r="AH65" s="46">
        <f t="shared" si="62"/>
        <v>0.17966415294996346</v>
      </c>
      <c r="AI65" s="46">
        <f t="shared" si="63"/>
        <v>23.881717860082212</v>
      </c>
      <c r="AJ65" s="123">
        <f t="shared" si="46"/>
        <v>4.5193350166236907</v>
      </c>
      <c r="AK65" s="47">
        <f t="shared" si="64"/>
        <v>258.93882265822322</v>
      </c>
      <c r="AL65" s="130">
        <f t="shared" si="65"/>
        <v>0.18912016100923165</v>
      </c>
      <c r="AM65" s="47">
        <f t="shared" si="49"/>
        <v>5.2533378058119906</v>
      </c>
      <c r="AN65" s="47">
        <f t="shared" si="66"/>
        <v>0.10211671760757648</v>
      </c>
      <c r="AT65" s="34">
        <f t="shared" si="53"/>
        <v>-1.9591808616473295E-2</v>
      </c>
      <c r="AU65" s="34">
        <f t="shared" si="54"/>
        <v>-0.10021968394522607</v>
      </c>
    </row>
    <row r="66" spans="24:47">
      <c r="Y66" s="24">
        <v>507</v>
      </c>
      <c r="Z66" s="42">
        <f t="shared" si="67"/>
        <v>40803.085416666669</v>
      </c>
      <c r="AA66" s="43">
        <f t="shared" si="68"/>
        <v>40803.085416666669</v>
      </c>
      <c r="AB66" s="15">
        <v>40803</v>
      </c>
      <c r="AC66" s="21">
        <v>0.50208333333333333</v>
      </c>
      <c r="AD66" s="24">
        <v>25.02486</v>
      </c>
      <c r="AE66" s="24">
        <v>-157.65034</v>
      </c>
      <c r="AF66" s="142">
        <v>42</v>
      </c>
      <c r="AG66" s="143">
        <v>1305</v>
      </c>
      <c r="AH66" s="46">
        <f t="shared" si="62"/>
        <v>0.23159395044472056</v>
      </c>
      <c r="AI66" s="46">
        <f t="shared" si="63"/>
        <v>24.113311810526934</v>
      </c>
      <c r="AJ66" s="123">
        <f t="shared" si="46"/>
        <v>5.4824820912922103</v>
      </c>
      <c r="AK66" s="47">
        <f t="shared" si="64"/>
        <v>314.12308508710095</v>
      </c>
      <c r="AL66" s="130">
        <f t="shared" si="65"/>
        <v>0.21377903117208447</v>
      </c>
      <c r="AM66" s="47">
        <f t="shared" si="49"/>
        <v>5.9383064214467911</v>
      </c>
      <c r="AN66" s="47">
        <f t="shared" si="66"/>
        <v>0.1154314423175402</v>
      </c>
      <c r="AT66" s="34">
        <f t="shared" si="53"/>
        <v>8.036361034548456E-2</v>
      </c>
      <c r="AU66" s="34">
        <f t="shared" si="54"/>
        <v>-8.2861981678854016E-2</v>
      </c>
    </row>
    <row r="67" spans="24:47">
      <c r="Y67" s="24">
        <v>508</v>
      </c>
      <c r="Z67" s="42">
        <f t="shared" si="67"/>
        <v>40803.130555555559</v>
      </c>
      <c r="AA67" s="43">
        <f t="shared" si="68"/>
        <v>40803.130555555559</v>
      </c>
      <c r="AB67" s="15">
        <v>40803</v>
      </c>
      <c r="AC67" s="21">
        <v>0.54722222222222217</v>
      </c>
      <c r="AD67" s="24">
        <v>25.026309999999999</v>
      </c>
      <c r="AE67" s="24">
        <v>-157.65199000000001</v>
      </c>
      <c r="AF67" s="142">
        <v>41</v>
      </c>
      <c r="AG67" s="143">
        <v>1302</v>
      </c>
      <c r="AH67" s="46">
        <f t="shared" si="62"/>
        <v>0.3852875476657191</v>
      </c>
      <c r="AI67" s="46">
        <f t="shared" si="63"/>
        <v>24.498599358192653</v>
      </c>
      <c r="AJ67" s="123">
        <f t="shared" si="46"/>
        <v>5.3854722012177669</v>
      </c>
      <c r="AK67" s="47">
        <f t="shared" si="64"/>
        <v>308.5648278148073</v>
      </c>
      <c r="AL67" s="130">
        <f t="shared" si="65"/>
        <v>0.37897135836117019</v>
      </c>
      <c r="AM67" s="47">
        <f t="shared" si="49"/>
        <v>10.526982176699173</v>
      </c>
      <c r="AN67" s="47">
        <f t="shared" si="66"/>
        <v>0.20462816326197092</v>
      </c>
      <c r="AT67" s="34">
        <f t="shared" si="53"/>
        <v>0.12756514108852132</v>
      </c>
      <c r="AU67" s="34">
        <f t="shared" si="54"/>
        <v>-0.1599994374334906</v>
      </c>
    </row>
    <row r="68" spans="24:47">
      <c r="Y68" s="24">
        <v>509</v>
      </c>
      <c r="Z68" s="42">
        <f t="shared" si="67"/>
        <v>40803.17291666667</v>
      </c>
      <c r="AA68" s="43">
        <f t="shared" si="68"/>
        <v>40803.17291666667</v>
      </c>
      <c r="AB68" s="15">
        <v>40803</v>
      </c>
      <c r="AC68" s="21">
        <v>0.58958333333333335</v>
      </c>
      <c r="AD68" s="24">
        <v>25.028469999999999</v>
      </c>
      <c r="AE68" s="24">
        <v>-157.65497999999999</v>
      </c>
      <c r="AF68" s="142">
        <v>40</v>
      </c>
      <c r="AG68" s="142">
        <v>1305</v>
      </c>
      <c r="AH68" s="46">
        <f t="shared" si="62"/>
        <v>0.4298774456569916</v>
      </c>
      <c r="AI68" s="46">
        <f t="shared" si="63"/>
        <v>24.928476803849644</v>
      </c>
      <c r="AJ68" s="123">
        <f t="shared" si="46"/>
        <v>5.1792657059430711</v>
      </c>
      <c r="AK68" s="47">
        <f t="shared" si="64"/>
        <v>296.75006592738288</v>
      </c>
      <c r="AL68" s="130">
        <f t="shared" si="65"/>
        <v>0.42283027441832693</v>
      </c>
      <c r="AM68" s="47">
        <f t="shared" si="49"/>
        <v>11.745285400509083</v>
      </c>
      <c r="AN68" s="47">
        <f t="shared" si="66"/>
        <v>0.2283100833792262</v>
      </c>
      <c r="AT68" s="34">
        <f t="shared" si="53"/>
        <v>0.10276224719205874</v>
      </c>
      <c r="AU68" s="34">
        <f t="shared" si="54"/>
        <v>-0.20387597878285571</v>
      </c>
    </row>
    <row r="69" spans="24:47">
      <c r="Y69" s="24">
        <v>510</v>
      </c>
      <c r="Z69" s="42">
        <f t="shared" si="67"/>
        <v>40803.215277777781</v>
      </c>
      <c r="AA69" s="43">
        <f t="shared" si="68"/>
        <v>40803.215277777781</v>
      </c>
      <c r="AB69" s="15">
        <v>40803</v>
      </c>
      <c r="AC69" s="21">
        <v>0.63194444444444442</v>
      </c>
      <c r="AD69">
        <v>25.03021</v>
      </c>
      <c r="AE69">
        <v>-157.65879000000001</v>
      </c>
      <c r="AF69" s="144">
        <v>40</v>
      </c>
      <c r="AG69" s="142">
        <v>1305</v>
      </c>
      <c r="AH69" s="46">
        <f t="shared" si="62"/>
        <v>0.44006161943002214</v>
      </c>
      <c r="AI69" s="46">
        <f t="shared" si="63"/>
        <v>25.368538423279666</v>
      </c>
      <c r="AJ69" s="123">
        <f t="shared" si="46"/>
        <v>5.1424678050750368</v>
      </c>
      <c r="AK69" s="47">
        <f t="shared" si="64"/>
        <v>294.64170151270372</v>
      </c>
      <c r="AL69" s="130">
        <f t="shared" si="65"/>
        <v>0.42586608329858577</v>
      </c>
      <c r="AM69" s="47">
        <f t="shared" si="49"/>
        <v>11.829613424960714</v>
      </c>
      <c r="AN69" s="47">
        <f t="shared" si="66"/>
        <v>0.22994928903811326</v>
      </c>
      <c r="AT69" s="34">
        <f t="shared" si="53"/>
        <v>9.5875619965201983E-2</v>
      </c>
      <c r="AU69" s="34">
        <f t="shared" si="54"/>
        <v>-0.20900847118100721</v>
      </c>
    </row>
    <row r="70" spans="24:47">
      <c r="X70" t="s">
        <v>93</v>
      </c>
      <c r="Y70" s="24">
        <v>511</v>
      </c>
      <c r="Z70" s="155">
        <f t="shared" si="67"/>
        <v>40803.258333333339</v>
      </c>
      <c r="AA70" s="156">
        <f t="shared" si="68"/>
        <v>40803.258333333339</v>
      </c>
      <c r="AB70" s="15">
        <v>40803</v>
      </c>
      <c r="AC70" s="21">
        <v>0.67499999999999993</v>
      </c>
      <c r="AD70">
        <v>25.031860000000002</v>
      </c>
      <c r="AE70">
        <v>-157.66275999999999</v>
      </c>
      <c r="AF70" s="144">
        <v>41</v>
      </c>
      <c r="AG70" s="142">
        <v>1305</v>
      </c>
      <c r="AH70" s="46">
        <f t="shared" si="62"/>
        <v>0.41581354054611852</v>
      </c>
      <c r="AI70" s="46">
        <f t="shared" si="63"/>
        <v>25.784351963825785</v>
      </c>
      <c r="AJ70" s="123">
        <f t="shared" si="46"/>
        <v>4.803452547994068</v>
      </c>
      <c r="AK70" s="47">
        <f t="shared" si="64"/>
        <v>275.21755809142161</v>
      </c>
      <c r="AL70" s="130">
        <f t="shared" si="65"/>
        <v>0.42286122772241197</v>
      </c>
      <c r="AM70" s="47">
        <f t="shared" si="49"/>
        <v>11.746145214511445</v>
      </c>
      <c r="AN70" s="47">
        <f t="shared" si="66"/>
        <v>0.22832679682635634</v>
      </c>
      <c r="AT70" s="34">
        <f t="shared" si="53"/>
        <v>2.0763527732522206E-2</v>
      </c>
      <c r="AU70" s="34">
        <f t="shared" si="54"/>
        <v>-0.22738074251150864</v>
      </c>
    </row>
    <row r="71" spans="24:47">
      <c r="Y71" s="24">
        <v>512</v>
      </c>
      <c r="Z71" s="42">
        <f t="shared" si="67"/>
        <v>40803.299305555556</v>
      </c>
      <c r="AA71" s="43">
        <f t="shared" si="68"/>
        <v>40803.299305555556</v>
      </c>
      <c r="AB71" s="15">
        <v>40803</v>
      </c>
      <c r="AC71" s="21">
        <v>0.71597222222222223</v>
      </c>
      <c r="AD71">
        <v>25.0322</v>
      </c>
      <c r="AE71">
        <v>-157.66686999999999</v>
      </c>
      <c r="AF71" s="144">
        <v>41</v>
      </c>
      <c r="AG71" s="142">
        <v>1305</v>
      </c>
      <c r="AH71" s="46">
        <f t="shared" si="62"/>
        <v>0.51738323246923623</v>
      </c>
      <c r="AI71" s="46">
        <f t="shared" si="63"/>
        <v>26.30173519629502</v>
      </c>
      <c r="AJ71" s="123">
        <f t="shared" si="46"/>
        <v>4.5001954422455324</v>
      </c>
      <c r="AK71" s="47">
        <f t="shared" si="64"/>
        <v>257.84220582467799</v>
      </c>
      <c r="AL71" s="130">
        <f t="shared" si="65"/>
        <v>0.50890154013561739</v>
      </c>
      <c r="AM71" s="47">
        <f t="shared" si="49"/>
        <v>14.136153892656038</v>
      </c>
      <c r="AN71" s="47">
        <f t="shared" si="66"/>
        <v>0.27478484888532256</v>
      </c>
      <c r="AT71" s="34">
        <f t="shared" si="53"/>
        <v>-5.7870992953727773E-2</v>
      </c>
      <c r="AU71" s="34">
        <f t="shared" si="54"/>
        <v>-0.26862178123056057</v>
      </c>
    </row>
    <row r="72" spans="24:47">
      <c r="Y72" s="24">
        <v>513</v>
      </c>
      <c r="Z72" s="42">
        <f t="shared" si="67"/>
        <v>40803.341666666667</v>
      </c>
      <c r="AA72" s="43">
        <f t="shared" si="68"/>
        <v>40803.341666666667</v>
      </c>
      <c r="AB72" s="15">
        <v>40803</v>
      </c>
      <c r="AC72" s="21">
        <v>0.7583333333333333</v>
      </c>
      <c r="AD72">
        <v>25.031220000000001</v>
      </c>
      <c r="AE72">
        <v>-157.67188999999999</v>
      </c>
      <c r="AF72" s="144">
        <v>41</v>
      </c>
      <c r="AG72" s="142">
        <v>1305</v>
      </c>
      <c r="AH72" s="46">
        <f t="shared" si="62"/>
        <v>0.52990951305047429</v>
      </c>
      <c r="AI72" s="46">
        <f t="shared" si="63"/>
        <v>26.831644709345493</v>
      </c>
      <c r="AJ72" s="123">
        <f t="shared" si="46"/>
        <v>4.4578586938903788</v>
      </c>
      <c r="AK72" s="47">
        <f t="shared" si="64"/>
        <v>255.41648882562026</v>
      </c>
      <c r="AL72" s="130">
        <f t="shared" si="65"/>
        <v>0.52122247185491499</v>
      </c>
      <c r="AM72" s="47">
        <f t="shared" si="49"/>
        <v>14.478401995969859</v>
      </c>
      <c r="AN72" s="47">
        <f t="shared" si="66"/>
        <v>0.28143761979207071</v>
      </c>
      <c r="AT72" s="34">
        <f t="shared" si="53"/>
        <v>-7.0863419284054679E-2</v>
      </c>
      <c r="AU72" s="34">
        <f t="shared" si="54"/>
        <v>-0.2723701702492371</v>
      </c>
    </row>
    <row r="73" spans="24:47">
      <c r="Y73" s="24">
        <v>514</v>
      </c>
      <c r="Z73" s="42">
        <f t="shared" si="67"/>
        <v>40803.384027777778</v>
      </c>
      <c r="AA73" s="43">
        <f t="shared" si="68"/>
        <v>40803.384027777778</v>
      </c>
      <c r="AB73" s="15">
        <v>40803</v>
      </c>
      <c r="AC73" s="21">
        <v>0.80069444444444438</v>
      </c>
      <c r="AD73">
        <v>25.03002</v>
      </c>
      <c r="AE73">
        <v>-157.67697999999999</v>
      </c>
      <c r="AF73" s="139">
        <v>41</v>
      </c>
      <c r="AG73" s="24">
        <v>1305</v>
      </c>
      <c r="AH73" s="46">
        <f t="shared" si="62"/>
        <v>0.60589910698708715</v>
      </c>
      <c r="AI73" s="46">
        <f t="shared" si="63"/>
        <v>27.437543816332582</v>
      </c>
      <c r="AJ73" s="123">
        <f t="shared" si="46"/>
        <v>4.6775346520504435</v>
      </c>
      <c r="AK73" s="47">
        <f t="shared" si="64"/>
        <v>268.00299408868443</v>
      </c>
      <c r="AL73" s="130">
        <f t="shared" si="65"/>
        <v>0.61616858333779356</v>
      </c>
      <c r="AM73" s="47">
        <f t="shared" si="49"/>
        <v>17.115793981605375</v>
      </c>
      <c r="AN73" s="47">
        <f t="shared" si="66"/>
        <v>0.33270441864891659</v>
      </c>
      <c r="AT73" s="34">
        <f t="shared" si="53"/>
        <v>-1.15938412999329E-2</v>
      </c>
      <c r="AU73" s="34">
        <f t="shared" si="54"/>
        <v>-0.33250235041639259</v>
      </c>
    </row>
    <row r="74" spans="24:47">
      <c r="Y74" s="24">
        <v>515</v>
      </c>
      <c r="Z74" s="42">
        <f t="shared" si="67"/>
        <v>40803.425000000003</v>
      </c>
      <c r="AA74" s="43">
        <f t="shared" si="68"/>
        <v>40803.425000000003</v>
      </c>
      <c r="AB74" s="15">
        <v>40803</v>
      </c>
      <c r="AC74" s="21">
        <v>0.84166666666666667</v>
      </c>
      <c r="AD74">
        <v>25.02983</v>
      </c>
      <c r="AE74">
        <v>-157.68298999999999</v>
      </c>
      <c r="AF74" s="139">
        <v>42</v>
      </c>
      <c r="AG74" s="24">
        <v>1305</v>
      </c>
      <c r="AH74" s="46">
        <f t="shared" ref="AH74:AH82" si="69">ACOS(SIN(RADIANS(AD74))*SIN(RADIANS(AD75))+COS(RADIANS(AD74))*COS(RADIANS(AD75))*COS(RADIANS(AE75)-RADIANS(AE74)))*6371.1</f>
        <v>0.54268997121101115</v>
      </c>
      <c r="AI74" s="46">
        <f t="shared" ref="AI74:AI82" si="70">AI73+AH74</f>
        <v>27.980233787543593</v>
      </c>
      <c r="AJ74" s="123">
        <f t="shared" si="46"/>
        <v>4.5331884754268259</v>
      </c>
      <c r="AK74" s="47">
        <f t="shared" ref="AK74:AK82" si="71">MOD(DEGREES(ATAN2(COS(RADIANS(AD74))*SIN(RADIANS(AD75))-SIN(RADIANS(AD74))*COS(RADIANS(AD75))*COS(RADIANS(AE75)-RADIANS(AE74)),SIN(RADIANS(AE75)-RADIANS(AE74))*COS(RADIANS(AD75)))), 360)</f>
        <v>259.7325673793012</v>
      </c>
      <c r="AL74" s="130">
        <f t="shared" ref="AL74:AL82" si="72">AH74/((AA75-AA74)*24)</f>
        <v>0.53379341430795002</v>
      </c>
      <c r="AM74" s="47">
        <f t="shared" si="49"/>
        <v>14.8275948418875</v>
      </c>
      <c r="AN74" s="47">
        <f t="shared" ref="AN74:AN82" si="73">AL74/1.852</f>
        <v>0.28822538569543737</v>
      </c>
      <c r="AT74" s="34">
        <f t="shared" si="53"/>
        <v>-5.1374139592266249E-2</v>
      </c>
      <c r="AU74" s="34">
        <f t="shared" si="54"/>
        <v>-0.28360989182402996</v>
      </c>
    </row>
    <row r="75" spans="24:47">
      <c r="Y75" s="24">
        <v>516</v>
      </c>
      <c r="Z75" s="42">
        <f t="shared" ref="Z75:Z83" si="74">(AB75+AC75)-(10/24)</f>
        <v>40803.467361111114</v>
      </c>
      <c r="AA75" s="43">
        <f t="shared" ref="AA75:AA83" si="75">(AB75+AC75)-(10/24)</f>
        <v>40803.467361111114</v>
      </c>
      <c r="AB75" s="15">
        <v>40803</v>
      </c>
      <c r="AC75" s="21">
        <v>0.88402777777777775</v>
      </c>
      <c r="AD75">
        <v>25.028960000000001</v>
      </c>
      <c r="AE75" s="65">
        <v>-157.68828999999999</v>
      </c>
      <c r="AF75">
        <v>41</v>
      </c>
      <c r="AG75" s="24">
        <v>1299</v>
      </c>
      <c r="AH75" s="46">
        <f t="shared" si="69"/>
        <v>0.51946308259067275</v>
      </c>
      <c r="AI75" s="46">
        <f t="shared" si="70"/>
        <v>28.499696870134265</v>
      </c>
      <c r="AJ75" s="123">
        <f t="shared" si="46"/>
        <v>4.2935505253456112</v>
      </c>
      <c r="AK75" s="47">
        <f t="shared" si="71"/>
        <v>246.00232422848092</v>
      </c>
      <c r="AL75" s="130">
        <f t="shared" si="72"/>
        <v>0.50270620893417384</v>
      </c>
      <c r="AM75" s="47">
        <f t="shared" si="49"/>
        <v>13.964061359282606</v>
      </c>
      <c r="AN75" s="47">
        <f t="shared" si="73"/>
        <v>0.27143963765344159</v>
      </c>
      <c r="AT75" s="34">
        <f t="shared" si="53"/>
        <v>-0.11039438781468479</v>
      </c>
      <c r="AU75" s="34">
        <f t="shared" si="54"/>
        <v>-0.24797692640335037</v>
      </c>
    </row>
    <row r="76" spans="24:47">
      <c r="Y76" s="24">
        <v>517</v>
      </c>
      <c r="Z76" s="42">
        <f t="shared" si="74"/>
        <v>40803.510416666672</v>
      </c>
      <c r="AA76" s="43">
        <f t="shared" si="75"/>
        <v>40803.510416666672</v>
      </c>
      <c r="AB76" s="15">
        <v>40803</v>
      </c>
      <c r="AC76" s="21">
        <v>0.92708333333333337</v>
      </c>
      <c r="AD76">
        <v>25.027059999999999</v>
      </c>
      <c r="AE76" s="65">
        <v>-157.69300000000001</v>
      </c>
      <c r="AF76">
        <v>42</v>
      </c>
      <c r="AG76" s="24">
        <v>1305</v>
      </c>
      <c r="AH76" s="46">
        <f t="shared" si="69"/>
        <v>0.72249282248470592</v>
      </c>
      <c r="AI76" s="46">
        <f t="shared" si="70"/>
        <v>29.222189692618972</v>
      </c>
      <c r="AJ76" s="123">
        <f t="shared" si="46"/>
        <v>4.5718978952098794</v>
      </c>
      <c r="AK76" s="47">
        <f t="shared" si="71"/>
        <v>261.95045376027042</v>
      </c>
      <c r="AL76" s="130">
        <f t="shared" si="72"/>
        <v>0.73473846362785378</v>
      </c>
      <c r="AM76" s="47">
        <f t="shared" si="49"/>
        <v>20.409401767440382</v>
      </c>
      <c r="AN76" s="47">
        <f t="shared" si="73"/>
        <v>0.39672703219646532</v>
      </c>
      <c r="AT76" s="34">
        <f t="shared" si="53"/>
        <v>-5.5553439631165817E-2</v>
      </c>
      <c r="AU76" s="34">
        <f t="shared" si="54"/>
        <v>-0.39281821930832284</v>
      </c>
    </row>
    <row r="77" spans="24:47">
      <c r="Y77" s="24">
        <v>518</v>
      </c>
      <c r="Z77" s="42">
        <f t="shared" si="74"/>
        <v>40803.551388888889</v>
      </c>
      <c r="AA77" s="43">
        <f t="shared" si="75"/>
        <v>40803.551388888889</v>
      </c>
      <c r="AB77" s="15">
        <v>40803</v>
      </c>
      <c r="AC77" s="21">
        <v>0.96805555555555556</v>
      </c>
      <c r="AD77">
        <v>25.026150000000001</v>
      </c>
      <c r="AE77" s="65">
        <v>-157.70009999999999</v>
      </c>
      <c r="AF77">
        <v>42</v>
      </c>
      <c r="AG77" s="24">
        <v>1305</v>
      </c>
      <c r="AH77" s="46">
        <f t="shared" si="69"/>
        <v>0.77025987619073877</v>
      </c>
      <c r="AI77" s="46">
        <f t="shared" si="70"/>
        <v>29.992449568809711</v>
      </c>
      <c r="AJ77" s="123">
        <f t="shared" si="46"/>
        <v>5.0310467245690802</v>
      </c>
      <c r="AK77" s="47">
        <f t="shared" si="71"/>
        <v>288.25774385092501</v>
      </c>
      <c r="AL77" s="130">
        <f t="shared" si="72"/>
        <v>0.77025987610106872</v>
      </c>
      <c r="AM77" s="47">
        <f t="shared" si="49"/>
        <v>21.39610766947413</v>
      </c>
      <c r="AN77" s="47">
        <f t="shared" si="73"/>
        <v>0.4159070605297347</v>
      </c>
      <c r="AT77" s="34">
        <f t="shared" ref="AT77:AT97" si="76">AN77*COS(RADIANS(AK77))</f>
        <v>0.13030042171399878</v>
      </c>
      <c r="AU77" s="34">
        <f t="shared" ref="AU77:AU97" si="77">AN77*SIN(RADIANS(AK77))</f>
        <v>-0.39496896472968412</v>
      </c>
    </row>
    <row r="78" spans="24:47">
      <c r="Y78" s="24">
        <v>519</v>
      </c>
      <c r="Z78" s="42">
        <f t="shared" si="74"/>
        <v>40803.593055555561</v>
      </c>
      <c r="AA78" s="43">
        <f t="shared" si="75"/>
        <v>40803.593055555561</v>
      </c>
      <c r="AB78" s="15">
        <v>40804</v>
      </c>
      <c r="AC78" s="21">
        <v>9.7222222222222224E-3</v>
      </c>
      <c r="AD78">
        <v>25.028320000000001</v>
      </c>
      <c r="AE78" s="24">
        <v>-157.70735999999999</v>
      </c>
      <c r="AF78">
        <v>42</v>
      </c>
      <c r="AG78" s="24">
        <v>1305</v>
      </c>
      <c r="AH78" s="46">
        <f t="shared" si="69"/>
        <v>0.85139364016863761</v>
      </c>
      <c r="AI78" s="46">
        <f t="shared" si="70"/>
        <v>30.843843208978349</v>
      </c>
      <c r="AJ78" s="123">
        <f t="shared" si="46"/>
        <v>5.3520046246303137</v>
      </c>
      <c r="AK78" s="47">
        <f t="shared" si="71"/>
        <v>306.64727692581539</v>
      </c>
      <c r="AL78" s="130">
        <f t="shared" si="72"/>
        <v>0.83743636738218419</v>
      </c>
      <c r="AM78" s="47">
        <f t="shared" si="49"/>
        <v>23.262121316171786</v>
      </c>
      <c r="AN78" s="47">
        <f t="shared" si="73"/>
        <v>0.45217946402925707</v>
      </c>
      <c r="AT78" s="34">
        <f t="shared" si="76"/>
        <v>0.26990009219174027</v>
      </c>
      <c r="AU78" s="34">
        <f t="shared" si="77"/>
        <v>-0.36279499434897983</v>
      </c>
    </row>
    <row r="79" spans="24:47">
      <c r="Y79" s="24">
        <v>520</v>
      </c>
      <c r="Z79" s="42">
        <f t="shared" si="74"/>
        <v>40803.635416666672</v>
      </c>
      <c r="AA79" s="43">
        <f t="shared" si="75"/>
        <v>40803.635416666672</v>
      </c>
      <c r="AB79" s="15">
        <v>40804</v>
      </c>
      <c r="AC79" s="21">
        <v>5.2083333333333336E-2</v>
      </c>
      <c r="AD79">
        <v>25.032889999999998</v>
      </c>
      <c r="AE79" s="24">
        <v>-157.71413999999999</v>
      </c>
      <c r="AF79">
        <v>42</v>
      </c>
      <c r="AG79" s="24">
        <v>1305</v>
      </c>
      <c r="AH79" s="46">
        <f t="shared" si="69"/>
        <v>0.78121989501407851</v>
      </c>
      <c r="AI79" s="46">
        <f t="shared" si="70"/>
        <v>31.625063103992428</v>
      </c>
      <c r="AJ79" s="123">
        <f t="shared" si="46"/>
        <v>5.4743624276710472</v>
      </c>
      <c r="AK79" s="47">
        <f t="shared" si="71"/>
        <v>313.65786263054241</v>
      </c>
      <c r="AL79" s="130">
        <f t="shared" si="72"/>
        <v>0.75601925333028219</v>
      </c>
      <c r="AM79" s="47">
        <f t="shared" si="49"/>
        <v>21.000534814730059</v>
      </c>
      <c r="AN79" s="47">
        <f t="shared" si="73"/>
        <v>0.40821773937920203</v>
      </c>
      <c r="AT79" s="34">
        <f t="shared" si="76"/>
        <v>0.28181333205847431</v>
      </c>
      <c r="AU79" s="34">
        <f t="shared" si="77"/>
        <v>-0.29533534942157913</v>
      </c>
    </row>
    <row r="80" spans="24:47">
      <c r="Y80" s="24">
        <v>521</v>
      </c>
      <c r="Z80" s="42">
        <f t="shared" si="74"/>
        <v>40803.678472222222</v>
      </c>
      <c r="AA80" s="43">
        <f t="shared" si="75"/>
        <v>40803.678472222222</v>
      </c>
      <c r="AB80" s="15">
        <v>40804</v>
      </c>
      <c r="AC80" s="21">
        <v>9.5138888888888884E-2</v>
      </c>
      <c r="AD80">
        <v>25.037739999999999</v>
      </c>
      <c r="AE80" s="24">
        <v>-157.71975</v>
      </c>
      <c r="AF80">
        <v>41</v>
      </c>
      <c r="AG80" s="24">
        <v>1305</v>
      </c>
      <c r="AH80" s="46">
        <f t="shared" si="69"/>
        <v>0.68563728289830694</v>
      </c>
      <c r="AI80" s="46">
        <f t="shared" si="70"/>
        <v>32.310700386890737</v>
      </c>
      <c r="AJ80" s="123">
        <f t="shared" si="46"/>
        <v>5.2039054901948401</v>
      </c>
      <c r="AK80" s="47">
        <f t="shared" si="71"/>
        <v>298.16182157312215</v>
      </c>
      <c r="AL80" s="130">
        <f t="shared" si="72"/>
        <v>0.69725825375086314</v>
      </c>
      <c r="AM80" s="47">
        <f t="shared" si="49"/>
        <v>19.368284826412864</v>
      </c>
      <c r="AN80" s="47">
        <f t="shared" si="73"/>
        <v>0.3764893378784358</v>
      </c>
      <c r="AT80" s="34">
        <f t="shared" si="76"/>
        <v>0.17768919283351178</v>
      </c>
      <c r="AU80" s="34">
        <f t="shared" si="77"/>
        <v>-0.33191982810057924</v>
      </c>
    </row>
    <row r="81" spans="24:47">
      <c r="Y81" s="24">
        <v>522</v>
      </c>
      <c r="Z81" s="42">
        <f t="shared" si="74"/>
        <v>40803.719444444447</v>
      </c>
      <c r="AA81" s="43">
        <f t="shared" si="75"/>
        <v>40803.719444444447</v>
      </c>
      <c r="AB81" s="15">
        <v>40804</v>
      </c>
      <c r="AC81" s="21">
        <v>0.1361111111111111</v>
      </c>
      <c r="AD81">
        <v>25.040649999999999</v>
      </c>
      <c r="AE81" s="24">
        <v>-157.72575000000001</v>
      </c>
      <c r="AF81">
        <v>40</v>
      </c>
      <c r="AG81" s="24">
        <v>1305</v>
      </c>
      <c r="AH81" s="46">
        <f t="shared" si="69"/>
        <v>0.53239277709816468</v>
      </c>
      <c r="AI81" s="46">
        <f t="shared" si="70"/>
        <v>32.843093163988904</v>
      </c>
      <c r="AJ81" s="123">
        <f t="shared" si="46"/>
        <v>5.0420831863397391</v>
      </c>
      <c r="AK81" s="47">
        <f t="shared" si="71"/>
        <v>288.89008653114126</v>
      </c>
      <c r="AL81" s="130">
        <f t="shared" si="72"/>
        <v>0.52366502665593129</v>
      </c>
      <c r="AM81" s="47">
        <f t="shared" si="49"/>
        <v>14.546250740442538</v>
      </c>
      <c r="AN81" s="47">
        <f t="shared" si="73"/>
        <v>0.28275649387469293</v>
      </c>
      <c r="AT81" s="34">
        <f t="shared" si="76"/>
        <v>9.1543466501171983E-2</v>
      </c>
      <c r="AU81" s="34">
        <f t="shared" si="77"/>
        <v>-0.26752762206781205</v>
      </c>
    </row>
    <row r="82" spans="24:47">
      <c r="Y82" s="24">
        <v>523</v>
      </c>
      <c r="Z82" s="42">
        <f t="shared" si="74"/>
        <v>40803.761805555558</v>
      </c>
      <c r="AA82" s="43">
        <f t="shared" si="75"/>
        <v>40803.761805555558</v>
      </c>
      <c r="AB82" s="15">
        <v>40804</v>
      </c>
      <c r="AC82" s="21">
        <v>0.17847222222222223</v>
      </c>
      <c r="AD82">
        <v>25.042200000000001</v>
      </c>
      <c r="AE82" s="24">
        <v>-157.73075</v>
      </c>
      <c r="AF82">
        <v>42</v>
      </c>
      <c r="AG82" s="24">
        <v>1305</v>
      </c>
      <c r="AH82" s="46">
        <f t="shared" si="69"/>
        <v>0.3707153329231061</v>
      </c>
      <c r="AI82" s="46">
        <f t="shared" si="70"/>
        <v>33.213808496912009</v>
      </c>
      <c r="AJ82" s="123">
        <f t="shared" si="46"/>
        <v>5.223253440620943</v>
      </c>
      <c r="AK82" s="47">
        <f t="shared" si="71"/>
        <v>299.27037747476618</v>
      </c>
      <c r="AL82" s="130">
        <f t="shared" si="72"/>
        <v>0.37071533294468456</v>
      </c>
      <c r="AM82" s="47">
        <f t="shared" si="49"/>
        <v>10.297648137352349</v>
      </c>
      <c r="AN82" s="47">
        <f t="shared" si="73"/>
        <v>0.20017026616883615</v>
      </c>
      <c r="AT82" s="34">
        <f t="shared" si="76"/>
        <v>9.7869551957648557E-2</v>
      </c>
      <c r="AU82" s="34">
        <f t="shared" si="77"/>
        <v>-0.17461296131075676</v>
      </c>
    </row>
    <row r="83" spans="24:47">
      <c r="Y83" s="24">
        <v>524</v>
      </c>
      <c r="Z83" s="42">
        <f t="shared" si="74"/>
        <v>40803.803472222222</v>
      </c>
      <c r="AA83" s="43">
        <f t="shared" si="75"/>
        <v>40803.803472222222</v>
      </c>
      <c r="AB83" s="15">
        <v>40804</v>
      </c>
      <c r="AC83" s="21">
        <v>0.22013888888888888</v>
      </c>
      <c r="AD83" s="65">
        <v>25.04383</v>
      </c>
      <c r="AE83">
        <v>-157.73396</v>
      </c>
      <c r="AF83">
        <v>41</v>
      </c>
      <c r="AG83" s="24">
        <v>1305</v>
      </c>
      <c r="AH83" s="46">
        <f t="shared" ref="AH83:AH97" si="78">ACOS(SIN(RADIANS(AD83))*SIN(RADIANS(AD84))+COS(RADIANS(AD83))*COS(RADIANS(AD84))*COS(RADIANS(AE84)-RADIANS(AE83)))*6371.1</f>
        <v>0.41184134550384938</v>
      </c>
      <c r="AI83" s="46">
        <f t="shared" ref="AI83:AI97" si="79">AI82+AH83</f>
        <v>33.625649842415861</v>
      </c>
      <c r="AJ83" s="123">
        <f t="shared" si="46"/>
        <v>5.3054572228655719</v>
      </c>
      <c r="AK83" s="47">
        <f t="shared" ref="AK83:AK97" si="80">MOD(DEGREES(ATAN2(COS(RADIANS(AD83))*SIN(RADIANS(AD84))-SIN(RADIANS(AD83))*COS(RADIANS(AD84))*COS(RADIANS(AE84)-RADIANS(AE83)),SIN(RADIANS(AE84)-RADIANS(AE83))*COS(RADIANS(AD84)))), 360)</f>
        <v>303.98030725739585</v>
      </c>
      <c r="AL83" s="130">
        <f t="shared" ref="AL83:AL97" si="81">AH83/((AA84-AA83)*24)</f>
        <v>0.39855614079071955</v>
      </c>
      <c r="AM83" s="47">
        <f t="shared" si="49"/>
        <v>11.071003910853321</v>
      </c>
      <c r="AN83" s="47">
        <f t="shared" ref="AN83:AN97" si="82">AL83/1.852</f>
        <v>0.21520309977900623</v>
      </c>
      <c r="AT83" s="34">
        <f t="shared" si="76"/>
        <v>0.12027871850688381</v>
      </c>
      <c r="AU83" s="34">
        <f t="shared" si="77"/>
        <v>-0.17845280616688189</v>
      </c>
    </row>
    <row r="84" spans="24:47">
      <c r="Y84" s="24">
        <v>525</v>
      </c>
      <c r="Z84" s="42">
        <f t="shared" ref="Z84:Z98" si="83">(AB84+AC84)-(10/24)</f>
        <v>40803.84652777778</v>
      </c>
      <c r="AA84" s="43">
        <f t="shared" ref="AA84:AA98" si="84">(AB84+AC84)-(10/24)</f>
        <v>40803.84652777778</v>
      </c>
      <c r="AB84" s="15">
        <v>40804</v>
      </c>
      <c r="AC84" s="21">
        <v>0.26319444444444445</v>
      </c>
      <c r="AD84">
        <v>25.0459</v>
      </c>
      <c r="AE84" s="65">
        <v>-157.73734999999999</v>
      </c>
      <c r="AF84">
        <v>40</v>
      </c>
      <c r="AG84">
        <v>1305</v>
      </c>
      <c r="AH84" s="46">
        <f t="shared" si="78"/>
        <v>0.51730856348794385</v>
      </c>
      <c r="AI84" s="46">
        <f t="shared" si="79"/>
        <v>34.142958405903805</v>
      </c>
      <c r="AJ84" s="123">
        <f t="shared" si="46"/>
        <v>4.9422759172565351</v>
      </c>
      <c r="AK84" s="47">
        <f t="shared" si="80"/>
        <v>283.17155124794715</v>
      </c>
      <c r="AL84" s="130">
        <f t="shared" si="81"/>
        <v>0.51730856351805521</v>
      </c>
      <c r="AM84" s="47">
        <f t="shared" si="49"/>
        <v>14.369682319945976</v>
      </c>
      <c r="AN84" s="47">
        <f t="shared" si="82"/>
        <v>0.27932427835748119</v>
      </c>
      <c r="AT84" s="34">
        <f t="shared" si="76"/>
        <v>6.3648907208425212E-2</v>
      </c>
      <c r="AU84" s="34">
        <f t="shared" si="77"/>
        <v>-0.27197586122871442</v>
      </c>
    </row>
    <row r="85" spans="24:47">
      <c r="Y85" s="24">
        <v>526</v>
      </c>
      <c r="Z85" s="42">
        <f t="shared" si="83"/>
        <v>40803.888194444444</v>
      </c>
      <c r="AA85" s="43">
        <f t="shared" si="84"/>
        <v>40803.888194444444</v>
      </c>
      <c r="AB85" s="15">
        <v>40804</v>
      </c>
      <c r="AC85" s="21">
        <v>0.30486111111111108</v>
      </c>
      <c r="AD85">
        <v>25.046959999999999</v>
      </c>
      <c r="AE85" s="65">
        <v>-157.74234999999999</v>
      </c>
      <c r="AF85">
        <v>41</v>
      </c>
      <c r="AG85">
        <v>1305</v>
      </c>
      <c r="AH85" s="46">
        <f t="shared" si="78"/>
        <v>0.38431134159749003</v>
      </c>
      <c r="AI85" s="46">
        <f t="shared" si="79"/>
        <v>34.527269747501293</v>
      </c>
      <c r="AJ85" s="123">
        <f t="shared" si="46"/>
        <v>5.2167050325303972</v>
      </c>
      <c r="AK85" s="47">
        <f t="shared" si="80"/>
        <v>298.89518132864856</v>
      </c>
      <c r="AL85" s="130">
        <f t="shared" si="81"/>
        <v>0.38431134155275032</v>
      </c>
      <c r="AM85" s="47">
        <f t="shared" si="49"/>
        <v>10.675315043131953</v>
      </c>
      <c r="AN85" s="47">
        <f t="shared" si="82"/>
        <v>0.20751152351660385</v>
      </c>
      <c r="AT85" s="34">
        <f t="shared" si="76"/>
        <v>0.10027138461697617</v>
      </c>
      <c r="AU85" s="34">
        <f t="shared" si="77"/>
        <v>-0.1816774114169851</v>
      </c>
    </row>
    <row r="86" spans="24:47">
      <c r="Y86" s="24">
        <v>527</v>
      </c>
      <c r="Z86" s="42">
        <f t="shared" si="83"/>
        <v>40803.929861111115</v>
      </c>
      <c r="AA86" s="43">
        <f t="shared" si="84"/>
        <v>40803.929861111115</v>
      </c>
      <c r="AB86" s="15">
        <v>40804</v>
      </c>
      <c r="AC86" s="21">
        <v>0.34652777777777777</v>
      </c>
      <c r="AD86">
        <v>25.048629999999999</v>
      </c>
      <c r="AE86" s="65">
        <v>-157.74569</v>
      </c>
      <c r="AF86">
        <v>41</v>
      </c>
      <c r="AG86">
        <v>1305</v>
      </c>
      <c r="AH86" s="46">
        <f t="shared" si="78"/>
        <v>0.33345920769470477</v>
      </c>
      <c r="AI86" s="46">
        <f t="shared" si="79"/>
        <v>34.860728955195995</v>
      </c>
      <c r="AJ86" s="123">
        <f t="shared" si="46"/>
        <v>5.3942699681104456</v>
      </c>
      <c r="AK86" s="47">
        <f t="shared" si="80"/>
        <v>309.0689027268977</v>
      </c>
      <c r="AL86" s="130">
        <f t="shared" si="81"/>
        <v>0.32270245909817108</v>
      </c>
      <c r="AM86" s="47">
        <f t="shared" si="49"/>
        <v>8.9639571971714176</v>
      </c>
      <c r="AN86" s="47">
        <f t="shared" si="82"/>
        <v>0.17424538828194983</v>
      </c>
      <c r="AT86" s="34">
        <f t="shared" si="76"/>
        <v>0.10981894277414282</v>
      </c>
      <c r="AU86" s="34">
        <f t="shared" si="77"/>
        <v>-0.13528213165639061</v>
      </c>
    </row>
    <row r="87" spans="24:47">
      <c r="Y87" s="24">
        <v>528</v>
      </c>
      <c r="Z87" s="42">
        <f t="shared" si="83"/>
        <v>40803.972916666666</v>
      </c>
      <c r="AA87" s="43">
        <f t="shared" si="84"/>
        <v>40803.972916666666</v>
      </c>
      <c r="AB87" s="15">
        <v>40804</v>
      </c>
      <c r="AC87" s="21">
        <v>0.38958333333333334</v>
      </c>
      <c r="AD87">
        <v>25.050519999999999</v>
      </c>
      <c r="AE87" s="65">
        <v>-157.74825999999999</v>
      </c>
      <c r="AF87">
        <v>43</v>
      </c>
      <c r="AG87">
        <v>1305</v>
      </c>
      <c r="AH87" s="46">
        <f t="shared" si="78"/>
        <v>0.33446320719809358</v>
      </c>
      <c r="AI87" s="46">
        <f t="shared" si="79"/>
        <v>35.195192162394086</v>
      </c>
      <c r="AJ87" s="123">
        <f t="shared" si="46"/>
        <v>4.7223753056615294</v>
      </c>
      <c r="AK87" s="47">
        <f t="shared" si="80"/>
        <v>270.57217429120772</v>
      </c>
      <c r="AL87" s="130">
        <f t="shared" si="81"/>
        <v>0.33446320715915695</v>
      </c>
      <c r="AM87" s="47">
        <f t="shared" si="49"/>
        <v>9.2906446433099159</v>
      </c>
      <c r="AN87" s="47">
        <f t="shared" si="82"/>
        <v>0.18059568421120784</v>
      </c>
      <c r="AT87" s="34">
        <f t="shared" si="76"/>
        <v>1.8034572703063073E-3</v>
      </c>
      <c r="AU87" s="34">
        <f t="shared" si="77"/>
        <v>-0.18058667918090882</v>
      </c>
    </row>
    <row r="88" spans="24:47">
      <c r="Y88" s="24">
        <v>529</v>
      </c>
      <c r="Z88" s="42">
        <f t="shared" si="83"/>
        <v>40804.014583333337</v>
      </c>
      <c r="AA88" s="43">
        <f t="shared" si="84"/>
        <v>40804.014583333337</v>
      </c>
      <c r="AB88" s="15">
        <v>40804</v>
      </c>
      <c r="AC88" s="21">
        <v>0.43124999999999997</v>
      </c>
      <c r="AD88">
        <v>25.050550000000001</v>
      </c>
      <c r="AE88" s="65">
        <v>-157.75157999999999</v>
      </c>
      <c r="AF88">
        <v>43</v>
      </c>
      <c r="AG88">
        <v>1305</v>
      </c>
      <c r="AH88" s="46">
        <f t="shared" si="78"/>
        <v>0.36515517441393525</v>
      </c>
      <c r="AI88" s="46">
        <f t="shared" si="79"/>
        <v>35.560347336808022</v>
      </c>
      <c r="AJ88" s="123">
        <f t="shared" si="46"/>
        <v>4.4600258058296385</v>
      </c>
      <c r="AK88" s="47">
        <f t="shared" si="80"/>
        <v>255.54065519347228</v>
      </c>
      <c r="AL88" s="130">
        <f t="shared" si="81"/>
        <v>0.36515517443519008</v>
      </c>
      <c r="AM88" s="47">
        <f t="shared" si="49"/>
        <v>10.14319928986639</v>
      </c>
      <c r="AN88" s="47">
        <f t="shared" si="82"/>
        <v>0.19716802075334236</v>
      </c>
      <c r="AT88" s="34">
        <f t="shared" si="76"/>
        <v>-4.9231469771284508E-2</v>
      </c>
      <c r="AU88" s="34">
        <f t="shared" si="77"/>
        <v>-0.19092273513636229</v>
      </c>
    </row>
    <row r="89" spans="24:47">
      <c r="Y89" s="24">
        <v>530</v>
      </c>
      <c r="Z89" s="42">
        <f t="shared" si="83"/>
        <v>40804.056250000001</v>
      </c>
      <c r="AA89" s="43">
        <f t="shared" si="84"/>
        <v>40804.056250000001</v>
      </c>
      <c r="AB89" s="15">
        <v>40804</v>
      </c>
      <c r="AC89" s="21">
        <v>0.47291666666666665</v>
      </c>
      <c r="AD89">
        <v>25.04973</v>
      </c>
      <c r="AE89" s="65">
        <v>-157.75509</v>
      </c>
      <c r="AF89">
        <v>41</v>
      </c>
      <c r="AG89">
        <v>1305</v>
      </c>
      <c r="AH89" s="46">
        <f t="shared" si="78"/>
        <v>0.46996400868808536</v>
      </c>
      <c r="AI89" s="46">
        <f t="shared" si="79"/>
        <v>36.030311345496109</v>
      </c>
      <c r="AJ89" s="123">
        <f t="shared" si="46"/>
        <v>4.6650671636441574</v>
      </c>
      <c r="AK89" s="47">
        <f t="shared" si="80"/>
        <v>267.28865962187598</v>
      </c>
      <c r="AL89" s="130">
        <f t="shared" si="81"/>
        <v>0.45480387935336325</v>
      </c>
      <c r="AM89" s="47">
        <f t="shared" si="49"/>
        <v>12.633441093148978</v>
      </c>
      <c r="AN89" s="47">
        <f t="shared" si="82"/>
        <v>0.24557444889490454</v>
      </c>
      <c r="AT89" s="34">
        <f t="shared" si="76"/>
        <v>-1.1616692285391321E-2</v>
      </c>
      <c r="AU89" s="34">
        <f t="shared" si="77"/>
        <v>-0.24529953609899594</v>
      </c>
    </row>
    <row r="90" spans="24:47">
      <c r="Y90" s="24">
        <v>531</v>
      </c>
      <c r="Z90" s="42">
        <f t="shared" si="83"/>
        <v>40804.099305555559</v>
      </c>
      <c r="AA90" s="43">
        <f t="shared" si="84"/>
        <v>40804.099305555559</v>
      </c>
      <c r="AB90" s="15">
        <v>40804</v>
      </c>
      <c r="AC90" s="21">
        <v>0.51597222222222217</v>
      </c>
      <c r="AD90">
        <v>25.049530000000001</v>
      </c>
      <c r="AE90" s="65">
        <v>-157.75975</v>
      </c>
      <c r="AF90">
        <v>41</v>
      </c>
      <c r="AG90">
        <v>1299</v>
      </c>
      <c r="AH90" s="46">
        <f t="shared" si="78"/>
        <v>0.37398630297995517</v>
      </c>
      <c r="AI90" s="46">
        <f t="shared" si="79"/>
        <v>36.404297648476067</v>
      </c>
      <c r="AJ90" s="123">
        <f t="shared" si="46"/>
        <v>5.3603788429946331</v>
      </c>
      <c r="AK90" s="47">
        <f t="shared" si="80"/>
        <v>307.12708429481182</v>
      </c>
      <c r="AL90" s="130">
        <f t="shared" si="81"/>
        <v>0.38032505392144572</v>
      </c>
      <c r="AM90" s="47">
        <f t="shared" si="49"/>
        <v>10.56458483115127</v>
      </c>
      <c r="AN90" s="47">
        <f t="shared" si="82"/>
        <v>0.20535910038954952</v>
      </c>
      <c r="AT90" s="34">
        <f t="shared" si="76"/>
        <v>0.12395166158723071</v>
      </c>
      <c r="AU90" s="34">
        <f t="shared" si="77"/>
        <v>-0.16373254319948038</v>
      </c>
    </row>
    <row r="91" spans="24:47">
      <c r="Y91" s="24">
        <v>532</v>
      </c>
      <c r="Z91" s="42">
        <f t="shared" si="83"/>
        <v>40804.140277777777</v>
      </c>
      <c r="AA91" s="43">
        <f t="shared" si="84"/>
        <v>40804.140277777777</v>
      </c>
      <c r="AB91" s="15">
        <v>40804</v>
      </c>
      <c r="AC91" s="21">
        <v>0.55694444444444446</v>
      </c>
      <c r="AD91">
        <v>25.051559999999998</v>
      </c>
      <c r="AE91" s="65">
        <v>-157.76271</v>
      </c>
      <c r="AF91">
        <v>41</v>
      </c>
      <c r="AG91">
        <v>1305</v>
      </c>
      <c r="AH91" s="46">
        <f t="shared" si="78"/>
        <v>0.43892404622780001</v>
      </c>
      <c r="AI91" s="46">
        <f t="shared" si="79"/>
        <v>36.843221694703864</v>
      </c>
      <c r="AJ91" s="123">
        <f t="shared" si="46"/>
        <v>4.623619694445277</v>
      </c>
      <c r="AK91" s="47">
        <f t="shared" si="80"/>
        <v>264.91389456528162</v>
      </c>
      <c r="AL91" s="130">
        <f t="shared" si="81"/>
        <v>0.43172856998762521</v>
      </c>
      <c r="AM91" s="47">
        <f t="shared" si="49"/>
        <v>11.992460277434034</v>
      </c>
      <c r="AN91" s="47">
        <f t="shared" si="82"/>
        <v>0.23311477861102872</v>
      </c>
      <c r="AT91" s="34">
        <f t="shared" si="76"/>
        <v>-2.0666265818310384E-2</v>
      </c>
      <c r="AU91" s="34">
        <f t="shared" si="77"/>
        <v>-0.23219691096996933</v>
      </c>
    </row>
    <row r="92" spans="24:47">
      <c r="Y92" s="24">
        <v>533</v>
      </c>
      <c r="Z92" s="42">
        <f t="shared" si="83"/>
        <v>40804.182638888895</v>
      </c>
      <c r="AA92" s="43">
        <f t="shared" si="84"/>
        <v>40804.182638888895</v>
      </c>
      <c r="AB92" s="15">
        <v>40804</v>
      </c>
      <c r="AC92" s="21">
        <v>0.59930555555555554</v>
      </c>
      <c r="AD92">
        <v>25.051210000000001</v>
      </c>
      <c r="AE92" s="65">
        <v>-157.76705000000001</v>
      </c>
      <c r="AF92">
        <v>41</v>
      </c>
      <c r="AG92">
        <v>1305</v>
      </c>
      <c r="AH92" s="46">
        <f t="shared" si="78"/>
        <v>0.5838983714159417</v>
      </c>
      <c r="AI92" s="46">
        <f t="shared" si="79"/>
        <v>37.427120066119805</v>
      </c>
      <c r="AJ92" s="123">
        <f t="shared" si="46"/>
        <v>4.5729384218148406</v>
      </c>
      <c r="AK92" s="47">
        <f t="shared" si="80"/>
        <v>262.01007154320575</v>
      </c>
      <c r="AL92" s="130">
        <f t="shared" si="81"/>
        <v>0.57432626696869216</v>
      </c>
      <c r="AM92" s="47">
        <f t="shared" si="49"/>
        <v>15.953507415797004</v>
      </c>
      <c r="AN92" s="47">
        <f t="shared" si="82"/>
        <v>0.31011137525307353</v>
      </c>
      <c r="AT92" s="34">
        <f t="shared" si="76"/>
        <v>-4.3105179705699256E-2</v>
      </c>
      <c r="AU92" s="34">
        <f t="shared" si="77"/>
        <v>-0.30710097450820956</v>
      </c>
    </row>
    <row r="93" spans="24:47">
      <c r="Y93" s="24">
        <v>534</v>
      </c>
      <c r="Z93" s="42">
        <f t="shared" si="83"/>
        <v>40804.225000000006</v>
      </c>
      <c r="AA93" s="43">
        <f t="shared" si="84"/>
        <v>40804.225000000006</v>
      </c>
      <c r="AB93" s="15">
        <v>40804</v>
      </c>
      <c r="AC93" s="21">
        <v>0.64166666666666672</v>
      </c>
      <c r="AD93">
        <v>25.05048</v>
      </c>
      <c r="AE93" s="65">
        <v>-157.77278999999999</v>
      </c>
      <c r="AF93">
        <v>41</v>
      </c>
      <c r="AG93">
        <v>1305</v>
      </c>
      <c r="AH93" s="46">
        <f t="shared" si="78"/>
        <v>0.67853308984569072</v>
      </c>
      <c r="AI93" s="46">
        <f t="shared" si="79"/>
        <v>38.105653155965499</v>
      </c>
      <c r="AJ93" s="123">
        <f t="shared" si="46"/>
        <v>4.572662842509307</v>
      </c>
      <c r="AK93" s="47">
        <f t="shared" si="80"/>
        <v>261.99428201207752</v>
      </c>
      <c r="AL93" s="130">
        <f t="shared" si="81"/>
        <v>0.65664492573602951</v>
      </c>
      <c r="AM93" s="47">
        <f t="shared" si="49"/>
        <v>18.240136826000818</v>
      </c>
      <c r="AN93" s="47">
        <f t="shared" si="82"/>
        <v>0.35455989510584746</v>
      </c>
      <c r="AT93" s="34">
        <f t="shared" si="76"/>
        <v>-4.9380239742567632E-2</v>
      </c>
      <c r="AU93" s="34">
        <f t="shared" si="77"/>
        <v>-0.35110441629298267</v>
      </c>
    </row>
    <row r="94" spans="24:47">
      <c r="X94" t="s">
        <v>94</v>
      </c>
      <c r="Y94" s="24">
        <v>535</v>
      </c>
      <c r="Z94" s="155">
        <f t="shared" si="83"/>
        <v>40804.268055555556</v>
      </c>
      <c r="AA94" s="156">
        <f t="shared" si="84"/>
        <v>40804.268055555556</v>
      </c>
      <c r="AB94" s="15">
        <v>40804</v>
      </c>
      <c r="AC94" s="21">
        <v>0.68472222222222223</v>
      </c>
      <c r="AD94">
        <v>25.049630000000001</v>
      </c>
      <c r="AE94" s="65">
        <v>-157.77946</v>
      </c>
      <c r="AF94">
        <v>40</v>
      </c>
      <c r="AG94">
        <v>1305</v>
      </c>
      <c r="AH94" s="46">
        <f t="shared" si="78"/>
        <v>0.64586660109959437</v>
      </c>
      <c r="AI94" s="46">
        <f t="shared" si="79"/>
        <v>38.75151975706509</v>
      </c>
      <c r="AJ94" s="123">
        <f t="shared" si="46"/>
        <v>4.6917511999260855</v>
      </c>
      <c r="AK94" s="47">
        <f t="shared" si="80"/>
        <v>268.8175422812044</v>
      </c>
      <c r="AL94" s="130">
        <f t="shared" si="81"/>
        <v>0.64586660102440563</v>
      </c>
      <c r="AM94" s="47">
        <f t="shared" si="49"/>
        <v>17.940738917344603</v>
      </c>
      <c r="AN94" s="47">
        <f t="shared" si="82"/>
        <v>0.34874006534795121</v>
      </c>
      <c r="AT94" s="34">
        <f t="shared" si="76"/>
        <v>-7.1967100123494126E-3</v>
      </c>
      <c r="AU94" s="34">
        <f t="shared" si="77"/>
        <v>-0.34866580065141378</v>
      </c>
    </row>
    <row r="95" spans="24:47">
      <c r="Y95" s="24">
        <v>536</v>
      </c>
      <c r="Z95" s="42">
        <f t="shared" si="83"/>
        <v>40804.309722222228</v>
      </c>
      <c r="AA95" s="43">
        <f t="shared" si="84"/>
        <v>40804.309722222228</v>
      </c>
      <c r="AB95" s="15">
        <v>40804</v>
      </c>
      <c r="AC95" s="21">
        <v>0.72638888888888886</v>
      </c>
      <c r="AD95">
        <v>25.049510000000001</v>
      </c>
      <c r="AE95" s="65">
        <v>-157.78586999999999</v>
      </c>
      <c r="AF95">
        <v>40</v>
      </c>
      <c r="AG95">
        <v>1305</v>
      </c>
      <c r="AH95" s="46">
        <f t="shared" si="78"/>
        <v>0.57894162789706272</v>
      </c>
      <c r="AI95" s="46">
        <f t="shared" si="79"/>
        <v>39.330461384962149</v>
      </c>
      <c r="AJ95" s="123">
        <f t="shared" si="46"/>
        <v>4.4857533825401301</v>
      </c>
      <c r="AK95" s="47">
        <f t="shared" si="80"/>
        <v>257.01473675608253</v>
      </c>
      <c r="AL95" s="130">
        <f t="shared" si="81"/>
        <v>0.56945078154026796</v>
      </c>
      <c r="AM95" s="47">
        <f t="shared" si="49"/>
        <v>15.818077265007442</v>
      </c>
      <c r="AN95" s="47">
        <f t="shared" si="82"/>
        <v>0.30747882372584662</v>
      </c>
      <c r="AT95" s="34">
        <f t="shared" si="76"/>
        <v>-6.9090625178971465E-2</v>
      </c>
      <c r="AU95" s="34">
        <f t="shared" si="77"/>
        <v>-0.29961594175245271</v>
      </c>
    </row>
    <row r="96" spans="24:47">
      <c r="Y96" s="24">
        <v>537</v>
      </c>
      <c r="Z96" s="42">
        <f t="shared" si="83"/>
        <v>40804.352083333339</v>
      </c>
      <c r="AA96" s="43">
        <f t="shared" si="84"/>
        <v>40804.352083333339</v>
      </c>
      <c r="AB96" s="15">
        <v>40804</v>
      </c>
      <c r="AC96" s="21">
        <v>0.76874999999999993</v>
      </c>
      <c r="AD96">
        <v>25.04834</v>
      </c>
      <c r="AE96" s="65">
        <v>-157.79147</v>
      </c>
      <c r="AF96">
        <v>41</v>
      </c>
      <c r="AG96">
        <v>1305</v>
      </c>
      <c r="AH96" s="46">
        <f t="shared" si="78"/>
        <v>0.54919597703887602</v>
      </c>
      <c r="AI96" s="46">
        <f t="shared" si="79"/>
        <v>39.879657362001026</v>
      </c>
      <c r="AJ96" s="123">
        <f t="shared" si="46"/>
        <v>4.62320320641303</v>
      </c>
      <c r="AK96" s="47">
        <f t="shared" si="80"/>
        <v>264.89003155881619</v>
      </c>
      <c r="AL96" s="130">
        <f t="shared" si="81"/>
        <v>0.53147997784342571</v>
      </c>
      <c r="AM96" s="47">
        <f t="shared" si="49"/>
        <v>14.763332717872935</v>
      </c>
      <c r="AN96" s="47">
        <f t="shared" si="82"/>
        <v>0.28697622993705491</v>
      </c>
      <c r="AT96" s="34">
        <f t="shared" si="76"/>
        <v>-2.556028085955844E-2</v>
      </c>
      <c r="AU96" s="34">
        <f t="shared" si="77"/>
        <v>-0.28583566710833325</v>
      </c>
    </row>
    <row r="97" spans="25:47">
      <c r="Y97" s="24">
        <v>538</v>
      </c>
      <c r="Z97" s="42">
        <f t="shared" si="83"/>
        <v>40804.395138888889</v>
      </c>
      <c r="AA97" s="43">
        <f t="shared" si="84"/>
        <v>40804.395138888889</v>
      </c>
      <c r="AB97" s="15">
        <v>40804</v>
      </c>
      <c r="AC97" s="21">
        <v>0.81180555555555556</v>
      </c>
      <c r="AD97">
        <v>25.047899999999998</v>
      </c>
      <c r="AE97" s="65">
        <v>-157.79689999999999</v>
      </c>
      <c r="AF97">
        <v>41</v>
      </c>
      <c r="AG97">
        <v>1302</v>
      </c>
      <c r="AH97" s="46">
        <f t="shared" si="78"/>
        <v>0.5068640620317526</v>
      </c>
      <c r="AI97" s="46">
        <f t="shared" si="79"/>
        <v>40.386521424032779</v>
      </c>
      <c r="AJ97" s="123">
        <f t="shared" si="46"/>
        <v>5.3409173180139895</v>
      </c>
      <c r="AK97" s="47">
        <f t="shared" si="80"/>
        <v>306.0120210505325</v>
      </c>
      <c r="AL97" s="130">
        <f t="shared" si="81"/>
        <v>0.50686406197274592</v>
      </c>
      <c r="AM97" s="47">
        <f t="shared" si="49"/>
        <v>14.07955727702072</v>
      </c>
      <c r="AN97" s="47">
        <f t="shared" si="82"/>
        <v>0.27368469868938761</v>
      </c>
      <c r="AT97" s="34">
        <f t="shared" si="76"/>
        <v>0.16091428064413019</v>
      </c>
      <c r="AU97" s="34">
        <f t="shared" si="77"/>
        <v>-0.22138181628463299</v>
      </c>
    </row>
    <row r="98" spans="25:47">
      <c r="Y98" s="24">
        <v>539</v>
      </c>
      <c r="Z98" s="42">
        <f t="shared" si="83"/>
        <v>40804.436805555561</v>
      </c>
      <c r="AA98" s="43">
        <f t="shared" si="84"/>
        <v>40804.436805555561</v>
      </c>
      <c r="AB98" s="15">
        <v>40804</v>
      </c>
      <c r="AC98" s="21">
        <v>0.8534722222222223</v>
      </c>
      <c r="AD98">
        <v>25.05058</v>
      </c>
      <c r="AE98" s="65">
        <v>-157.80097000000001</v>
      </c>
      <c r="AF98">
        <v>40</v>
      </c>
      <c r="AG98">
        <v>1305</v>
      </c>
      <c r="AH98" s="46">
        <f t="shared" ref="AH98:AH106" si="85">ACOS(SIN(RADIANS(AD98))*SIN(RADIANS(AD99))+COS(RADIANS(AD98))*COS(RADIANS(AD99))*COS(RADIANS(AE99)-RADIANS(AE98)))*6371.1</f>
        <v>0.34969529996910731</v>
      </c>
      <c r="AI98" s="46">
        <f t="shared" ref="AI98:AI106" si="86">AI97+AH98</f>
        <v>40.736216724001885</v>
      </c>
      <c r="AJ98" s="123">
        <f t="shared" si="46"/>
        <v>5.1596142968753522</v>
      </c>
      <c r="AK98" s="47">
        <f t="shared" ref="AK98:AK106" si="87">MOD(DEGREES(ATAN2(COS(RADIANS(AD98))*SIN(RADIANS(AD99))-SIN(RADIANS(AD98))*COS(RADIANS(AD99))*COS(RADIANS(AE99)-RADIANS(AE98)),SIN(RADIANS(AE99)-RADIANS(AE98))*COS(RADIANS(AD99)))), 360)</f>
        <v>295.62412312631744</v>
      </c>
      <c r="AL98" s="130">
        <f t="shared" ref="AL98:AL106" si="88">AH98/((AA99-AA98)*24)</f>
        <v>0.34396259013486102</v>
      </c>
      <c r="AM98" s="47">
        <f t="shared" si="49"/>
        <v>9.5545163926350281</v>
      </c>
      <c r="AN98" s="47">
        <f t="shared" ref="AN98:AN106" si="89">AL98/1.852</f>
        <v>0.18572494067757073</v>
      </c>
    </row>
    <row r="99" spans="25:47">
      <c r="Y99" s="24">
        <v>540</v>
      </c>
      <c r="Z99" s="42">
        <f t="shared" ref="Z99:Z114" si="90">(AB99+AC99)-(10/24)</f>
        <v>40804.479166666672</v>
      </c>
      <c r="AA99" s="43">
        <f t="shared" ref="AA99:AA114" si="91">(AB99+AC99)-(10/24)</f>
        <v>40804.479166666672</v>
      </c>
      <c r="AB99" s="15">
        <v>40804</v>
      </c>
      <c r="AC99" s="21">
        <v>0.89583333333333337</v>
      </c>
      <c r="AD99">
        <v>25.051939999999998</v>
      </c>
      <c r="AE99" s="65">
        <v>-157.80410000000001</v>
      </c>
      <c r="AF99">
        <v>43</v>
      </c>
      <c r="AG99">
        <v>1305</v>
      </c>
      <c r="AH99" s="46">
        <f t="shared" si="85"/>
        <v>0.47263330055716235</v>
      </c>
      <c r="AI99" s="46">
        <f t="shared" si="86"/>
        <v>41.208850024559048</v>
      </c>
      <c r="AJ99" s="123">
        <f t="shared" si="46"/>
        <v>4.8611746927858883</v>
      </c>
      <c r="AK99" s="47">
        <f t="shared" si="87"/>
        <v>278.52479337243597</v>
      </c>
      <c r="AL99" s="130">
        <f t="shared" si="88"/>
        <v>0.47263330058467323</v>
      </c>
      <c r="AM99" s="47">
        <f t="shared" si="49"/>
        <v>13.128702794018702</v>
      </c>
      <c r="AN99" s="47">
        <f t="shared" si="89"/>
        <v>0.25520156619042828</v>
      </c>
    </row>
    <row r="100" spans="25:47">
      <c r="Y100" s="24">
        <v>541</v>
      </c>
      <c r="Z100" s="42">
        <f t="shared" si="90"/>
        <v>40804.520833333336</v>
      </c>
      <c r="AA100" s="43">
        <f t="shared" si="91"/>
        <v>40804.520833333336</v>
      </c>
      <c r="AB100" s="15">
        <v>40804</v>
      </c>
      <c r="AC100" s="21">
        <v>0.9375</v>
      </c>
      <c r="AD100">
        <v>25.052569999999999</v>
      </c>
      <c r="AE100" s="65">
        <v>-157.80874</v>
      </c>
      <c r="AF100">
        <v>43</v>
      </c>
      <c r="AG100">
        <v>1302</v>
      </c>
      <c r="AH100" s="46">
        <f t="shared" si="85"/>
        <v>0.68331116480230736</v>
      </c>
      <c r="AI100" s="46">
        <f t="shared" si="86"/>
        <v>41.892161189361353</v>
      </c>
      <c r="AJ100" s="123">
        <f t="shared" ref="AJ100:AJ106" si="92">RADIANS(AK100)</f>
        <v>4.7433380653468316</v>
      </c>
      <c r="AK100" s="47">
        <f t="shared" si="87"/>
        <v>271.77325194812255</v>
      </c>
      <c r="AL100" s="130">
        <f t="shared" si="88"/>
        <v>0.6612688691312405</v>
      </c>
      <c r="AM100" s="47">
        <f t="shared" ref="AM100:AM106" si="93">(AL100*1000*100)/3600</f>
        <v>18.368579698090013</v>
      </c>
      <c r="AN100" s="47">
        <f t="shared" si="89"/>
        <v>0.35705662480088579</v>
      </c>
    </row>
    <row r="101" spans="25:47">
      <c r="Y101" s="24">
        <v>542</v>
      </c>
      <c r="Z101" s="42">
        <f t="shared" si="90"/>
        <v>40804.563888888893</v>
      </c>
      <c r="AA101" s="43">
        <f t="shared" si="91"/>
        <v>40804.563888888893</v>
      </c>
      <c r="AB101" s="15">
        <v>40804</v>
      </c>
      <c r="AC101" s="21">
        <v>0.98055555555555562</v>
      </c>
      <c r="AD101">
        <v>25.052759999999999</v>
      </c>
      <c r="AE101" s="65">
        <v>-157.81551999999999</v>
      </c>
      <c r="AF101">
        <v>43</v>
      </c>
      <c r="AG101">
        <v>1305</v>
      </c>
      <c r="AH101" s="46">
        <f t="shared" si="85"/>
        <v>0.63225176742738665</v>
      </c>
      <c r="AI101" s="46">
        <f t="shared" si="86"/>
        <v>42.524412956788737</v>
      </c>
      <c r="AJ101" s="123">
        <f t="shared" si="92"/>
        <v>4.9053084777466642</v>
      </c>
      <c r="AK101" s="47">
        <f t="shared" si="87"/>
        <v>281.05347298462635</v>
      </c>
      <c r="AL101" s="130">
        <f t="shared" si="88"/>
        <v>0.62188698435718026</v>
      </c>
      <c r="AM101" s="47">
        <f t="shared" si="93"/>
        <v>17.274638454366119</v>
      </c>
      <c r="AN101" s="47">
        <f t="shared" si="89"/>
        <v>0.33579210818422256</v>
      </c>
    </row>
    <row r="102" spans="25:47">
      <c r="Y102" s="24">
        <v>543</v>
      </c>
      <c r="Z102" s="42">
        <f t="shared" si="90"/>
        <v>40804.606250000004</v>
      </c>
      <c r="AA102" s="43">
        <f t="shared" si="91"/>
        <v>40804.606250000004</v>
      </c>
      <c r="AB102" s="15">
        <v>40805</v>
      </c>
      <c r="AC102" s="21">
        <v>2.2916666666666669E-2</v>
      </c>
      <c r="AD102">
        <v>25.053850000000001</v>
      </c>
      <c r="AE102" s="65">
        <v>-157.82167999999999</v>
      </c>
      <c r="AF102">
        <v>45</v>
      </c>
      <c r="AG102">
        <v>1305</v>
      </c>
      <c r="AH102" s="46">
        <f t="shared" si="85"/>
        <v>0.71907622053427889</v>
      </c>
      <c r="AI102" s="46">
        <f t="shared" si="86"/>
        <v>43.243489177323013</v>
      </c>
      <c r="AJ102" s="123">
        <f t="shared" si="92"/>
        <v>5.1177491412349099</v>
      </c>
      <c r="AK102" s="47">
        <f t="shared" si="87"/>
        <v>293.22542639946181</v>
      </c>
      <c r="AL102" s="130">
        <f t="shared" si="88"/>
        <v>0.71907622057613463</v>
      </c>
      <c r="AM102" s="47">
        <f t="shared" si="93"/>
        <v>19.974339460448181</v>
      </c>
      <c r="AN102" s="47">
        <f t="shared" si="89"/>
        <v>0.38827009750331243</v>
      </c>
    </row>
    <row r="103" spans="25:47">
      <c r="Y103" s="24">
        <v>544</v>
      </c>
      <c r="Z103" s="42">
        <f t="shared" si="90"/>
        <v>40804.647916666669</v>
      </c>
      <c r="AA103" s="43">
        <f t="shared" si="91"/>
        <v>40804.647916666669</v>
      </c>
      <c r="AB103" s="15">
        <v>40805</v>
      </c>
      <c r="AC103" s="21">
        <v>6.458333333333334E-2</v>
      </c>
      <c r="AD103">
        <v>25.0564</v>
      </c>
      <c r="AE103" s="65">
        <v>-157.82823999999999</v>
      </c>
      <c r="AF103">
        <v>41</v>
      </c>
      <c r="AG103">
        <v>1305</v>
      </c>
      <c r="AH103" s="46">
        <f t="shared" si="85"/>
        <v>0.77287567513353728</v>
      </c>
      <c r="AI103" s="46">
        <f t="shared" si="86"/>
        <v>44.016364852456547</v>
      </c>
      <c r="AJ103" s="123">
        <f t="shared" si="92"/>
        <v>5.2942962045740751</v>
      </c>
      <c r="AK103" s="47">
        <f t="shared" si="87"/>
        <v>303.34082801422477</v>
      </c>
      <c r="AL103" s="130">
        <f t="shared" si="88"/>
        <v>0.76020558210146283</v>
      </c>
      <c r="AM103" s="47">
        <f t="shared" si="93"/>
        <v>21.116821725040634</v>
      </c>
      <c r="AN103" s="47">
        <f t="shared" si="89"/>
        <v>0.41047817608070347</v>
      </c>
    </row>
    <row r="104" spans="25:47">
      <c r="Y104" s="24">
        <v>545</v>
      </c>
      <c r="Z104" s="42">
        <f t="shared" si="90"/>
        <v>40804.69027777778</v>
      </c>
      <c r="AA104" s="43">
        <f t="shared" si="91"/>
        <v>40804.69027777778</v>
      </c>
      <c r="AB104" s="15">
        <v>40805</v>
      </c>
      <c r="AC104" s="21">
        <v>0.10694444444444444</v>
      </c>
      <c r="AD104">
        <v>25.060220000000001</v>
      </c>
      <c r="AE104" s="65">
        <v>-157.83465000000001</v>
      </c>
      <c r="AF104">
        <v>40</v>
      </c>
      <c r="AG104">
        <v>1305</v>
      </c>
      <c r="AH104" s="46">
        <f t="shared" si="85"/>
        <v>0.6935524780102551</v>
      </c>
      <c r="AI104" s="46">
        <f t="shared" si="86"/>
        <v>44.709917330466801</v>
      </c>
      <c r="AJ104" s="123">
        <f t="shared" si="92"/>
        <v>5.3675245365387587</v>
      </c>
      <c r="AK104" s="47">
        <f t="shared" si="87"/>
        <v>307.53650237658411</v>
      </c>
      <c r="AL104" s="130">
        <f t="shared" si="88"/>
        <v>0.69355247805062514</v>
      </c>
      <c r="AM104" s="47">
        <f t="shared" si="93"/>
        <v>19.265346612517366</v>
      </c>
      <c r="AN104" s="47">
        <f t="shared" si="89"/>
        <v>0.37448837907701138</v>
      </c>
    </row>
    <row r="105" spans="25:47">
      <c r="Y105" s="24">
        <v>546</v>
      </c>
      <c r="Z105" s="42">
        <f t="shared" si="90"/>
        <v>40804.731944444444</v>
      </c>
      <c r="AA105" s="43">
        <f t="shared" si="91"/>
        <v>40804.731944444444</v>
      </c>
      <c r="AB105" s="15">
        <v>40805</v>
      </c>
      <c r="AC105" s="21">
        <v>0.14861111111111111</v>
      </c>
      <c r="AD105">
        <v>25.064019999999999</v>
      </c>
      <c r="AE105" s="65">
        <v>-157.84011000000001</v>
      </c>
      <c r="AF105">
        <v>41</v>
      </c>
      <c r="AG105">
        <v>1305</v>
      </c>
      <c r="AH105" s="46">
        <f t="shared" si="85"/>
        <v>0.68433799363979386</v>
      </c>
      <c r="AI105" s="46">
        <f t="shared" si="86"/>
        <v>45.394255324106595</v>
      </c>
      <c r="AJ105" s="123">
        <f t="shared" si="92"/>
        <v>5.263025081045769</v>
      </c>
      <c r="AK105" s="47">
        <f t="shared" si="87"/>
        <v>301.54912461542062</v>
      </c>
      <c r="AL105" s="130">
        <f t="shared" si="88"/>
        <v>0.65175047006810238</v>
      </c>
      <c r="AM105" s="47">
        <f t="shared" si="93"/>
        <v>18.104179724113955</v>
      </c>
      <c r="AN105" s="47">
        <f t="shared" si="89"/>
        <v>0.35191710046873775</v>
      </c>
    </row>
    <row r="106" spans="25:47">
      <c r="Y106" s="24">
        <v>547</v>
      </c>
      <c r="Z106" s="42">
        <f t="shared" si="90"/>
        <v>40804.775694444448</v>
      </c>
      <c r="AA106" s="43">
        <f t="shared" si="91"/>
        <v>40804.775694444448</v>
      </c>
      <c r="AB106" s="15">
        <v>40805</v>
      </c>
      <c r="AC106" s="21">
        <v>0.19236111111111112</v>
      </c>
      <c r="AD106">
        <v>25.067240000000002</v>
      </c>
      <c r="AE106" s="65">
        <v>-157.8459</v>
      </c>
      <c r="AF106">
        <v>41</v>
      </c>
      <c r="AG106">
        <v>1315</v>
      </c>
      <c r="AH106" s="46">
        <f t="shared" si="85"/>
        <v>0.61842602770718291</v>
      </c>
      <c r="AI106" s="46">
        <f t="shared" si="86"/>
        <v>46.012681351813775</v>
      </c>
      <c r="AJ106" s="123">
        <f t="shared" si="92"/>
        <v>5.1466769560621648</v>
      </c>
      <c r="AK106" s="47">
        <f t="shared" si="87"/>
        <v>294.88286809959948</v>
      </c>
      <c r="AL106" s="130">
        <f t="shared" si="88"/>
        <v>0.62890782485893926</v>
      </c>
      <c r="AM106" s="47">
        <f t="shared" si="93"/>
        <v>17.469661801637201</v>
      </c>
      <c r="AN106" s="47">
        <f t="shared" si="89"/>
        <v>0.33958305877912487</v>
      </c>
    </row>
    <row r="107" spans="25:47">
      <c r="Y107" s="24">
        <v>548</v>
      </c>
      <c r="Z107" s="42">
        <f t="shared" si="90"/>
        <v>40804.816666666666</v>
      </c>
      <c r="AA107" s="43">
        <f t="shared" si="91"/>
        <v>40804.816666666666</v>
      </c>
      <c r="AB107" s="15">
        <v>40805</v>
      </c>
      <c r="AC107" s="21">
        <v>0.23333333333333331</v>
      </c>
      <c r="AD107">
        <v>25.069579999999998</v>
      </c>
      <c r="AE107" s="65">
        <v>-157.85147000000001</v>
      </c>
      <c r="AF107">
        <v>40</v>
      </c>
      <c r="AG107">
        <v>1305</v>
      </c>
      <c r="AH107" s="46">
        <f t="shared" ref="AH107:AH114" si="94">ACOS(SIN(RADIANS(AD107))*SIN(RADIANS(AD108))+COS(RADIANS(AD107))*COS(RADIANS(AD108))*COS(RADIANS(AE108)-RADIANS(AE107)))*6371.1</f>
        <v>0.45011941139251266</v>
      </c>
      <c r="AI107" s="46">
        <f t="shared" ref="AI107:AI114" si="95">AI106+AH107</f>
        <v>46.462800763206289</v>
      </c>
      <c r="AJ107" s="123">
        <f t="shared" ref="AJ107:AJ114" si="96">RADIANS(AK107)</f>
        <v>5.2405782226923234</v>
      </c>
      <c r="AK107" s="47">
        <f t="shared" ref="AK107:AK114" si="97">MOD(DEGREES(ATAN2(COS(RADIANS(AD107))*SIN(RADIANS(AD108))-SIN(RADIANS(AD107))*COS(RADIANS(AD108))*COS(RADIANS(AE108)-RADIANS(AE107)),SIN(RADIANS(AE108)-RADIANS(AE107))*COS(RADIANS(AD108)))), 360)</f>
        <v>300.26301436844017</v>
      </c>
      <c r="AL107" s="130">
        <f t="shared" ref="AL107:AL114" si="98">AH107/((AA108-AA107)*24)</f>
        <v>0.44274040465006298</v>
      </c>
      <c r="AM107" s="47">
        <f t="shared" ref="AM107:AM114" si="99">(AL107*1000*100)/3600</f>
        <v>12.29834457361286</v>
      </c>
      <c r="AN107" s="47">
        <f t="shared" ref="AN107:AN114" si="100">AL107/1.852</f>
        <v>0.23906069365554156</v>
      </c>
    </row>
    <row r="108" spans="25:47">
      <c r="Y108" s="24">
        <v>549</v>
      </c>
      <c r="Z108" s="42">
        <f t="shared" si="90"/>
        <v>40804.859027777777</v>
      </c>
      <c r="AA108" s="43">
        <f t="shared" si="91"/>
        <v>40804.859027777777</v>
      </c>
      <c r="AB108" s="15">
        <v>40805</v>
      </c>
      <c r="AC108" s="21">
        <v>0.27569444444444446</v>
      </c>
      <c r="AD108">
        <v>25.071619999999999</v>
      </c>
      <c r="AE108" s="65">
        <v>-157.85533000000001</v>
      </c>
      <c r="AF108">
        <v>42</v>
      </c>
      <c r="AG108">
        <v>1305</v>
      </c>
      <c r="AH108" s="46">
        <f t="shared" si="94"/>
        <v>0.30074877639623698</v>
      </c>
      <c r="AI108" s="46">
        <f t="shared" si="95"/>
        <v>46.763549539602529</v>
      </c>
      <c r="AJ108" s="123">
        <f t="shared" si="96"/>
        <v>5.0951030672624089</v>
      </c>
      <c r="AK108" s="47">
        <f t="shared" si="97"/>
        <v>291.92790193829643</v>
      </c>
      <c r="AL108" s="130">
        <f t="shared" si="98"/>
        <v>0.29581846853678184</v>
      </c>
      <c r="AM108" s="47">
        <f t="shared" si="99"/>
        <v>8.2171796815772726</v>
      </c>
      <c r="AN108" s="47">
        <f t="shared" si="100"/>
        <v>0.15972919467428826</v>
      </c>
    </row>
    <row r="109" spans="25:47">
      <c r="Y109" s="24">
        <v>550</v>
      </c>
      <c r="Z109" s="42">
        <f t="shared" si="90"/>
        <v>40804.901388888895</v>
      </c>
      <c r="AA109" s="43">
        <f t="shared" si="91"/>
        <v>40804.901388888895</v>
      </c>
      <c r="AB109" s="15">
        <v>40805</v>
      </c>
      <c r="AC109" s="21">
        <v>0.31805555555555554</v>
      </c>
      <c r="AD109">
        <v>25.07263</v>
      </c>
      <c r="AE109" s="65">
        <v>-157.85810000000001</v>
      </c>
      <c r="AF109">
        <v>41</v>
      </c>
      <c r="AG109">
        <v>1305</v>
      </c>
      <c r="AH109" s="46">
        <f t="shared" si="94"/>
        <v>0.26240033617514197</v>
      </c>
      <c r="AI109" s="46">
        <f t="shared" si="95"/>
        <v>47.02594987577767</v>
      </c>
      <c r="AJ109" s="123">
        <f t="shared" si="96"/>
        <v>5.1406614038753773</v>
      </c>
      <c r="AK109" s="47">
        <f t="shared" si="97"/>
        <v>294.53820234785587</v>
      </c>
      <c r="AL109" s="130">
        <f t="shared" si="98"/>
        <v>0.25809869132079688</v>
      </c>
      <c r="AM109" s="47">
        <f t="shared" si="99"/>
        <v>7.1694080922443586</v>
      </c>
      <c r="AN109" s="47">
        <f t="shared" si="100"/>
        <v>0.13936214434168298</v>
      </c>
    </row>
    <row r="110" spans="25:47">
      <c r="Y110" s="24">
        <v>551</v>
      </c>
      <c r="Z110" s="42">
        <f t="shared" si="90"/>
        <v>40804.943750000006</v>
      </c>
      <c r="AA110" s="43">
        <f t="shared" si="91"/>
        <v>40804.943750000006</v>
      </c>
      <c r="AB110" s="15">
        <v>40805</v>
      </c>
      <c r="AC110" s="21">
        <v>0.36041666666666666</v>
      </c>
      <c r="AD110">
        <v>25.073609999999999</v>
      </c>
      <c r="AE110" s="65">
        <v>-157.86046999999999</v>
      </c>
      <c r="AF110">
        <v>41</v>
      </c>
      <c r="AG110">
        <v>1299</v>
      </c>
      <c r="AH110" s="46">
        <f t="shared" si="94"/>
        <v>0.35473835617326072</v>
      </c>
      <c r="AI110" s="46">
        <f t="shared" si="95"/>
        <v>47.380688231950927</v>
      </c>
      <c r="AJ110" s="123">
        <f t="shared" si="96"/>
        <v>5.4184900331431605</v>
      </c>
      <c r="AK110" s="47">
        <f t="shared" si="97"/>
        <v>310.45661023280462</v>
      </c>
      <c r="AL110" s="130">
        <f t="shared" si="98"/>
        <v>0.3547383561939092</v>
      </c>
      <c r="AM110" s="47">
        <f t="shared" si="99"/>
        <v>9.8538432276085892</v>
      </c>
      <c r="AN110" s="47">
        <f t="shared" si="100"/>
        <v>0.19154338887360106</v>
      </c>
    </row>
    <row r="111" spans="25:47">
      <c r="Y111" s="24">
        <v>552</v>
      </c>
      <c r="Z111" s="42">
        <f t="shared" si="90"/>
        <v>40804.98541666667</v>
      </c>
      <c r="AA111" s="43">
        <f t="shared" si="91"/>
        <v>40804.98541666667</v>
      </c>
      <c r="AB111" s="15">
        <v>40805</v>
      </c>
      <c r="AC111" s="21">
        <v>0.40208333333333335</v>
      </c>
      <c r="AD111">
        <v>25.075679999999998</v>
      </c>
      <c r="AE111" s="65">
        <v>-157.86314999999999</v>
      </c>
      <c r="AF111">
        <v>41</v>
      </c>
      <c r="AG111">
        <v>1305</v>
      </c>
      <c r="AH111" s="46">
        <f t="shared" si="94"/>
        <v>0.31054592505314799</v>
      </c>
      <c r="AI111" s="46">
        <f t="shared" si="95"/>
        <v>47.691234157004075</v>
      </c>
      <c r="AJ111" s="123">
        <f t="shared" si="96"/>
        <v>5.568850406968072</v>
      </c>
      <c r="AK111" s="47">
        <f t="shared" si="97"/>
        <v>319.0716250589814</v>
      </c>
      <c r="AL111" s="130">
        <f t="shared" si="98"/>
        <v>0.30545500825016392</v>
      </c>
      <c r="AM111" s="47">
        <f t="shared" si="99"/>
        <v>8.4848613402823307</v>
      </c>
      <c r="AN111" s="47">
        <f t="shared" si="100"/>
        <v>0.16493250985430016</v>
      </c>
    </row>
    <row r="112" spans="25:47">
      <c r="Y112" s="24">
        <v>553</v>
      </c>
      <c r="Z112" s="42">
        <f t="shared" si="90"/>
        <v>40805.027777777781</v>
      </c>
      <c r="AA112" s="43">
        <f t="shared" si="91"/>
        <v>40805.027777777781</v>
      </c>
      <c r="AB112" s="15">
        <v>40805</v>
      </c>
      <c r="AC112" s="21">
        <v>0.44444444444444442</v>
      </c>
      <c r="AD112">
        <v>25.07779</v>
      </c>
      <c r="AE112" s="65">
        <v>-157.86517000000001</v>
      </c>
      <c r="AF112">
        <v>40</v>
      </c>
      <c r="AG112">
        <v>1305</v>
      </c>
      <c r="AH112" s="46">
        <f t="shared" si="94"/>
        <v>0.33413680634166582</v>
      </c>
      <c r="AI112" s="46">
        <f t="shared" si="95"/>
        <v>48.025370963345743</v>
      </c>
      <c r="AJ112" s="123">
        <f t="shared" si="96"/>
        <v>5.2897095289494755</v>
      </c>
      <c r="AK112" s="47">
        <f t="shared" si="97"/>
        <v>303.07803085893971</v>
      </c>
      <c r="AL112" s="130">
        <f t="shared" si="98"/>
        <v>0.32865915377994215</v>
      </c>
      <c r="AM112" s="47">
        <f t="shared" si="99"/>
        <v>9.1294209383317266</v>
      </c>
      <c r="AN112" s="47">
        <f t="shared" si="100"/>
        <v>0.17746174610148063</v>
      </c>
    </row>
    <row r="113" spans="25:40">
      <c r="Y113" s="24">
        <v>554</v>
      </c>
      <c r="Z113" s="42">
        <f t="shared" si="90"/>
        <v>40805.070138888892</v>
      </c>
      <c r="AA113" s="43">
        <f t="shared" si="91"/>
        <v>40805.070138888892</v>
      </c>
      <c r="AB113" s="15">
        <v>40805</v>
      </c>
      <c r="AC113" s="21">
        <v>0.48680555555555555</v>
      </c>
      <c r="AD113">
        <v>25.079429999999999</v>
      </c>
      <c r="AE113" s="65">
        <v>-157.86795000000001</v>
      </c>
      <c r="AF113">
        <v>41</v>
      </c>
      <c r="AG113">
        <v>1305</v>
      </c>
      <c r="AH113" s="46">
        <f t="shared" si="94"/>
        <v>0.41584469800469032</v>
      </c>
      <c r="AI113" s="46">
        <f t="shared" si="95"/>
        <v>48.441215661350434</v>
      </c>
      <c r="AJ113" s="123">
        <f t="shared" si="96"/>
        <v>4.8816728897248751</v>
      </c>
      <c r="AK113" s="47">
        <f t="shared" si="97"/>
        <v>279.6992535446679</v>
      </c>
      <c r="AL113" s="130">
        <f t="shared" si="98"/>
        <v>0.40243035288811846</v>
      </c>
      <c r="AM113" s="47">
        <f t="shared" si="99"/>
        <v>11.178620913558847</v>
      </c>
      <c r="AN113" s="47">
        <f t="shared" si="100"/>
        <v>0.21729500695902723</v>
      </c>
    </row>
    <row r="114" spans="25:40">
      <c r="Y114" s="24">
        <v>555</v>
      </c>
      <c r="Z114" s="42">
        <f t="shared" si="90"/>
        <v>40805.11319444445</v>
      </c>
      <c r="AA114" s="43">
        <f t="shared" si="91"/>
        <v>40805.11319444445</v>
      </c>
      <c r="AB114" s="15">
        <v>40805</v>
      </c>
      <c r="AC114" s="21">
        <v>0.52986111111111112</v>
      </c>
      <c r="AD114">
        <v>25.08006</v>
      </c>
      <c r="AE114" s="65">
        <v>-157.87201999999999</v>
      </c>
      <c r="AF114">
        <v>41</v>
      </c>
      <c r="AG114">
        <v>1305</v>
      </c>
      <c r="AH114" s="46">
        <f t="shared" si="94"/>
        <v>0.50048773036649552</v>
      </c>
      <c r="AI114" s="46">
        <f t="shared" si="95"/>
        <v>48.941703391716928</v>
      </c>
      <c r="AJ114" s="123">
        <f t="shared" si="96"/>
        <v>4.8798204961674161</v>
      </c>
      <c r="AK114" s="47">
        <f t="shared" si="97"/>
        <v>279.59311921182825</v>
      </c>
      <c r="AL114" s="130">
        <f t="shared" si="98"/>
        <v>0.50897057331231099</v>
      </c>
      <c r="AM114" s="47">
        <f t="shared" si="99"/>
        <v>14.138071480897528</v>
      </c>
      <c r="AN114" s="47">
        <f t="shared" si="100"/>
        <v>0.27482212381874244</v>
      </c>
    </row>
    <row r="115" spans="25:40">
      <c r="Y115" s="24">
        <v>556</v>
      </c>
      <c r="Z115" s="42">
        <f>(AB115+AC115)-(10/24)</f>
        <v>40805.154166666667</v>
      </c>
      <c r="AA115" s="43">
        <f>(AB115+AC115)-(10/24)</f>
        <v>40805.154166666667</v>
      </c>
      <c r="AB115" s="15">
        <v>40805</v>
      </c>
      <c r="AC115" s="21">
        <v>0.5708333333333333</v>
      </c>
      <c r="AD115">
        <v>25.08081</v>
      </c>
      <c r="AE115" s="65">
        <v>-157.87692000000001</v>
      </c>
      <c r="AF115">
        <v>40</v>
      </c>
      <c r="AG115">
        <v>1305</v>
      </c>
      <c r="AH115" s="46">
        <f>ACOS(SIN(RADIANS(AD115))*SIN(RADIANS(AD116))+COS(RADIANS(AD115))*COS(RADIANS(AD116))*COS(RADIANS(AE116)-RADIANS(AE115)))*6371.1</f>
        <v>0.4659237385809798</v>
      </c>
      <c r="AI115" s="46">
        <f>AI114+AH115</f>
        <v>49.407627130297911</v>
      </c>
      <c r="AJ115" s="123">
        <f>RADIANS(AK115)</f>
        <v>4.9730995618738589</v>
      </c>
      <c r="AK115" s="47">
        <f>MOD(DEGREES(ATAN2(COS(RADIANS(AD115))*SIN(RADIANS(AD116))-SIN(RADIANS(AD115))*COS(RADIANS(AD116))*COS(RADIANS(AE116)-RADIANS(AE115)),SIN(RADIANS(AE116)-RADIANS(AE115))*COS(RADIANS(AD116)))), 360)</f>
        <v>284.9376159937309</v>
      </c>
      <c r="AL115" s="130">
        <f>AH115/((AA116-AA115)*24)</f>
        <v>0.45828564450763098</v>
      </c>
      <c r="AM115" s="47">
        <f>(AL115*1000*100)/3600</f>
        <v>12.730156791878638</v>
      </c>
      <c r="AN115" s="47">
        <f>AL115/1.852</f>
        <v>0.24745445167798649</v>
      </c>
    </row>
    <row r="116" spans="25:40">
      <c r="Y116" s="24">
        <v>557</v>
      </c>
      <c r="Z116" s="42">
        <f>(AB116+AC116)-(10/24)</f>
        <v>40805.196527777778</v>
      </c>
      <c r="AA116" s="43">
        <f>(AB116+AC116)-(10/24)</f>
        <v>40805.196527777778</v>
      </c>
      <c r="AB116" s="15">
        <v>40805</v>
      </c>
      <c r="AC116" s="21">
        <v>0.61319444444444449</v>
      </c>
      <c r="AD116">
        <v>25.081890000000001</v>
      </c>
      <c r="AE116" s="65">
        <v>-157.88139000000001</v>
      </c>
      <c r="AF116">
        <v>41</v>
      </c>
      <c r="AG116">
        <v>1305</v>
      </c>
      <c r="AH116" s="46">
        <f>ACOS(SIN(RADIANS(AD116))*SIN(RADIANS(AD117))+COS(RADIANS(AD116))*COS(RADIANS(AD117))*COS(RADIANS(AE117)-RADIANS(AE116)))*6371.1</f>
        <v>0.61457287075646161</v>
      </c>
      <c r="AI116" s="46">
        <f>AI115+AH116</f>
        <v>50.022200001054372</v>
      </c>
      <c r="AJ116" s="123">
        <f>RADIANS(AK116)</f>
        <v>4.8302908273054905</v>
      </c>
      <c r="AK116" s="47">
        <f>MOD(DEGREES(ATAN2(COS(RADIANS(AD116))*SIN(RADIANS(AD117))-SIN(RADIANS(AD116))*COS(RADIANS(AD117))*COS(RADIANS(AE117)-RADIANS(AE116)),SIN(RADIANS(AE117)-RADIANS(AE116))*COS(RADIANS(AD117)))), 360)</f>
        <v>276.7552782253594</v>
      </c>
      <c r="AL116" s="130">
        <f>AH116/((AA117-AA116)*24)</f>
        <v>0.60449790566440065</v>
      </c>
      <c r="AM116" s="47">
        <f>(AL116*1000*100)/3600</f>
        <v>16.791608490677795</v>
      </c>
      <c r="AN116" s="47">
        <f>AL116/1.852</f>
        <v>0.32640275683822928</v>
      </c>
    </row>
    <row r="117" spans="25:40">
      <c r="Y117" s="24">
        <v>558</v>
      </c>
      <c r="Z117" s="42">
        <f>(AB117+AC117)-(10/24)</f>
        <v>40805.238888888889</v>
      </c>
      <c r="AA117" s="43">
        <f>(AB117+AC117)-(10/24)</f>
        <v>40805.238888888889</v>
      </c>
      <c r="AB117" s="15">
        <v>40805</v>
      </c>
      <c r="AC117" s="21">
        <v>0.65555555555555556</v>
      </c>
      <c r="AD117">
        <v>25.082540000000002</v>
      </c>
      <c r="AE117" s="65">
        <v>-157.88745</v>
      </c>
      <c r="AF117">
        <v>41</v>
      </c>
      <c r="AG117">
        <v>1305</v>
      </c>
      <c r="AH117" s="46">
        <f>ACOS(SIN(RADIANS(AD117))*SIN(RADIANS(AD118))+COS(RADIANS(AD117))*COS(RADIANS(AD118))*COS(RADIANS(AE118)-RADIANS(AE117)))*6371.1</f>
        <v>0.79487505037512751</v>
      </c>
      <c r="AI117" s="46">
        <f>AI116+AH117</f>
        <v>50.817075051429498</v>
      </c>
      <c r="AJ117" s="123">
        <f>RADIANS(AK117)</f>
        <v>4.9338531350511774</v>
      </c>
      <c r="AK117" s="47">
        <f>MOD(DEGREES(ATAN2(COS(RADIANS(AD117))*SIN(RADIANS(AD118))-SIN(RADIANS(AD117))*COS(RADIANS(AD118))*COS(RADIANS(AE118)-RADIANS(AE117)),SIN(RADIANS(AE118)-RADIANS(AE117))*COS(RADIANS(AD118)))), 360)</f>
        <v>282.68896137582226</v>
      </c>
      <c r="AL117" s="130">
        <f>AH117/((AA118-AA117)*24)</f>
        <v>0.76923391968031185</v>
      </c>
      <c r="AM117" s="47">
        <f>(AL117*1000*100)/3600</f>
        <v>21.36760888000866</v>
      </c>
      <c r="AN117" s="47">
        <f>AL117/1.852</f>
        <v>0.41535308838029794</v>
      </c>
    </row>
    <row r="118" spans="25:40">
      <c r="Y118" s="24">
        <v>559</v>
      </c>
      <c r="Z118" s="42">
        <f>(AB118+AC118)-(10/24)</f>
        <v>40805.281944444447</v>
      </c>
      <c r="AA118" s="43">
        <f>(AB118+AC118)-(10/24)</f>
        <v>40805.281944444447</v>
      </c>
      <c r="AB118" s="15">
        <v>40805</v>
      </c>
      <c r="AC118" s="21">
        <v>0.69861111111111107</v>
      </c>
      <c r="AD118">
        <v>25.084109999999999</v>
      </c>
      <c r="AE118" s="65">
        <v>-157.89515</v>
      </c>
      <c r="AF118">
        <v>42</v>
      </c>
      <c r="AG118">
        <v>1305</v>
      </c>
    </row>
    <row r="119" spans="25:40">
      <c r="Y119" s="24">
        <v>560</v>
      </c>
    </row>
    <row r="120" spans="25:40">
      <c r="Y120" s="24"/>
    </row>
    <row r="122" spans="25:40">
      <c r="Y122" s="24"/>
    </row>
    <row r="127" spans="25:40">
      <c r="Y127" s="24"/>
    </row>
    <row r="129" spans="25:33">
      <c r="Y129" s="24"/>
    </row>
    <row r="131" spans="25:33">
      <c r="Y131" s="24"/>
    </row>
    <row r="133" spans="25:33">
      <c r="Y133" s="24"/>
    </row>
    <row r="134" spans="25:33">
      <c r="AG134"/>
    </row>
    <row r="135" spans="25:33">
      <c r="Y135" s="24"/>
    </row>
  </sheetData>
  <pageMargins left="0.7" right="0.7" top="0.75" bottom="0.75" header="0.3" footer="0.3"/>
  <pageSetup scale="28" orientation="portrait" r:id="rId1"/>
  <colBreaks count="2" manualBreakCount="2">
    <brk id="21" max="1048575" man="1"/>
    <brk id="46" max="1048575" man="1"/>
  </colBreaks>
  <drawing r:id="rId2"/>
</worksheet>
</file>

<file path=xl/worksheets/sheet4.xml><?xml version="1.0" encoding="utf-8"?>
<worksheet xmlns="http://schemas.openxmlformats.org/spreadsheetml/2006/main" xmlns:r="http://schemas.openxmlformats.org/officeDocument/2006/relationships">
  <dimension ref="A8:BL80"/>
  <sheetViews>
    <sheetView zoomScale="75" zoomScaleNormal="75" workbookViewId="0">
      <selection activeCell="D83" sqref="D83"/>
    </sheetView>
  </sheetViews>
  <sheetFormatPr defaultRowHeight="15"/>
  <cols>
    <col min="59" max="64" width="12.7109375" customWidth="1"/>
  </cols>
  <sheetData>
    <row r="8" spans="4:64">
      <c r="W8" s="14"/>
      <c r="X8" s="15"/>
      <c r="Y8" s="21"/>
    </row>
    <row r="9" spans="4:64">
      <c r="D9" s="14"/>
      <c r="E9" s="15"/>
      <c r="F9" s="21"/>
    </row>
    <row r="10" spans="4:64">
      <c r="BK10" s="137" t="s">
        <v>75</v>
      </c>
      <c r="BL10" s="137" t="s">
        <v>76</v>
      </c>
    </row>
    <row r="11" spans="4:64">
      <c r="BJ11" s="21">
        <v>0.29166666666666669</v>
      </c>
      <c r="BK11">
        <v>24.970199999999998</v>
      </c>
      <c r="BL11">
        <v>-157.4776</v>
      </c>
    </row>
    <row r="12" spans="4:64">
      <c r="BA12" s="21">
        <v>0.31458333333333333</v>
      </c>
      <c r="BD12">
        <v>59.432000000000002</v>
      </c>
      <c r="BE12">
        <v>29.327000000000002</v>
      </c>
    </row>
    <row r="16" spans="4:64">
      <c r="W16" t="s">
        <v>43</v>
      </c>
    </row>
    <row r="22" spans="28:28">
      <c r="AB22" s="21"/>
    </row>
    <row r="71" spans="1:6">
      <c r="A71" s="34"/>
      <c r="B71" s="34"/>
      <c r="C71" s="34"/>
      <c r="D71" s="34"/>
      <c r="E71" s="34"/>
      <c r="F71" s="34"/>
    </row>
    <row r="72" spans="1:6">
      <c r="A72" s="34"/>
      <c r="B72" s="34"/>
      <c r="C72" s="34"/>
      <c r="D72" s="34"/>
      <c r="E72" s="34"/>
      <c r="F72" s="34"/>
    </row>
    <row r="73" spans="1:6">
      <c r="A73" s="34"/>
      <c r="B73" s="34"/>
      <c r="C73" s="34"/>
      <c r="D73" s="34"/>
      <c r="E73" s="34"/>
      <c r="F73" s="34"/>
    </row>
    <row r="74" spans="1:6" ht="18.75">
      <c r="A74" s="34"/>
      <c r="B74" s="160"/>
      <c r="C74" s="160"/>
      <c r="D74" s="160"/>
      <c r="E74" s="160"/>
      <c r="F74" s="34"/>
    </row>
    <row r="75" spans="1:6" ht="15.75">
      <c r="A75" s="34"/>
      <c r="B75" s="78"/>
      <c r="C75" s="78"/>
      <c r="D75" s="78"/>
      <c r="E75" s="78"/>
      <c r="F75" s="34"/>
    </row>
    <row r="76" spans="1:6">
      <c r="A76" s="34"/>
      <c r="B76" s="34"/>
      <c r="C76" s="34"/>
      <c r="D76" s="34"/>
      <c r="E76" s="34"/>
      <c r="F76" s="34"/>
    </row>
    <row r="77" spans="1:6">
      <c r="A77" s="34"/>
      <c r="B77" s="34"/>
      <c r="C77" s="34"/>
      <c r="D77" s="34"/>
      <c r="E77" s="34"/>
      <c r="F77" s="34"/>
    </row>
    <row r="78" spans="1:6">
      <c r="A78" s="34"/>
      <c r="B78" s="34"/>
      <c r="C78" s="34"/>
      <c r="D78" s="34"/>
      <c r="E78" s="34"/>
      <c r="F78" s="34"/>
    </row>
    <row r="79" spans="1:6">
      <c r="A79" s="34"/>
      <c r="B79" s="34"/>
      <c r="C79" s="34"/>
      <c r="D79" s="34"/>
      <c r="E79" s="34"/>
      <c r="F79" s="34"/>
    </row>
    <row r="80" spans="1:6">
      <c r="A80" s="34"/>
      <c r="B80" s="34"/>
      <c r="C80" s="34"/>
      <c r="D80" s="34"/>
      <c r="E80" s="34"/>
      <c r="F80" s="34"/>
    </row>
  </sheetData>
  <mergeCells count="2">
    <mergeCell ref="B74:C74"/>
    <mergeCell ref="D74:E7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BR98"/>
  <sheetViews>
    <sheetView topLeftCell="O82" zoomScale="75" zoomScaleNormal="75" workbookViewId="0">
      <selection activeCell="AM104" sqref="AM104"/>
    </sheetView>
  </sheetViews>
  <sheetFormatPr defaultRowHeight="15"/>
  <cols>
    <col min="1" max="1" width="15.140625" customWidth="1"/>
    <col min="2" max="22" width="12.7109375" customWidth="1"/>
    <col min="23" max="42" width="16" customWidth="1"/>
    <col min="43" max="43" width="14.85546875" customWidth="1"/>
    <col min="44" max="51" width="14.7109375" customWidth="1"/>
    <col min="52" max="70" width="12.7109375" customWidth="1"/>
  </cols>
  <sheetData>
    <row r="1" spans="1:70">
      <c r="E1" s="15"/>
      <c r="G1" s="24"/>
      <c r="H1" s="24"/>
      <c r="I1" s="24"/>
      <c r="R1" s="27"/>
    </row>
    <row r="2" spans="1:70">
      <c r="E2" s="15"/>
      <c r="G2" s="24"/>
      <c r="H2" s="24"/>
      <c r="I2" s="24"/>
      <c r="R2" s="27"/>
    </row>
    <row r="3" spans="1:70">
      <c r="E3" s="15"/>
      <c r="G3" s="24"/>
      <c r="H3" s="24"/>
      <c r="I3" s="24"/>
      <c r="R3" s="27"/>
    </row>
    <row r="4" spans="1:70">
      <c r="E4" s="15"/>
      <c r="G4" s="24"/>
      <c r="H4" s="24"/>
      <c r="I4" s="24"/>
      <c r="R4" s="27"/>
    </row>
    <row r="5" spans="1:70">
      <c r="E5" s="15"/>
      <c r="G5" s="24"/>
      <c r="H5" s="24"/>
      <c r="I5" s="24"/>
      <c r="R5" s="27"/>
    </row>
    <row r="6" spans="1:70">
      <c r="E6" s="15"/>
      <c r="G6" s="24"/>
      <c r="H6" s="24"/>
      <c r="I6" s="24"/>
      <c r="R6" s="27"/>
    </row>
    <row r="7" spans="1:70">
      <c r="E7" s="15"/>
      <c r="G7" s="24"/>
      <c r="H7" s="24"/>
      <c r="I7" s="24"/>
      <c r="R7" s="27"/>
    </row>
    <row r="8" spans="1:70" ht="15.75">
      <c r="B8" s="20"/>
      <c r="E8" s="15"/>
      <c r="G8" s="24"/>
      <c r="H8" s="24"/>
      <c r="I8" s="24"/>
      <c r="R8" s="27"/>
    </row>
    <row r="9" spans="1:70" ht="21.75" thickBot="1">
      <c r="A9" s="35" t="s">
        <v>18</v>
      </c>
      <c r="E9" s="15"/>
      <c r="G9" s="24"/>
      <c r="H9" s="24"/>
      <c r="I9" s="24"/>
      <c r="R9" s="27"/>
      <c r="W9" s="35" t="s">
        <v>17</v>
      </c>
      <c r="AZ9" s="34"/>
      <c r="BA9" s="34"/>
    </row>
    <row r="10" spans="1:70" ht="54" customHeight="1" thickBot="1">
      <c r="A10" s="19" t="s">
        <v>15</v>
      </c>
      <c r="B10" s="2" t="s">
        <v>16</v>
      </c>
      <c r="C10" s="1" t="s">
        <v>13</v>
      </c>
      <c r="D10" s="2" t="s">
        <v>14</v>
      </c>
      <c r="E10" s="36" t="s">
        <v>0</v>
      </c>
      <c r="F10" s="4" t="s">
        <v>1</v>
      </c>
      <c r="G10" s="25" t="s">
        <v>24</v>
      </c>
      <c r="H10" s="26" t="s">
        <v>25</v>
      </c>
      <c r="I10" s="6" t="s">
        <v>26</v>
      </c>
      <c r="J10" s="6" t="s">
        <v>19</v>
      </c>
      <c r="K10" s="7" t="s">
        <v>6</v>
      </c>
      <c r="L10" s="8" t="s">
        <v>7</v>
      </c>
      <c r="M10" s="7" t="s">
        <v>8</v>
      </c>
      <c r="N10" s="2" t="s">
        <v>9</v>
      </c>
      <c r="O10" s="9" t="s">
        <v>10</v>
      </c>
      <c r="P10" s="2" t="s">
        <v>11</v>
      </c>
      <c r="Q10" s="10" t="s">
        <v>12</v>
      </c>
      <c r="R10" s="29" t="s">
        <v>21</v>
      </c>
      <c r="S10" s="2" t="s">
        <v>22</v>
      </c>
      <c r="T10" s="10" t="s">
        <v>23</v>
      </c>
      <c r="U10" s="62"/>
      <c r="V10" s="11"/>
      <c r="W10" s="19" t="s">
        <v>15</v>
      </c>
      <c r="X10" s="2" t="s">
        <v>16</v>
      </c>
      <c r="Y10" s="1" t="s">
        <v>13</v>
      </c>
      <c r="Z10" s="2" t="s">
        <v>14</v>
      </c>
      <c r="AA10" s="3" t="s">
        <v>0</v>
      </c>
      <c r="AB10" s="4" t="s">
        <v>1</v>
      </c>
      <c r="AC10" s="5" t="s">
        <v>2</v>
      </c>
      <c r="AD10" s="6" t="s">
        <v>3</v>
      </c>
      <c r="AE10" s="6" t="s">
        <v>26</v>
      </c>
      <c r="AF10" s="6" t="s">
        <v>19</v>
      </c>
      <c r="AG10" s="7" t="s">
        <v>6</v>
      </c>
      <c r="AH10" s="8" t="s">
        <v>7</v>
      </c>
      <c r="AI10" s="7" t="s">
        <v>8</v>
      </c>
      <c r="AJ10" s="2" t="s">
        <v>9</v>
      </c>
      <c r="AK10" s="9" t="s">
        <v>10</v>
      </c>
      <c r="AL10" s="2" t="s">
        <v>11</v>
      </c>
      <c r="AM10" s="10" t="s">
        <v>12</v>
      </c>
      <c r="AN10" s="29" t="s">
        <v>21</v>
      </c>
      <c r="AO10" s="2" t="s">
        <v>22</v>
      </c>
      <c r="AP10" s="10" t="s">
        <v>23</v>
      </c>
      <c r="AQ10" s="2" t="s">
        <v>41</v>
      </c>
      <c r="AR10" s="2" t="s">
        <v>42</v>
      </c>
      <c r="AS10" s="11"/>
      <c r="AT10" s="75" t="s">
        <v>13</v>
      </c>
      <c r="AU10" s="75" t="s">
        <v>14</v>
      </c>
      <c r="AV10" s="75" t="s">
        <v>46</v>
      </c>
      <c r="AW10" s="11" t="s">
        <v>44</v>
      </c>
      <c r="AX10" s="11" t="s">
        <v>45</v>
      </c>
      <c r="AZ10" s="2" t="s">
        <v>32</v>
      </c>
      <c r="BA10" s="2" t="s">
        <v>34</v>
      </c>
      <c r="BB10" s="12" t="s">
        <v>13</v>
      </c>
      <c r="BC10" s="2" t="s">
        <v>14</v>
      </c>
      <c r="BD10" s="33" t="s">
        <v>0</v>
      </c>
      <c r="BE10" s="4" t="s">
        <v>1</v>
      </c>
      <c r="BF10" s="23" t="s">
        <v>4</v>
      </c>
      <c r="BG10" s="23" t="s">
        <v>5</v>
      </c>
      <c r="BH10" s="23" t="s">
        <v>39</v>
      </c>
      <c r="BI10" s="23" t="s">
        <v>40</v>
      </c>
      <c r="BK10" s="12" t="s">
        <v>13</v>
      </c>
      <c r="BL10" s="2" t="s">
        <v>14</v>
      </c>
      <c r="BM10" s="33" t="s">
        <v>0</v>
      </c>
      <c r="BN10" s="4" t="s">
        <v>1</v>
      </c>
      <c r="BO10" s="66" t="s">
        <v>37</v>
      </c>
      <c r="BP10" s="66" t="s">
        <v>38</v>
      </c>
      <c r="BQ10" s="67" t="s">
        <v>36</v>
      </c>
      <c r="BR10" s="69" t="s">
        <v>35</v>
      </c>
    </row>
    <row r="11" spans="1:70">
      <c r="E11" s="15"/>
      <c r="G11" s="24"/>
      <c r="H11" s="24"/>
      <c r="I11" s="24"/>
      <c r="R11" s="27"/>
      <c r="AT11" s="15">
        <v>40521</v>
      </c>
      <c r="AU11" s="21">
        <v>0.20555555555555557</v>
      </c>
      <c r="AV11" s="76">
        <f>AT11+AU11</f>
        <v>40521.205555555556</v>
      </c>
      <c r="AW11">
        <v>-26.227</v>
      </c>
      <c r="AX11">
        <v>-103.977</v>
      </c>
      <c r="BB11" s="13">
        <f>(BD11+BE11)-(4/24)</f>
        <v>40520.463888888895</v>
      </c>
      <c r="BC11" s="14">
        <f>(BD11+BE11)-(5/24)</f>
        <v>40520.422222222223</v>
      </c>
      <c r="BD11" s="15">
        <v>40520</v>
      </c>
      <c r="BE11" s="21">
        <v>0.63055555555555554</v>
      </c>
      <c r="BF11" s="22">
        <v>-26.248799999999999</v>
      </c>
      <c r="BG11" s="22">
        <v>-103.9585</v>
      </c>
      <c r="BH11" s="70">
        <f>AVERAGE(BF11:BF13)</f>
        <v>-26.248466666666669</v>
      </c>
      <c r="BI11" s="70">
        <f>AVERAGE(BG11:BG13)</f>
        <v>-103.96</v>
      </c>
      <c r="BK11" s="13">
        <f>(BM11+BN11)-(4/24)</f>
        <v>40520.615972222222</v>
      </c>
      <c r="BL11" s="14">
        <f>(BM11+BN11)-(5/24)</f>
        <v>40520.57430555555</v>
      </c>
      <c r="BM11" s="15">
        <v>40520</v>
      </c>
      <c r="BN11" s="21">
        <v>0.78263888888888899</v>
      </c>
      <c r="BO11">
        <v>82</v>
      </c>
      <c r="BP11">
        <f>BO11+180</f>
        <v>262</v>
      </c>
      <c r="BQ11">
        <v>4.7</v>
      </c>
      <c r="BR11" s="68">
        <f>BQ11*1.943846</f>
        <v>9.1360761999999998</v>
      </c>
    </row>
    <row r="12" spans="1:70" ht="18.75">
      <c r="A12" s="20" t="s">
        <v>28</v>
      </c>
      <c r="B12">
        <v>232</v>
      </c>
      <c r="C12" s="13">
        <f>(E12+F12)-(5/24)</f>
        <v>40520.416666666664</v>
      </c>
      <c r="D12" s="14">
        <f>(E12+F12)-(5/24)</f>
        <v>40520.416666666664</v>
      </c>
      <c r="E12" s="15">
        <v>40520</v>
      </c>
      <c r="F12" s="21">
        <v>0.625</v>
      </c>
      <c r="G12">
        <v>-26.247070000000001</v>
      </c>
      <c r="H12">
        <v>-103.96102</v>
      </c>
      <c r="I12">
        <v>41</v>
      </c>
      <c r="J12">
        <v>1308</v>
      </c>
      <c r="K12" s="16">
        <f t="shared" ref="K12:K32" si="0">ACOS(SIN(RADIANS(G12))*SIN(RADIANS(G13))+COS(RADIANS(G12))*COS(RADIANS(G13))*COS(RADIANS(H13)-RADIANS(H12)))*6371.1</f>
        <v>1.759313303761856</v>
      </c>
      <c r="L12" s="16">
        <f t="shared" ref="L12:L32" si="1">L11+K12</f>
        <v>1.759313303761856</v>
      </c>
      <c r="M12" s="27">
        <f t="shared" ref="M12:M32" si="2">RADIANS(N12)</f>
        <v>5.3635231785678519</v>
      </c>
      <c r="N12" s="17">
        <f t="shared" ref="N12:N32" si="3">MOD(DEGREES(ATAN2(COS(RADIANS(G12))*SIN(RADIANS(G13))-SIN(RADIANS(G12))*COS(RADIANS(G13))*COS(RADIANS(H13)-RADIANS(H12)),SIN(RADIANS(H13)-RADIANS(H12))*COS(RADIANS(G13)))), 360)</f>
        <v>307.30724145253009</v>
      </c>
      <c r="O12" s="17">
        <f t="shared" ref="O12:O32" si="4">K12/((D13-D12)*24)</f>
        <v>0.58319778024204616</v>
      </c>
      <c r="P12" s="17">
        <f>(O12*1000*100)/3600</f>
        <v>16.199938340056839</v>
      </c>
      <c r="Q12" s="17">
        <f t="shared" ref="Q12:Q32" si="5">O12/1.852</f>
        <v>0.31490160920196875</v>
      </c>
      <c r="R12" s="31">
        <f>AVERAGE(Q12:Q16)</f>
        <v>0.19999959817333973</v>
      </c>
      <c r="S12" s="31">
        <f>STDEV(Q12:Q16)</f>
        <v>8.7027522321231329E-2</v>
      </c>
      <c r="T12" s="32">
        <f>S12/R12*100</f>
        <v>43.513848585737932</v>
      </c>
      <c r="U12" s="30"/>
      <c r="V12" s="18"/>
      <c r="W12" s="74" t="s">
        <v>28</v>
      </c>
      <c r="X12">
        <v>1732</v>
      </c>
      <c r="Y12" s="13">
        <f t="shared" ref="Y12:Y26" si="6">(AA12+AB12)-(5/24)</f>
        <v>40520.392361111109</v>
      </c>
      <c r="Z12" s="14">
        <f t="shared" ref="Z12:Z26" si="7">(AA12+AB12)-(5/24)</f>
        <v>40520.392361111109</v>
      </c>
      <c r="AA12" s="15">
        <v>40520</v>
      </c>
      <c r="AB12" s="21">
        <v>0.60069444444444442</v>
      </c>
      <c r="AC12">
        <v>-26.24868</v>
      </c>
      <c r="AD12">
        <v>-103.95914</v>
      </c>
      <c r="AE12">
        <v>41</v>
      </c>
      <c r="AF12">
        <v>1325</v>
      </c>
      <c r="AG12" s="16">
        <f t="shared" ref="AG12:AG26" si="8">ACOS(SIN(RADIANS(AC12))*SIN(RADIANS(AC13))+COS(RADIANS(AC12))*COS(RADIANS(AC13))*COS(RADIANS(AD13)-RADIANS(AD12)))*6371.1</f>
        <v>3.2203728413124556E-2</v>
      </c>
      <c r="AH12" s="16">
        <f t="shared" ref="AH12:AH26" si="9">AH11+AG12</f>
        <v>3.2203728413124556E-2</v>
      </c>
      <c r="AI12" s="27">
        <f t="shared" ref="AI12:AI26" si="10">RADIANS(AJ12)</f>
        <v>5.5751502843883518</v>
      </c>
      <c r="AJ12" s="17">
        <f t="shared" ref="AJ12:AJ26" si="11">MOD(DEGREES(ATAN2(COS(RADIANS(AC12))*SIN(RADIANS(AC13))-SIN(RADIANS(AC12))*COS(RADIANS(AC13))*COS(RADIANS(AD13)-RADIANS(AD12)),SIN(RADIANS(AD13)-RADIANS(AD12))*COS(RADIANS(AC13)))), 360)</f>
        <v>319.4325814466132</v>
      </c>
      <c r="AK12" s="17">
        <f t="shared" ref="AK12:AK26" si="12">AG12/((Z13-Z12)*24)</f>
        <v>0.19322237045625329</v>
      </c>
      <c r="AL12" s="17">
        <f>(AK12*1000*100)/3600</f>
        <v>5.3672880682292581</v>
      </c>
      <c r="AM12" s="17">
        <f t="shared" ref="AM12:AM26" si="13">AK12/1.852</f>
        <v>0.10433173350769616</v>
      </c>
      <c r="AN12" s="31">
        <f>AVERAGE(AM12:AM16)</f>
        <v>0.28171707275332902</v>
      </c>
      <c r="AO12" s="31">
        <f>STDEV(AM12:AM16)</f>
        <v>0.100520722310964</v>
      </c>
      <c r="AP12" s="32">
        <f>AO12/AN12*100</f>
        <v>35.681444979012596</v>
      </c>
      <c r="AQ12" s="71">
        <f>ACOS(SIN(RADIANS(AC67))*SIN(RADIANS($BH$11))+COS(RADIANS(AC67))*COS(RADIANS($BH$11))*COS(RADIANS($BI$11)-RADIANS(AD67)))*6371</f>
        <v>23.26981264669066</v>
      </c>
      <c r="AR12" s="72">
        <f>AQ12/1.854</f>
        <v>12.55113950738439</v>
      </c>
      <c r="AS12" s="72"/>
      <c r="AT12" s="15">
        <v>40523</v>
      </c>
      <c r="AU12" s="21">
        <v>8.7500000000000008E-2</v>
      </c>
      <c r="AV12" s="76">
        <f>AT12+AU12</f>
        <v>40523.087500000001</v>
      </c>
      <c r="AW12">
        <v>-26.132000000000001</v>
      </c>
      <c r="AX12">
        <v>-104.004</v>
      </c>
      <c r="AZ12" s="34">
        <f t="shared" ref="AZ12:AZ39" si="14">AK12*SIN(RADIANS(AJ12))</f>
        <v>-0.1256606904305223</v>
      </c>
      <c r="BA12" s="34">
        <f t="shared" ref="BA12:BA39" si="15">AK12*COS(RADIANS(AJ12))</f>
        <v>0.14677968294439808</v>
      </c>
      <c r="BB12" s="13">
        <f>(BD12+BE12)-(4/24)</f>
        <v>40521.475000000006</v>
      </c>
      <c r="BC12" s="14">
        <f>(BD12+BE12)-(5/24)</f>
        <v>40521.433333333334</v>
      </c>
      <c r="BD12" s="15">
        <v>40521</v>
      </c>
      <c r="BE12" s="21">
        <v>0.64166666666666672</v>
      </c>
      <c r="BF12" s="22">
        <v>-26.2483</v>
      </c>
      <c r="BG12" s="22">
        <v>-103.96075</v>
      </c>
      <c r="BK12" s="13">
        <f>(BM12+BN12)-(4/24)</f>
        <v>40521.475000000006</v>
      </c>
      <c r="BL12" s="14">
        <f>(BM12+BN12)-(5/24)</f>
        <v>40521.433333333334</v>
      </c>
      <c r="BM12" s="15">
        <v>40521</v>
      </c>
      <c r="BN12" s="21">
        <v>0.64166666666666672</v>
      </c>
      <c r="BO12">
        <v>121</v>
      </c>
      <c r="BP12">
        <f>BO12+180</f>
        <v>301</v>
      </c>
      <c r="BQ12">
        <v>6.5</v>
      </c>
      <c r="BR12" s="68">
        <f>BQ12*1.943846</f>
        <v>12.634999000000001</v>
      </c>
    </row>
    <row r="13" spans="1:70">
      <c r="B13">
        <v>233</v>
      </c>
      <c r="C13" s="13">
        <f>(E13+F13)-(5/24)</f>
        <v>40520.542361111111</v>
      </c>
      <c r="D13" s="14">
        <f>(E13+F13)-(5/24)</f>
        <v>40520.542361111111</v>
      </c>
      <c r="E13" s="15">
        <v>40520</v>
      </c>
      <c r="F13" s="21">
        <v>0.75069444444444444</v>
      </c>
      <c r="G13">
        <v>-26.237480000000001</v>
      </c>
      <c r="H13">
        <v>-103.97505</v>
      </c>
      <c r="I13">
        <v>38</v>
      </c>
      <c r="J13">
        <v>1292</v>
      </c>
      <c r="K13" s="16">
        <f t="shared" si="0"/>
        <v>1.5100648770733993</v>
      </c>
      <c r="L13" s="16">
        <f t="shared" si="1"/>
        <v>3.2693781808352553</v>
      </c>
      <c r="M13" s="27">
        <f t="shared" si="2"/>
        <v>5.2530231398833518</v>
      </c>
      <c r="N13" s="17">
        <f t="shared" si="3"/>
        <v>300.97605559987591</v>
      </c>
      <c r="O13" s="17">
        <f t="shared" si="4"/>
        <v>0.50335495902446648</v>
      </c>
      <c r="P13" s="17">
        <f t="shared" ref="P13:P32" si="16">(O13*1000*100)/3600</f>
        <v>13.98208219512407</v>
      </c>
      <c r="Q13" s="17">
        <f t="shared" si="5"/>
        <v>0.27178993467843759</v>
      </c>
      <c r="X13">
        <v>1733</v>
      </c>
      <c r="Y13" s="13">
        <f t="shared" si="6"/>
        <v>40520.399305555555</v>
      </c>
      <c r="Z13" s="14">
        <f t="shared" si="7"/>
        <v>40520.399305555555</v>
      </c>
      <c r="AA13" s="15">
        <v>40520</v>
      </c>
      <c r="AB13" s="21">
        <v>0.60763888888888895</v>
      </c>
      <c r="AC13">
        <v>-26.248460000000001</v>
      </c>
      <c r="AD13">
        <v>-103.95935</v>
      </c>
      <c r="AE13">
        <v>42</v>
      </c>
      <c r="AF13">
        <v>1325</v>
      </c>
      <c r="AG13" s="16">
        <f t="shared" si="8"/>
        <v>0.20870083921444987</v>
      </c>
      <c r="AH13" s="16">
        <f t="shared" si="9"/>
        <v>0.24090456762757442</v>
      </c>
      <c r="AI13" s="27">
        <f t="shared" si="10"/>
        <v>5.4701725060542588</v>
      </c>
      <c r="AJ13" s="17">
        <f t="shared" si="11"/>
        <v>313.4177978054098</v>
      </c>
      <c r="AK13" s="17">
        <f t="shared" si="12"/>
        <v>0.59628811218011946</v>
      </c>
      <c r="AL13" s="17">
        <f>(AK13*1000*100)/3600</f>
        <v>16.563558671669988</v>
      </c>
      <c r="AM13" s="17">
        <f t="shared" si="13"/>
        <v>0.32196982299142518</v>
      </c>
      <c r="AN13" s="31"/>
      <c r="AO13" s="31"/>
      <c r="AP13" s="32"/>
      <c r="AV13" s="76"/>
      <c r="AZ13" s="34">
        <f t="shared" si="14"/>
        <v>-0.43312055211846545</v>
      </c>
      <c r="BA13" s="34">
        <f t="shared" si="15"/>
        <v>0.4098366748595425</v>
      </c>
      <c r="BB13" s="13">
        <f>(BD13+BE13)-(4/24)</f>
        <v>40521.588888888895</v>
      </c>
      <c r="BC13" s="14">
        <f>(BD13+BE13)-(5/24)</f>
        <v>40521.547222222223</v>
      </c>
      <c r="BD13" s="15">
        <v>40521</v>
      </c>
      <c r="BE13" s="21">
        <v>0.75555555555555554</v>
      </c>
      <c r="BF13">
        <v>-26.2483</v>
      </c>
      <c r="BG13">
        <v>-103.96075</v>
      </c>
      <c r="BK13" s="13">
        <f>(BM13+BN13)-(4/24)</f>
        <v>40521.588888888895</v>
      </c>
      <c r="BL13" s="14">
        <f>(BM13+BN13)-(5/24)</f>
        <v>40521.547222222223</v>
      </c>
      <c r="BM13" s="15">
        <v>40521</v>
      </c>
      <c r="BN13" s="21">
        <v>0.75555555555555554</v>
      </c>
      <c r="BO13">
        <v>101</v>
      </c>
      <c r="BP13">
        <f>BO13+180</f>
        <v>281</v>
      </c>
      <c r="BQ13">
        <v>7.1</v>
      </c>
      <c r="BR13" s="68">
        <f>BQ13*1.943846</f>
        <v>13.801306599999998</v>
      </c>
    </row>
    <row r="14" spans="1:70">
      <c r="B14">
        <v>234</v>
      </c>
      <c r="C14" s="13">
        <f>(E14+F14)-(5/24)</f>
        <v>40520.667361111111</v>
      </c>
      <c r="D14" s="14">
        <f>(E14+F14)-(5/24)</f>
        <v>40520.667361111111</v>
      </c>
      <c r="E14" s="15">
        <v>40520</v>
      </c>
      <c r="F14" s="21">
        <v>0.87569444444444444</v>
      </c>
      <c r="G14">
        <v>-26.23049</v>
      </c>
      <c r="H14">
        <v>-103.98802999999999</v>
      </c>
      <c r="I14">
        <v>38</v>
      </c>
      <c r="J14">
        <v>1295</v>
      </c>
      <c r="K14" s="16">
        <f t="shared" si="0"/>
        <v>0.79169582405976913</v>
      </c>
      <c r="L14" s="16">
        <f t="shared" si="1"/>
        <v>4.0610740048950245</v>
      </c>
      <c r="M14" s="27">
        <f t="shared" si="2"/>
        <v>4.4378490125281758</v>
      </c>
      <c r="N14" s="17">
        <f t="shared" si="3"/>
        <v>254.27001853416445</v>
      </c>
      <c r="O14" s="17">
        <f t="shared" si="4"/>
        <v>0.26389860801992304</v>
      </c>
      <c r="P14" s="17">
        <f t="shared" si="16"/>
        <v>7.3305168894423058</v>
      </c>
      <c r="Q14" s="17">
        <f t="shared" si="5"/>
        <v>0.1424938488228526</v>
      </c>
      <c r="X14">
        <v>1734</v>
      </c>
      <c r="Y14" s="13">
        <f t="shared" si="6"/>
        <v>40520.413888888885</v>
      </c>
      <c r="Z14" s="14">
        <f t="shared" si="7"/>
        <v>40520.413888888885</v>
      </c>
      <c r="AA14" s="15">
        <v>40520</v>
      </c>
      <c r="AB14" s="21">
        <v>0.62222222222222223</v>
      </c>
      <c r="AC14">
        <v>-26.247170000000001</v>
      </c>
      <c r="AD14">
        <v>-103.96087</v>
      </c>
      <c r="AE14">
        <v>42</v>
      </c>
      <c r="AF14">
        <v>1325</v>
      </c>
      <c r="AG14" s="16">
        <f t="shared" si="8"/>
        <v>9.5992501390880391E-2</v>
      </c>
      <c r="AH14" s="16">
        <f t="shared" si="9"/>
        <v>0.33689706901845484</v>
      </c>
      <c r="AI14" s="27">
        <f t="shared" si="10"/>
        <v>5.301983873735467</v>
      </c>
      <c r="AJ14" s="17">
        <f t="shared" si="11"/>
        <v>303.78129901146542</v>
      </c>
      <c r="AK14" s="17">
        <f t="shared" si="12"/>
        <v>0.57595500827823232</v>
      </c>
      <c r="AL14" s="17">
        <f t="shared" ref="AL14:AL77" si="17">(AK14*1000*100)/3600</f>
        <v>15.998750229950897</v>
      </c>
      <c r="AM14" s="17">
        <f t="shared" si="13"/>
        <v>0.3109908252042291</v>
      </c>
      <c r="AN14" s="31"/>
      <c r="AV14" s="76"/>
      <c r="AZ14" s="34">
        <f t="shared" si="14"/>
        <v>-0.47871421837189582</v>
      </c>
      <c r="BA14" s="34">
        <f t="shared" si="15"/>
        <v>0.32024501352771051</v>
      </c>
      <c r="BD14" s="15">
        <v>40522</v>
      </c>
      <c r="BK14" s="13">
        <f>(BM14+BN14)-(4/24)</f>
        <v>40523.454861111117</v>
      </c>
      <c r="BL14" s="14">
        <f>(BM14+BN14)-(5/24)</f>
        <v>40523.413194444445</v>
      </c>
      <c r="BM14" s="15">
        <v>40523</v>
      </c>
      <c r="BN14" s="21">
        <v>0.62152777777777779</v>
      </c>
      <c r="BO14">
        <v>81</v>
      </c>
      <c r="BP14">
        <f>BO14+180</f>
        <v>261</v>
      </c>
      <c r="BQ14">
        <v>8.6</v>
      </c>
      <c r="BR14" s="68">
        <f>BQ14*1.943846</f>
        <v>16.717075599999998</v>
      </c>
    </row>
    <row r="15" spans="1:70">
      <c r="B15">
        <v>235</v>
      </c>
      <c r="C15" s="13">
        <f>(E15+F15)-(5/24)</f>
        <v>40520.792361111111</v>
      </c>
      <c r="D15" s="14">
        <f>(E15+F15)-(5/24)</f>
        <v>40520.792361111111</v>
      </c>
      <c r="E15" s="15">
        <v>40521</v>
      </c>
      <c r="F15" s="21">
        <v>6.9444444444444447E-4</v>
      </c>
      <c r="G15">
        <v>-26.232420000000001</v>
      </c>
      <c r="H15">
        <v>-103.99567</v>
      </c>
      <c r="I15">
        <v>38</v>
      </c>
      <c r="J15">
        <v>1295</v>
      </c>
      <c r="K15" s="16">
        <f t="shared" si="0"/>
        <v>0.81436277727639761</v>
      </c>
      <c r="L15" s="16">
        <f t="shared" si="1"/>
        <v>4.8754367821714224</v>
      </c>
      <c r="M15" s="27">
        <f t="shared" si="2"/>
        <v>5.8073216281839422</v>
      </c>
      <c r="N15" s="17">
        <f t="shared" si="3"/>
        <v>332.73501956998138</v>
      </c>
      <c r="O15" s="17">
        <f t="shared" si="4"/>
        <v>0.27297076333784154</v>
      </c>
      <c r="P15" s="17">
        <f t="shared" si="16"/>
        <v>7.5825212038289322</v>
      </c>
      <c r="Q15" s="17">
        <f t="shared" si="5"/>
        <v>0.14739242080876971</v>
      </c>
      <c r="X15">
        <v>1735</v>
      </c>
      <c r="Y15" s="13">
        <f t="shared" si="6"/>
        <v>40520.42083333333</v>
      </c>
      <c r="Z15" s="14">
        <f t="shared" si="7"/>
        <v>40520.42083333333</v>
      </c>
      <c r="AA15" s="15">
        <v>40520</v>
      </c>
      <c r="AB15" s="21">
        <v>0.62916666666666665</v>
      </c>
      <c r="AC15">
        <v>-26.246690000000001</v>
      </c>
      <c r="AD15">
        <v>-103.96167</v>
      </c>
      <c r="AE15">
        <v>41</v>
      </c>
      <c r="AF15">
        <v>1338</v>
      </c>
      <c r="AG15" s="16">
        <f t="shared" si="8"/>
        <v>0.10920202833883186</v>
      </c>
      <c r="AH15" s="16">
        <f t="shared" si="9"/>
        <v>0.4460990973572867</v>
      </c>
      <c r="AI15" s="27">
        <f t="shared" si="10"/>
        <v>5.4772247598101478</v>
      </c>
      <c r="AJ15" s="17">
        <f t="shared" si="11"/>
        <v>313.82186218167749</v>
      </c>
      <c r="AK15" s="17">
        <f t="shared" si="12"/>
        <v>0.65521216995671439</v>
      </c>
      <c r="AL15" s="17">
        <f t="shared" si="17"/>
        <v>18.200338054353178</v>
      </c>
      <c r="AM15" s="17">
        <f t="shared" si="13"/>
        <v>0.35378626887511572</v>
      </c>
      <c r="AN15" s="31"/>
      <c r="AR15" s="34"/>
      <c r="AS15" s="34"/>
      <c r="AT15" s="34"/>
      <c r="AU15" s="34"/>
      <c r="AV15" s="77"/>
      <c r="AW15" s="34"/>
      <c r="AZ15" s="34">
        <f t="shared" si="14"/>
        <v>-0.47273300992019873</v>
      </c>
      <c r="BA15" s="34">
        <f t="shared" si="15"/>
        <v>0.45368104323541625</v>
      </c>
      <c r="BK15" s="115">
        <f>(BM15+BN15)-(4/24)</f>
        <v>40523.563194444447</v>
      </c>
      <c r="BL15" s="116">
        <f>(BM15+BN15)-(5/24)</f>
        <v>40523.521527777775</v>
      </c>
      <c r="BM15" s="15">
        <v>40523</v>
      </c>
      <c r="BN15" s="21">
        <v>0.72986111111111107</v>
      </c>
      <c r="BO15">
        <v>84</v>
      </c>
      <c r="BP15" s="73">
        <f>BO15+180</f>
        <v>264</v>
      </c>
      <c r="BQ15">
        <v>8.6</v>
      </c>
      <c r="BR15" s="117">
        <f>BQ15*1.943846</f>
        <v>16.717075599999998</v>
      </c>
    </row>
    <row r="16" spans="1:70">
      <c r="B16">
        <v>236</v>
      </c>
      <c r="C16" s="13">
        <f>(E16+F16)-(5/24)</f>
        <v>40520.916666666664</v>
      </c>
      <c r="D16" s="14">
        <f>(E16+F16)-(5/24)</f>
        <v>40520.916666666664</v>
      </c>
      <c r="E16" s="15">
        <v>40521</v>
      </c>
      <c r="F16" s="21">
        <v>0.125</v>
      </c>
      <c r="G16">
        <v>-26.225909999999999</v>
      </c>
      <c r="H16">
        <v>-103.99941</v>
      </c>
      <c r="I16">
        <v>40</v>
      </c>
      <c r="J16">
        <v>1292</v>
      </c>
      <c r="K16" s="16">
        <f t="shared" si="0"/>
        <v>0.68953207486931167</v>
      </c>
      <c r="L16" s="16">
        <f t="shared" si="1"/>
        <v>5.5649688570407339</v>
      </c>
      <c r="M16" s="27">
        <f t="shared" si="2"/>
        <v>5.7404603645466938</v>
      </c>
      <c r="N16" s="17">
        <f t="shared" si="3"/>
        <v>328.90415135065552</v>
      </c>
      <c r="O16" s="17">
        <f t="shared" si="4"/>
        <v>0.2285741684608488</v>
      </c>
      <c r="P16" s="17">
        <f t="shared" si="16"/>
        <v>6.3492824572458</v>
      </c>
      <c r="Q16" s="17">
        <f t="shared" si="5"/>
        <v>0.12342017735466997</v>
      </c>
      <c r="X16">
        <v>1736</v>
      </c>
      <c r="Y16" s="13">
        <f t="shared" si="6"/>
        <v>40520.427777777775</v>
      </c>
      <c r="Z16" s="14">
        <f t="shared" si="7"/>
        <v>40520.427777777775</v>
      </c>
      <c r="AA16" s="15">
        <v>40520</v>
      </c>
      <c r="AB16" s="21">
        <v>0.63611111111111118</v>
      </c>
      <c r="AC16">
        <v>-26.246009999999998</v>
      </c>
      <c r="AD16">
        <v>-103.96245999999999</v>
      </c>
      <c r="AE16">
        <v>40</v>
      </c>
      <c r="AF16">
        <v>1325</v>
      </c>
      <c r="AG16" s="16">
        <f t="shared" si="8"/>
        <v>9.8003738815493735E-2</v>
      </c>
      <c r="AH16" s="16">
        <f t="shared" si="9"/>
        <v>0.54410283617278044</v>
      </c>
      <c r="AI16" s="27">
        <f t="shared" si="10"/>
        <v>5.4458193411522942</v>
      </c>
      <c r="AJ16" s="17">
        <f t="shared" si="11"/>
        <v>312.02246423874107</v>
      </c>
      <c r="AK16" s="17">
        <f t="shared" si="12"/>
        <v>0.58802243282450761</v>
      </c>
      <c r="AL16" s="17">
        <f t="shared" si="17"/>
        <v>16.333956467347434</v>
      </c>
      <c r="AM16" s="17">
        <f t="shared" si="13"/>
        <v>0.31750671318817902</v>
      </c>
      <c r="AN16" s="31"/>
      <c r="AR16" s="34"/>
      <c r="AS16" s="34"/>
      <c r="AT16" s="34"/>
      <c r="AU16" s="34"/>
      <c r="AV16" s="77"/>
      <c r="AW16" s="34"/>
      <c r="AZ16" s="34">
        <f t="shared" si="14"/>
        <v>-0.43683152734018987</v>
      </c>
      <c r="BA16" s="34">
        <f t="shared" si="15"/>
        <v>0.39363510796991869</v>
      </c>
    </row>
    <row r="17" spans="2:53">
      <c r="B17">
        <v>237</v>
      </c>
      <c r="C17" s="13">
        <f t="shared" ref="C17:C33" si="18">(E17+F17)-(5/24)</f>
        <v>40521.042361111111</v>
      </c>
      <c r="D17" s="14">
        <f t="shared" ref="D17:D33" si="19">(E17+F17)-(5/24)</f>
        <v>40521.042361111111</v>
      </c>
      <c r="E17" s="15">
        <v>40521</v>
      </c>
      <c r="F17" s="21">
        <v>0.25069444444444444</v>
      </c>
      <c r="G17">
        <v>-26.220600000000001</v>
      </c>
      <c r="H17">
        <v>-104.00297999999999</v>
      </c>
      <c r="I17">
        <v>40</v>
      </c>
      <c r="J17">
        <v>1299</v>
      </c>
      <c r="K17" s="16">
        <f t="shared" si="0"/>
        <v>5.0122662540416565</v>
      </c>
      <c r="L17" s="16">
        <f t="shared" si="1"/>
        <v>10.577235111082391</v>
      </c>
      <c r="M17" s="27">
        <f t="shared" si="2"/>
        <v>5.8642991098804149</v>
      </c>
      <c r="N17" s="17">
        <f t="shared" si="3"/>
        <v>335.99958879847316</v>
      </c>
      <c r="O17" s="17">
        <f t="shared" si="4"/>
        <v>0.55691847267129513</v>
      </c>
      <c r="P17" s="17">
        <f t="shared" si="16"/>
        <v>15.469957574202644</v>
      </c>
      <c r="Q17" s="17">
        <f t="shared" si="5"/>
        <v>0.30071191828903621</v>
      </c>
      <c r="X17">
        <v>1737</v>
      </c>
      <c r="Y17" s="13">
        <f t="shared" si="6"/>
        <v>40520.43472222222</v>
      </c>
      <c r="Z17" s="14">
        <f t="shared" si="7"/>
        <v>40520.43472222222</v>
      </c>
      <c r="AA17" s="15">
        <v>40520</v>
      </c>
      <c r="AB17" s="21">
        <v>0.6430555555555556</v>
      </c>
      <c r="AC17">
        <v>-26.245419999999999</v>
      </c>
      <c r="AD17">
        <v>-103.96319</v>
      </c>
      <c r="AE17">
        <v>42</v>
      </c>
      <c r="AF17">
        <v>1331</v>
      </c>
      <c r="AG17" s="16">
        <f t="shared" si="8"/>
        <v>0.10198146718177131</v>
      </c>
      <c r="AH17" s="16">
        <f t="shared" si="9"/>
        <v>0.6460843033545518</v>
      </c>
      <c r="AI17" s="27">
        <f t="shared" si="10"/>
        <v>5.5156675435390525</v>
      </c>
      <c r="AJ17" s="17">
        <f t="shared" si="11"/>
        <v>316.02447144207792</v>
      </c>
      <c r="AK17" s="17">
        <f t="shared" si="12"/>
        <v>0.61188880301939463</v>
      </c>
      <c r="AL17" s="17">
        <f t="shared" si="17"/>
        <v>16.996911194983184</v>
      </c>
      <c r="AM17" s="17">
        <f t="shared" si="13"/>
        <v>0.33039352214870121</v>
      </c>
      <c r="AR17" s="34"/>
      <c r="AS17" s="34"/>
      <c r="AT17" s="34"/>
      <c r="AU17" s="34"/>
      <c r="AV17" s="77"/>
      <c r="AW17" s="34"/>
      <c r="AZ17" s="34">
        <f t="shared" si="14"/>
        <v>-0.42486564624407952</v>
      </c>
      <c r="BA17" s="34">
        <f t="shared" si="15"/>
        <v>0.44033747274347229</v>
      </c>
    </row>
    <row r="18" spans="2:53">
      <c r="B18">
        <v>240</v>
      </c>
      <c r="C18" s="13">
        <f t="shared" si="18"/>
        <v>40521.417361111111</v>
      </c>
      <c r="D18" s="14">
        <f t="shared" si="19"/>
        <v>40521.417361111111</v>
      </c>
      <c r="E18" s="15">
        <v>40521</v>
      </c>
      <c r="F18" s="21">
        <v>0.62569444444444444</v>
      </c>
      <c r="G18">
        <v>-26.17942</v>
      </c>
      <c r="H18">
        <v>-104.02341</v>
      </c>
      <c r="I18">
        <v>40</v>
      </c>
      <c r="J18">
        <v>1299</v>
      </c>
      <c r="K18" s="16">
        <f t="shared" si="0"/>
        <v>1.8364650114360548</v>
      </c>
      <c r="L18" s="16">
        <f t="shared" si="1"/>
        <v>12.413700122518446</v>
      </c>
      <c r="M18" s="27">
        <f t="shared" si="2"/>
        <v>5.3112059194981951</v>
      </c>
      <c r="N18" s="17">
        <f t="shared" si="3"/>
        <v>304.30968331214626</v>
      </c>
      <c r="O18" s="17">
        <f t="shared" si="4"/>
        <v>0.60877293199202909</v>
      </c>
      <c r="P18" s="17">
        <f t="shared" si="16"/>
        <v>16.910359222000807</v>
      </c>
      <c r="Q18" s="17">
        <f t="shared" si="5"/>
        <v>0.3287110863887846</v>
      </c>
      <c r="X18">
        <v>1738</v>
      </c>
      <c r="Y18" s="13">
        <f t="shared" si="6"/>
        <v>40520.441666666666</v>
      </c>
      <c r="Z18" s="14">
        <f t="shared" si="7"/>
        <v>40520.441666666666</v>
      </c>
      <c r="AA18" s="15">
        <v>40520</v>
      </c>
      <c r="AB18" s="21">
        <v>0.65</v>
      </c>
      <c r="AC18">
        <v>-26.244759999999999</v>
      </c>
      <c r="AD18">
        <v>-103.9639</v>
      </c>
      <c r="AE18">
        <v>44</v>
      </c>
      <c r="AF18">
        <v>1335</v>
      </c>
      <c r="AG18" s="16">
        <f t="shared" si="8"/>
        <v>0.1017636018155494</v>
      </c>
      <c r="AH18" s="16">
        <f t="shared" si="9"/>
        <v>0.74784790517010125</v>
      </c>
      <c r="AI18" s="27">
        <f t="shared" si="10"/>
        <v>5.4130044601954381</v>
      </c>
      <c r="AJ18" s="17">
        <f t="shared" si="11"/>
        <v>310.14231005468901</v>
      </c>
      <c r="AK18" s="17">
        <f t="shared" si="12"/>
        <v>0.55507419202665087</v>
      </c>
      <c r="AL18" s="17">
        <f t="shared" si="17"/>
        <v>15.418727556295858</v>
      </c>
      <c r="AM18" s="17">
        <f t="shared" si="13"/>
        <v>0.29971608640747888</v>
      </c>
      <c r="AR18" s="34"/>
      <c r="AS18" s="34"/>
      <c r="AT18" s="34"/>
      <c r="AU18" s="34"/>
      <c r="AV18" s="77"/>
      <c r="AW18" s="34"/>
      <c r="AZ18" s="34">
        <f t="shared" si="14"/>
        <v>-0.42432399016541689</v>
      </c>
      <c r="BA18" s="34">
        <f t="shared" si="15"/>
        <v>0.35784984284492632</v>
      </c>
    </row>
    <row r="19" spans="2:53">
      <c r="B19">
        <v>241</v>
      </c>
      <c r="C19" s="13">
        <f t="shared" si="18"/>
        <v>40521.54305555555</v>
      </c>
      <c r="D19" s="14">
        <f t="shared" si="19"/>
        <v>40521.54305555555</v>
      </c>
      <c r="E19" s="15">
        <v>40521</v>
      </c>
      <c r="F19" s="21">
        <v>0.75138888888888899</v>
      </c>
      <c r="G19">
        <v>-26.170110000000001</v>
      </c>
      <c r="H19">
        <v>-104.03861000000001</v>
      </c>
      <c r="I19">
        <v>41</v>
      </c>
      <c r="J19">
        <v>1299</v>
      </c>
      <c r="K19" s="16">
        <f t="shared" si="0"/>
        <v>1.6356407964878155</v>
      </c>
      <c r="L19" s="16">
        <f t="shared" si="1"/>
        <v>14.04934091900626</v>
      </c>
      <c r="M19" s="27">
        <f t="shared" si="2"/>
        <v>4.9969268866755137</v>
      </c>
      <c r="N19" s="17">
        <f t="shared" si="3"/>
        <v>286.30282114195313</v>
      </c>
      <c r="O19" s="17">
        <f t="shared" si="4"/>
        <v>0.55133959430947566</v>
      </c>
      <c r="P19" s="17">
        <f t="shared" si="16"/>
        <v>15.314988730818769</v>
      </c>
      <c r="Q19" s="17">
        <f t="shared" si="5"/>
        <v>0.2976995649619199</v>
      </c>
      <c r="X19">
        <v>1740</v>
      </c>
      <c r="Y19" s="13">
        <f t="shared" si="6"/>
        <v>40520.44930555555</v>
      </c>
      <c r="Z19" s="14">
        <f t="shared" si="7"/>
        <v>40520.44930555555</v>
      </c>
      <c r="AA19" s="15">
        <v>40520</v>
      </c>
      <c r="AB19" s="21">
        <v>0.65763888888888888</v>
      </c>
      <c r="AC19">
        <v>-26.24417</v>
      </c>
      <c r="AD19">
        <v>-103.96468</v>
      </c>
      <c r="AE19">
        <v>43</v>
      </c>
      <c r="AF19">
        <v>1328</v>
      </c>
      <c r="AG19" s="16">
        <f t="shared" si="8"/>
        <v>0.69130582617184089</v>
      </c>
      <c r="AH19" s="16">
        <f t="shared" si="9"/>
        <v>1.4391537313419422</v>
      </c>
      <c r="AI19" s="27">
        <f t="shared" si="10"/>
        <v>5.3618782506357974</v>
      </c>
      <c r="AJ19" s="17">
        <f t="shared" si="11"/>
        <v>307.2129940244202</v>
      </c>
      <c r="AK19" s="17">
        <f t="shared" si="12"/>
        <v>0.61907984425124041</v>
      </c>
      <c r="AL19" s="17">
        <f t="shared" si="17"/>
        <v>17.196662340312233</v>
      </c>
      <c r="AM19" s="17">
        <f t="shared" si="13"/>
        <v>0.33427637378576697</v>
      </c>
      <c r="AV19" s="76"/>
      <c r="AZ19" s="34">
        <f t="shared" si="14"/>
        <v>-0.49303071907778401</v>
      </c>
      <c r="BA19" s="34">
        <f t="shared" si="15"/>
        <v>0.37440694919269768</v>
      </c>
    </row>
    <row r="20" spans="2:53">
      <c r="B20">
        <v>242</v>
      </c>
      <c r="C20" s="13">
        <f t="shared" si="18"/>
        <v>40521.666666666664</v>
      </c>
      <c r="D20" s="14">
        <f t="shared" si="19"/>
        <v>40521.666666666664</v>
      </c>
      <c r="E20" s="15">
        <v>40521</v>
      </c>
      <c r="F20" s="21">
        <v>0.875</v>
      </c>
      <c r="G20">
        <v>-26.165980000000001</v>
      </c>
      <c r="H20">
        <v>-104.05434</v>
      </c>
      <c r="I20">
        <v>41</v>
      </c>
      <c r="J20">
        <v>1299</v>
      </c>
      <c r="K20" s="16">
        <f t="shared" si="0"/>
        <v>1.2026681625398865</v>
      </c>
      <c r="L20" s="16">
        <f t="shared" si="1"/>
        <v>15.252009081546147</v>
      </c>
      <c r="M20" s="27">
        <f t="shared" si="2"/>
        <v>4.7225131994818446</v>
      </c>
      <c r="N20" s="17">
        <f t="shared" si="3"/>
        <v>270.58007502513271</v>
      </c>
      <c r="O20" s="17">
        <f t="shared" si="4"/>
        <v>0.39648400963715674</v>
      </c>
      <c r="P20" s="17">
        <f t="shared" si="16"/>
        <v>11.013444712143244</v>
      </c>
      <c r="Q20" s="17">
        <f t="shared" si="5"/>
        <v>0.21408423846498742</v>
      </c>
      <c r="X20">
        <v>1742</v>
      </c>
      <c r="Y20" s="13">
        <f t="shared" si="6"/>
        <v>40520.495833333334</v>
      </c>
      <c r="Z20" s="14">
        <f t="shared" si="7"/>
        <v>40520.495833333334</v>
      </c>
      <c r="AA20" s="15">
        <v>40520</v>
      </c>
      <c r="AB20" s="21">
        <v>0.70416666666666661</v>
      </c>
      <c r="AC20">
        <v>-26.240410000000001</v>
      </c>
      <c r="AD20">
        <v>-103.97020000000001</v>
      </c>
      <c r="AE20">
        <v>42</v>
      </c>
      <c r="AF20">
        <v>1331</v>
      </c>
      <c r="AG20" s="16">
        <f t="shared" si="8"/>
        <v>1.1139184717407158</v>
      </c>
      <c r="AH20" s="16">
        <f t="shared" si="9"/>
        <v>2.553072203082658</v>
      </c>
      <c r="AI20" s="27">
        <f t="shared" si="10"/>
        <v>5.3520512081748013</v>
      </c>
      <c r="AJ20" s="17">
        <f t="shared" si="11"/>
        <v>306.64994596630925</v>
      </c>
      <c r="AK20" s="17">
        <f t="shared" si="12"/>
        <v>1.0608747350617305</v>
      </c>
      <c r="AL20" s="17">
        <f t="shared" si="17"/>
        <v>29.468742640603622</v>
      </c>
      <c r="AM20" s="17">
        <f t="shared" si="13"/>
        <v>0.57282653081086954</v>
      </c>
      <c r="AV20" s="76"/>
      <c r="AZ20" s="34">
        <f t="shared" si="14"/>
        <v>-0.85113707152811136</v>
      </c>
      <c r="BA20" s="34">
        <f t="shared" si="15"/>
        <v>0.63326210131575644</v>
      </c>
    </row>
    <row r="21" spans="2:53">
      <c r="B21">
        <v>243</v>
      </c>
      <c r="C21" s="13">
        <f t="shared" si="18"/>
        <v>40521.79305555555</v>
      </c>
      <c r="D21" s="14">
        <f t="shared" si="19"/>
        <v>40521.79305555555</v>
      </c>
      <c r="E21" s="15">
        <v>40522</v>
      </c>
      <c r="F21" s="21">
        <v>1.3888888888888889E-3</v>
      </c>
      <c r="G21">
        <v>-26.165870000000002</v>
      </c>
      <c r="H21">
        <v>-104.06639</v>
      </c>
      <c r="I21">
        <v>40</v>
      </c>
      <c r="J21">
        <v>1308</v>
      </c>
      <c r="K21" s="16">
        <f t="shared" si="0"/>
        <v>0.95188430666219181</v>
      </c>
      <c r="L21" s="16">
        <f t="shared" si="1"/>
        <v>16.203893388208339</v>
      </c>
      <c r="M21" s="27">
        <f t="shared" si="2"/>
        <v>5.161906510275708</v>
      </c>
      <c r="N21" s="17">
        <f t="shared" si="3"/>
        <v>295.75545727990118</v>
      </c>
      <c r="O21" s="17">
        <f t="shared" si="4"/>
        <v>0.32085987864304216</v>
      </c>
      <c r="P21" s="17">
        <f t="shared" si="16"/>
        <v>8.9127744067511721</v>
      </c>
      <c r="Q21" s="17">
        <f t="shared" si="5"/>
        <v>0.17325047442928843</v>
      </c>
      <c r="X21">
        <v>1744</v>
      </c>
      <c r="Y21" s="13">
        <f t="shared" si="6"/>
        <v>40520.539583333331</v>
      </c>
      <c r="Z21" s="14">
        <f t="shared" si="7"/>
        <v>40520.539583333331</v>
      </c>
      <c r="AA21" s="15">
        <v>40520</v>
      </c>
      <c r="AB21" s="21">
        <v>0.74791666666666667</v>
      </c>
      <c r="AC21">
        <v>-26.23443</v>
      </c>
      <c r="AD21">
        <v>-103.97915999999999</v>
      </c>
      <c r="AE21">
        <v>43</v>
      </c>
      <c r="AF21">
        <v>1325</v>
      </c>
      <c r="AG21" s="16">
        <f t="shared" si="8"/>
        <v>0.55221508685075138</v>
      </c>
      <c r="AH21" s="16">
        <f t="shared" si="9"/>
        <v>3.1052872899334094</v>
      </c>
      <c r="AI21" s="27">
        <f t="shared" si="10"/>
        <v>5.2992360354358912</v>
      </c>
      <c r="AJ21" s="17">
        <f t="shared" si="11"/>
        <v>303.62385947411531</v>
      </c>
      <c r="AK21" s="17">
        <f t="shared" si="12"/>
        <v>0.28078733230419467</v>
      </c>
      <c r="AL21" s="17">
        <f t="shared" si="17"/>
        <v>7.7996481195609624</v>
      </c>
      <c r="AM21" s="17">
        <f t="shared" si="13"/>
        <v>0.15161303040183297</v>
      </c>
      <c r="AV21" s="76"/>
      <c r="AZ21" s="34">
        <f t="shared" si="14"/>
        <v>-0.23380900636873447</v>
      </c>
      <c r="BA21" s="34">
        <f t="shared" si="15"/>
        <v>0.15548271454850315</v>
      </c>
    </row>
    <row r="22" spans="2:53">
      <c r="B22">
        <v>244</v>
      </c>
      <c r="C22" s="13">
        <f t="shared" si="18"/>
        <v>40521.916666666664</v>
      </c>
      <c r="D22" s="14">
        <f t="shared" si="19"/>
        <v>40521.916666666664</v>
      </c>
      <c r="E22" s="15">
        <v>40522</v>
      </c>
      <c r="F22" s="21">
        <v>0.125</v>
      </c>
      <c r="G22">
        <v>-26.16215</v>
      </c>
      <c r="H22">
        <v>-104.07498</v>
      </c>
      <c r="I22">
        <v>38</v>
      </c>
      <c r="J22">
        <v>1299</v>
      </c>
      <c r="K22" s="16">
        <f t="shared" si="0"/>
        <v>1.7883037023810227</v>
      </c>
      <c r="L22" s="16">
        <f t="shared" si="1"/>
        <v>17.992197090589361</v>
      </c>
      <c r="M22" s="27">
        <f t="shared" si="2"/>
        <v>5.4905584710271738</v>
      </c>
      <c r="N22" s="17">
        <f t="shared" si="3"/>
        <v>314.58582755965932</v>
      </c>
      <c r="O22" s="17">
        <f t="shared" si="4"/>
        <v>0.5895506711274443</v>
      </c>
      <c r="P22" s="17">
        <f t="shared" si="16"/>
        <v>16.376407531317899</v>
      </c>
      <c r="Q22" s="17">
        <f t="shared" si="5"/>
        <v>0.31833189585715133</v>
      </c>
      <c r="X22">
        <v>1745</v>
      </c>
      <c r="Y22" s="13">
        <f t="shared" si="6"/>
        <v>40520.621527777774</v>
      </c>
      <c r="Z22" s="14">
        <f t="shared" si="7"/>
        <v>40520.621527777774</v>
      </c>
      <c r="AA22" s="15">
        <v>40520</v>
      </c>
      <c r="AB22" s="21">
        <v>0.82986111111111116</v>
      </c>
      <c r="AC22">
        <v>-26.231680000000001</v>
      </c>
      <c r="AD22">
        <v>-103.98377000000001</v>
      </c>
      <c r="AE22">
        <v>43</v>
      </c>
      <c r="AF22">
        <v>1322</v>
      </c>
      <c r="AG22" s="16">
        <f t="shared" si="8"/>
        <v>0.43305021230792334</v>
      </c>
      <c r="AH22" s="16">
        <f t="shared" si="9"/>
        <v>3.5383375022413328</v>
      </c>
      <c r="AI22" s="27">
        <f t="shared" si="10"/>
        <v>4.9773745888504619</v>
      </c>
      <c r="AJ22" s="17">
        <f t="shared" si="11"/>
        <v>285.18255699679486</v>
      </c>
      <c r="AK22" s="17">
        <f t="shared" si="12"/>
        <v>0.42595102850122252</v>
      </c>
      <c r="AL22" s="17">
        <f t="shared" si="17"/>
        <v>11.831973013922848</v>
      </c>
      <c r="AM22" s="17">
        <f t="shared" si="13"/>
        <v>0.2299951557781979</v>
      </c>
      <c r="AV22" s="76"/>
      <c r="AZ22" s="34">
        <f t="shared" si="14"/>
        <v>-0.41108374883372156</v>
      </c>
      <c r="BA22" s="34">
        <f t="shared" si="15"/>
        <v>0.11155460602800311</v>
      </c>
    </row>
    <row r="23" spans="2:53">
      <c r="B23">
        <v>245</v>
      </c>
      <c r="C23" s="13">
        <f t="shared" si="18"/>
        <v>40522.04305555555</v>
      </c>
      <c r="D23" s="14">
        <f t="shared" si="19"/>
        <v>40522.04305555555</v>
      </c>
      <c r="E23" s="15">
        <v>40522</v>
      </c>
      <c r="F23" s="21">
        <v>0.25138888888888888</v>
      </c>
      <c r="G23">
        <v>-26.150860000000002</v>
      </c>
      <c r="H23">
        <v>-104.08774</v>
      </c>
      <c r="I23">
        <v>37</v>
      </c>
      <c r="J23">
        <v>1302</v>
      </c>
      <c r="K23" s="16">
        <f t="shared" si="0"/>
        <v>3.9414367695504953</v>
      </c>
      <c r="L23" s="16">
        <f t="shared" si="1"/>
        <v>21.933633860139857</v>
      </c>
      <c r="M23" s="27">
        <f t="shared" si="2"/>
        <v>5.2613668290372386</v>
      </c>
      <c r="N23" s="17">
        <f t="shared" si="3"/>
        <v>301.45411377396272</v>
      </c>
      <c r="O23" s="17">
        <f t="shared" si="4"/>
        <v>0.65690612825841588</v>
      </c>
      <c r="P23" s="17">
        <f t="shared" si="16"/>
        <v>18.247392451622662</v>
      </c>
      <c r="Q23" s="17">
        <f t="shared" si="5"/>
        <v>0.35470093318488977</v>
      </c>
      <c r="X23">
        <v>1746</v>
      </c>
      <c r="Y23" s="13">
        <f t="shared" si="6"/>
        <v>40520.663888888885</v>
      </c>
      <c r="Z23" s="14">
        <f t="shared" si="7"/>
        <v>40520.663888888885</v>
      </c>
      <c r="AA23" s="15">
        <v>40520</v>
      </c>
      <c r="AB23" s="21">
        <v>0.87222222222222223</v>
      </c>
      <c r="AC23">
        <v>-26.23066</v>
      </c>
      <c r="AD23">
        <v>-103.98796</v>
      </c>
      <c r="AE23">
        <v>42</v>
      </c>
      <c r="AF23">
        <v>1325</v>
      </c>
      <c r="AG23" s="16">
        <f t="shared" si="8"/>
        <v>0.29316137367219769</v>
      </c>
      <c r="AH23" s="16">
        <f t="shared" si="9"/>
        <v>3.8314988759135304</v>
      </c>
      <c r="AI23" s="27">
        <f t="shared" si="10"/>
        <v>4.5715712217363151</v>
      </c>
      <c r="AJ23" s="17">
        <f t="shared" si="11"/>
        <v>261.93173674895627</v>
      </c>
      <c r="AK23" s="17">
        <f t="shared" si="12"/>
        <v>0.28835544951473768</v>
      </c>
      <c r="AL23" s="17">
        <f t="shared" si="17"/>
        <v>8.0098735976316036</v>
      </c>
      <c r="AM23" s="17">
        <f t="shared" si="13"/>
        <v>0.15569948677901602</v>
      </c>
      <c r="AV23" s="76"/>
      <c r="AZ23" s="34">
        <f t="shared" si="14"/>
        <v>-0.28550117824888416</v>
      </c>
      <c r="BA23" s="34">
        <f t="shared" si="15"/>
        <v>-4.04715021137751E-2</v>
      </c>
    </row>
    <row r="24" spans="2:53">
      <c r="B24">
        <v>247</v>
      </c>
      <c r="C24" s="13">
        <f t="shared" si="18"/>
        <v>40522.29305555555</v>
      </c>
      <c r="D24" s="14">
        <f t="shared" si="19"/>
        <v>40522.29305555555</v>
      </c>
      <c r="E24" s="15">
        <v>40522</v>
      </c>
      <c r="F24" s="21">
        <v>0.50138888888888888</v>
      </c>
      <c r="G24">
        <v>-26.132359999999998</v>
      </c>
      <c r="H24">
        <v>-104.12142</v>
      </c>
      <c r="I24">
        <v>39</v>
      </c>
      <c r="J24">
        <v>1292</v>
      </c>
      <c r="K24" s="16">
        <f t="shared" si="0"/>
        <v>1.5045764948047338</v>
      </c>
      <c r="L24" s="16">
        <f t="shared" si="1"/>
        <v>23.438210354944591</v>
      </c>
      <c r="M24" s="27">
        <f t="shared" si="2"/>
        <v>5.2414607956105828</v>
      </c>
      <c r="N24" s="17">
        <f t="shared" si="3"/>
        <v>300.31358207176902</v>
      </c>
      <c r="O24" s="17">
        <f t="shared" si="4"/>
        <v>0.50152549826824455</v>
      </c>
      <c r="P24" s="17">
        <f t="shared" si="16"/>
        <v>13.93126384078457</v>
      </c>
      <c r="Q24" s="17">
        <f t="shared" si="5"/>
        <v>0.27080210489646034</v>
      </c>
      <c r="X24">
        <v>1747</v>
      </c>
      <c r="Y24" s="13">
        <f t="shared" si="6"/>
        <v>40520.706249999996</v>
      </c>
      <c r="Z24" s="14">
        <f t="shared" si="7"/>
        <v>40520.706249999996</v>
      </c>
      <c r="AA24" s="15">
        <v>40520</v>
      </c>
      <c r="AB24" s="21">
        <v>0.9145833333333333</v>
      </c>
      <c r="AC24">
        <v>-26.231030000000001</v>
      </c>
      <c r="AD24">
        <v>-103.99087</v>
      </c>
      <c r="AE24">
        <v>45</v>
      </c>
      <c r="AF24">
        <v>1322</v>
      </c>
      <c r="AG24" s="16">
        <f t="shared" si="8"/>
        <v>0.3099492035351849</v>
      </c>
      <c r="AH24" s="16">
        <f t="shared" si="9"/>
        <v>4.1414480794487156</v>
      </c>
      <c r="AI24" s="27">
        <f t="shared" si="10"/>
        <v>4.2712922393955361</v>
      </c>
      <c r="AJ24" s="17">
        <f t="shared" si="11"/>
        <v>244.72701838434628</v>
      </c>
      <c r="AK24" s="17">
        <f t="shared" si="12"/>
        <v>0.29057737831846431</v>
      </c>
      <c r="AL24" s="17">
        <f t="shared" si="17"/>
        <v>8.0715938421795634</v>
      </c>
      <c r="AM24" s="17">
        <f t="shared" si="13"/>
        <v>0.15689923235338246</v>
      </c>
      <c r="AV24" s="76"/>
      <c r="AZ24" s="34">
        <f t="shared" si="14"/>
        <v>-0.2627644663933934</v>
      </c>
      <c r="BA24" s="34">
        <f t="shared" si="15"/>
        <v>-0.12405663219444238</v>
      </c>
    </row>
    <row r="25" spans="2:53">
      <c r="B25">
        <v>248</v>
      </c>
      <c r="C25" s="13">
        <f t="shared" si="18"/>
        <v>40522.41805555555</v>
      </c>
      <c r="D25" s="14">
        <f t="shared" si="19"/>
        <v>40522.41805555555</v>
      </c>
      <c r="E25" s="15">
        <v>40522</v>
      </c>
      <c r="F25" s="21">
        <v>0.62638888888888888</v>
      </c>
      <c r="G25">
        <v>-26.125530000000001</v>
      </c>
      <c r="H25">
        <v>-104.13442999999999</v>
      </c>
      <c r="I25">
        <v>40</v>
      </c>
      <c r="J25">
        <v>1292</v>
      </c>
      <c r="K25" s="16">
        <f t="shared" si="0"/>
        <v>3.5316097128586175</v>
      </c>
      <c r="L25" s="16">
        <f t="shared" si="1"/>
        <v>26.969820067803209</v>
      </c>
      <c r="M25" s="27">
        <f t="shared" si="2"/>
        <v>5.1471265965880271</v>
      </c>
      <c r="N25" s="17">
        <f t="shared" si="3"/>
        <v>294.90863060402944</v>
      </c>
      <c r="O25" s="17">
        <f t="shared" si="4"/>
        <v>0.59024117762467088</v>
      </c>
      <c r="P25" s="17">
        <f t="shared" si="16"/>
        <v>16.395588267351968</v>
      </c>
      <c r="Q25" s="17">
        <f t="shared" si="5"/>
        <v>0.3187047395381592</v>
      </c>
      <c r="X25">
        <v>1748</v>
      </c>
      <c r="Y25" s="13">
        <f t="shared" si="6"/>
        <v>40520.750694444439</v>
      </c>
      <c r="Z25" s="14">
        <f t="shared" si="7"/>
        <v>40520.750694444439</v>
      </c>
      <c r="AA25" s="15">
        <v>40520</v>
      </c>
      <c r="AB25" s="21">
        <v>0.9590277777777777</v>
      </c>
      <c r="AC25">
        <v>-26.232220000000002</v>
      </c>
      <c r="AD25">
        <v>-103.99368</v>
      </c>
      <c r="AE25">
        <v>45</v>
      </c>
      <c r="AF25">
        <v>1325</v>
      </c>
      <c r="AG25" s="16">
        <f t="shared" si="8"/>
        <v>0.22223809886403645</v>
      </c>
      <c r="AH25" s="16">
        <f t="shared" si="9"/>
        <v>4.3636861783127525</v>
      </c>
      <c r="AI25" s="27">
        <f t="shared" si="10"/>
        <v>4.6272181332280988</v>
      </c>
      <c r="AJ25" s="17">
        <f t="shared" si="11"/>
        <v>265.12006992037351</v>
      </c>
      <c r="AK25" s="17">
        <f t="shared" si="12"/>
        <v>0.21859485134250956</v>
      </c>
      <c r="AL25" s="17">
        <f t="shared" si="17"/>
        <v>6.072079203958598</v>
      </c>
      <c r="AM25" s="17">
        <f t="shared" si="13"/>
        <v>0.11803177718278053</v>
      </c>
      <c r="AV25" s="76"/>
      <c r="AZ25" s="34">
        <f t="shared" si="14"/>
        <v>-0.21780247898323951</v>
      </c>
      <c r="BA25" s="34">
        <f t="shared" si="15"/>
        <v>-1.8595407556957759E-2</v>
      </c>
    </row>
    <row r="26" spans="2:53">
      <c r="B26">
        <v>250</v>
      </c>
      <c r="C26" s="13">
        <f t="shared" si="18"/>
        <v>40522.667361111111</v>
      </c>
      <c r="D26" s="14">
        <f t="shared" si="19"/>
        <v>40522.667361111111</v>
      </c>
      <c r="E26" s="15">
        <v>40522</v>
      </c>
      <c r="F26" s="21">
        <v>0.87569444444444444</v>
      </c>
      <c r="G26">
        <v>-26.11215</v>
      </c>
      <c r="H26">
        <v>-104.16651</v>
      </c>
      <c r="I26">
        <v>39</v>
      </c>
      <c r="J26">
        <v>1292</v>
      </c>
      <c r="K26" s="16">
        <f t="shared" si="0"/>
        <v>3.4428585183659832</v>
      </c>
      <c r="L26" s="16">
        <f t="shared" si="1"/>
        <v>30.412678586169193</v>
      </c>
      <c r="M26" s="27">
        <f t="shared" si="2"/>
        <v>4.8878911144920147</v>
      </c>
      <c r="N26" s="17">
        <f t="shared" si="3"/>
        <v>280.05553157988868</v>
      </c>
      <c r="O26" s="17">
        <f t="shared" si="4"/>
        <v>0.57380975306099724</v>
      </c>
      <c r="P26" s="17">
        <f t="shared" si="16"/>
        <v>15.939159807249922</v>
      </c>
      <c r="Q26" s="17">
        <f t="shared" si="5"/>
        <v>0.30983248005453412</v>
      </c>
      <c r="X26">
        <v>1749</v>
      </c>
      <c r="Y26" s="13">
        <f t="shared" si="6"/>
        <v>40520.79305555555</v>
      </c>
      <c r="Z26" s="14">
        <f t="shared" si="7"/>
        <v>40520.79305555555</v>
      </c>
      <c r="AA26" s="15">
        <v>40521</v>
      </c>
      <c r="AB26" s="21">
        <v>1.3888888888888889E-3</v>
      </c>
      <c r="AC26">
        <v>-26.232389999999999</v>
      </c>
      <c r="AD26">
        <v>-103.99590000000001</v>
      </c>
      <c r="AE26">
        <v>42</v>
      </c>
      <c r="AF26">
        <v>1322</v>
      </c>
      <c r="AG26" s="16">
        <f t="shared" si="8"/>
        <v>0.23267104847915179</v>
      </c>
      <c r="AH26" s="16">
        <f t="shared" si="9"/>
        <v>4.5963572267919046</v>
      </c>
      <c r="AI26" s="27">
        <f t="shared" si="10"/>
        <v>5.6607313951256879</v>
      </c>
      <c r="AJ26" s="17">
        <f t="shared" si="11"/>
        <v>324.3360178979043</v>
      </c>
      <c r="AK26" s="17">
        <f t="shared" si="12"/>
        <v>0.23267104845206532</v>
      </c>
      <c r="AL26" s="17">
        <f t="shared" si="17"/>
        <v>6.4630846792240373</v>
      </c>
      <c r="AM26" s="17">
        <f t="shared" si="13"/>
        <v>0.12563231557886895</v>
      </c>
      <c r="AV26" s="76"/>
      <c r="AZ26" s="34">
        <f t="shared" si="14"/>
        <v>-0.13565433988431821</v>
      </c>
      <c r="BA26" s="34">
        <f t="shared" si="15"/>
        <v>0.18903363948867197</v>
      </c>
    </row>
    <row r="27" spans="2:53">
      <c r="B27">
        <v>252</v>
      </c>
      <c r="C27" s="13">
        <f t="shared" si="18"/>
        <v>40522.917361111111</v>
      </c>
      <c r="D27" s="14">
        <f t="shared" si="19"/>
        <v>40522.917361111111</v>
      </c>
      <c r="E27" s="15">
        <v>40523</v>
      </c>
      <c r="F27" s="21">
        <v>0.12569444444444444</v>
      </c>
      <c r="G27">
        <v>-26.106739999999999</v>
      </c>
      <c r="H27">
        <v>-104.20046000000001</v>
      </c>
      <c r="I27">
        <v>41</v>
      </c>
      <c r="J27">
        <v>1289</v>
      </c>
      <c r="K27" s="16">
        <f t="shared" si="0"/>
        <v>1.7401703209481052</v>
      </c>
      <c r="L27" s="16">
        <f t="shared" si="1"/>
        <v>32.152848907117296</v>
      </c>
      <c r="M27" s="27">
        <f t="shared" si="2"/>
        <v>4.6560605920454163</v>
      </c>
      <c r="N27" s="17">
        <f t="shared" si="3"/>
        <v>266.77262108138569</v>
      </c>
      <c r="O27" s="17">
        <f t="shared" si="4"/>
        <v>0.57685204011629776</v>
      </c>
      <c r="P27" s="17">
        <f t="shared" si="16"/>
        <v>16.023667781008271</v>
      </c>
      <c r="Q27" s="17">
        <f t="shared" si="5"/>
        <v>0.31147518364810894</v>
      </c>
      <c r="X27">
        <v>1750</v>
      </c>
      <c r="Y27" s="13">
        <f t="shared" ref="Y27:Y43" si="20">(AA27+AB27)-(5/24)</f>
        <v>40520.834722222222</v>
      </c>
      <c r="Z27" s="14">
        <f t="shared" ref="Z27:Z43" si="21">(AA27+AB27)-(5/24)</f>
        <v>40520.834722222222</v>
      </c>
      <c r="AA27" s="15">
        <v>40521</v>
      </c>
      <c r="AB27" s="21">
        <v>4.3055555555555562E-2</v>
      </c>
      <c r="AC27">
        <v>-26.230689999999999</v>
      </c>
      <c r="AD27">
        <v>-103.99726</v>
      </c>
      <c r="AE27">
        <v>42</v>
      </c>
      <c r="AF27">
        <v>1331</v>
      </c>
      <c r="AG27" s="16">
        <f t="shared" ref="AG27:AG39" si="22">ACOS(SIN(RADIANS(AC27))*SIN(RADIANS(AC28))+COS(RADIANS(AC27))*COS(RADIANS(AC28))*COS(RADIANS(AD28)-RADIANS(AD27)))*6371.1</f>
        <v>0.35132955108698732</v>
      </c>
      <c r="AH27" s="16">
        <f t="shared" ref="AH27:AH39" si="23">AH26+AG27</f>
        <v>4.947686777878892</v>
      </c>
      <c r="AI27" s="27">
        <f t="shared" ref="AI27:AI39" si="24">RADIANS(AJ27)</f>
        <v>5.9082066740822885</v>
      </c>
      <c r="AJ27" s="17">
        <f t="shared" ref="AJ27:AJ39" si="25">MOD(DEGREES(ATAN2(COS(RADIANS(AC27))*SIN(RADIANS(AC28))-SIN(RADIANS(AC27))*COS(RADIANS(AC28))*COS(RADIANS(AD28)-RADIANS(AD27)),SIN(RADIANS(AD28)-RADIANS(AD27))*COS(RADIANS(AC28)))), 360)</f>
        <v>338.51530691594024</v>
      </c>
      <c r="AK27" s="17">
        <f t="shared" ref="AK27:AK39" si="26">AG27/((Z28-Z27)*24)</f>
        <v>0.33999633980245819</v>
      </c>
      <c r="AL27" s="17">
        <f t="shared" si="17"/>
        <v>9.4443427722905042</v>
      </c>
      <c r="AM27" s="17">
        <f t="shared" ref="AM27:AM39" si="27">AK27/1.852</f>
        <v>0.18358333682638131</v>
      </c>
      <c r="AV27" s="76"/>
      <c r="AZ27" s="34">
        <f t="shared" si="14"/>
        <v>-0.12452455940141223</v>
      </c>
      <c r="BA27" s="34">
        <f t="shared" si="15"/>
        <v>0.31637184638483995</v>
      </c>
    </row>
    <row r="28" spans="2:53">
      <c r="B28">
        <v>253</v>
      </c>
      <c r="C28" s="13">
        <f t="shared" si="18"/>
        <v>40523.04305555555</v>
      </c>
      <c r="D28" s="14">
        <f t="shared" si="19"/>
        <v>40523.04305555555</v>
      </c>
      <c r="E28" s="15">
        <v>40523</v>
      </c>
      <c r="F28" s="21">
        <v>0.25138888888888888</v>
      </c>
      <c r="G28">
        <v>-26.107620000000001</v>
      </c>
      <c r="H28">
        <v>-104.21786</v>
      </c>
      <c r="I28">
        <v>39</v>
      </c>
      <c r="J28">
        <v>1292</v>
      </c>
      <c r="K28" s="16">
        <f t="shared" si="0"/>
        <v>1.7113631316202118</v>
      </c>
      <c r="L28" s="16">
        <f t="shared" si="1"/>
        <v>33.864212038737506</v>
      </c>
      <c r="M28" s="27">
        <f t="shared" si="2"/>
        <v>4.8021102058604246</v>
      </c>
      <c r="N28" s="17">
        <f t="shared" si="3"/>
        <v>275.14064755250126</v>
      </c>
      <c r="O28" s="17">
        <f t="shared" si="4"/>
        <v>0.57045437720673731</v>
      </c>
      <c r="P28" s="17">
        <f t="shared" si="16"/>
        <v>15.845954922409369</v>
      </c>
      <c r="Q28" s="17">
        <f t="shared" si="5"/>
        <v>0.30802072203387543</v>
      </c>
      <c r="X28">
        <v>1751</v>
      </c>
      <c r="Y28" s="13">
        <f t="shared" si="20"/>
        <v>40520.877777777772</v>
      </c>
      <c r="Z28" s="14">
        <f t="shared" si="21"/>
        <v>40520.877777777772</v>
      </c>
      <c r="AA28" s="15">
        <v>40521</v>
      </c>
      <c r="AB28" s="21">
        <v>8.6111111111111124E-2</v>
      </c>
      <c r="AC28">
        <v>-26.22775</v>
      </c>
      <c r="AD28">
        <v>-103.99854999999999</v>
      </c>
      <c r="AE28">
        <v>43</v>
      </c>
      <c r="AF28">
        <v>1322</v>
      </c>
      <c r="AG28" s="16">
        <f t="shared" si="22"/>
        <v>0.24184872388139211</v>
      </c>
      <c r="AH28" s="16">
        <f t="shared" si="23"/>
        <v>5.1895355017602842</v>
      </c>
      <c r="AI28" s="27">
        <f t="shared" si="24"/>
        <v>5.7748903560487639</v>
      </c>
      <c r="AJ28" s="17">
        <f t="shared" si="25"/>
        <v>330.87684455239543</v>
      </c>
      <c r="AK28" s="17">
        <f t="shared" si="26"/>
        <v>0.24594785477910677</v>
      </c>
      <c r="AL28" s="17">
        <f t="shared" si="17"/>
        <v>6.8318848549751872</v>
      </c>
      <c r="AM28" s="17">
        <f t="shared" si="27"/>
        <v>0.132801217483319</v>
      </c>
      <c r="AV28" s="76"/>
      <c r="AZ28" s="34">
        <f t="shared" si="14"/>
        <v>-0.11969998414757528</v>
      </c>
      <c r="BA28" s="34">
        <f t="shared" si="15"/>
        <v>0.21485404596030958</v>
      </c>
    </row>
    <row r="29" spans="2:53">
      <c r="B29">
        <v>254</v>
      </c>
      <c r="C29" s="13">
        <f t="shared" si="18"/>
        <v>40523.16805555555</v>
      </c>
      <c r="D29" s="14">
        <f t="shared" si="19"/>
        <v>40523.16805555555</v>
      </c>
      <c r="E29" s="15">
        <v>40523</v>
      </c>
      <c r="F29" s="21">
        <v>0.37638888888888888</v>
      </c>
      <c r="G29">
        <v>-26.10624</v>
      </c>
      <c r="H29">
        <v>-104.23493000000001</v>
      </c>
      <c r="I29">
        <v>38</v>
      </c>
      <c r="J29">
        <v>1292</v>
      </c>
      <c r="K29" s="16">
        <f t="shared" si="0"/>
        <v>3.9768718525652069</v>
      </c>
      <c r="L29" s="16">
        <f t="shared" si="1"/>
        <v>37.841083891302716</v>
      </c>
      <c r="M29" s="27">
        <f t="shared" si="2"/>
        <v>4.9329609498234674</v>
      </c>
      <c r="N29" s="17">
        <f t="shared" si="3"/>
        <v>282.63784292773056</v>
      </c>
      <c r="O29" s="17">
        <f t="shared" si="4"/>
        <v>0.66465824832622589</v>
      </c>
      <c r="P29" s="17">
        <f t="shared" si="16"/>
        <v>18.462729120172941</v>
      </c>
      <c r="Q29" s="17">
        <f t="shared" si="5"/>
        <v>0.35888674315670943</v>
      </c>
      <c r="X29">
        <v>1752</v>
      </c>
      <c r="Y29" s="13">
        <f t="shared" si="20"/>
        <v>40520.918749999997</v>
      </c>
      <c r="Z29" s="14">
        <f t="shared" si="21"/>
        <v>40520.918749999997</v>
      </c>
      <c r="AA29" s="15">
        <v>40521</v>
      </c>
      <c r="AB29" s="21">
        <v>0.12708333333333333</v>
      </c>
      <c r="AC29">
        <v>-26.225850000000001</v>
      </c>
      <c r="AD29">
        <v>-103.99973</v>
      </c>
      <c r="AE29">
        <v>42</v>
      </c>
      <c r="AF29">
        <v>1322</v>
      </c>
      <c r="AG29" s="16">
        <f t="shared" si="22"/>
        <v>0.22484084183091874</v>
      </c>
      <c r="AH29" s="16">
        <f t="shared" si="23"/>
        <v>5.4143763435912033</v>
      </c>
      <c r="AI29" s="27">
        <f t="shared" si="24"/>
        <v>5.1516957065385212</v>
      </c>
      <c r="AJ29" s="17">
        <f t="shared" si="25"/>
        <v>295.17042132032395</v>
      </c>
      <c r="AK29" s="17">
        <f t="shared" si="26"/>
        <v>0.22115492639191173</v>
      </c>
      <c r="AL29" s="17">
        <f t="shared" si="17"/>
        <v>6.1431923997753257</v>
      </c>
      <c r="AM29" s="17">
        <f t="shared" si="27"/>
        <v>0.11941410712306248</v>
      </c>
      <c r="AV29" s="76"/>
      <c r="AZ29" s="34">
        <f t="shared" si="14"/>
        <v>-0.2001555448259637</v>
      </c>
      <c r="BA29" s="34">
        <f t="shared" si="15"/>
        <v>9.405987105473583E-2</v>
      </c>
    </row>
    <row r="30" spans="2:53">
      <c r="B30">
        <v>256</v>
      </c>
      <c r="C30" s="13">
        <f t="shared" si="18"/>
        <v>40523.417361111111</v>
      </c>
      <c r="D30" s="14">
        <f t="shared" si="19"/>
        <v>40523.417361111111</v>
      </c>
      <c r="E30" s="15">
        <v>40523</v>
      </c>
      <c r="F30" s="21">
        <v>0.62569444444444444</v>
      </c>
      <c r="G30">
        <v>-26.098410000000001</v>
      </c>
      <c r="H30">
        <v>-104.27379000000001</v>
      </c>
      <c r="I30">
        <v>38</v>
      </c>
      <c r="J30">
        <v>1312</v>
      </c>
      <c r="K30" s="16">
        <f t="shared" si="0"/>
        <v>2.3086453762223491</v>
      </c>
      <c r="L30" s="16">
        <f t="shared" si="1"/>
        <v>40.149729267525068</v>
      </c>
      <c r="M30" s="27">
        <f t="shared" si="2"/>
        <v>4.5595049517192852</v>
      </c>
      <c r="N30" s="17">
        <f t="shared" si="3"/>
        <v>261.24039040251523</v>
      </c>
      <c r="O30" s="17">
        <f t="shared" si="4"/>
        <v>0.76529680982798154</v>
      </c>
      <c r="P30" s="17">
        <f t="shared" si="16"/>
        <v>21.25824471744393</v>
      </c>
      <c r="Q30" s="17">
        <f t="shared" si="5"/>
        <v>0.41322721912957966</v>
      </c>
      <c r="X30">
        <v>1753</v>
      </c>
      <c r="Y30" s="13">
        <f t="shared" si="20"/>
        <v>40520.961111111108</v>
      </c>
      <c r="Z30" s="14">
        <f t="shared" si="21"/>
        <v>40520.961111111108</v>
      </c>
      <c r="AA30" s="15">
        <v>40521</v>
      </c>
      <c r="AB30" s="21">
        <v>0.16944444444444443</v>
      </c>
      <c r="AC30">
        <v>-26.224989999999998</v>
      </c>
      <c r="AD30">
        <v>-104.00176999999999</v>
      </c>
      <c r="AE30">
        <v>43</v>
      </c>
      <c r="AF30">
        <v>1322</v>
      </c>
      <c r="AG30" s="16">
        <f t="shared" si="22"/>
        <v>0.20688706238956397</v>
      </c>
      <c r="AH30" s="16">
        <f t="shared" si="23"/>
        <v>5.6212634059807671</v>
      </c>
      <c r="AI30" s="27">
        <f t="shared" si="24"/>
        <v>5.7690289448104615</v>
      </c>
      <c r="AJ30" s="17">
        <f t="shared" si="25"/>
        <v>330.54101042645016</v>
      </c>
      <c r="AK30" s="17">
        <f t="shared" si="26"/>
        <v>0.20349547120362654</v>
      </c>
      <c r="AL30" s="17">
        <f t="shared" si="17"/>
        <v>5.6526519778785156</v>
      </c>
      <c r="AM30" s="17">
        <f t="shared" si="27"/>
        <v>0.10987876414882643</v>
      </c>
      <c r="AV30" s="76"/>
      <c r="AZ30" s="34">
        <f t="shared" si="14"/>
        <v>-0.10007916678505575</v>
      </c>
      <c r="BA30" s="34">
        <f t="shared" si="15"/>
        <v>0.17718512120377092</v>
      </c>
    </row>
    <row r="31" spans="2:53">
      <c r="B31">
        <v>257</v>
      </c>
      <c r="C31" s="13">
        <f t="shared" si="18"/>
        <v>40523.54305555555</v>
      </c>
      <c r="D31" s="14">
        <f t="shared" si="19"/>
        <v>40523.54305555555</v>
      </c>
      <c r="E31" s="15">
        <v>40523</v>
      </c>
      <c r="F31" s="21">
        <v>0.75138888888888899</v>
      </c>
      <c r="G31">
        <v>-26.101569999999999</v>
      </c>
      <c r="H31">
        <v>-104.29664</v>
      </c>
      <c r="I31">
        <v>39</v>
      </c>
      <c r="J31">
        <v>1292</v>
      </c>
      <c r="K31" s="16">
        <f t="shared" si="0"/>
        <v>2.3635819898188299</v>
      </c>
      <c r="L31" s="16">
        <f t="shared" si="1"/>
        <v>42.513311257343901</v>
      </c>
      <c r="M31" s="27">
        <f t="shared" si="2"/>
        <v>4.3208414088752498</v>
      </c>
      <c r="N31" s="17">
        <f t="shared" si="3"/>
        <v>247.5659766739123</v>
      </c>
      <c r="O31" s="17">
        <f t="shared" si="4"/>
        <v>0.79671303025829388</v>
      </c>
      <c r="P31" s="17">
        <f t="shared" si="16"/>
        <v>22.130917507174829</v>
      </c>
      <c r="Q31" s="17">
        <f t="shared" si="5"/>
        <v>0.4301906210897915</v>
      </c>
      <c r="X31">
        <v>1754</v>
      </c>
      <c r="Y31" s="13">
        <f t="shared" si="20"/>
        <v>40521.003472222219</v>
      </c>
      <c r="Z31" s="14">
        <f t="shared" si="21"/>
        <v>40521.003472222219</v>
      </c>
      <c r="AA31" s="15">
        <v>40521</v>
      </c>
      <c r="AB31" s="21">
        <v>0.21180555555555555</v>
      </c>
      <c r="AC31">
        <v>-26.223369999999999</v>
      </c>
      <c r="AD31">
        <v>-104.00279</v>
      </c>
      <c r="AE31">
        <v>43</v>
      </c>
      <c r="AF31">
        <v>1322</v>
      </c>
      <c r="AG31" s="16">
        <f t="shared" si="22"/>
        <v>0.34185044781366092</v>
      </c>
      <c r="AH31" s="16">
        <f t="shared" si="23"/>
        <v>5.9631138537944279</v>
      </c>
      <c r="AI31" s="27">
        <f t="shared" si="24"/>
        <v>6.1867391811071366</v>
      </c>
      <c r="AJ31" s="17">
        <f t="shared" si="25"/>
        <v>354.47404402566195</v>
      </c>
      <c r="AK31" s="17">
        <f t="shared" si="26"/>
        <v>0.34185044783355922</v>
      </c>
      <c r="AL31" s="17">
        <f t="shared" si="17"/>
        <v>9.4958457731544232</v>
      </c>
      <c r="AM31" s="17">
        <f t="shared" si="27"/>
        <v>0.1845844750721162</v>
      </c>
      <c r="AV31" s="76"/>
      <c r="AZ31" s="34">
        <f t="shared" si="14"/>
        <v>-3.2919061227919322E-2</v>
      </c>
      <c r="BA31" s="34">
        <f t="shared" si="15"/>
        <v>0.3402617581978285</v>
      </c>
    </row>
    <row r="32" spans="2:53">
      <c r="B32">
        <v>258</v>
      </c>
      <c r="C32" s="13">
        <f t="shared" si="18"/>
        <v>40523.666666666664</v>
      </c>
      <c r="D32" s="14">
        <f t="shared" si="19"/>
        <v>40523.666666666664</v>
      </c>
      <c r="E32" s="15">
        <v>40523</v>
      </c>
      <c r="F32" s="21">
        <v>0.875</v>
      </c>
      <c r="G32">
        <v>-26.109680000000001</v>
      </c>
      <c r="H32">
        <v>-104.31852000000001</v>
      </c>
      <c r="I32">
        <v>40</v>
      </c>
      <c r="J32">
        <v>1286</v>
      </c>
      <c r="K32" s="16">
        <f t="shared" si="0"/>
        <v>2.071119212753175</v>
      </c>
      <c r="L32" s="16">
        <f t="shared" si="1"/>
        <v>44.584430470097075</v>
      </c>
      <c r="M32" s="27">
        <f t="shared" si="2"/>
        <v>4.3615551656556617</v>
      </c>
      <c r="N32" s="17">
        <f t="shared" si="3"/>
        <v>249.89870310555204</v>
      </c>
      <c r="O32" s="17">
        <f t="shared" si="4"/>
        <v>0.68278655366974206</v>
      </c>
      <c r="P32" s="17">
        <f t="shared" si="16"/>
        <v>18.966293157492832</v>
      </c>
      <c r="Q32" s="17">
        <f t="shared" si="5"/>
        <v>0.36867524496206372</v>
      </c>
      <c r="X32">
        <v>1755</v>
      </c>
      <c r="Y32" s="13">
        <f t="shared" si="20"/>
        <v>40521.045138888883</v>
      </c>
      <c r="Z32" s="14">
        <f t="shared" si="21"/>
        <v>40521.045138888883</v>
      </c>
      <c r="AA32" s="15">
        <v>40521</v>
      </c>
      <c r="AB32" s="21">
        <v>0.25347222222222221</v>
      </c>
      <c r="AC32">
        <v>-26.220310000000001</v>
      </c>
      <c r="AD32">
        <v>-104.00312</v>
      </c>
      <c r="AE32">
        <v>40</v>
      </c>
      <c r="AF32">
        <v>1322</v>
      </c>
      <c r="AG32" s="16">
        <f t="shared" si="22"/>
        <v>0.41761826580633965</v>
      </c>
      <c r="AH32" s="16">
        <f t="shared" si="23"/>
        <v>6.3807321196007676</v>
      </c>
      <c r="AI32" s="27">
        <f t="shared" si="24"/>
        <v>5.4968590175746679E-2</v>
      </c>
      <c r="AJ32" s="17">
        <f t="shared" si="25"/>
        <v>3.1494682228545647</v>
      </c>
      <c r="AK32" s="17">
        <f t="shared" si="26"/>
        <v>0.41761826575772248</v>
      </c>
      <c r="AL32" s="17">
        <f t="shared" si="17"/>
        <v>11.600507382158957</v>
      </c>
      <c r="AM32" s="17">
        <f t="shared" si="27"/>
        <v>0.22549582384326267</v>
      </c>
      <c r="AV32" s="76"/>
      <c r="AZ32" s="34">
        <f t="shared" si="14"/>
        <v>2.2944328668845812E-2</v>
      </c>
      <c r="BA32" s="34">
        <f t="shared" si="15"/>
        <v>0.41698749822557474</v>
      </c>
    </row>
    <row r="33" spans="2:53">
      <c r="B33">
        <v>259</v>
      </c>
      <c r="C33" s="13">
        <f t="shared" si="18"/>
        <v>40523.79305555555</v>
      </c>
      <c r="D33" s="14">
        <f t="shared" si="19"/>
        <v>40523.79305555555</v>
      </c>
      <c r="E33" s="15">
        <v>40524</v>
      </c>
      <c r="F33" s="21">
        <v>1.3888888888888889E-3</v>
      </c>
      <c r="G33">
        <v>-26.11608</v>
      </c>
      <c r="H33">
        <v>-104.33799999999999</v>
      </c>
      <c r="I33">
        <v>40</v>
      </c>
      <c r="J33">
        <v>1292</v>
      </c>
      <c r="X33">
        <v>1756</v>
      </c>
      <c r="Y33" s="13">
        <f t="shared" si="20"/>
        <v>40521.086805555555</v>
      </c>
      <c r="Z33" s="14">
        <f t="shared" si="21"/>
        <v>40521.086805555555</v>
      </c>
      <c r="AA33" s="15">
        <v>40521</v>
      </c>
      <c r="AB33" s="21">
        <v>0.2951388888888889</v>
      </c>
      <c r="AC33">
        <v>-26.216560000000001</v>
      </c>
      <c r="AD33">
        <v>-104.00288999999999</v>
      </c>
      <c r="AE33">
        <v>40</v>
      </c>
      <c r="AF33">
        <v>1322</v>
      </c>
      <c r="AG33" s="16">
        <f t="shared" si="22"/>
        <v>0.50954678238722428</v>
      </c>
      <c r="AH33" s="16">
        <f t="shared" si="23"/>
        <v>6.8902789019879922</v>
      </c>
      <c r="AI33" s="27">
        <f t="shared" si="24"/>
        <v>6.1179750326978111</v>
      </c>
      <c r="AJ33" s="17">
        <f t="shared" si="25"/>
        <v>350.53414853999641</v>
      </c>
      <c r="AK33" s="17">
        <f t="shared" si="26"/>
        <v>0.48528264992487702</v>
      </c>
      <c r="AL33" s="17">
        <f t="shared" si="17"/>
        <v>13.480073609024362</v>
      </c>
      <c r="AM33" s="17">
        <f t="shared" si="27"/>
        <v>0.26203166842595949</v>
      </c>
      <c r="AV33" s="76"/>
      <c r="AZ33" s="34">
        <f t="shared" si="14"/>
        <v>-7.9809461328449099E-2</v>
      </c>
      <c r="BA33" s="34">
        <f t="shared" si="15"/>
        <v>0.47867494210640849</v>
      </c>
    </row>
    <row r="34" spans="2:53">
      <c r="X34">
        <v>1757</v>
      </c>
      <c r="Y34" s="13">
        <f t="shared" si="20"/>
        <v>40521.130555555552</v>
      </c>
      <c r="Z34" s="14">
        <f t="shared" si="21"/>
        <v>40521.130555555552</v>
      </c>
      <c r="AA34" s="15">
        <v>40521</v>
      </c>
      <c r="AB34" s="21">
        <v>0.33888888888888885</v>
      </c>
      <c r="AC34">
        <v>-26.212039999999998</v>
      </c>
      <c r="AD34">
        <v>-104.00373</v>
      </c>
      <c r="AE34">
        <v>41</v>
      </c>
      <c r="AF34">
        <v>1335</v>
      </c>
      <c r="AG34" s="16">
        <f t="shared" si="22"/>
        <v>0.5611519123126224</v>
      </c>
      <c r="AH34" s="16">
        <f t="shared" si="23"/>
        <v>7.4514308143006147</v>
      </c>
      <c r="AI34" s="27">
        <f t="shared" si="24"/>
        <v>6.1206839504590977</v>
      </c>
      <c r="AJ34" s="17">
        <f t="shared" si="25"/>
        <v>350.68935809476613</v>
      </c>
      <c r="AK34" s="17">
        <f t="shared" si="26"/>
        <v>0.57066296163782138</v>
      </c>
      <c r="AL34" s="17">
        <f t="shared" si="17"/>
        <v>15.851748934383927</v>
      </c>
      <c r="AM34" s="17">
        <f t="shared" si="27"/>
        <v>0.30813334861653419</v>
      </c>
      <c r="AV34" s="76"/>
      <c r="AZ34" s="34">
        <f t="shared" si="14"/>
        <v>-9.2325913190333148E-2</v>
      </c>
      <c r="BA34" s="34">
        <f t="shared" si="15"/>
        <v>0.56314486727557111</v>
      </c>
    </row>
    <row r="35" spans="2:53">
      <c r="X35">
        <v>1758</v>
      </c>
      <c r="Y35" s="13">
        <f t="shared" si="20"/>
        <v>40521.171527777777</v>
      </c>
      <c r="Z35" s="14">
        <f t="shared" si="21"/>
        <v>40521.171527777777</v>
      </c>
      <c r="AA35" s="15">
        <v>40521</v>
      </c>
      <c r="AB35" s="21">
        <v>0.37986111111111115</v>
      </c>
      <c r="AC35">
        <v>-26.207059999999998</v>
      </c>
      <c r="AD35">
        <v>-104.00463999999999</v>
      </c>
      <c r="AE35">
        <v>41</v>
      </c>
      <c r="AF35">
        <v>1322</v>
      </c>
      <c r="AG35" s="16">
        <f t="shared" si="22"/>
        <v>0.68865213710475426</v>
      </c>
      <c r="AH35" s="16">
        <f t="shared" si="23"/>
        <v>8.1400829514053683</v>
      </c>
      <c r="AI35" s="27">
        <f t="shared" si="24"/>
        <v>5.9249665746615294</v>
      </c>
      <c r="AJ35" s="17">
        <f t="shared" si="25"/>
        <v>339.47557848418961</v>
      </c>
      <c r="AK35" s="17">
        <f t="shared" si="26"/>
        <v>0.67736275781054045</v>
      </c>
      <c r="AL35" s="17">
        <f t="shared" si="17"/>
        <v>18.815632161403897</v>
      </c>
      <c r="AM35" s="17">
        <f t="shared" si="27"/>
        <v>0.36574662948733283</v>
      </c>
      <c r="AV35" s="76"/>
      <c r="AZ35" s="34">
        <f t="shared" si="14"/>
        <v>-0.23748784854491126</v>
      </c>
      <c r="BA35" s="34">
        <f t="shared" si="15"/>
        <v>0.63436568906444668</v>
      </c>
    </row>
    <row r="36" spans="2:53">
      <c r="X36">
        <v>1759</v>
      </c>
      <c r="Y36" s="13">
        <f t="shared" si="20"/>
        <v>40521.213888888888</v>
      </c>
      <c r="Z36" s="14">
        <f t="shared" si="21"/>
        <v>40521.213888888888</v>
      </c>
      <c r="AA36" s="15">
        <v>40521</v>
      </c>
      <c r="AB36" s="21">
        <v>0.42222222222222222</v>
      </c>
      <c r="AC36">
        <v>-26.201260000000001</v>
      </c>
      <c r="AD36">
        <v>-104.00706</v>
      </c>
      <c r="AE36">
        <v>44</v>
      </c>
      <c r="AF36">
        <v>1322</v>
      </c>
      <c r="AG36" s="16">
        <f t="shared" si="22"/>
        <v>0.71402452538461714</v>
      </c>
      <c r="AH36" s="16">
        <f t="shared" si="23"/>
        <v>8.8541074767899861</v>
      </c>
      <c r="AI36" s="27">
        <f t="shared" si="24"/>
        <v>5.9233295333789906</v>
      </c>
      <c r="AJ36" s="17">
        <f t="shared" si="25"/>
        <v>339.38178292781146</v>
      </c>
      <c r="AK36" s="17">
        <f t="shared" si="26"/>
        <v>0.70231920529902536</v>
      </c>
      <c r="AL36" s="17">
        <f t="shared" si="17"/>
        <v>19.508866813861815</v>
      </c>
      <c r="AM36" s="17">
        <f t="shared" si="27"/>
        <v>0.37922203309882579</v>
      </c>
      <c r="AV36" s="76"/>
      <c r="AZ36" s="34">
        <f t="shared" si="14"/>
        <v>-0.24731415735058887</v>
      </c>
      <c r="BA36" s="34">
        <f t="shared" si="15"/>
        <v>0.65733398946488586</v>
      </c>
    </row>
    <row r="37" spans="2:53">
      <c r="X37">
        <v>1760</v>
      </c>
      <c r="Y37" s="13">
        <f t="shared" si="20"/>
        <v>40521.256249999999</v>
      </c>
      <c r="Z37" s="14">
        <f t="shared" si="21"/>
        <v>40521.256249999999</v>
      </c>
      <c r="AA37" s="15">
        <v>40521</v>
      </c>
      <c r="AB37" s="21">
        <v>0.46458333333333335</v>
      </c>
      <c r="AC37">
        <v>-26.195250000000001</v>
      </c>
      <c r="AD37">
        <v>-104.00958</v>
      </c>
      <c r="AE37">
        <v>40</v>
      </c>
      <c r="AF37">
        <v>1322</v>
      </c>
      <c r="AG37" s="16">
        <f t="shared" si="22"/>
        <v>0.66740537744042361</v>
      </c>
      <c r="AH37" s="16">
        <f t="shared" si="23"/>
        <v>9.5215128542304104</v>
      </c>
      <c r="AI37" s="27">
        <f t="shared" si="24"/>
        <v>5.718407049547408</v>
      </c>
      <c r="AJ37" s="17">
        <f t="shared" si="25"/>
        <v>327.64058947692388</v>
      </c>
      <c r="AK37" s="17">
        <f t="shared" si="26"/>
        <v>0.64587617168500777</v>
      </c>
      <c r="AL37" s="17">
        <f t="shared" si="17"/>
        <v>17.941004769027995</v>
      </c>
      <c r="AM37" s="17">
        <f t="shared" si="27"/>
        <v>0.34874523309125688</v>
      </c>
      <c r="AV37" s="76"/>
      <c r="AZ37" s="34">
        <f t="shared" si="14"/>
        <v>-0.3456913486197028</v>
      </c>
      <c r="BA37" s="34">
        <f t="shared" si="15"/>
        <v>0.54557631972069021</v>
      </c>
    </row>
    <row r="38" spans="2:53">
      <c r="X38">
        <v>1761</v>
      </c>
      <c r="Y38" s="13">
        <f t="shared" si="20"/>
        <v>40521.299305555556</v>
      </c>
      <c r="Z38" s="14">
        <f t="shared" si="21"/>
        <v>40521.299305555556</v>
      </c>
      <c r="AA38" s="15">
        <v>40521</v>
      </c>
      <c r="AB38" s="21">
        <v>0.50763888888888886</v>
      </c>
      <c r="AC38">
        <v>-26.190180000000002</v>
      </c>
      <c r="AD38">
        <v>-104.01316</v>
      </c>
      <c r="AE38">
        <v>42</v>
      </c>
      <c r="AF38">
        <v>1325</v>
      </c>
      <c r="AG38" s="16">
        <f t="shared" si="22"/>
        <v>0.54283154422860502</v>
      </c>
      <c r="AH38" s="16">
        <f t="shared" si="23"/>
        <v>10.064344398459015</v>
      </c>
      <c r="AI38" s="27">
        <f t="shared" si="24"/>
        <v>5.4943306184532927</v>
      </c>
      <c r="AJ38" s="17">
        <f t="shared" si="25"/>
        <v>314.80195568687708</v>
      </c>
      <c r="AK38" s="17">
        <f t="shared" si="26"/>
        <v>0.54283154426020197</v>
      </c>
      <c r="AL38" s="17">
        <f t="shared" si="17"/>
        <v>15.078654007227833</v>
      </c>
      <c r="AM38" s="17">
        <f t="shared" si="27"/>
        <v>0.29310558545367277</v>
      </c>
      <c r="AN38" s="31">
        <f>AVERAGE(AM38:AM42)</f>
        <v>0.32197708186226054</v>
      </c>
      <c r="AO38" s="31">
        <f>STDEV(AM38:AM42)</f>
        <v>4.3926614070849905E-2</v>
      </c>
      <c r="AP38" s="32">
        <f>AO38/AN38*100</f>
        <v>13.642776627698424</v>
      </c>
      <c r="AV38" s="76"/>
      <c r="AZ38" s="34">
        <f t="shared" si="14"/>
        <v>-0.38516432259141298</v>
      </c>
      <c r="BA38" s="34">
        <f t="shared" si="15"/>
        <v>0.38251082343721149</v>
      </c>
    </row>
    <row r="39" spans="2:53">
      <c r="X39">
        <v>1762</v>
      </c>
      <c r="Y39" s="13">
        <f t="shared" si="20"/>
        <v>40521.34097222222</v>
      </c>
      <c r="Z39" s="14">
        <f t="shared" si="21"/>
        <v>40521.34097222222</v>
      </c>
      <c r="AA39" s="15">
        <v>40521</v>
      </c>
      <c r="AB39" s="21">
        <v>0.5493055555555556</v>
      </c>
      <c r="AC39">
        <v>-26.18674</v>
      </c>
      <c r="AD39">
        <v>-104.01702</v>
      </c>
      <c r="AE39">
        <v>42</v>
      </c>
      <c r="AF39">
        <v>1318</v>
      </c>
      <c r="AG39" s="16">
        <f t="shared" si="22"/>
        <v>0.51542627542059249</v>
      </c>
      <c r="AH39" s="16">
        <f t="shared" si="23"/>
        <v>10.579770673879608</v>
      </c>
      <c r="AI39" s="27">
        <f t="shared" si="24"/>
        <v>5.5201049429656281</v>
      </c>
      <c r="AJ39" s="17">
        <f t="shared" si="25"/>
        <v>316.27871570123449</v>
      </c>
      <c r="AK39" s="17">
        <f t="shared" si="26"/>
        <v>0.49879962135041589</v>
      </c>
      <c r="AL39" s="17">
        <f t="shared" si="17"/>
        <v>13.855545037511551</v>
      </c>
      <c r="AM39" s="17">
        <f t="shared" si="27"/>
        <v>0.26933024910929582</v>
      </c>
      <c r="AV39" s="76"/>
      <c r="AZ39" s="34">
        <f t="shared" si="14"/>
        <v>-0.34474582319034369</v>
      </c>
      <c r="BA39" s="34">
        <f t="shared" si="15"/>
        <v>0.36048769694974409</v>
      </c>
    </row>
    <row r="40" spans="2:53">
      <c r="X40">
        <v>1763</v>
      </c>
      <c r="Y40" s="13">
        <f t="shared" si="20"/>
        <v>40521.384027777778</v>
      </c>
      <c r="Z40" s="14">
        <f t="shared" si="21"/>
        <v>40521.384027777778</v>
      </c>
      <c r="AA40" s="15">
        <v>40521</v>
      </c>
      <c r="AB40" s="21">
        <v>0.59236111111111112</v>
      </c>
      <c r="AC40">
        <v>-26.183389999999999</v>
      </c>
      <c r="AD40">
        <v>-104.02059</v>
      </c>
      <c r="AE40">
        <v>42</v>
      </c>
      <c r="AF40">
        <v>1331</v>
      </c>
      <c r="AG40" s="16">
        <f t="shared" ref="AG40:AG50" si="28">ACOS(SIN(RADIANS(AC40))*SIN(RADIANS(AC41))+COS(RADIANS(AC40))*COS(RADIANS(AC41))*COS(RADIANS(AD41)-RADIANS(AD40)))*6371.1</f>
        <v>0.65401807260542333</v>
      </c>
      <c r="AH40" s="16">
        <f t="shared" ref="AH40:AH50" si="29">AH39+AG40</f>
        <v>11.233788746485031</v>
      </c>
      <c r="AI40" s="27">
        <f t="shared" ref="AI40:AI50" si="30">RADIANS(AJ40)</f>
        <v>5.6758861039053423</v>
      </c>
      <c r="AJ40" s="17">
        <f t="shared" ref="AJ40:AJ50" si="31">MOD(DEGREES(ATAN2(COS(RADIANS(AC40))*SIN(RADIANS(AC41))-SIN(RADIANS(AC40))*COS(RADIANS(AC41))*COS(RADIANS(AD41)-RADIANS(AD40)),SIN(RADIANS(AD41)-RADIANS(AD40))*COS(RADIANS(AC41)))), 360)</f>
        <v>325.20431875072836</v>
      </c>
      <c r="AK40" s="17">
        <f t="shared" ref="AK40:AK50" si="32">AG40/((Z41-Z40)*24)</f>
        <v>0.66510312475959721</v>
      </c>
      <c r="AL40" s="17">
        <f t="shared" si="17"/>
        <v>18.475086798877701</v>
      </c>
      <c r="AM40" s="17">
        <f t="shared" ref="AM40:AM50" si="33">AK40/1.852</f>
        <v>0.35912695721360538</v>
      </c>
      <c r="AZ40" s="34">
        <f t="shared" ref="AZ40:AZ50" si="34">AK40*SIN(RADIANS(AJ40))</f>
        <v>-0.37954220938221239</v>
      </c>
      <c r="BA40" s="34">
        <f t="shared" ref="BA40:BA50" si="35">AK40*COS(RADIANS(AJ40))</f>
        <v>0.54617751497315337</v>
      </c>
    </row>
    <row r="41" spans="2:53">
      <c r="X41">
        <v>1764</v>
      </c>
      <c r="Y41" s="13">
        <f t="shared" si="20"/>
        <v>40521.424999999996</v>
      </c>
      <c r="Z41" s="14">
        <f t="shared" si="21"/>
        <v>40521.424999999996</v>
      </c>
      <c r="AA41" s="15">
        <v>40521</v>
      </c>
      <c r="AB41" s="21">
        <v>0.6333333333333333</v>
      </c>
      <c r="AC41">
        <v>-26.178560000000001</v>
      </c>
      <c r="AD41">
        <v>-104.02433000000001</v>
      </c>
      <c r="AE41">
        <v>44</v>
      </c>
      <c r="AF41">
        <v>1322</v>
      </c>
      <c r="AG41" s="16">
        <f t="shared" si="28"/>
        <v>0.71521841478944337</v>
      </c>
      <c r="AH41" s="16">
        <f t="shared" si="29"/>
        <v>11.949007161274475</v>
      </c>
      <c r="AI41" s="27">
        <f t="shared" si="30"/>
        <v>5.4894207502695425</v>
      </c>
      <c r="AJ41" s="17">
        <f t="shared" si="31"/>
        <v>314.52064096198262</v>
      </c>
      <c r="AK41" s="17">
        <f t="shared" si="32"/>
        <v>0.69214685298825185</v>
      </c>
      <c r="AL41" s="17">
        <f t="shared" si="17"/>
        <v>19.226301471895884</v>
      </c>
      <c r="AM41" s="17">
        <f t="shared" si="33"/>
        <v>0.37372940226147505</v>
      </c>
      <c r="AZ41" s="34">
        <f t="shared" si="34"/>
        <v>-0.4934992515564699</v>
      </c>
      <c r="BA41" s="34">
        <f t="shared" si="35"/>
        <v>0.48530995746506661</v>
      </c>
    </row>
    <row r="42" spans="2:53">
      <c r="X42">
        <v>1765</v>
      </c>
      <c r="Y42" s="13">
        <f t="shared" si="20"/>
        <v>40521.468055555553</v>
      </c>
      <c r="Z42" s="14">
        <f t="shared" si="21"/>
        <v>40521.468055555553</v>
      </c>
      <c r="AA42" s="15">
        <v>40521</v>
      </c>
      <c r="AB42" s="21">
        <v>0.67638888888888893</v>
      </c>
      <c r="AC42">
        <v>-26.174050000000001</v>
      </c>
      <c r="AD42">
        <v>-104.02943999999999</v>
      </c>
      <c r="AE42">
        <v>41</v>
      </c>
      <c r="AF42">
        <v>1325</v>
      </c>
      <c r="AG42" s="16">
        <f t="shared" si="28"/>
        <v>0.57291619081080591</v>
      </c>
      <c r="AH42" s="16">
        <f t="shared" si="29"/>
        <v>12.521923352085281</v>
      </c>
      <c r="AI42" s="27">
        <f t="shared" si="30"/>
        <v>5.2503410626284381</v>
      </c>
      <c r="AJ42" s="17">
        <f t="shared" si="31"/>
        <v>300.82238389284134</v>
      </c>
      <c r="AK42" s="17">
        <f t="shared" si="32"/>
        <v>0.58262663468606612</v>
      </c>
      <c r="AL42" s="17">
        <f t="shared" si="17"/>
        <v>16.18407318572406</v>
      </c>
      <c r="AM42" s="17">
        <f t="shared" si="33"/>
        <v>0.31459321527325385</v>
      </c>
      <c r="AZ42" s="34">
        <f t="shared" si="34"/>
        <v>-0.50033632659934135</v>
      </c>
      <c r="BA42" s="34">
        <f t="shared" si="35"/>
        <v>0.29852530165915253</v>
      </c>
    </row>
    <row r="43" spans="2:53">
      <c r="X43">
        <v>1766</v>
      </c>
      <c r="Y43" s="13">
        <f t="shared" si="20"/>
        <v>40521.509027777778</v>
      </c>
      <c r="Z43" s="14">
        <f t="shared" si="21"/>
        <v>40521.509027777778</v>
      </c>
      <c r="AA43" s="15">
        <v>40521</v>
      </c>
      <c r="AB43" s="21">
        <v>0.71736111111111101</v>
      </c>
      <c r="AC43">
        <v>-26.171410000000002</v>
      </c>
      <c r="AD43">
        <v>-104.03437</v>
      </c>
      <c r="AE43">
        <v>41</v>
      </c>
      <c r="AF43">
        <v>1322</v>
      </c>
      <c r="AG43" s="16">
        <f t="shared" si="28"/>
        <v>0.59068612923081831</v>
      </c>
      <c r="AH43" s="16">
        <f t="shared" si="29"/>
        <v>13.112609481316099</v>
      </c>
      <c r="AI43" s="27">
        <f t="shared" si="30"/>
        <v>5.0421000088552788</v>
      </c>
      <c r="AJ43" s="17">
        <f t="shared" si="31"/>
        <v>288.89105039028249</v>
      </c>
      <c r="AK43" s="17">
        <f t="shared" si="32"/>
        <v>0.57163173803400136</v>
      </c>
      <c r="AL43" s="17">
        <f t="shared" si="17"/>
        <v>15.878659389833372</v>
      </c>
      <c r="AM43" s="17">
        <f t="shared" si="33"/>
        <v>0.30865644602267889</v>
      </c>
      <c r="AN43" s="31">
        <f>AVERAGE(AM43:AM47)</f>
        <v>0.28501698903710698</v>
      </c>
      <c r="AO43" s="31">
        <f>STDEV(AM43:AM47)</f>
        <v>3.2351087644475716E-2</v>
      </c>
      <c r="AP43" s="32">
        <f>AO43/AN43*100</f>
        <v>11.350582206965866</v>
      </c>
      <c r="AZ43" s="34">
        <f t="shared" si="34"/>
        <v>-0.54084133364910658</v>
      </c>
      <c r="BA43" s="34">
        <f t="shared" si="35"/>
        <v>0.18507699950136688</v>
      </c>
    </row>
    <row r="44" spans="2:53">
      <c r="X44">
        <v>1767</v>
      </c>
      <c r="Y44" s="13">
        <f>(AA44+AB44)-(5/24)</f>
        <v>40521.552083333328</v>
      </c>
      <c r="Z44" s="14">
        <f>(AA44+AB44)-(5/24)</f>
        <v>40521.552083333328</v>
      </c>
      <c r="AA44" s="15">
        <v>40521</v>
      </c>
      <c r="AB44" s="21">
        <v>0.76041666666666663</v>
      </c>
      <c r="AC44">
        <v>-26.169689999999999</v>
      </c>
      <c r="AD44">
        <v>-104.03997</v>
      </c>
      <c r="AE44">
        <v>41</v>
      </c>
      <c r="AF44">
        <v>1322</v>
      </c>
      <c r="AG44" s="16">
        <f t="shared" si="28"/>
        <v>0.52946886786334069</v>
      </c>
      <c r="AH44" s="16">
        <f t="shared" si="29"/>
        <v>13.642078349179439</v>
      </c>
      <c r="AI44" s="27">
        <f t="shared" si="30"/>
        <v>5.1297100218269485</v>
      </c>
      <c r="AJ44" s="17">
        <f t="shared" si="31"/>
        <v>293.91073437664556</v>
      </c>
      <c r="AK44" s="17">
        <f t="shared" si="32"/>
        <v>0.52946886780170244</v>
      </c>
      <c r="AL44" s="17">
        <f t="shared" si="17"/>
        <v>14.70746855004729</v>
      </c>
      <c r="AM44" s="17">
        <f t="shared" si="33"/>
        <v>0.28589031738752829</v>
      </c>
      <c r="AZ44" s="34">
        <f t="shared" si="34"/>
        <v>-0.48402880959790562</v>
      </c>
      <c r="BA44" s="34">
        <f t="shared" si="35"/>
        <v>0.2146005439192806</v>
      </c>
    </row>
    <row r="45" spans="2:53">
      <c r="X45">
        <v>1768</v>
      </c>
      <c r="Y45" s="13">
        <f>(AA45+AB45)-(5/24)</f>
        <v>40521.59375</v>
      </c>
      <c r="Z45" s="14">
        <f>(AA45+AB45)-(5/24)</f>
        <v>40521.59375</v>
      </c>
      <c r="AA45" s="15">
        <v>40521</v>
      </c>
      <c r="AB45" s="21">
        <v>0.80208333333333337</v>
      </c>
      <c r="AC45">
        <v>-26.167760000000001</v>
      </c>
      <c r="AD45">
        <v>-104.04482</v>
      </c>
      <c r="AE45">
        <v>40</v>
      </c>
      <c r="AF45">
        <v>1318</v>
      </c>
      <c r="AG45" s="16">
        <f t="shared" si="28"/>
        <v>0.58612815092895909</v>
      </c>
      <c r="AH45" s="16">
        <f t="shared" si="29"/>
        <v>14.228206500108397</v>
      </c>
      <c r="AI45" s="27">
        <f t="shared" si="30"/>
        <v>4.9949943682699667</v>
      </c>
      <c r="AJ45" s="17">
        <f t="shared" si="31"/>
        <v>286.19209599348392</v>
      </c>
      <c r="AK45" s="17">
        <f t="shared" si="32"/>
        <v>0.56722079128973657</v>
      </c>
      <c r="AL45" s="17">
        <f t="shared" si="17"/>
        <v>15.756133091381569</v>
      </c>
      <c r="AM45" s="17">
        <f t="shared" si="33"/>
        <v>0.30627472531843225</v>
      </c>
      <c r="AZ45" s="34">
        <f t="shared" si="34"/>
        <v>-0.54472036975185945</v>
      </c>
      <c r="BA45" s="34">
        <f t="shared" si="35"/>
        <v>0.15817441274982624</v>
      </c>
    </row>
    <row r="46" spans="2:53">
      <c r="X46">
        <v>1769</v>
      </c>
      <c r="Y46" s="13">
        <f>(AA46+AB46)-(5/24)</f>
        <v>40521.63680555555</v>
      </c>
      <c r="Z46" s="14">
        <f>(AA46+AB46)-(5/24)</f>
        <v>40521.63680555555</v>
      </c>
      <c r="AA46" s="15">
        <v>40521</v>
      </c>
      <c r="AB46" s="21">
        <v>0.84513888888888899</v>
      </c>
      <c r="AC46">
        <v>-26.16629</v>
      </c>
      <c r="AD46">
        <v>-104.05046</v>
      </c>
      <c r="AE46">
        <v>41</v>
      </c>
      <c r="AF46">
        <v>1331</v>
      </c>
      <c r="AG46" s="16">
        <f t="shared" si="28"/>
        <v>0.53677234810862107</v>
      </c>
      <c r="AH46" s="16">
        <f t="shared" si="29"/>
        <v>14.764978848217019</v>
      </c>
      <c r="AI46" s="27">
        <f t="shared" si="30"/>
        <v>4.7683301732641779</v>
      </c>
      <c r="AJ46" s="17">
        <f t="shared" si="31"/>
        <v>273.20519425292196</v>
      </c>
      <c r="AK46" s="17">
        <f t="shared" si="32"/>
        <v>0.54587018448277524</v>
      </c>
      <c r="AL46" s="17">
        <f t="shared" si="17"/>
        <v>15.16306068007709</v>
      </c>
      <c r="AM46" s="17">
        <f t="shared" si="33"/>
        <v>0.29474631991510541</v>
      </c>
      <c r="AZ46" s="34">
        <f t="shared" si="34"/>
        <v>-0.54501627946888742</v>
      </c>
      <c r="BA46" s="34">
        <f t="shared" si="35"/>
        <v>3.0520704794461086E-2</v>
      </c>
    </row>
    <row r="47" spans="2:53">
      <c r="X47">
        <v>1770</v>
      </c>
      <c r="Y47" s="13">
        <f>(AA47+AB47)-(5/24)</f>
        <v>40521.677777777775</v>
      </c>
      <c r="Z47" s="14">
        <f>(AA47+AB47)-(5/24)</f>
        <v>40521.677777777775</v>
      </c>
      <c r="AA47" s="15">
        <v>40521</v>
      </c>
      <c r="AB47" s="21">
        <v>0.88611111111111107</v>
      </c>
      <c r="AC47">
        <v>-26.16602</v>
      </c>
      <c r="AD47">
        <v>-104.05583</v>
      </c>
      <c r="AE47">
        <v>43</v>
      </c>
      <c r="AF47">
        <v>1322</v>
      </c>
      <c r="AG47" s="16">
        <f t="shared" si="28"/>
        <v>0.42506573685065302</v>
      </c>
      <c r="AH47" s="16">
        <f t="shared" si="29"/>
        <v>15.190044585067673</v>
      </c>
      <c r="AI47" s="27">
        <f t="shared" si="30"/>
        <v>4.7778190267782641</v>
      </c>
      <c r="AJ47" s="17">
        <f t="shared" si="31"/>
        <v>273.74886551169698</v>
      </c>
      <c r="AK47" s="17">
        <f t="shared" si="32"/>
        <v>0.42506573687539512</v>
      </c>
      <c r="AL47" s="17">
        <f t="shared" si="17"/>
        <v>11.807381579872086</v>
      </c>
      <c r="AM47" s="17">
        <f t="shared" si="33"/>
        <v>0.22951713654179001</v>
      </c>
      <c r="AZ47" s="34">
        <f t="shared" si="34"/>
        <v>-0.42415618888888124</v>
      </c>
      <c r="BA47" s="34">
        <f t="shared" si="35"/>
        <v>2.7792230797154906E-2</v>
      </c>
    </row>
    <row r="48" spans="2:53">
      <c r="X48">
        <v>1771</v>
      </c>
      <c r="Y48" s="13">
        <f>(AA48+AB48)-(5/24)</f>
        <v>40521.719444444439</v>
      </c>
      <c r="Z48" s="14">
        <f>(AA48+AB48)-(5/24)</f>
        <v>40521.719444444439</v>
      </c>
      <c r="AA48" s="15">
        <v>40521</v>
      </c>
      <c r="AB48" s="21">
        <v>0.9277777777777777</v>
      </c>
      <c r="AC48">
        <v>-26.165769999999998</v>
      </c>
      <c r="AD48">
        <v>-104.06008</v>
      </c>
      <c r="AE48">
        <v>43</v>
      </c>
      <c r="AF48">
        <v>1318</v>
      </c>
      <c r="AG48" s="16">
        <f t="shared" si="28"/>
        <v>0.450110020243776</v>
      </c>
      <c r="AH48" s="16">
        <f t="shared" si="29"/>
        <v>15.640154605311448</v>
      </c>
      <c r="AI48" s="27">
        <f t="shared" si="30"/>
        <v>4.7074307386949918</v>
      </c>
      <c r="AJ48" s="17">
        <f t="shared" si="31"/>
        <v>269.71591367737449</v>
      </c>
      <c r="AK48" s="17">
        <f t="shared" si="32"/>
        <v>0.4427311674545843</v>
      </c>
      <c r="AL48" s="17">
        <f t="shared" si="17"/>
        <v>12.298087984849563</v>
      </c>
      <c r="AM48" s="17">
        <f t="shared" si="33"/>
        <v>0.239055705968998</v>
      </c>
      <c r="AN48" s="31">
        <f>AVERAGE(AM48:AM52)</f>
        <v>0.19643123314190369</v>
      </c>
      <c r="AO48" s="31">
        <f>STDEV(AM48:AM52)</f>
        <v>5.8151258824592746E-2</v>
      </c>
      <c r="AP48" s="32">
        <f>AO48/AN48*100</f>
        <v>29.603876071268033</v>
      </c>
      <c r="AZ48" s="34">
        <f t="shared" si="34"/>
        <v>-0.4427257253786599</v>
      </c>
      <c r="BA48" s="34">
        <f t="shared" si="35"/>
        <v>-2.1951591374187122E-3</v>
      </c>
    </row>
    <row r="49" spans="24:53">
      <c r="X49">
        <v>1772</v>
      </c>
      <c r="Y49" s="13">
        <f t="shared" ref="Y49:Y62" si="36">(AA49+AB49)-(5/24)</f>
        <v>40521.76180555555</v>
      </c>
      <c r="Z49" s="14">
        <f t="shared" ref="Z49:Z62" si="37">(AA49+AB49)-(5/24)</f>
        <v>40521.76180555555</v>
      </c>
      <c r="AA49" s="15">
        <v>40521</v>
      </c>
      <c r="AB49" s="21">
        <v>0.97013888888888899</v>
      </c>
      <c r="AC49">
        <v>-26.165790000000001</v>
      </c>
      <c r="AD49">
        <v>-104.06459</v>
      </c>
      <c r="AE49">
        <v>43</v>
      </c>
      <c r="AF49">
        <v>1322</v>
      </c>
      <c r="AG49" s="16">
        <f t="shared" si="28"/>
        <v>0.29145417676219121</v>
      </c>
      <c r="AH49" s="16">
        <f t="shared" si="29"/>
        <v>15.931608782073639</v>
      </c>
      <c r="AI49" s="27">
        <f t="shared" si="30"/>
        <v>4.7276392826018903</v>
      </c>
      <c r="AJ49" s="17">
        <f t="shared" si="31"/>
        <v>270.87377795334459</v>
      </c>
      <c r="AK49" s="17">
        <f t="shared" si="32"/>
        <v>0.25343841455785943</v>
      </c>
      <c r="AL49" s="17">
        <f t="shared" si="17"/>
        <v>7.0399559599405395</v>
      </c>
      <c r="AM49" s="17">
        <f t="shared" si="33"/>
        <v>0.13684579619754828</v>
      </c>
      <c r="AZ49" s="34">
        <f t="shared" si="34"/>
        <v>-0.25340894382533319</v>
      </c>
      <c r="BA49" s="34">
        <f t="shared" si="35"/>
        <v>3.8648626017682005E-3</v>
      </c>
    </row>
    <row r="50" spans="24:53">
      <c r="X50">
        <v>1773</v>
      </c>
      <c r="Y50" s="13">
        <f t="shared" si="36"/>
        <v>40521.80972222222</v>
      </c>
      <c r="Z50" s="14">
        <f t="shared" si="37"/>
        <v>40521.80972222222</v>
      </c>
      <c r="AA50" s="15">
        <v>40522</v>
      </c>
      <c r="AB50" s="21">
        <v>1.8055555555555557E-2</v>
      </c>
      <c r="AC50">
        <v>-26.165749999999999</v>
      </c>
      <c r="AD50">
        <v>-104.06751</v>
      </c>
      <c r="AE50">
        <v>42</v>
      </c>
      <c r="AF50">
        <v>1325</v>
      </c>
      <c r="AG50" s="16">
        <f t="shared" si="28"/>
        <v>0.26465185660752627</v>
      </c>
      <c r="AH50" s="16">
        <f t="shared" si="29"/>
        <v>16.196260638681164</v>
      </c>
      <c r="AI50" s="27">
        <f t="shared" si="30"/>
        <v>4.9455760291861948</v>
      </c>
      <c r="AJ50" s="17">
        <f t="shared" si="31"/>
        <v>283.3606337334374</v>
      </c>
      <c r="AK50" s="17">
        <f t="shared" si="32"/>
        <v>0.26031330158216698</v>
      </c>
      <c r="AL50" s="17">
        <f t="shared" si="17"/>
        <v>7.2309250439490826</v>
      </c>
      <c r="AM50" s="17">
        <f t="shared" si="33"/>
        <v>0.14055793821931262</v>
      </c>
      <c r="AZ50" s="34">
        <f t="shared" si="34"/>
        <v>-0.25326788975572079</v>
      </c>
      <c r="BA50" s="34">
        <f t="shared" si="35"/>
        <v>6.0153063091519049E-2</v>
      </c>
    </row>
    <row r="51" spans="24:53">
      <c r="X51">
        <v>1774</v>
      </c>
      <c r="Y51" s="13">
        <f t="shared" si="36"/>
        <v>40521.852083333331</v>
      </c>
      <c r="Z51" s="14">
        <f t="shared" si="37"/>
        <v>40521.852083333331</v>
      </c>
      <c r="AA51" s="15">
        <v>40522</v>
      </c>
      <c r="AB51" s="21">
        <v>6.0416666666666667E-2</v>
      </c>
      <c r="AC51">
        <v>-26.165199999999999</v>
      </c>
      <c r="AD51">
        <v>-104.07008999999999</v>
      </c>
      <c r="AE51">
        <v>43</v>
      </c>
      <c r="AF51">
        <v>1335</v>
      </c>
      <c r="AG51" s="16">
        <f t="shared" ref="AG51:AG61" si="38">ACOS(SIN(RADIANS(AC51))*SIN(RADIANS(AC52))+COS(RADIANS(AC51))*COS(RADIANS(AC52))*COS(RADIANS(AD52)-RADIANS(AD51)))*6371.1</f>
        <v>0.36728394361949623</v>
      </c>
      <c r="AH51" s="16">
        <f t="shared" ref="AH51:AH61" si="39">AH50+AG51</f>
        <v>16.563544582300661</v>
      </c>
      <c r="AI51" s="27">
        <f t="shared" ref="AI51:AI61" si="40">RADIANS(AJ51)</f>
        <v>5.2815102386992008</v>
      </c>
      <c r="AJ51" s="17">
        <f t="shared" ref="AJ51:AJ61" si="41">MOD(DEGREES(ATAN2(COS(RADIANS(AC51))*SIN(RADIANS(AC52))-SIN(RADIANS(AC51))*COS(RADIANS(AC52))*COS(RADIANS(AD52)-RADIANS(AD51)),SIN(RADIANS(AD52)-RADIANS(AD51))*COS(RADIANS(AC52)))), 360)</f>
        <v>302.60824613259621</v>
      </c>
      <c r="AK51" s="17">
        <f t="shared" ref="AK51:AK61" si="42">AG51/((Z52-Z51)*24)</f>
        <v>0.36728394364087497</v>
      </c>
      <c r="AL51" s="17">
        <f t="shared" si="17"/>
        <v>10.202331767802081</v>
      </c>
      <c r="AM51" s="17">
        <f t="shared" ref="AM51:AM61" si="43">AK51/1.852</f>
        <v>0.19831746416893895</v>
      </c>
      <c r="AZ51" s="34">
        <f t="shared" ref="AZ51:AZ61" si="44">AK51*SIN(RADIANS(AJ51))</f>
        <v>-0.30939075591261767</v>
      </c>
      <c r="BA51" s="34">
        <f t="shared" ref="BA51:BA61" si="45">AK51*COS(RADIANS(AJ51))</f>
        <v>0.19792638887276368</v>
      </c>
    </row>
    <row r="52" spans="24:53">
      <c r="X52">
        <v>1775</v>
      </c>
      <c r="Y52" s="13">
        <f t="shared" si="36"/>
        <v>40521.893749999996</v>
      </c>
      <c r="Z52" s="14">
        <f t="shared" si="37"/>
        <v>40521.893749999996</v>
      </c>
      <c r="AA52" s="15">
        <v>40522</v>
      </c>
      <c r="AB52" s="21">
        <v>0.10208333333333335</v>
      </c>
      <c r="AC52">
        <v>-26.163419999999999</v>
      </c>
      <c r="AD52">
        <v>-104.07319</v>
      </c>
      <c r="AE52">
        <v>41</v>
      </c>
      <c r="AF52">
        <v>1318</v>
      </c>
      <c r="AG52" s="16">
        <f t="shared" si="38"/>
        <v>0.49518639171619</v>
      </c>
      <c r="AH52" s="16">
        <f t="shared" si="39"/>
        <v>17.05873097401685</v>
      </c>
      <c r="AI52" s="27">
        <f t="shared" si="40"/>
        <v>5.3981138347543149</v>
      </c>
      <c r="AJ52" s="17">
        <f t="shared" si="41"/>
        <v>309.28914006260254</v>
      </c>
      <c r="AK52" s="17">
        <f t="shared" si="42"/>
        <v>0.49518639165854272</v>
      </c>
      <c r="AL52" s="17">
        <f t="shared" si="17"/>
        <v>13.75517754607063</v>
      </c>
      <c r="AM52" s="17">
        <f t="shared" si="43"/>
        <v>0.26737926115472066</v>
      </c>
      <c r="AZ52" s="34">
        <f t="shared" si="44"/>
        <v>-0.38325458243975863</v>
      </c>
      <c r="BA52" s="34">
        <f t="shared" si="45"/>
        <v>0.31356895178370892</v>
      </c>
    </row>
    <row r="53" spans="24:53">
      <c r="X53">
        <v>1776</v>
      </c>
      <c r="Y53" s="13">
        <f t="shared" si="36"/>
        <v>40521.935416666667</v>
      </c>
      <c r="Z53" s="14">
        <f t="shared" si="37"/>
        <v>40521.935416666667</v>
      </c>
      <c r="AA53" s="15">
        <v>40522</v>
      </c>
      <c r="AB53" s="21">
        <v>0.14375000000000002</v>
      </c>
      <c r="AC53">
        <v>-26.160599999999999</v>
      </c>
      <c r="AD53">
        <v>-104.07702999999999</v>
      </c>
      <c r="AE53">
        <v>41</v>
      </c>
      <c r="AF53">
        <v>1322</v>
      </c>
      <c r="AG53" s="16">
        <f t="shared" si="38"/>
        <v>0.60802547409846686</v>
      </c>
      <c r="AH53" s="16">
        <f t="shared" si="39"/>
        <v>17.666756448115319</v>
      </c>
      <c r="AI53" s="27">
        <f t="shared" si="40"/>
        <v>5.5064799518433176</v>
      </c>
      <c r="AJ53" s="17">
        <f t="shared" si="41"/>
        <v>315.49806121402287</v>
      </c>
      <c r="AK53" s="17">
        <f t="shared" si="42"/>
        <v>0.5790718801322996</v>
      </c>
      <c r="AL53" s="17">
        <f t="shared" si="17"/>
        <v>16.08533000367499</v>
      </c>
      <c r="AM53" s="17">
        <f t="shared" si="43"/>
        <v>0.31267380136733236</v>
      </c>
      <c r="AN53" s="31">
        <f>AVERAGE(AM53:AM57)</f>
        <v>0.34314696791601484</v>
      </c>
      <c r="AO53" s="31">
        <f>STDEV(AM53:AM57)</f>
        <v>3.4813683785839725E-2</v>
      </c>
      <c r="AP53" s="32">
        <f>AO53/AN53*100</f>
        <v>10.145414950704261</v>
      </c>
      <c r="AZ53" s="34">
        <f t="shared" si="44"/>
        <v>-0.40589082121169651</v>
      </c>
      <c r="BA53" s="34">
        <f t="shared" si="45"/>
        <v>0.41300954421907848</v>
      </c>
    </row>
    <row r="54" spans="24:53">
      <c r="X54">
        <v>1777</v>
      </c>
      <c r="Y54" s="13">
        <f t="shared" si="36"/>
        <v>40521.979166666664</v>
      </c>
      <c r="Z54" s="14">
        <f t="shared" si="37"/>
        <v>40521.979166666664</v>
      </c>
      <c r="AA54" s="15">
        <v>40522</v>
      </c>
      <c r="AB54" s="21">
        <v>0.1875</v>
      </c>
      <c r="AC54">
        <v>-26.156700000000001</v>
      </c>
      <c r="AD54">
        <v>-104.0813</v>
      </c>
      <c r="AE54">
        <v>42</v>
      </c>
      <c r="AF54">
        <v>1322</v>
      </c>
      <c r="AG54" s="16">
        <f t="shared" si="38"/>
        <v>0.57279616832509339</v>
      </c>
      <c r="AH54" s="16">
        <f t="shared" si="39"/>
        <v>18.239552616440413</v>
      </c>
      <c r="AI54" s="27">
        <f t="shared" si="40"/>
        <v>5.547789114435064</v>
      </c>
      <c r="AJ54" s="17">
        <f t="shared" si="41"/>
        <v>317.86490188574965</v>
      </c>
      <c r="AK54" s="17">
        <f t="shared" si="42"/>
        <v>0.58250457792094246</v>
      </c>
      <c r="AL54" s="17">
        <f t="shared" si="17"/>
        <v>16.18068272002618</v>
      </c>
      <c r="AM54" s="17">
        <f t="shared" si="43"/>
        <v>0.31452730989251754</v>
      </c>
      <c r="AZ54" s="34">
        <f t="shared" si="44"/>
        <v>-0.39079126012546861</v>
      </c>
      <c r="BA54" s="34">
        <f t="shared" si="45"/>
        <v>0.431965015144055</v>
      </c>
    </row>
    <row r="55" spans="24:53">
      <c r="X55">
        <v>1778</v>
      </c>
      <c r="Y55" s="13">
        <f t="shared" si="36"/>
        <v>40522.020138888889</v>
      </c>
      <c r="Z55" s="14">
        <f t="shared" si="37"/>
        <v>40522.020138888889</v>
      </c>
      <c r="AA55" s="15">
        <v>40522</v>
      </c>
      <c r="AB55" s="21">
        <v>0.22847222222222222</v>
      </c>
      <c r="AC55">
        <v>-26.15288</v>
      </c>
      <c r="AD55">
        <v>-104.08515</v>
      </c>
      <c r="AE55">
        <v>45</v>
      </c>
      <c r="AF55">
        <v>1322</v>
      </c>
      <c r="AG55" s="16">
        <f t="shared" si="38"/>
        <v>0.73277531710942301</v>
      </c>
      <c r="AH55" s="16">
        <f t="shared" si="39"/>
        <v>18.972327933549835</v>
      </c>
      <c r="AI55" s="27">
        <f t="shared" si="40"/>
        <v>5.4113098929679841</v>
      </c>
      <c r="AJ55" s="17">
        <f t="shared" si="41"/>
        <v>310.04521850445474</v>
      </c>
      <c r="AK55" s="17">
        <f t="shared" si="42"/>
        <v>0.70913740373949785</v>
      </c>
      <c r="AL55" s="17">
        <f t="shared" si="17"/>
        <v>19.698261214986051</v>
      </c>
      <c r="AM55" s="17">
        <f t="shared" si="43"/>
        <v>0.38290356573407008</v>
      </c>
      <c r="AZ55" s="34">
        <f t="shared" si="44"/>
        <v>-0.54287085614840325</v>
      </c>
      <c r="BA55" s="34">
        <f t="shared" si="45"/>
        <v>0.45625331881214326</v>
      </c>
    </row>
    <row r="56" spans="24:53">
      <c r="X56">
        <v>1779</v>
      </c>
      <c r="Y56" s="13">
        <f t="shared" si="36"/>
        <v>40522.063194444439</v>
      </c>
      <c r="Z56" s="14">
        <f t="shared" si="37"/>
        <v>40522.063194444439</v>
      </c>
      <c r="AA56" s="15">
        <v>40522</v>
      </c>
      <c r="AB56" s="21">
        <v>0.27152777777777776</v>
      </c>
      <c r="AC56">
        <v>-26.14864</v>
      </c>
      <c r="AD56">
        <v>-104.09077000000001</v>
      </c>
      <c r="AE56">
        <v>43</v>
      </c>
      <c r="AF56">
        <v>1322</v>
      </c>
      <c r="AG56" s="16">
        <f t="shared" si="38"/>
        <v>0.68953429696533208</v>
      </c>
      <c r="AH56" s="16">
        <f t="shared" si="39"/>
        <v>19.661862230515165</v>
      </c>
      <c r="AI56" s="27">
        <f t="shared" si="40"/>
        <v>5.3477054278908689</v>
      </c>
      <c r="AJ56" s="17">
        <f t="shared" si="41"/>
        <v>306.40095109734875</v>
      </c>
      <c r="AK56" s="17">
        <f t="shared" si="42"/>
        <v>0.70122131890351991</v>
      </c>
      <c r="AL56" s="17">
        <f t="shared" si="17"/>
        <v>19.478369969542218</v>
      </c>
      <c r="AM56" s="17">
        <f t="shared" si="43"/>
        <v>0.37862922187015113</v>
      </c>
      <c r="AZ56" s="34">
        <f t="shared" si="44"/>
        <v>-0.5644017826144857</v>
      </c>
      <c r="BA56" s="34">
        <f t="shared" si="45"/>
        <v>0.41612734332939805</v>
      </c>
    </row>
    <row r="57" spans="24:53">
      <c r="X57">
        <v>1780</v>
      </c>
      <c r="Y57" s="13">
        <f t="shared" si="36"/>
        <v>40522.104166666664</v>
      </c>
      <c r="Z57" s="14">
        <f t="shared" si="37"/>
        <v>40522.104166666664</v>
      </c>
      <c r="AA57" s="15">
        <v>40522</v>
      </c>
      <c r="AB57" s="21">
        <v>0.3125</v>
      </c>
      <c r="AC57">
        <v>-26.144960000000001</v>
      </c>
      <c r="AD57">
        <v>-104.09632999999999</v>
      </c>
      <c r="AE57">
        <v>42</v>
      </c>
      <c r="AF57">
        <v>1331</v>
      </c>
      <c r="AG57" s="16">
        <f t="shared" si="38"/>
        <v>0.64597945834370718</v>
      </c>
      <c r="AH57" s="16">
        <f t="shared" si="39"/>
        <v>20.307841688858872</v>
      </c>
      <c r="AI57" s="27">
        <f t="shared" si="40"/>
        <v>5.1957402823122028</v>
      </c>
      <c r="AJ57" s="17">
        <f t="shared" si="41"/>
        <v>297.69398962260004</v>
      </c>
      <c r="AK57" s="17">
        <f t="shared" si="42"/>
        <v>0.60560574220603824</v>
      </c>
      <c r="AL57" s="17">
        <f t="shared" si="17"/>
        <v>16.822381727945508</v>
      </c>
      <c r="AM57" s="17">
        <f t="shared" si="43"/>
        <v>0.32700094071600333</v>
      </c>
      <c r="AZ57" s="34">
        <f t="shared" si="44"/>
        <v>-0.53622899167069171</v>
      </c>
      <c r="BA57" s="34">
        <f t="shared" si="45"/>
        <v>0.28145476276794418</v>
      </c>
    </row>
    <row r="58" spans="24:53">
      <c r="X58">
        <v>1781</v>
      </c>
      <c r="Y58" s="13">
        <f t="shared" si="36"/>
        <v>40522.148611111108</v>
      </c>
      <c r="Z58" s="14">
        <f t="shared" si="37"/>
        <v>40522.148611111108</v>
      </c>
      <c r="AA58" s="15">
        <v>40522</v>
      </c>
      <c r="AB58" s="21">
        <v>0.35694444444444445</v>
      </c>
      <c r="AC58">
        <v>-26.14226</v>
      </c>
      <c r="AD58">
        <v>-104.10205999999999</v>
      </c>
      <c r="AE58">
        <v>40</v>
      </c>
      <c r="AF58">
        <v>1322</v>
      </c>
      <c r="AG58" s="16">
        <f t="shared" si="38"/>
        <v>0.62358460173359331</v>
      </c>
      <c r="AH58" s="16">
        <f t="shared" si="39"/>
        <v>20.931426290592466</v>
      </c>
      <c r="AI58" s="27">
        <f t="shared" si="40"/>
        <v>5.1605339732570128</v>
      </c>
      <c r="AJ58" s="17">
        <f t="shared" si="41"/>
        <v>295.67681670150449</v>
      </c>
      <c r="AK58" s="17">
        <f t="shared" si="42"/>
        <v>0.61336190334685914</v>
      </c>
      <c r="AL58" s="17">
        <f t="shared" si="17"/>
        <v>17.037830648523865</v>
      </c>
      <c r="AM58" s="17">
        <f t="shared" si="43"/>
        <v>0.33118893269268851</v>
      </c>
      <c r="AN58" s="31">
        <f>AVERAGE(AM58:AM62)</f>
        <v>0.33885236318947204</v>
      </c>
      <c r="AO58" s="31">
        <f>STDEV(AM58:AM62)</f>
        <v>2.6403566899817713E-2</v>
      </c>
      <c r="AP58" s="32">
        <f>AO58/AN58*100</f>
        <v>7.7920562959314363</v>
      </c>
      <c r="AZ58" s="34">
        <f t="shared" si="44"/>
        <v>-0.55279389777302079</v>
      </c>
      <c r="BA58" s="34">
        <f t="shared" si="45"/>
        <v>0.26576630911797833</v>
      </c>
    </row>
    <row r="59" spans="24:53">
      <c r="X59">
        <v>1782</v>
      </c>
      <c r="Y59" s="13">
        <f t="shared" si="36"/>
        <v>40522.190972222219</v>
      </c>
      <c r="Z59" s="14">
        <f t="shared" si="37"/>
        <v>40522.190972222219</v>
      </c>
      <c r="AA59" s="15">
        <v>40522</v>
      </c>
      <c r="AB59" s="21">
        <v>0.39930555555555558</v>
      </c>
      <c r="AC59">
        <v>-26.13983</v>
      </c>
      <c r="AD59">
        <v>-104.10769000000001</v>
      </c>
      <c r="AE59">
        <v>43</v>
      </c>
      <c r="AF59">
        <v>1322</v>
      </c>
      <c r="AG59" s="16">
        <f t="shared" si="38"/>
        <v>0.70156780783905492</v>
      </c>
      <c r="AH59" s="16">
        <f t="shared" si="39"/>
        <v>21.632994098431521</v>
      </c>
      <c r="AI59" s="27">
        <f t="shared" si="40"/>
        <v>5.2406145664026615</v>
      </c>
      <c r="AJ59" s="17">
        <f t="shared" si="41"/>
        <v>300.26509670965442</v>
      </c>
      <c r="AK59" s="17">
        <f t="shared" si="42"/>
        <v>0.70156780787989159</v>
      </c>
      <c r="AL59" s="17">
        <f t="shared" si="17"/>
        <v>19.487994663330323</v>
      </c>
      <c r="AM59" s="17">
        <f t="shared" si="43"/>
        <v>0.37881631095026541</v>
      </c>
      <c r="AZ59" s="34">
        <f t="shared" si="44"/>
        <v>-0.6059460359832185</v>
      </c>
      <c r="BA59" s="34">
        <f t="shared" si="45"/>
        <v>0.35359127609376978</v>
      </c>
    </row>
    <row r="60" spans="24:53">
      <c r="X60">
        <v>1783</v>
      </c>
      <c r="Y60" s="13">
        <f t="shared" si="36"/>
        <v>40522.232638888883</v>
      </c>
      <c r="Z60" s="14">
        <f t="shared" si="37"/>
        <v>40522.232638888883</v>
      </c>
      <c r="AA60" s="15">
        <v>40522</v>
      </c>
      <c r="AB60" s="21">
        <v>0.44097222222222227</v>
      </c>
      <c r="AC60">
        <v>-26.136649999999999</v>
      </c>
      <c r="AD60">
        <v>-104.11376</v>
      </c>
      <c r="AE60">
        <v>42</v>
      </c>
      <c r="AF60">
        <v>1328</v>
      </c>
      <c r="AG60" s="16">
        <f t="shared" si="38"/>
        <v>0.65980193502660134</v>
      </c>
      <c r="AH60" s="16">
        <f t="shared" si="39"/>
        <v>22.292796033458121</v>
      </c>
      <c r="AI60" s="27">
        <f t="shared" si="40"/>
        <v>5.2249423728173223</v>
      </c>
      <c r="AJ60" s="17">
        <f t="shared" si="41"/>
        <v>299.36714616150249</v>
      </c>
      <c r="AK60" s="17">
        <f t="shared" si="42"/>
        <v>0.64898550986470793</v>
      </c>
      <c r="AL60" s="17">
        <f t="shared" si="17"/>
        <v>18.027375274019668</v>
      </c>
      <c r="AM60" s="17">
        <f t="shared" si="43"/>
        <v>0.35042414139563061</v>
      </c>
      <c r="AZ60" s="34">
        <f t="shared" si="44"/>
        <v>-0.56558772806287494</v>
      </c>
      <c r="BA60" s="34">
        <f t="shared" si="45"/>
        <v>0.31826516284229145</v>
      </c>
    </row>
    <row r="61" spans="24:53">
      <c r="X61">
        <v>1784</v>
      </c>
      <c r="Y61" s="13">
        <f t="shared" si="36"/>
        <v>40522.274999999994</v>
      </c>
      <c r="Z61" s="14">
        <f t="shared" si="37"/>
        <v>40522.274999999994</v>
      </c>
      <c r="AA61" s="15">
        <v>40522</v>
      </c>
      <c r="AB61" s="21">
        <v>0.48333333333333334</v>
      </c>
      <c r="AC61">
        <v>-26.13374</v>
      </c>
      <c r="AD61">
        <v>-104.11951999999999</v>
      </c>
      <c r="AE61">
        <v>41</v>
      </c>
      <c r="AF61">
        <v>1335</v>
      </c>
      <c r="AG61" s="16">
        <f t="shared" si="38"/>
        <v>0.60797330096725033</v>
      </c>
      <c r="AH61" s="16">
        <f t="shared" si="39"/>
        <v>22.90076933442537</v>
      </c>
      <c r="AI61" s="27">
        <f t="shared" si="40"/>
        <v>5.3398421978989079</v>
      </c>
      <c r="AJ61" s="17">
        <f t="shared" si="41"/>
        <v>305.95042120546873</v>
      </c>
      <c r="AK61" s="17">
        <f t="shared" si="42"/>
        <v>0.57902219133960375</v>
      </c>
      <c r="AL61" s="17">
        <f t="shared" si="17"/>
        <v>16.083949759433438</v>
      </c>
      <c r="AM61" s="17">
        <f t="shared" si="43"/>
        <v>0.31264697156566074</v>
      </c>
      <c r="AZ61" s="34">
        <f t="shared" si="44"/>
        <v>-0.46873311880713048</v>
      </c>
      <c r="BA61" s="34">
        <f t="shared" si="45"/>
        <v>0.33993523117949564</v>
      </c>
    </row>
    <row r="62" spans="24:53">
      <c r="X62">
        <v>1785</v>
      </c>
      <c r="Y62" s="13">
        <f t="shared" si="36"/>
        <v>40522.318749999999</v>
      </c>
      <c r="Z62" s="14">
        <f t="shared" si="37"/>
        <v>40522.318749999999</v>
      </c>
      <c r="AA62" s="15">
        <v>40522</v>
      </c>
      <c r="AB62" s="21">
        <v>0.52708333333333335</v>
      </c>
      <c r="AC62">
        <v>-26.13053</v>
      </c>
      <c r="AD62">
        <v>-104.12445</v>
      </c>
      <c r="AE62">
        <v>44</v>
      </c>
      <c r="AF62">
        <v>1335</v>
      </c>
      <c r="AG62" s="16">
        <f t="shared" ref="AG62:AG71" si="46">ACOS(SIN(RADIANS(AC62))*SIN(RADIANS(AC63))+COS(RADIANS(AC62))*COS(RADIANS(AC63))*COS(RADIANS(AD63)-RADIANS(AD62)))*6371.1</f>
        <v>0.58492154622865655</v>
      </c>
      <c r="AH62" s="16">
        <f t="shared" ref="AH62:AH71" si="47">AH61+AG62</f>
        <v>23.485690880654026</v>
      </c>
      <c r="AI62" s="27">
        <f t="shared" ref="AI62:AI71" si="48">RADIANS(AJ62)</f>
        <v>5.2736788778972263</v>
      </c>
      <c r="AJ62" s="17">
        <f t="shared" ref="AJ62:AJ71" si="49">MOD(DEGREES(ATAN2(COS(RADIANS(AC62))*SIN(RADIANS(AC63))-SIN(RADIANS(AC62))*COS(RADIANS(AC63))*COS(RADIANS(AD63)-RADIANS(AD62)),SIN(RADIANS(AD63)-RADIANS(AD62))*COS(RADIANS(AC63)))), 360)</f>
        <v>302.15954221079886</v>
      </c>
      <c r="AK62" s="17">
        <f t="shared" ref="AK62:AK71" si="50">AG62/((Z63-Z62)*24)</f>
        <v>0.59483547070344844</v>
      </c>
      <c r="AL62" s="17">
        <f t="shared" si="17"/>
        <v>16.523207519540236</v>
      </c>
      <c r="AM62" s="17">
        <f t="shared" ref="AM62:AM71" si="51">AK62/1.852</f>
        <v>0.32118545934311471</v>
      </c>
      <c r="AZ62" s="34"/>
      <c r="BA62" s="34"/>
    </row>
    <row r="63" spans="24:53">
      <c r="X63">
        <v>1787</v>
      </c>
      <c r="Y63" s="13">
        <f>(AA63+AB63)-(5/24)</f>
        <v>40522.359722222223</v>
      </c>
      <c r="Z63" s="14">
        <f>(AA63+AB63)-(5/24)</f>
        <v>40522.359722222223</v>
      </c>
      <c r="AA63" s="15">
        <v>40522</v>
      </c>
      <c r="AB63" s="21">
        <v>0.56805555555555554</v>
      </c>
      <c r="AC63">
        <v>-26.12773</v>
      </c>
      <c r="AD63">
        <v>-104.12940999999999</v>
      </c>
      <c r="AE63">
        <v>42</v>
      </c>
      <c r="AF63">
        <v>1328</v>
      </c>
      <c r="AG63" s="16">
        <f t="shared" si="46"/>
        <v>0.44109497344805737</v>
      </c>
      <c r="AH63" s="16">
        <f t="shared" si="47"/>
        <v>23.926785854102082</v>
      </c>
      <c r="AI63" s="27">
        <f t="shared" si="48"/>
        <v>5.1918664781358004</v>
      </c>
      <c r="AJ63" s="17">
        <f t="shared" si="49"/>
        <v>297.47203699263207</v>
      </c>
      <c r="AK63" s="17">
        <f t="shared" si="50"/>
        <v>0.4410949734737325</v>
      </c>
      <c r="AL63" s="17">
        <f t="shared" si="17"/>
        <v>12.252638152048126</v>
      </c>
      <c r="AM63" s="17">
        <f t="shared" si="51"/>
        <v>0.23817223189726375</v>
      </c>
      <c r="AZ63" s="34"/>
      <c r="BA63" s="34"/>
    </row>
    <row r="64" spans="24:53">
      <c r="X64">
        <v>1788</v>
      </c>
      <c r="Y64" s="13">
        <f>(AA64+AB64)-(5/24)</f>
        <v>40522.401388888888</v>
      </c>
      <c r="Z64" s="14">
        <f>(AA64+AB64)-(5/24)</f>
        <v>40522.401388888888</v>
      </c>
      <c r="AA64" s="15">
        <v>40522</v>
      </c>
      <c r="AB64" s="21">
        <v>0.60972222222222217</v>
      </c>
      <c r="AC64">
        <v>-26.125900000000001</v>
      </c>
      <c r="AD64">
        <v>-104.13333</v>
      </c>
      <c r="AE64">
        <v>41</v>
      </c>
      <c r="AF64">
        <v>1325</v>
      </c>
      <c r="AG64" s="16">
        <f t="shared" si="46"/>
        <v>0.37980889187878364</v>
      </c>
      <c r="AH64" s="16">
        <f t="shared" si="47"/>
        <v>24.306594745980867</v>
      </c>
      <c r="AI64" s="27">
        <f t="shared" si="48"/>
        <v>5.1282857990651642</v>
      </c>
      <c r="AJ64" s="17">
        <f t="shared" si="49"/>
        <v>293.82913242330886</v>
      </c>
      <c r="AK64" s="17">
        <f t="shared" si="50"/>
        <v>0.3798088919008914</v>
      </c>
      <c r="AL64" s="17">
        <f t="shared" si="17"/>
        <v>10.550246997246983</v>
      </c>
      <c r="AM64" s="17">
        <f t="shared" si="51"/>
        <v>0.20508039519486576</v>
      </c>
      <c r="AZ64" s="34"/>
      <c r="BA64" s="34"/>
    </row>
    <row r="65" spans="24:53">
      <c r="X65">
        <v>1789</v>
      </c>
      <c r="Y65" s="13">
        <f>(AA65+AB65)-(5/24)</f>
        <v>40522.443055555552</v>
      </c>
      <c r="Z65" s="14">
        <f>(AA65+AB65)-(5/24)</f>
        <v>40522.443055555552</v>
      </c>
      <c r="AA65" s="15">
        <v>40522</v>
      </c>
      <c r="AB65" s="21">
        <v>0.65138888888888891</v>
      </c>
      <c r="AC65">
        <v>-26.12452</v>
      </c>
      <c r="AD65">
        <v>-104.13681</v>
      </c>
      <c r="AE65">
        <v>42</v>
      </c>
      <c r="AF65">
        <v>1325</v>
      </c>
      <c r="AG65" s="16">
        <f t="shared" si="46"/>
        <v>0.46725042000255124</v>
      </c>
      <c r="AH65" s="16">
        <f t="shared" si="47"/>
        <v>24.773845165983417</v>
      </c>
      <c r="AI65" s="27">
        <f t="shared" si="48"/>
        <v>5.1288783872437742</v>
      </c>
      <c r="AJ65" s="17">
        <f t="shared" si="49"/>
        <v>293.86308522493255</v>
      </c>
      <c r="AK65" s="17">
        <f t="shared" si="50"/>
        <v>0.45217782578684551</v>
      </c>
      <c r="AL65" s="17">
        <f t="shared" si="17"/>
        <v>12.560495160745708</v>
      </c>
      <c r="AM65" s="17">
        <f t="shared" si="51"/>
        <v>0.24415649340542414</v>
      </c>
      <c r="AZ65" s="34"/>
      <c r="BA65" s="34"/>
    </row>
    <row r="66" spans="24:53">
      <c r="X66">
        <v>1790</v>
      </c>
      <c r="Y66" s="13">
        <f>(AA66+AB66)-(5/24)</f>
        <v>40522.486111111109</v>
      </c>
      <c r="Z66" s="14">
        <f>(AA66+AB66)-(5/24)</f>
        <v>40522.486111111109</v>
      </c>
      <c r="AA66" s="15">
        <v>40522</v>
      </c>
      <c r="AB66" s="21">
        <v>0.69444444444444453</v>
      </c>
      <c r="AC66">
        <v>-26.122820000000001</v>
      </c>
      <c r="AD66">
        <v>-104.14109000000001</v>
      </c>
      <c r="AE66">
        <v>42</v>
      </c>
      <c r="AF66">
        <v>1325</v>
      </c>
      <c r="AG66" s="16">
        <f t="shared" si="46"/>
        <v>0.43148113253202197</v>
      </c>
      <c r="AH66" s="16">
        <f t="shared" si="47"/>
        <v>25.205326298515438</v>
      </c>
      <c r="AI66" s="27">
        <f t="shared" si="48"/>
        <v>5.259896310436627</v>
      </c>
      <c r="AJ66" s="17">
        <f t="shared" si="49"/>
        <v>301.3698592644522</v>
      </c>
      <c r="AK66" s="17">
        <f t="shared" si="50"/>
        <v>0.43879437203875732</v>
      </c>
      <c r="AL66" s="17">
        <f t="shared" si="17"/>
        <v>12.188732556632148</v>
      </c>
      <c r="AM66" s="17">
        <f t="shared" si="51"/>
        <v>0.23693000650040891</v>
      </c>
      <c r="AZ66" s="34"/>
      <c r="BA66" s="34"/>
    </row>
    <row r="67" spans="24:53">
      <c r="X67">
        <v>1791</v>
      </c>
      <c r="Y67" s="13">
        <f t="shared" ref="Y67:Y96" si="52">(AA67+AB67)-(5/24)</f>
        <v>40522.527083333334</v>
      </c>
      <c r="Z67" s="14">
        <f t="shared" ref="Z67:Z96" si="53">(AA67+AB67)-(5/24)</f>
        <v>40522.527083333334</v>
      </c>
      <c r="AA67" s="15">
        <v>40522</v>
      </c>
      <c r="AB67" s="21">
        <v>0.73541666666666661</v>
      </c>
      <c r="AC67">
        <v>-26.120799999999999</v>
      </c>
      <c r="AD67">
        <v>-104.14478</v>
      </c>
      <c r="AE67">
        <v>42</v>
      </c>
      <c r="AF67">
        <v>1322</v>
      </c>
      <c r="AG67" s="16">
        <f t="shared" si="46"/>
        <v>0.68704627357143733</v>
      </c>
      <c r="AH67" s="16">
        <f t="shared" si="47"/>
        <v>25.892372572086874</v>
      </c>
      <c r="AI67" s="27">
        <f t="shared" si="48"/>
        <v>5.25299464262618</v>
      </c>
      <c r="AJ67" s="17">
        <f t="shared" si="49"/>
        <v>300.97442282731225</v>
      </c>
      <c r="AK67" s="17">
        <f t="shared" si="50"/>
        <v>0.66488349063290331</v>
      </c>
      <c r="AL67" s="17">
        <f t="shared" si="17"/>
        <v>18.468985850913981</v>
      </c>
      <c r="AM67" s="17">
        <f t="shared" si="51"/>
        <v>0.35900836427262595</v>
      </c>
      <c r="AZ67" s="34"/>
      <c r="BA67" s="34"/>
    </row>
    <row r="68" spans="24:53">
      <c r="X68">
        <v>1792</v>
      </c>
      <c r="Y68" s="13">
        <f t="shared" si="52"/>
        <v>40522.570138888885</v>
      </c>
      <c r="Z68" s="14">
        <f t="shared" si="53"/>
        <v>40522.570138888885</v>
      </c>
      <c r="AA68" s="15">
        <v>40522</v>
      </c>
      <c r="AB68" s="21">
        <v>0.77847222222222223</v>
      </c>
      <c r="AC68">
        <v>-26.117619999999999</v>
      </c>
      <c r="AD68">
        <v>-104.15067999999999</v>
      </c>
      <c r="AE68">
        <v>45</v>
      </c>
      <c r="AF68">
        <v>1322</v>
      </c>
      <c r="AG68" s="16">
        <f t="shared" si="46"/>
        <v>0.74786566784109376</v>
      </c>
      <c r="AH68" s="16">
        <f t="shared" si="47"/>
        <v>26.640238239927967</v>
      </c>
      <c r="AI68" s="27">
        <f t="shared" si="48"/>
        <v>5.2133076649215226</v>
      </c>
      <c r="AJ68" s="17">
        <f t="shared" si="49"/>
        <v>298.70052650320559</v>
      </c>
      <c r="AK68" s="17">
        <f t="shared" si="50"/>
        <v>0.74786566775403074</v>
      </c>
      <c r="AL68" s="17">
        <f t="shared" si="17"/>
        <v>20.774046326500855</v>
      </c>
      <c r="AM68" s="17">
        <f t="shared" si="51"/>
        <v>0.4038151553747466</v>
      </c>
      <c r="AZ68" s="34"/>
      <c r="BA68" s="34"/>
    </row>
    <row r="69" spans="24:53">
      <c r="X69">
        <v>1793</v>
      </c>
      <c r="Y69" s="13">
        <f t="shared" si="52"/>
        <v>40522.611805555556</v>
      </c>
      <c r="Z69" s="14">
        <f t="shared" si="53"/>
        <v>40522.611805555556</v>
      </c>
      <c r="AA69" s="15">
        <v>40522</v>
      </c>
      <c r="AB69" s="21">
        <v>0.82013888888888886</v>
      </c>
      <c r="AC69">
        <v>-26.11439</v>
      </c>
      <c r="AD69">
        <v>-104.15725</v>
      </c>
      <c r="AE69">
        <v>43</v>
      </c>
      <c r="AF69">
        <v>1318</v>
      </c>
      <c r="AG69" s="16">
        <f t="shared" si="46"/>
        <v>0.75518345787438979</v>
      </c>
      <c r="AH69" s="16">
        <f t="shared" si="47"/>
        <v>27.395421697802359</v>
      </c>
      <c r="AI69" s="27">
        <f t="shared" si="48"/>
        <v>5.0236322428165323</v>
      </c>
      <c r="AJ69" s="17">
        <f t="shared" si="49"/>
        <v>287.83292533922724</v>
      </c>
      <c r="AK69" s="17">
        <f t="shared" si="50"/>
        <v>0.7428034011907596</v>
      </c>
      <c r="AL69" s="17">
        <f t="shared" si="17"/>
        <v>20.633427810854435</v>
      </c>
      <c r="AM69" s="17">
        <f t="shared" si="51"/>
        <v>0.4010817501030019</v>
      </c>
      <c r="AZ69" s="34"/>
      <c r="BA69" s="34"/>
    </row>
    <row r="70" spans="24:53">
      <c r="X70">
        <v>1794</v>
      </c>
      <c r="Y70" s="13">
        <f t="shared" si="52"/>
        <v>40522.654166666667</v>
      </c>
      <c r="Z70" s="14">
        <f t="shared" si="53"/>
        <v>40522.654166666667</v>
      </c>
      <c r="AA70" s="15">
        <v>40522</v>
      </c>
      <c r="AB70" s="21">
        <v>0.86249999999999993</v>
      </c>
      <c r="AC70">
        <v>-26.112310000000001</v>
      </c>
      <c r="AD70">
        <v>-104.16445</v>
      </c>
      <c r="AE70">
        <v>42</v>
      </c>
      <c r="AF70">
        <v>1322</v>
      </c>
      <c r="AG70" s="16">
        <f t="shared" si="46"/>
        <v>0.69015446549273141</v>
      </c>
      <c r="AH70" s="16">
        <f t="shared" si="47"/>
        <v>28.085576163295091</v>
      </c>
      <c r="AI70" s="27">
        <f t="shared" si="48"/>
        <v>4.8464928760654624</v>
      </c>
      <c r="AJ70" s="17">
        <f t="shared" si="49"/>
        <v>277.68358723877094</v>
      </c>
      <c r="AK70" s="17">
        <f t="shared" si="50"/>
        <v>0.69015446553290372</v>
      </c>
      <c r="AL70" s="17">
        <f t="shared" si="17"/>
        <v>19.170957375913993</v>
      </c>
      <c r="AM70" s="17">
        <f t="shared" si="51"/>
        <v>0.37265359909984003</v>
      </c>
      <c r="AZ70" s="34"/>
      <c r="BA70" s="34"/>
    </row>
    <row r="71" spans="24:53">
      <c r="X71">
        <v>1795</v>
      </c>
      <c r="Y71" s="13">
        <f t="shared" si="52"/>
        <v>40522.695833333331</v>
      </c>
      <c r="Z71" s="14">
        <f t="shared" si="53"/>
        <v>40522.695833333331</v>
      </c>
      <c r="AA71" s="15">
        <v>40522</v>
      </c>
      <c r="AB71" s="21">
        <v>0.90416666666666667</v>
      </c>
      <c r="AC71">
        <v>-26.11148</v>
      </c>
      <c r="AD71">
        <v>-104.1713</v>
      </c>
      <c r="AE71">
        <v>42</v>
      </c>
      <c r="AF71">
        <v>1322</v>
      </c>
      <c r="AG71" s="16">
        <f t="shared" si="46"/>
        <v>0.57393372357658845</v>
      </c>
      <c r="AH71" s="16">
        <f t="shared" si="47"/>
        <v>28.659509886871678</v>
      </c>
      <c r="AI71" s="27">
        <f t="shared" si="48"/>
        <v>4.8876334934398482</v>
      </c>
      <c r="AJ71" s="17">
        <f t="shared" si="49"/>
        <v>280.04077098088584</v>
      </c>
      <c r="AK71" s="17">
        <f t="shared" si="50"/>
        <v>0.56452497401191382</v>
      </c>
      <c r="AL71" s="17">
        <f t="shared" si="17"/>
        <v>15.681249278108719</v>
      </c>
      <c r="AM71" s="17">
        <f t="shared" si="51"/>
        <v>0.30481910043839838</v>
      </c>
    </row>
    <row r="72" spans="24:53">
      <c r="X72">
        <v>1796</v>
      </c>
      <c r="Y72" s="13">
        <f t="shared" si="52"/>
        <v>40522.738194444442</v>
      </c>
      <c r="Z72" s="14">
        <f t="shared" si="53"/>
        <v>40522.738194444442</v>
      </c>
      <c r="AA72" s="15">
        <v>40522</v>
      </c>
      <c r="AB72" s="21">
        <v>0.94652777777777775</v>
      </c>
      <c r="AC72">
        <v>-26.110579999999999</v>
      </c>
      <c r="AD72">
        <v>-104.17695999999999</v>
      </c>
      <c r="AE72">
        <v>44</v>
      </c>
      <c r="AF72">
        <v>1322</v>
      </c>
      <c r="AG72" s="16">
        <f t="shared" ref="AG72:AG78" si="54">ACOS(SIN(RADIANS(AC72))*SIN(RADIANS(AC73))+COS(RADIANS(AC72))*COS(RADIANS(AC73))*COS(RADIANS(AD73)-RADIANS(AD72)))*6371.1</f>
        <v>0.54181686735998624</v>
      </c>
      <c r="AH72" s="16">
        <f t="shared" ref="AH72:AH78" si="55">AH71+AG72</f>
        <v>29.201326754231665</v>
      </c>
      <c r="AI72" s="27">
        <f t="shared" ref="AI72:AI78" si="56">RADIANS(AJ72)</f>
        <v>4.9106860444879681</v>
      </c>
      <c r="AJ72" s="17">
        <f t="shared" ref="AJ72:AJ78" si="57">MOD(DEGREES(ATAN2(COS(RADIANS(AC72))*SIN(RADIANS(AC73))-SIN(RADIANS(AC72))*COS(RADIANS(AC73))*COS(RADIANS(AD73)-RADIANS(AD72)),SIN(RADIANS(AD73)-RADIANS(AD72))*COS(RADIANS(AC73)))), 360)</f>
        <v>281.36158486295301</v>
      </c>
      <c r="AK72" s="17">
        <f t="shared" ref="AK72:AK78" si="58">AG72/((Z73-Z72)*24)</f>
        <v>0.53293462363480748</v>
      </c>
      <c r="AL72" s="17">
        <f t="shared" si="17"/>
        <v>14.80373954541132</v>
      </c>
      <c r="AM72" s="17">
        <f t="shared" ref="AM72:AM78" si="59">AK72/1.852</f>
        <v>0.28776167582872975</v>
      </c>
    </row>
    <row r="73" spans="24:53">
      <c r="X73">
        <v>1797</v>
      </c>
      <c r="Y73" s="13">
        <f t="shared" si="52"/>
        <v>40522.780555555553</v>
      </c>
      <c r="Z73" s="14">
        <f t="shared" si="53"/>
        <v>40522.780555555553</v>
      </c>
      <c r="AA73" s="15">
        <v>40522</v>
      </c>
      <c r="AB73" s="21">
        <v>0.98888888888888893</v>
      </c>
      <c r="AC73">
        <v>-26.10962</v>
      </c>
      <c r="AD73">
        <v>-104.18228000000001</v>
      </c>
      <c r="AE73">
        <v>41</v>
      </c>
      <c r="AF73">
        <v>1328</v>
      </c>
      <c r="AG73" s="16">
        <f t="shared" si="54"/>
        <v>0.66929211538819722</v>
      </c>
      <c r="AH73" s="16">
        <f t="shared" si="55"/>
        <v>29.870618869619861</v>
      </c>
      <c r="AI73" s="27">
        <f t="shared" si="56"/>
        <v>5.0091079370498202</v>
      </c>
      <c r="AJ73" s="17">
        <f t="shared" si="57"/>
        <v>287.00074391843714</v>
      </c>
      <c r="AK73" s="17">
        <f t="shared" si="58"/>
        <v>0.63742106231687667</v>
      </c>
      <c r="AL73" s="17">
        <f t="shared" si="17"/>
        <v>17.706140619913242</v>
      </c>
      <c r="AM73" s="17">
        <f t="shared" si="59"/>
        <v>0.34417983926397228</v>
      </c>
    </row>
    <row r="74" spans="24:53">
      <c r="X74">
        <v>1798</v>
      </c>
      <c r="Y74" s="13">
        <f t="shared" si="52"/>
        <v>40522.82430555555</v>
      </c>
      <c r="Z74" s="14">
        <f t="shared" si="53"/>
        <v>40522.82430555555</v>
      </c>
      <c r="AA74" s="15">
        <v>40523</v>
      </c>
      <c r="AB74" s="21">
        <v>3.2638888888888891E-2</v>
      </c>
      <c r="AC74">
        <v>-26.107859999999999</v>
      </c>
      <c r="AD74">
        <v>-104.18868999999999</v>
      </c>
      <c r="AE74">
        <v>41</v>
      </c>
      <c r="AF74">
        <v>1325</v>
      </c>
      <c r="AG74" s="16">
        <f t="shared" si="54"/>
        <v>0.46092093184684668</v>
      </c>
      <c r="AH74" s="16">
        <f t="shared" si="55"/>
        <v>30.331539801466707</v>
      </c>
      <c r="AI74" s="27">
        <f t="shared" si="56"/>
        <v>4.8187212386553897</v>
      </c>
      <c r="AJ74" s="17">
        <f t="shared" si="57"/>
        <v>276.09238962500615</v>
      </c>
      <c r="AK74" s="17">
        <f t="shared" si="58"/>
        <v>0.47681475707911669</v>
      </c>
      <c r="AL74" s="17">
        <f t="shared" si="17"/>
        <v>13.244854363308797</v>
      </c>
      <c r="AM74" s="17">
        <f t="shared" si="59"/>
        <v>0.25745937207295716</v>
      </c>
    </row>
    <row r="75" spans="24:53">
      <c r="X75">
        <v>1799</v>
      </c>
      <c r="Y75" s="13">
        <f t="shared" si="52"/>
        <v>40522.864583333328</v>
      </c>
      <c r="Z75" s="14">
        <f t="shared" si="53"/>
        <v>40522.864583333328</v>
      </c>
      <c r="AA75" s="15">
        <v>40523</v>
      </c>
      <c r="AB75" s="21">
        <v>7.2916666666666671E-2</v>
      </c>
      <c r="AC75">
        <v>-26.107420000000001</v>
      </c>
      <c r="AD75">
        <v>-104.19328</v>
      </c>
      <c r="AE75">
        <v>42</v>
      </c>
      <c r="AF75">
        <v>1322</v>
      </c>
      <c r="AG75" s="16">
        <f t="shared" si="54"/>
        <v>0.60952085607706696</v>
      </c>
      <c r="AH75" s="16">
        <f t="shared" si="55"/>
        <v>30.941060657543776</v>
      </c>
      <c r="AI75" s="27">
        <f t="shared" si="56"/>
        <v>4.8183752129046518</v>
      </c>
      <c r="AJ75" s="17">
        <f t="shared" si="57"/>
        <v>276.07256380988599</v>
      </c>
      <c r="AK75" s="17">
        <f t="shared" si="58"/>
        <v>0.58049605334880594</v>
      </c>
      <c r="AL75" s="17">
        <f t="shared" si="17"/>
        <v>16.124890370800166</v>
      </c>
      <c r="AM75" s="17">
        <f t="shared" si="59"/>
        <v>0.3134427933848844</v>
      </c>
    </row>
    <row r="76" spans="24:53">
      <c r="X76">
        <v>1800</v>
      </c>
      <c r="Y76" s="13">
        <f t="shared" si="52"/>
        <v>40522.908333333333</v>
      </c>
      <c r="Z76" s="14">
        <f t="shared" si="53"/>
        <v>40522.908333333333</v>
      </c>
      <c r="AA76" s="15">
        <v>40523</v>
      </c>
      <c r="AB76" s="21">
        <v>0.11666666666666665</v>
      </c>
      <c r="AC76">
        <v>-26.106839999999998</v>
      </c>
      <c r="AD76">
        <v>-104.19935</v>
      </c>
      <c r="AE76">
        <v>43</v>
      </c>
      <c r="AF76">
        <v>1325</v>
      </c>
      <c r="AG76" s="16">
        <f t="shared" si="54"/>
        <v>0.58814062794966926</v>
      </c>
      <c r="AH76" s="16">
        <f t="shared" si="55"/>
        <v>31.529201285493446</v>
      </c>
      <c r="AI76" s="27">
        <f t="shared" si="56"/>
        <v>4.7710100871224563</v>
      </c>
      <c r="AJ76" s="17">
        <f t="shared" si="57"/>
        <v>273.35874200645992</v>
      </c>
      <c r="AK76" s="17">
        <f t="shared" si="58"/>
        <v>0.6084213392533937</v>
      </c>
      <c r="AL76" s="17">
        <f t="shared" si="17"/>
        <v>16.900592757038716</v>
      </c>
      <c r="AM76" s="17">
        <f t="shared" si="59"/>
        <v>0.32852124149751277</v>
      </c>
    </row>
    <row r="77" spans="24:53">
      <c r="X77">
        <v>1801</v>
      </c>
      <c r="Y77" s="13">
        <f t="shared" si="52"/>
        <v>40522.948611111111</v>
      </c>
      <c r="Z77" s="14">
        <f t="shared" si="53"/>
        <v>40522.948611111111</v>
      </c>
      <c r="AA77" s="15">
        <v>40523</v>
      </c>
      <c r="AB77" s="21">
        <v>0.15694444444444444</v>
      </c>
      <c r="AC77">
        <v>-26.106529999999999</v>
      </c>
      <c r="AD77">
        <v>-104.20523</v>
      </c>
      <c r="AE77">
        <v>43</v>
      </c>
      <c r="AF77">
        <v>1322</v>
      </c>
      <c r="AG77" s="16">
        <f t="shared" si="54"/>
        <v>0.59014049971771243</v>
      </c>
      <c r="AH77" s="16">
        <f t="shared" si="55"/>
        <v>32.119341785211162</v>
      </c>
      <c r="AI77" s="27">
        <f t="shared" si="56"/>
        <v>4.5819847850046989</v>
      </c>
      <c r="AJ77" s="17">
        <f t="shared" si="57"/>
        <v>262.52838997392712</v>
      </c>
      <c r="AK77" s="17">
        <f t="shared" si="58"/>
        <v>0.58046606529832612</v>
      </c>
      <c r="AL77" s="17">
        <f t="shared" si="17"/>
        <v>16.124057369397949</v>
      </c>
      <c r="AM77" s="17">
        <f t="shared" si="59"/>
        <v>0.31342660113300547</v>
      </c>
    </row>
    <row r="78" spans="24:53">
      <c r="X78">
        <v>1802</v>
      </c>
      <c r="Y78" s="13">
        <f t="shared" si="52"/>
        <v>40522.990972222222</v>
      </c>
      <c r="Z78" s="14">
        <f t="shared" si="53"/>
        <v>40522.990972222222</v>
      </c>
      <c r="AA78" s="15">
        <v>40523</v>
      </c>
      <c r="AB78" s="21">
        <v>0.19930555555555554</v>
      </c>
      <c r="AC78">
        <v>-26.107220000000002</v>
      </c>
      <c r="AD78">
        <v>-104.21109</v>
      </c>
      <c r="AE78">
        <v>41</v>
      </c>
      <c r="AF78">
        <v>1322</v>
      </c>
      <c r="AG78" s="16">
        <f t="shared" si="54"/>
        <v>0.56144056127342445</v>
      </c>
      <c r="AH78" s="16">
        <f t="shared" si="55"/>
        <v>32.680782346484584</v>
      </c>
      <c r="AI78" s="27">
        <f t="shared" si="56"/>
        <v>4.6449774000092274</v>
      </c>
      <c r="AJ78" s="17">
        <f t="shared" si="57"/>
        <v>266.13760095417911</v>
      </c>
      <c r="AK78" s="17">
        <f t="shared" si="58"/>
        <v>0.56144056130610465</v>
      </c>
      <c r="AL78" s="17">
        <f t="shared" ref="AL78:AL97" si="60">(AK78*1000*100)/3600</f>
        <v>15.595571147391796</v>
      </c>
      <c r="AM78" s="17">
        <f t="shared" si="59"/>
        <v>0.30315365081323142</v>
      </c>
    </row>
    <row r="79" spans="24:53">
      <c r="X79">
        <v>1803</v>
      </c>
      <c r="Y79" s="13">
        <f t="shared" si="52"/>
        <v>40523.032638888886</v>
      </c>
      <c r="Z79" s="14">
        <f t="shared" si="53"/>
        <v>40523.032638888886</v>
      </c>
      <c r="AA79" s="15">
        <v>40523</v>
      </c>
      <c r="AB79" s="21">
        <v>0.24097222222222223</v>
      </c>
      <c r="AC79">
        <v>-26.107559999999999</v>
      </c>
      <c r="AD79">
        <v>-104.2167</v>
      </c>
      <c r="AE79">
        <v>42</v>
      </c>
      <c r="AF79">
        <v>1335</v>
      </c>
      <c r="AG79" s="16">
        <f t="shared" ref="AG79:AG84" si="61">ACOS(SIN(RADIANS(AC79))*SIN(RADIANS(AC80))+COS(RADIANS(AC79))*COS(RADIANS(AC80))*COS(RADIANS(AD80)-RADIANS(AD79)))*6371.1</f>
        <v>0.59413266982519897</v>
      </c>
      <c r="AH79" s="16">
        <f t="shared" ref="AH79:AH84" si="62">AH78+AG79</f>
        <v>33.274915016309784</v>
      </c>
      <c r="AI79" s="27">
        <f t="shared" ref="AI79:AI84" si="63">RADIANS(AJ79)</f>
        <v>4.5960663368171772</v>
      </c>
      <c r="AJ79" s="17">
        <f t="shared" ref="AJ79:AJ84" si="64">MOD(DEGREES(ATAN2(COS(RADIANS(AC79))*SIN(RADIANS(AC80))-SIN(RADIANS(AC79))*COS(RADIANS(AC80))*COS(RADIANS(AD80)-RADIANS(AD79)),SIN(RADIANS(AD80)-RADIANS(AD79))*COS(RADIANS(AC80)))), 360)</f>
        <v>263.33520346177693</v>
      </c>
      <c r="AK79" s="17">
        <f t="shared" ref="AK79:AK84" si="65">AG79/((Z80-Z79)*24)</f>
        <v>0.5020839463245681</v>
      </c>
      <c r="AL79" s="17">
        <f t="shared" si="60"/>
        <v>13.946776286793558</v>
      </c>
      <c r="AM79" s="17">
        <f t="shared" ref="AM79:AM85" si="66">AK79/1.852</f>
        <v>0.27110364272384885</v>
      </c>
    </row>
    <row r="80" spans="24:53">
      <c r="X80">
        <v>1805</v>
      </c>
      <c r="Y80" s="13">
        <f>(AA80+AB80)-(5/24)</f>
        <v>40523.081944444442</v>
      </c>
      <c r="Z80" s="14">
        <f>(AA80+AB80)-(5/24)</f>
        <v>40523.081944444442</v>
      </c>
      <c r="AA80" s="15">
        <v>40523</v>
      </c>
      <c r="AB80" s="21">
        <v>0.2902777777777778</v>
      </c>
      <c r="AC80">
        <v>-26.108180000000001</v>
      </c>
      <c r="AD80">
        <v>-104.22261</v>
      </c>
      <c r="AE80">
        <v>41</v>
      </c>
      <c r="AF80">
        <v>1322</v>
      </c>
      <c r="AG80" s="16">
        <f t="shared" si="61"/>
        <v>1.2361583143783559</v>
      </c>
      <c r="AH80" s="16">
        <f t="shared" si="62"/>
        <v>34.511073330688141</v>
      </c>
      <c r="AI80" s="27">
        <f t="shared" si="63"/>
        <v>4.8877499133750595</v>
      </c>
      <c r="AJ80" s="17">
        <f t="shared" si="64"/>
        <v>280.0474413518246</v>
      </c>
      <c r="AK80" s="17">
        <f t="shared" si="65"/>
        <v>0.61297106499987475</v>
      </c>
      <c r="AL80" s="17">
        <f t="shared" si="60"/>
        <v>17.026974027774301</v>
      </c>
      <c r="AM80" s="17">
        <f t="shared" si="66"/>
        <v>0.33097789686818291</v>
      </c>
    </row>
    <row r="81" spans="24:42">
      <c r="X81">
        <v>1806</v>
      </c>
      <c r="Y81" s="13">
        <f>(AA81+AB81)-(5/24)</f>
        <v>40523.165972222218</v>
      </c>
      <c r="Z81" s="14">
        <f>(AA81+AB81)-(5/24)</f>
        <v>40523.165972222218</v>
      </c>
      <c r="AA81" s="15">
        <v>40523</v>
      </c>
      <c r="AB81" s="21">
        <v>0.3743055555555555</v>
      </c>
      <c r="AC81">
        <v>-26.10624</v>
      </c>
      <c r="AD81">
        <v>-104.23480000000001</v>
      </c>
      <c r="AE81">
        <v>45</v>
      </c>
      <c r="AF81">
        <v>1322</v>
      </c>
      <c r="AG81" s="16">
        <f t="shared" si="61"/>
        <v>0.65043719691363655</v>
      </c>
      <c r="AH81" s="16">
        <f t="shared" si="62"/>
        <v>35.161510527601777</v>
      </c>
      <c r="AI81" s="27">
        <f t="shared" si="63"/>
        <v>5.1239253926329944</v>
      </c>
      <c r="AJ81" s="17">
        <f t="shared" si="64"/>
        <v>293.57929953778381</v>
      </c>
      <c r="AK81" s="17">
        <f t="shared" si="65"/>
        <v>0.65043719683791568</v>
      </c>
      <c r="AL81" s="17">
        <f t="shared" si="60"/>
        <v>18.067699912164322</v>
      </c>
      <c r="AM81" s="17">
        <f t="shared" si="66"/>
        <v>0.35120798965330219</v>
      </c>
      <c r="AN81" s="31">
        <f>AVERAGE(AM81:AM85)</f>
        <v>0.3605787158389594</v>
      </c>
      <c r="AO81" s="31">
        <f>STDEV(AM81:AM85)</f>
        <v>1.5590510917132407E-2</v>
      </c>
      <c r="AP81" s="32">
        <f>AO81/AN81*100</f>
        <v>4.3237468636655185</v>
      </c>
    </row>
    <row r="82" spans="24:42">
      <c r="X82">
        <v>1807</v>
      </c>
      <c r="Y82" s="13">
        <f>(AA82+AB82)-(5/24)</f>
        <v>40523.207638888889</v>
      </c>
      <c r="Z82" s="14">
        <f>(AA82+AB82)-(5/24)</f>
        <v>40523.207638888889</v>
      </c>
      <c r="AA82" s="15">
        <v>40523</v>
      </c>
      <c r="AB82" s="21">
        <v>0.41597222222222219</v>
      </c>
      <c r="AC82">
        <v>-26.103899999999999</v>
      </c>
      <c r="AD82">
        <v>-104.24077</v>
      </c>
      <c r="AE82">
        <v>42</v>
      </c>
      <c r="AF82">
        <v>1325</v>
      </c>
      <c r="AG82" s="16">
        <f t="shared" si="61"/>
        <v>0.68979436997989052</v>
      </c>
      <c r="AH82" s="16">
        <f t="shared" si="62"/>
        <v>35.85130489758167</v>
      </c>
      <c r="AI82" s="27">
        <f t="shared" si="63"/>
        <v>5.1590998457175381</v>
      </c>
      <c r="AJ82" s="17">
        <f t="shared" si="64"/>
        <v>295.59464724620909</v>
      </c>
      <c r="AK82" s="17">
        <f t="shared" si="65"/>
        <v>0.65694701907216924</v>
      </c>
      <c r="AL82" s="17">
        <f t="shared" si="60"/>
        <v>18.248528307560257</v>
      </c>
      <c r="AM82" s="17">
        <f t="shared" si="66"/>
        <v>0.35472301245797472</v>
      </c>
    </row>
    <row r="83" spans="24:42">
      <c r="X83">
        <v>1808</v>
      </c>
      <c r="Y83" s="13">
        <f>(AA83+AB83)-(5/24)</f>
        <v>40523.251388888886</v>
      </c>
      <c r="Z83" s="14">
        <f>(AA83+AB83)-(5/24)</f>
        <v>40523.251388888886</v>
      </c>
      <c r="AA83" s="15">
        <v>40523</v>
      </c>
      <c r="AB83" s="21">
        <v>0.4597222222222222</v>
      </c>
      <c r="AC83">
        <v>-26.101220000000001</v>
      </c>
      <c r="AD83">
        <v>-104.247</v>
      </c>
      <c r="AE83">
        <v>42</v>
      </c>
      <c r="AF83">
        <v>1322</v>
      </c>
      <c r="AG83" s="16">
        <f t="shared" si="61"/>
        <v>0.70908294046044185</v>
      </c>
      <c r="AH83" s="16">
        <f t="shared" si="62"/>
        <v>36.560387838042111</v>
      </c>
      <c r="AI83" s="27">
        <f t="shared" si="63"/>
        <v>4.7892782311426805</v>
      </c>
      <c r="AJ83" s="17">
        <f t="shared" si="64"/>
        <v>274.40542955835593</v>
      </c>
      <c r="AK83" s="17">
        <f t="shared" si="65"/>
        <v>0.70908294050171594</v>
      </c>
      <c r="AL83" s="17">
        <f t="shared" si="60"/>
        <v>19.696748347269885</v>
      </c>
      <c r="AM83" s="17">
        <f t="shared" si="66"/>
        <v>0.38287415793829155</v>
      </c>
    </row>
    <row r="84" spans="24:42">
      <c r="X84">
        <v>1809</v>
      </c>
      <c r="Y84" s="13">
        <f>(AA84+AB84)-(5/24)</f>
        <v>40523.29305555555</v>
      </c>
      <c r="Z84" s="14">
        <f>(AA84+AB84)-(5/24)</f>
        <v>40523.29305555555</v>
      </c>
      <c r="AA84" s="15">
        <v>40523</v>
      </c>
      <c r="AB84" s="21">
        <v>0.50138888888888899</v>
      </c>
      <c r="AC84">
        <v>-26.100729999999999</v>
      </c>
      <c r="AD84">
        <v>-104.25408</v>
      </c>
      <c r="AE84">
        <v>40</v>
      </c>
      <c r="AF84">
        <v>1322</v>
      </c>
      <c r="AG84" s="16">
        <f t="shared" si="61"/>
        <v>0.63752566206845218</v>
      </c>
      <c r="AH84" s="16">
        <f t="shared" si="62"/>
        <v>37.197913500110566</v>
      </c>
      <c r="AI84" s="27">
        <f t="shared" si="63"/>
        <v>4.9178789981195141</v>
      </c>
      <c r="AJ84" s="17">
        <f t="shared" si="64"/>
        <v>281.77371074827386</v>
      </c>
      <c r="AK84" s="17">
        <f t="shared" si="65"/>
        <v>0.63752566199423444</v>
      </c>
      <c r="AL84" s="17">
        <f t="shared" si="60"/>
        <v>17.709046166506511</v>
      </c>
      <c r="AM84" s="17">
        <f t="shared" si="66"/>
        <v>0.34423631857140086</v>
      </c>
    </row>
    <row r="85" spans="24:42">
      <c r="X85">
        <v>1810</v>
      </c>
      <c r="Y85" s="13">
        <f t="shared" si="52"/>
        <v>40523.334722222222</v>
      </c>
      <c r="Z85" s="14">
        <f t="shared" si="53"/>
        <v>40523.334722222222</v>
      </c>
      <c r="AA85" s="15">
        <v>40523</v>
      </c>
      <c r="AB85" s="21">
        <v>0.54305555555555551</v>
      </c>
      <c r="AC85">
        <v>-26.09956</v>
      </c>
      <c r="AD85">
        <v>-104.26033</v>
      </c>
      <c r="AE85">
        <v>43</v>
      </c>
      <c r="AF85">
        <v>1322</v>
      </c>
      <c r="AG85" s="16">
        <f t="shared" ref="AG85:AG97" si="67">ACOS(SIN(RADIANS(AC85))*SIN(RADIANS(AC86))+COS(RADIANS(AC85))*COS(RADIANS(AC86))*COS(RADIANS(AD86)-RADIANS(AD85)))*6371.1</f>
        <v>0.69638219176444938</v>
      </c>
      <c r="AH85" s="16">
        <f t="shared" ref="AH85:AH97" si="68">AH84+AG85</f>
        <v>37.894295691875016</v>
      </c>
      <c r="AI85" s="27">
        <f t="shared" ref="AI85:AI97" si="69">RADIANS(AJ85)</f>
        <v>4.8243707926997637</v>
      </c>
      <c r="AJ85" s="17">
        <f t="shared" ref="AJ85:AJ97" si="70">MOD(DEGREES(ATAN2(COS(RADIANS(AC85))*SIN(RADIANS(AC86))-SIN(RADIANS(AC85))*COS(RADIANS(AC86))*COS(RADIANS(AD86)-RADIANS(AD85)),SIN(RADIANS(AD86)-RADIANS(AD85))*COS(RADIANS(AC86)))), 360)</f>
        <v>276.41608522787982</v>
      </c>
      <c r="AK85" s="17">
        <f t="shared" ref="AK85:AK97" si="71">AG85/((Z86-Z85)*24)</f>
        <v>0.68496609026272859</v>
      </c>
      <c r="AL85" s="17">
        <f t="shared" si="60"/>
        <v>19.02683584063135</v>
      </c>
      <c r="AM85" s="17">
        <f t="shared" si="66"/>
        <v>0.3698521005738275</v>
      </c>
    </row>
    <row r="86" spans="24:42">
      <c r="X86">
        <v>1811</v>
      </c>
      <c r="Y86" s="13">
        <f t="shared" si="52"/>
        <v>40523.377083333333</v>
      </c>
      <c r="Z86" s="14">
        <f t="shared" si="53"/>
        <v>40523.377083333333</v>
      </c>
      <c r="AA86" s="15">
        <v>40523</v>
      </c>
      <c r="AB86" s="21">
        <v>0.5854166666666667</v>
      </c>
      <c r="AC86">
        <v>-26.098859999999998</v>
      </c>
      <c r="AD86">
        <v>-104.26725999999999</v>
      </c>
      <c r="AE86">
        <v>41</v>
      </c>
      <c r="AF86">
        <v>1322</v>
      </c>
      <c r="AG86" s="16">
        <f t="shared" si="67"/>
        <v>0.69344957277713515</v>
      </c>
      <c r="AH86" s="16">
        <f t="shared" si="68"/>
        <v>38.587745264652149</v>
      </c>
      <c r="AI86" s="27">
        <f t="shared" si="69"/>
        <v>4.7765476116371595</v>
      </c>
      <c r="AJ86" s="17">
        <f t="shared" si="70"/>
        <v>273.67601879010266</v>
      </c>
      <c r="AK86" s="17">
        <f t="shared" si="71"/>
        <v>0.69344957281749919</v>
      </c>
      <c r="AL86" s="17">
        <f t="shared" si="60"/>
        <v>19.262488133819421</v>
      </c>
      <c r="AM86" s="17">
        <f t="shared" ref="AM86:AM97" si="72">AK86/1.852</f>
        <v>0.37443281469627382</v>
      </c>
    </row>
    <row r="87" spans="24:42">
      <c r="X87">
        <v>1812</v>
      </c>
      <c r="Y87" s="13">
        <f t="shared" si="52"/>
        <v>40523.418749999997</v>
      </c>
      <c r="Z87" s="14">
        <f t="shared" si="53"/>
        <v>40523.418749999997</v>
      </c>
      <c r="AA87" s="15">
        <v>40523</v>
      </c>
      <c r="AB87" s="21">
        <v>0.62708333333333333</v>
      </c>
      <c r="AC87">
        <v>-26.098459999999999</v>
      </c>
      <c r="AD87">
        <v>-104.27419</v>
      </c>
      <c r="AE87">
        <v>41</v>
      </c>
      <c r="AF87">
        <v>1322</v>
      </c>
      <c r="AG87" s="16">
        <f t="shared" si="67"/>
        <v>0.72248256808127298</v>
      </c>
      <c r="AH87" s="16">
        <f t="shared" si="68"/>
        <v>39.310227832733425</v>
      </c>
      <c r="AI87" s="27">
        <f t="shared" si="69"/>
        <v>4.5889208527150869</v>
      </c>
      <c r="AJ87" s="17">
        <f t="shared" si="70"/>
        <v>262.92579738014933</v>
      </c>
      <c r="AK87" s="17">
        <f t="shared" si="71"/>
        <v>0.72248256812332701</v>
      </c>
      <c r="AL87" s="17">
        <f t="shared" si="60"/>
        <v>20.068960225647974</v>
      </c>
      <c r="AM87" s="17">
        <f t="shared" si="72"/>
        <v>0.39010937803635365</v>
      </c>
    </row>
    <row r="88" spans="24:42">
      <c r="X88">
        <v>1813</v>
      </c>
      <c r="Y88" s="13">
        <f t="shared" si="52"/>
        <v>40523.460416666661</v>
      </c>
      <c r="Z88" s="14">
        <f t="shared" si="53"/>
        <v>40523.460416666661</v>
      </c>
      <c r="AA88" s="15">
        <v>40523</v>
      </c>
      <c r="AB88" s="21">
        <v>0.66875000000000007</v>
      </c>
      <c r="AC88">
        <v>-26.099260000000001</v>
      </c>
      <c r="AD88">
        <v>-104.28137</v>
      </c>
      <c r="AE88">
        <v>43</v>
      </c>
      <c r="AF88">
        <v>1322</v>
      </c>
      <c r="AG88" s="16">
        <f t="shared" si="67"/>
        <v>0.85244597978896886</v>
      </c>
      <c r="AH88" s="16">
        <f t="shared" si="68"/>
        <v>40.162673812522392</v>
      </c>
      <c r="AI88" s="27">
        <f t="shared" si="69"/>
        <v>4.5617772982195044</v>
      </c>
      <c r="AJ88" s="17">
        <f t="shared" si="70"/>
        <v>261.37058626656909</v>
      </c>
      <c r="AK88" s="17">
        <f t="shared" si="71"/>
        <v>0.7412573736770115</v>
      </c>
      <c r="AL88" s="17">
        <f t="shared" si="60"/>
        <v>20.590482602139208</v>
      </c>
      <c r="AM88" s="17">
        <f t="shared" si="72"/>
        <v>0.40024696202862392</v>
      </c>
    </row>
    <row r="89" spans="24:42">
      <c r="X89">
        <v>1814</v>
      </c>
      <c r="Y89" s="13">
        <f t="shared" si="52"/>
        <v>40523.508333333331</v>
      </c>
      <c r="Z89" s="14">
        <f t="shared" si="53"/>
        <v>40523.508333333331</v>
      </c>
      <c r="AA89" s="15">
        <v>40523</v>
      </c>
      <c r="AB89" s="21">
        <v>0.71666666666666667</v>
      </c>
      <c r="AC89">
        <v>-26.10041</v>
      </c>
      <c r="AD89">
        <v>-104.28981</v>
      </c>
      <c r="AE89">
        <v>43</v>
      </c>
      <c r="AF89">
        <v>1322</v>
      </c>
      <c r="AG89" s="16">
        <f t="shared" si="67"/>
        <v>0.94989811223910237</v>
      </c>
      <c r="AH89" s="16">
        <f t="shared" si="68"/>
        <v>41.112571924761497</v>
      </c>
      <c r="AI89" s="27">
        <f t="shared" si="69"/>
        <v>4.5215577155007916</v>
      </c>
      <c r="AJ89" s="17">
        <f t="shared" si="70"/>
        <v>259.06617392300956</v>
      </c>
      <c r="AK89" s="17">
        <f t="shared" si="71"/>
        <v>0.93432601204202759</v>
      </c>
      <c r="AL89" s="17">
        <f t="shared" si="60"/>
        <v>25.953500334500767</v>
      </c>
      <c r="AM89" s="17">
        <f t="shared" si="72"/>
        <v>0.50449568684774704</v>
      </c>
    </row>
    <row r="90" spans="24:42">
      <c r="X90">
        <v>1815</v>
      </c>
      <c r="Y90" s="13">
        <f t="shared" si="52"/>
        <v>40523.550694444442</v>
      </c>
      <c r="Z90" s="14">
        <f t="shared" si="53"/>
        <v>40523.550694444442</v>
      </c>
      <c r="AA90" s="15">
        <v>40523</v>
      </c>
      <c r="AB90" s="21">
        <v>0.75902777777777775</v>
      </c>
      <c r="AC90">
        <v>-26.102029999999999</v>
      </c>
      <c r="AD90">
        <v>-104.29915</v>
      </c>
      <c r="AE90">
        <v>42</v>
      </c>
      <c r="AF90">
        <v>1335</v>
      </c>
      <c r="AG90" s="16">
        <f t="shared" si="67"/>
        <v>0.73602215429023732</v>
      </c>
      <c r="AH90" s="16">
        <f t="shared" si="68"/>
        <v>41.848594079051736</v>
      </c>
      <c r="AI90" s="27">
        <f t="shared" si="69"/>
        <v>4.3687359431086508</v>
      </c>
      <c r="AJ90" s="17">
        <f t="shared" si="70"/>
        <v>250.31013134723099</v>
      </c>
      <c r="AK90" s="17">
        <f t="shared" si="71"/>
        <v>0.72395621733742288</v>
      </c>
      <c r="AL90" s="17">
        <f t="shared" si="60"/>
        <v>20.109894926039523</v>
      </c>
      <c r="AM90" s="17">
        <f t="shared" si="72"/>
        <v>0.39090508495541193</v>
      </c>
    </row>
    <row r="91" spans="24:42">
      <c r="X91">
        <v>1816</v>
      </c>
      <c r="Y91" s="13">
        <f t="shared" si="52"/>
        <v>40523.593055555553</v>
      </c>
      <c r="Z91" s="14">
        <f t="shared" si="53"/>
        <v>40523.593055555553</v>
      </c>
      <c r="AA91" s="15">
        <v>40523</v>
      </c>
      <c r="AB91" s="21">
        <v>0.80138888888888893</v>
      </c>
      <c r="AC91">
        <v>-26.10426</v>
      </c>
      <c r="AD91">
        <v>-104.30609</v>
      </c>
      <c r="AE91">
        <v>42</v>
      </c>
      <c r="AF91">
        <v>1322</v>
      </c>
      <c r="AG91" s="16">
        <f t="shared" si="67"/>
        <v>0.78684187901323133</v>
      </c>
      <c r="AH91" s="16">
        <f t="shared" si="68"/>
        <v>42.635435958064967</v>
      </c>
      <c r="AI91" s="27">
        <f t="shared" si="69"/>
        <v>4.2030756488811694</v>
      </c>
      <c r="AJ91" s="17">
        <f t="shared" si="70"/>
        <v>240.81849565510089</v>
      </c>
      <c r="AK91" s="17">
        <f t="shared" si="71"/>
        <v>0.77394283181924717</v>
      </c>
      <c r="AL91" s="17">
        <f t="shared" si="60"/>
        <v>21.49841199497909</v>
      </c>
      <c r="AM91" s="17">
        <f t="shared" si="72"/>
        <v>0.41789569752659134</v>
      </c>
    </row>
    <row r="92" spans="24:42">
      <c r="X92">
        <v>1817</v>
      </c>
      <c r="Y92" s="13">
        <f t="shared" si="52"/>
        <v>40523.635416666664</v>
      </c>
      <c r="Z92" s="14">
        <f t="shared" si="53"/>
        <v>40523.635416666664</v>
      </c>
      <c r="AA92" s="15">
        <v>40523</v>
      </c>
      <c r="AB92" s="21">
        <v>0.84375</v>
      </c>
      <c r="AC92">
        <v>-26.107710000000001</v>
      </c>
      <c r="AD92">
        <v>-104.31297000000001</v>
      </c>
      <c r="AE92">
        <v>42</v>
      </c>
      <c r="AF92">
        <v>1322</v>
      </c>
      <c r="AG92" s="16">
        <f t="shared" si="67"/>
        <v>0.80350530658851138</v>
      </c>
      <c r="AH92" s="16">
        <f t="shared" si="68"/>
        <v>43.438941264653479</v>
      </c>
      <c r="AI92" s="27">
        <f t="shared" si="69"/>
        <v>4.3054284372630756</v>
      </c>
      <c r="AJ92" s="17">
        <f t="shared" si="70"/>
        <v>246.68287845077975</v>
      </c>
      <c r="AK92" s="17">
        <f t="shared" si="71"/>
        <v>0.83121238611937276</v>
      </c>
      <c r="AL92" s="17">
        <f t="shared" si="60"/>
        <v>23.089232947760355</v>
      </c>
      <c r="AM92" s="17">
        <f t="shared" si="72"/>
        <v>0.4488187830018211</v>
      </c>
    </row>
    <row r="93" spans="24:42">
      <c r="X93">
        <v>1818</v>
      </c>
      <c r="Y93" s="13">
        <f t="shared" si="52"/>
        <v>40523.675694444442</v>
      </c>
      <c r="Z93" s="14">
        <f t="shared" si="53"/>
        <v>40523.675694444442</v>
      </c>
      <c r="AA93" s="15">
        <v>40523</v>
      </c>
      <c r="AB93" s="21">
        <v>0.88402777777777775</v>
      </c>
      <c r="AC93">
        <v>-26.110569999999999</v>
      </c>
      <c r="AD93">
        <v>-104.32035999999999</v>
      </c>
      <c r="AE93">
        <v>43</v>
      </c>
      <c r="AF93">
        <v>1322</v>
      </c>
      <c r="AG93" s="16">
        <f t="shared" si="67"/>
        <v>0.77539165917215047</v>
      </c>
      <c r="AH93" s="16">
        <f t="shared" si="68"/>
        <v>44.21433292382563</v>
      </c>
      <c r="AI93" s="27">
        <f t="shared" si="69"/>
        <v>4.3147696151042112</v>
      </c>
      <c r="AJ93" s="17">
        <f t="shared" si="70"/>
        <v>247.21808851675797</v>
      </c>
      <c r="AK93" s="17">
        <f t="shared" si="71"/>
        <v>0.76268032050010826</v>
      </c>
      <c r="AL93" s="17">
        <f t="shared" si="60"/>
        <v>21.185564458336341</v>
      </c>
      <c r="AM93" s="17">
        <f t="shared" si="72"/>
        <v>0.41181442791582518</v>
      </c>
    </row>
    <row r="94" spans="24:42">
      <c r="X94">
        <v>1819</v>
      </c>
      <c r="Y94" s="13">
        <f t="shared" si="52"/>
        <v>40523.718055555553</v>
      </c>
      <c r="Z94" s="14">
        <f t="shared" si="53"/>
        <v>40523.718055555553</v>
      </c>
      <c r="AA94" s="15">
        <v>40523</v>
      </c>
      <c r="AB94" s="21">
        <v>0.92638888888888893</v>
      </c>
      <c r="AC94">
        <v>-26.11327</v>
      </c>
      <c r="AD94">
        <v>-104.32752000000001</v>
      </c>
      <c r="AE94">
        <v>43</v>
      </c>
      <c r="AF94">
        <v>1322</v>
      </c>
      <c r="AG94" s="16">
        <f t="shared" si="67"/>
        <v>0.69660537049213689</v>
      </c>
      <c r="AH94" s="16">
        <f t="shared" si="68"/>
        <v>44.910938294317766</v>
      </c>
      <c r="AI94" s="27">
        <f t="shared" si="69"/>
        <v>4.4804268626742445</v>
      </c>
      <c r="AJ94" s="17">
        <f t="shared" si="70"/>
        <v>256.70954964827467</v>
      </c>
      <c r="AK94" s="17">
        <f t="shared" si="71"/>
        <v>0.67413422947560875</v>
      </c>
      <c r="AL94" s="17">
        <f t="shared" si="60"/>
        <v>18.725950818766908</v>
      </c>
      <c r="AM94" s="17">
        <f t="shared" si="72"/>
        <v>0.36400336364773689</v>
      </c>
    </row>
    <row r="95" spans="24:42">
      <c r="X95">
        <v>1820</v>
      </c>
      <c r="Y95" s="13">
        <f t="shared" si="52"/>
        <v>40523.761111111111</v>
      </c>
      <c r="Z95" s="14">
        <f t="shared" si="53"/>
        <v>40523.761111111111</v>
      </c>
      <c r="AA95" s="15">
        <v>40523</v>
      </c>
      <c r="AB95" s="21">
        <v>0.96944444444444444</v>
      </c>
      <c r="AC95">
        <v>-26.114709999999999</v>
      </c>
      <c r="AD95">
        <v>-104.33431</v>
      </c>
      <c r="AE95">
        <v>41</v>
      </c>
      <c r="AF95">
        <v>1322</v>
      </c>
      <c r="AG95" s="16">
        <f t="shared" si="67"/>
        <v>0.55350314851584048</v>
      </c>
      <c r="AH95" s="16">
        <f t="shared" si="68"/>
        <v>45.464441442833603</v>
      </c>
      <c r="AI95" s="27">
        <f t="shared" si="69"/>
        <v>4.3142020649252597</v>
      </c>
      <c r="AJ95" s="17">
        <f t="shared" si="70"/>
        <v>247.18557028684216</v>
      </c>
      <c r="AK95" s="17">
        <f t="shared" si="71"/>
        <v>0.54442932641110142</v>
      </c>
      <c r="AL95" s="17">
        <f t="shared" si="60"/>
        <v>15.123036844752818</v>
      </c>
      <c r="AM95" s="17">
        <f t="shared" si="72"/>
        <v>0.29396831879649105</v>
      </c>
    </row>
    <row r="96" spans="24:42">
      <c r="X96">
        <v>1821</v>
      </c>
      <c r="Y96" s="13">
        <f t="shared" si="52"/>
        <v>40523.803472222222</v>
      </c>
      <c r="Z96" s="14">
        <f t="shared" si="53"/>
        <v>40523.803472222222</v>
      </c>
      <c r="AA96" s="15">
        <v>40524</v>
      </c>
      <c r="AB96" s="21">
        <v>1.1805555555555555E-2</v>
      </c>
      <c r="AC96">
        <v>-26.11664</v>
      </c>
      <c r="AD96">
        <v>-104.33942</v>
      </c>
      <c r="AE96">
        <v>40</v>
      </c>
      <c r="AF96">
        <v>1322</v>
      </c>
      <c r="AG96" s="16">
        <f t="shared" si="67"/>
        <v>0.54464148941851842</v>
      </c>
      <c r="AH96" s="16">
        <f t="shared" si="68"/>
        <v>46.00908293225212</v>
      </c>
      <c r="AI96" s="27">
        <f t="shared" si="69"/>
        <v>4.4054070052497538</v>
      </c>
      <c r="AJ96" s="17">
        <f t="shared" si="70"/>
        <v>252.41122843817817</v>
      </c>
      <c r="AK96" s="17">
        <f t="shared" si="71"/>
        <v>0.55387270116696441</v>
      </c>
      <c r="AL96" s="17">
        <f t="shared" si="60"/>
        <v>15.385352810193455</v>
      </c>
      <c r="AM96" s="17">
        <f t="shared" si="72"/>
        <v>0.29906733324350127</v>
      </c>
    </row>
    <row r="97" spans="24:39">
      <c r="X97">
        <v>1822</v>
      </c>
      <c r="Y97" s="13">
        <f>(AA97+AB97)-(5/24)</f>
        <v>40523.844444444439</v>
      </c>
      <c r="Z97" s="14">
        <f>(AA97+AB97)-(5/24)</f>
        <v>40523.844444444439</v>
      </c>
      <c r="AA97" s="15">
        <v>40524</v>
      </c>
      <c r="AB97" s="21">
        <v>5.2777777777777778E-2</v>
      </c>
      <c r="AC97">
        <v>-26.118120000000001</v>
      </c>
      <c r="AD97">
        <v>-104.34462000000001</v>
      </c>
      <c r="AE97">
        <v>43</v>
      </c>
      <c r="AF97">
        <v>1322</v>
      </c>
      <c r="AG97" s="16">
        <f t="shared" si="67"/>
        <v>0.40829253102445717</v>
      </c>
      <c r="AH97" s="16">
        <f t="shared" si="68"/>
        <v>46.417375463276578</v>
      </c>
      <c r="AI97" s="27">
        <f t="shared" si="69"/>
        <v>1.7681794439188974</v>
      </c>
      <c r="AJ97" s="17">
        <f t="shared" si="70"/>
        <v>101.30921955834165</v>
      </c>
      <c r="AK97" s="17">
        <f t="shared" si="71"/>
        <v>0.39512180419792703</v>
      </c>
      <c r="AL97" s="17">
        <f t="shared" si="60"/>
        <v>10.97560567216464</v>
      </c>
      <c r="AM97" s="17">
        <f t="shared" si="72"/>
        <v>0.21334870637037096</v>
      </c>
    </row>
    <row r="98" spans="24:39">
      <c r="X98">
        <v>1823</v>
      </c>
      <c r="Y98" s="13">
        <f>(AA98+AB98)-(5/24)</f>
        <v>40523.887499999997</v>
      </c>
      <c r="Z98" s="14">
        <f>(AA98+AB98)-(5/24)</f>
        <v>40523.887499999997</v>
      </c>
      <c r="AA98" s="15">
        <v>40524</v>
      </c>
      <c r="AB98" s="21">
        <v>9.5833333333333326E-2</v>
      </c>
      <c r="AC98">
        <v>-26.118839999999999</v>
      </c>
      <c r="AD98">
        <v>-104.34061</v>
      </c>
      <c r="AE98">
        <v>45</v>
      </c>
      <c r="AF98">
        <v>1322</v>
      </c>
    </row>
  </sheetData>
  <pageMargins left="0.7" right="0.7" top="0.75" bottom="0.75" header="0.3" footer="0.3"/>
  <pageSetup paperSize="0" orientation="portrait" r:id="rId1"/>
  <colBreaks count="1" manualBreakCount="1">
    <brk id="21" max="1048575" man="1"/>
  </colBreaks>
  <drawing r:id="rId2"/>
</worksheet>
</file>

<file path=xl/worksheets/sheet6.xml><?xml version="1.0" encoding="utf-8"?>
<worksheet xmlns="http://schemas.openxmlformats.org/spreadsheetml/2006/main" xmlns:r="http://schemas.openxmlformats.org/officeDocument/2006/relationships">
  <dimension ref="A8:Y75"/>
  <sheetViews>
    <sheetView zoomScale="75" zoomScaleNormal="75" workbookViewId="0">
      <selection activeCell="J1" sqref="J1"/>
    </sheetView>
  </sheetViews>
  <sheetFormatPr defaultRowHeight="15"/>
  <sheetData>
    <row r="8" spans="4:25">
      <c r="W8" s="14"/>
      <c r="X8" s="15"/>
      <c r="Y8" s="21"/>
    </row>
    <row r="9" spans="4:25">
      <c r="D9" s="14"/>
      <c r="E9" s="15"/>
      <c r="F9" s="21"/>
    </row>
    <row r="70" spans="1:6">
      <c r="A70" s="34"/>
      <c r="B70" s="34"/>
      <c r="C70" s="34"/>
      <c r="D70" s="34"/>
      <c r="E70" s="34"/>
      <c r="F70" s="34"/>
    </row>
    <row r="71" spans="1:6">
      <c r="A71" s="34"/>
      <c r="B71" s="34"/>
      <c r="C71" s="34"/>
      <c r="D71" s="34"/>
      <c r="E71" s="34"/>
      <c r="F71" s="34"/>
    </row>
    <row r="72" spans="1:6">
      <c r="A72" s="34"/>
      <c r="B72" s="34"/>
      <c r="C72" s="34"/>
      <c r="D72" s="34"/>
      <c r="E72" s="34"/>
      <c r="F72" s="34"/>
    </row>
    <row r="73" spans="1:6">
      <c r="A73" s="34"/>
      <c r="B73" s="34"/>
      <c r="C73" s="34"/>
      <c r="D73" s="34"/>
      <c r="E73" s="34"/>
      <c r="F73" s="34"/>
    </row>
    <row r="74" spans="1:6" ht="18.75">
      <c r="A74" s="34"/>
      <c r="B74" s="160"/>
      <c r="C74" s="160"/>
      <c r="D74" s="160"/>
      <c r="E74" s="160"/>
      <c r="F74" s="34"/>
    </row>
    <row r="75" spans="1:6" ht="15.75">
      <c r="A75" s="34"/>
      <c r="B75" s="78"/>
      <c r="C75" s="78"/>
      <c r="D75" s="78"/>
      <c r="E75" s="78"/>
      <c r="F75" s="34"/>
    </row>
  </sheetData>
  <mergeCells count="2">
    <mergeCell ref="B74:C74"/>
    <mergeCell ref="D74:E74"/>
  </mergeCells>
  <pageMargins left="0.25" right="0.25" top="0.75" bottom="0.75" header="0.3" footer="0.3"/>
  <pageSetup paperSize="0" orientation="portrait" r:id="rId1"/>
  <drawing r:id="rId2"/>
</worksheet>
</file>

<file path=xl/worksheets/sheet7.xml><?xml version="1.0" encoding="utf-8"?>
<worksheet xmlns="http://schemas.openxmlformats.org/spreadsheetml/2006/main" xmlns:r="http://schemas.openxmlformats.org/officeDocument/2006/relationships">
  <dimension ref="A1"/>
  <sheetViews>
    <sheetView topLeftCell="J43" workbookViewId="0">
      <selection activeCell="L60" sqref="L60"/>
    </sheetView>
  </sheetViews>
  <sheetFormatPr defaultRowHeight="15"/>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1:W109"/>
  <sheetViews>
    <sheetView topLeftCell="F1" workbookViewId="0">
      <selection activeCell="Q21" sqref="Q21"/>
    </sheetView>
  </sheetViews>
  <sheetFormatPr defaultRowHeight="15"/>
  <cols>
    <col min="1" max="1" width="11.28515625" customWidth="1"/>
    <col min="2" max="2" width="10" customWidth="1"/>
  </cols>
  <sheetData>
    <row r="1" spans="1:23">
      <c r="A1" s="79" t="s">
        <v>71</v>
      </c>
      <c r="B1" s="79" t="s">
        <v>70</v>
      </c>
    </row>
    <row r="2" spans="1:23">
      <c r="A2" s="110">
        <f>'Calc-Deploy 1'!AK13</f>
        <v>56.019249854796691</v>
      </c>
      <c r="B2" s="110">
        <f>'Calc-Deploy 1'!AL13</f>
        <v>1.4060135488709158</v>
      </c>
      <c r="D2" s="80" t="s">
        <v>47</v>
      </c>
      <c r="E2" s="81">
        <v>15</v>
      </c>
      <c r="F2" s="82"/>
      <c r="G2" s="83"/>
      <c r="H2" s="83"/>
      <c r="I2" s="83"/>
      <c r="J2" s="83" t="s">
        <v>48</v>
      </c>
      <c r="K2" s="84"/>
      <c r="L2" s="85"/>
      <c r="M2" s="85"/>
      <c r="N2" s="85"/>
      <c r="O2" s="85"/>
      <c r="P2" s="86" t="s">
        <v>49</v>
      </c>
      <c r="Q2" s="104"/>
      <c r="R2" s="105"/>
      <c r="S2" s="105"/>
      <c r="T2" s="105"/>
      <c r="U2" s="105"/>
      <c r="V2" s="105"/>
      <c r="W2" s="106" t="str">
        <f>'Polar Plots'!$B$1</f>
        <v>Drift (kn)</v>
      </c>
    </row>
    <row r="3" spans="1:23">
      <c r="A3" s="110">
        <f>'Calc-Deploy 1'!AK14</f>
        <v>59.147593211706656</v>
      </c>
      <c r="B3" s="110">
        <f>'Calc-Deploy 1'!AL14</f>
        <v>1.5039611030264362</v>
      </c>
      <c r="D3" s="80" t="s">
        <v>50</v>
      </c>
      <c r="E3" s="81">
        <f>360/E2</f>
        <v>24</v>
      </c>
      <c r="F3" s="87">
        <f>IF(E8,(ROW()-ROW(F3))*5,((ROW(F75)-ROW())*5))</f>
        <v>0</v>
      </c>
      <c r="G3" s="88">
        <f>IF(F3-E9&gt;=0,F3-E9,360-E9+F3)</f>
        <v>0</v>
      </c>
      <c r="H3" s="89">
        <f>IF(G3=360,0,IF(MOD(G3,E2)=0,G3,""))</f>
        <v>0</v>
      </c>
      <c r="I3" s="89">
        <f>IF(E13,H3,CHAR(160))</f>
        <v>0</v>
      </c>
      <c r="J3" s="88">
        <f>E19</f>
        <v>0.10433173350769616</v>
      </c>
      <c r="K3" s="90">
        <v>0</v>
      </c>
      <c r="L3" s="91">
        <f>MATCH(K3,H3:H74,0)</f>
        <v>1</v>
      </c>
      <c r="M3" s="92">
        <f>IF(E8,90-INDEX(F3:F74,L3,1),INDEX(F3:F74,L3,1)+90)</f>
        <v>90</v>
      </c>
      <c r="N3" s="91">
        <f>IF(E12,+(E7),NA())</f>
        <v>0.60000000000000009</v>
      </c>
      <c r="O3" s="91">
        <f>COS(RADIANS(M3))*N3</f>
        <v>3.6754453647258606E-17</v>
      </c>
      <c r="P3" s="93">
        <f>SIN(RADIANS(M3))*N3</f>
        <v>0.60000000000000009</v>
      </c>
      <c r="Q3" s="111">
        <f t="shared" ref="Q3:Q12" si="0">A2</f>
        <v>56.019249854796691</v>
      </c>
      <c r="R3" s="113">
        <f t="shared" ref="R3:R12" si="1">IF(B2&lt;$E$5,$E$5,B2)</f>
        <v>1.4060135488709158</v>
      </c>
      <c r="S3" s="34">
        <f>IF(E10,DEGREES(Q3),Q3)</f>
        <v>56.019249854796691</v>
      </c>
      <c r="T3" s="34">
        <f>IF(E8,90-S3-E9,S3+90+E9)</f>
        <v>33.980750145203309</v>
      </c>
      <c r="U3" s="34">
        <f>IF(E11,IF(OR(AND(E5&gt;=0,E6&gt;=0),AND(E5&lt;0,E6&lt;0)),(E6)-R3,ABS(E6)-R3),IF(OR(AND(E5&gt;=0,E6&gt;=0),AND(E5&lt;0,E6&lt;0)),R3-(E5),ABS(E5)+R3))</f>
        <v>1.4060135488709158</v>
      </c>
      <c r="V3" s="34">
        <f t="shared" ref="V3:V12" si="2">COS(RADIANS(T3))*U3</f>
        <v>1.1659021470076707</v>
      </c>
      <c r="W3" s="107">
        <f t="shared" ref="W3:W12" si="3">SIN(RADIANS(T3))*U3</f>
        <v>0.78584113102553454</v>
      </c>
    </row>
    <row r="4" spans="1:23">
      <c r="A4" s="110">
        <f>'Calc-Deploy 1'!AK15</f>
        <v>64.648047311547927</v>
      </c>
      <c r="B4" s="110">
        <f>'Calc-Deploy 1'!AL15</f>
        <v>1.2773152701114414</v>
      </c>
      <c r="D4" s="80" t="s">
        <v>51</v>
      </c>
      <c r="E4" s="81">
        <f>10/E3</f>
        <v>0.41666666666666669</v>
      </c>
      <c r="F4" s="87">
        <f>IF(E8,(ROW()-ROW(F3))*5,((ROW(F75)-ROW())*5))</f>
        <v>5</v>
      </c>
      <c r="G4" s="88">
        <f>IF(F4-E9&gt;=0,F4-E9,360-E9+F4)</f>
        <v>5</v>
      </c>
      <c r="H4" s="89" t="str">
        <f>IF(G4=360,0,IF(MOD(G4,E2)=0,G4,""))</f>
        <v/>
      </c>
      <c r="I4" s="89" t="str">
        <f>IF(E13,H4,CHAR(160))</f>
        <v/>
      </c>
      <c r="J4" s="88">
        <f>E20</f>
        <v>0.57282653081086954</v>
      </c>
      <c r="K4" s="90">
        <v>0</v>
      </c>
      <c r="L4" s="91">
        <f>L3</f>
        <v>1</v>
      </c>
      <c r="M4" s="92">
        <f>IF(E8,90-INDEX(F3:F74,L4,1),INDEX(F3:F74,L4,1)+90)</f>
        <v>90</v>
      </c>
      <c r="N4" s="91">
        <f>IF(E12,-(E7),NA())</f>
        <v>-0.60000000000000009</v>
      </c>
      <c r="O4" s="91">
        <f>COS(RADIANS(M4))*N4</f>
        <v>-3.6754453647258606E-17</v>
      </c>
      <c r="P4" s="93">
        <f>SIN(RADIANS(M4))*N4</f>
        <v>-0.60000000000000009</v>
      </c>
      <c r="Q4" s="111">
        <f t="shared" si="0"/>
        <v>59.147593211706656</v>
      </c>
      <c r="R4" s="113">
        <f t="shared" si="1"/>
        <v>1.5039611030264362</v>
      </c>
      <c r="S4" s="34">
        <f>IF(E10,DEGREES(Q4),Q4)</f>
        <v>59.147593211706656</v>
      </c>
      <c r="T4" s="34">
        <f>IF(E8,90-S4-E9,S4+90+E9)</f>
        <v>30.852406788293344</v>
      </c>
      <c r="U4" s="34">
        <f>IF(E11,IF(OR(AND(E5&gt;=0,E6&gt;=0),AND(E5&lt;0,E6&lt;0)),(E6)-R4,ABS(E6)-R4),IF(OR(AND(E5&gt;=0,E6&gt;=0),AND(E5&lt;0,E6&lt;0)),R4-(E5),ABS(E5)+R4))</f>
        <v>1.5039611030264362</v>
      </c>
      <c r="V4" s="34">
        <f t="shared" si="2"/>
        <v>1.2911373524198595</v>
      </c>
      <c r="W4" s="107">
        <f t="shared" si="3"/>
        <v>0.77127384021677414</v>
      </c>
    </row>
    <row r="5" spans="1:23">
      <c r="A5" s="110">
        <f>'Calc-Deploy 1'!AK16</f>
        <v>68.914629959802738</v>
      </c>
      <c r="B5" s="110">
        <f>'Calc-Deploy 1'!AL16</f>
        <v>1.0580884557023351</v>
      </c>
      <c r="D5" s="80" t="s">
        <v>52</v>
      </c>
      <c r="E5" s="81">
        <v>0</v>
      </c>
      <c r="F5" s="87">
        <f>IF(E8,(ROW()-ROW(F3))*5,((ROW(F75)-ROW())*5))</f>
        <v>10</v>
      </c>
      <c r="G5" s="88">
        <f>IF(F5-E9&gt;=0,F5-E9,360-E9+F5)</f>
        <v>10</v>
      </c>
      <c r="H5" s="89" t="str">
        <f>IF(G5=360,0,IF(MOD(G5,E2)=0,G5,""))</f>
        <v/>
      </c>
      <c r="I5" s="89" t="str">
        <f>IF(E13,H5,CHAR(160))</f>
        <v/>
      </c>
      <c r="J5" s="88" t="e">
        <f>NA()</f>
        <v>#N/A</v>
      </c>
      <c r="K5" s="90"/>
      <c r="L5" s="91"/>
      <c r="M5" s="92"/>
      <c r="N5" s="91"/>
      <c r="O5" s="91"/>
      <c r="P5" s="93"/>
      <c r="Q5" s="111">
        <f t="shared" si="0"/>
        <v>64.648047311547927</v>
      </c>
      <c r="R5" s="113">
        <f t="shared" si="1"/>
        <v>1.2773152701114414</v>
      </c>
      <c r="S5" s="34">
        <f>IF(E10,DEGREES(Q5),Q5)</f>
        <v>64.648047311547927</v>
      </c>
      <c r="T5" s="34">
        <f>IF(E8,90-S5-E9,S5+90+E9)</f>
        <v>25.351952688452073</v>
      </c>
      <c r="U5" s="34">
        <f>IF(E11,IF(OR(AND(E5&gt;=0,E6&gt;=0),AND(E5&lt;0,E6&lt;0)),(E6)-R5,ABS(E6)-R5),IF(OR(AND(E5&gt;=0,E6&gt;=0),AND(E5&lt;0,E6&lt;0)),R5-(E5),ABS(E5)+R5))</f>
        <v>1.2773152701114414</v>
      </c>
      <c r="V5" s="34">
        <f t="shared" si="2"/>
        <v>1.1543030056543699</v>
      </c>
      <c r="W5" s="107">
        <f t="shared" si="3"/>
        <v>0.54691760841753134</v>
      </c>
    </row>
    <row r="6" spans="1:23">
      <c r="A6" s="110">
        <f>'Calc-Deploy 1'!AK17</f>
        <v>74.58718942660083</v>
      </c>
      <c r="B6" s="110">
        <f>'Calc-Deploy 1'!AL17</f>
        <v>0.94468297707860827</v>
      </c>
      <c r="D6" s="80" t="s">
        <v>53</v>
      </c>
      <c r="E6" s="81">
        <v>0.60000000000000009</v>
      </c>
      <c r="F6" s="87">
        <f>IF(E8,(ROW()-ROW(F3))*5,((ROW(F75)-ROW())*5))</f>
        <v>15</v>
      </c>
      <c r="G6" s="88">
        <f>IF(F6-E9&gt;=0,F6-E9,360-E9+F6)</f>
        <v>15</v>
      </c>
      <c r="H6" s="89">
        <f>IF(G6=360,0,IF(MOD(G6,E2)=0,G6,""))</f>
        <v>15</v>
      </c>
      <c r="I6" s="89">
        <f>IF(E13,H6,CHAR(160))</f>
        <v>15</v>
      </c>
      <c r="J6" s="88" t="e">
        <f>NA()</f>
        <v>#N/A</v>
      </c>
      <c r="K6" s="90">
        <v>5</v>
      </c>
      <c r="L6" s="91" t="e">
        <f>MATCH(K6,H3:H74,0)</f>
        <v>#N/A</v>
      </c>
      <c r="M6" s="92" t="e">
        <f>IF(E8,90-INDEX(F3:F74,L6,1),INDEX(F3:F74,L6,1)+90)</f>
        <v>#N/A</v>
      </c>
      <c r="N6" s="91">
        <f>IF(E12,+(E7),NA())</f>
        <v>0.60000000000000009</v>
      </c>
      <c r="O6" s="91" t="e">
        <f>COS(RADIANS(M6))*N6</f>
        <v>#N/A</v>
      </c>
      <c r="P6" s="93" t="e">
        <f>SIN(RADIANS(M6))*N6</f>
        <v>#N/A</v>
      </c>
      <c r="Q6" s="111">
        <f t="shared" si="0"/>
        <v>68.914629959802738</v>
      </c>
      <c r="R6" s="113">
        <f t="shared" si="1"/>
        <v>1.0580884557023351</v>
      </c>
      <c r="S6" s="34">
        <f>IF(E10,DEGREES(Q6),Q6)</f>
        <v>68.914629959802738</v>
      </c>
      <c r="T6" s="34">
        <f>IF(E8,90-S6-E9,S6+90+E9)</f>
        <v>21.085370040197262</v>
      </c>
      <c r="U6" s="34">
        <f>IF(E11,IF(OR(AND(E5&gt;=0,E6&gt;=0),AND(E5&lt;0,E6&lt;0)),(E6)-R6,ABS(E6)-R6),IF(OR(AND(E5&gt;=0,E6&gt;=0),AND(E5&lt;0,E6&lt;0)),R6-(E5),ABS(E5)+R6))</f>
        <v>1.0580884557023351</v>
      </c>
      <c r="V6" s="34">
        <f t="shared" si="2"/>
        <v>0.98724459426058364</v>
      </c>
      <c r="W6" s="107">
        <f t="shared" si="3"/>
        <v>0.3806563951831205</v>
      </c>
    </row>
    <row r="7" spans="1:23">
      <c r="A7" s="110">
        <f>'Calc-Deploy 1'!AK18</f>
        <v>78.024835747534539</v>
      </c>
      <c r="B7" s="110">
        <f>'Calc-Deploy 1'!AL18</f>
        <v>0.75916998886082487</v>
      </c>
      <c r="D7" s="80" t="s">
        <v>54</v>
      </c>
      <c r="E7" s="81">
        <f>E6-E5</f>
        <v>0.60000000000000009</v>
      </c>
      <c r="F7" s="87">
        <f>IF(E8,(ROW()-ROW(F3))*5,((ROW(F75)-ROW())*5))</f>
        <v>20</v>
      </c>
      <c r="G7" s="88">
        <f>IF(F7-E9&gt;=0,F7-E9,360-E9+F7)</f>
        <v>20</v>
      </c>
      <c r="H7" s="89" t="str">
        <f>IF(G7=360,0,IF(MOD(G7,E2)=0,G7,""))</f>
        <v/>
      </c>
      <c r="I7" s="89" t="str">
        <f>IF(E13,H7,CHAR(160))</f>
        <v/>
      </c>
      <c r="J7" s="88" t="e">
        <f>NA()</f>
        <v>#N/A</v>
      </c>
      <c r="K7" s="90">
        <v>5</v>
      </c>
      <c r="L7" s="91" t="e">
        <f>L6</f>
        <v>#N/A</v>
      </c>
      <c r="M7" s="92" t="e">
        <f>IF(E8,90-INDEX(F3:F74,L7,1),INDEX(F3:F74,L7,1)+90)</f>
        <v>#N/A</v>
      </c>
      <c r="N7" s="91">
        <f>IF(E12,-(E7),NA())</f>
        <v>-0.60000000000000009</v>
      </c>
      <c r="O7" s="91" t="e">
        <f>COS(RADIANS(M7))*N7</f>
        <v>#N/A</v>
      </c>
      <c r="P7" s="93" t="e">
        <f>SIN(RADIANS(M7))*N7</f>
        <v>#N/A</v>
      </c>
      <c r="Q7" s="111">
        <f t="shared" si="0"/>
        <v>74.58718942660083</v>
      </c>
      <c r="R7" s="113">
        <f t="shared" si="1"/>
        <v>0.94468297707860827</v>
      </c>
      <c r="S7" s="34">
        <f>IF(E10,DEGREES(Q7),Q7)</f>
        <v>74.58718942660083</v>
      </c>
      <c r="T7" s="34">
        <f>IF(E8,90-S7-E9,S7+90+E9)</f>
        <v>15.41281057339917</v>
      </c>
      <c r="U7" s="34">
        <f>IF(E11,IF(OR(AND(E5&gt;=0,E6&gt;=0),AND(E5&lt;0,E6&lt;0)),(E6)-R7,ABS(E6)-R7),IF(OR(AND(E5&gt;=0,E6&gt;=0),AND(E5&lt;0,E6&lt;0)),R7-(E5),ABS(E5)+R7))</f>
        <v>0.94468297707860827</v>
      </c>
      <c r="V7" s="34">
        <f t="shared" si="2"/>
        <v>0.91070840352100835</v>
      </c>
      <c r="W7" s="107">
        <f t="shared" si="3"/>
        <v>0.25106997219563798</v>
      </c>
    </row>
    <row r="8" spans="1:23">
      <c r="A8" s="110">
        <f>'Calc-Deploy 1'!AK19</f>
        <v>79.086829707902936</v>
      </c>
      <c r="B8" s="110">
        <f>'Calc-Deploy 1'!AL19</f>
        <v>0.52297755889216346</v>
      </c>
      <c r="D8" s="80" t="s">
        <v>55</v>
      </c>
      <c r="E8" s="81" t="b">
        <v>1</v>
      </c>
      <c r="F8" s="87">
        <f>IF(E8,(ROW()-ROW(F3))*5,((ROW(F75)-ROW())*5))</f>
        <v>25</v>
      </c>
      <c r="G8" s="88">
        <f>IF(F8-E9&gt;=0,F8-E9,360-E9+F8)</f>
        <v>25</v>
      </c>
      <c r="H8" s="89" t="str">
        <f>IF(G8=360,0,IF(MOD(G8,E2)=0,G8,""))</f>
        <v/>
      </c>
      <c r="I8" s="89" t="str">
        <f>IF(E13,H8,CHAR(160))</f>
        <v/>
      </c>
      <c r="J8" s="88" t="e">
        <f>NA()</f>
        <v>#N/A</v>
      </c>
      <c r="K8" s="90"/>
      <c r="L8" s="91"/>
      <c r="M8" s="92"/>
      <c r="N8" s="91"/>
      <c r="O8" s="91"/>
      <c r="P8" s="93"/>
      <c r="Q8" s="111">
        <f t="shared" si="0"/>
        <v>78.024835747534539</v>
      </c>
      <c r="R8" s="113">
        <f t="shared" si="1"/>
        <v>0.75916998886082487</v>
      </c>
      <c r="S8" s="34">
        <f>IF(E10,DEGREES(Q8),Q8)</f>
        <v>78.024835747534539</v>
      </c>
      <c r="T8" s="34">
        <f>IF(E8,90-S8-E9,S8+90+E9)</f>
        <v>11.975164252465461</v>
      </c>
      <c r="U8" s="34">
        <f>IF(E11,IF(OR(AND(E5&gt;=0,E6&gt;=0),AND(E5&lt;0,E6&lt;0)),(E6)-R8,ABS(E6)-R8),IF(OR(AND(E5&gt;=0,E6&gt;=0),AND(E5&lt;0,E6&lt;0)),R8-(E5),ABS(E5)+R8))</f>
        <v>0.75916998886082487</v>
      </c>
      <c r="V8" s="34">
        <f t="shared" si="2"/>
        <v>0.74264865173060712</v>
      </c>
      <c r="W8" s="107">
        <f t="shared" si="3"/>
        <v>0.15751841819183041</v>
      </c>
    </row>
    <row r="9" spans="1:23">
      <c r="A9" s="110">
        <f>'Calc-Deploy 1'!AK20</f>
        <v>62.542074816163876</v>
      </c>
      <c r="B9" s="110">
        <f>'Calc-Deploy 1'!AL20</f>
        <v>0.3556116186569091</v>
      </c>
      <c r="D9" s="80" t="s">
        <v>56</v>
      </c>
      <c r="E9" s="81">
        <v>0</v>
      </c>
      <c r="F9" s="87">
        <f>IF(E8,(ROW()-ROW(F3))*5,((ROW(F75)-ROW())*5))</f>
        <v>30</v>
      </c>
      <c r="G9" s="88">
        <f>IF(F9-E9&gt;=0,F9-E9,360-E9+F9)</f>
        <v>30</v>
      </c>
      <c r="H9" s="89">
        <f>IF(G9=360,0,IF(MOD(G9,E2)=0,G9,""))</f>
        <v>30</v>
      </c>
      <c r="I9" s="89">
        <f>IF(E13,H9,CHAR(160))</f>
        <v>30</v>
      </c>
      <c r="J9" s="88" t="e">
        <f>NA()</f>
        <v>#N/A</v>
      </c>
      <c r="K9" s="90">
        <v>10</v>
      </c>
      <c r="L9" s="91" t="e">
        <f>MATCH(K9,H3:H74,0)</f>
        <v>#N/A</v>
      </c>
      <c r="M9" s="92" t="e">
        <f>IF(E8,90-INDEX(F3:F74,L9,1),INDEX(F3:F74,L9,1)+90)</f>
        <v>#N/A</v>
      </c>
      <c r="N9" s="91">
        <f>IF(E12,+(E7),NA())</f>
        <v>0.60000000000000009</v>
      </c>
      <c r="O9" s="91" t="e">
        <f>COS(RADIANS(M9))*N9</f>
        <v>#N/A</v>
      </c>
      <c r="P9" s="93" t="e">
        <f>SIN(RADIANS(M9))*N9</f>
        <v>#N/A</v>
      </c>
      <c r="Q9" s="111">
        <f t="shared" si="0"/>
        <v>79.086829707902936</v>
      </c>
      <c r="R9" s="113">
        <f t="shared" si="1"/>
        <v>0.52297755889216346</v>
      </c>
      <c r="S9" s="34">
        <f>IF(E10,DEGREES(Q9),Q9)</f>
        <v>79.086829707902936</v>
      </c>
      <c r="T9" s="34">
        <f>IF(E8,90-S9-E9,S9+90+E9)</f>
        <v>10.913170292097064</v>
      </c>
      <c r="U9" s="34">
        <f>IF(E11,IF(OR(AND(E5&gt;=0,E6&gt;=0),AND(E5&lt;0,E6&lt;0)),(E6)-R9,ABS(E6)-R9),IF(OR(AND(E5&gt;=0,E6&gt;=0),AND(E5&lt;0,E6&lt;0)),R9-(E5),ABS(E5)+R9))</f>
        <v>0.52297755889216346</v>
      </c>
      <c r="V9" s="34">
        <f t="shared" si="2"/>
        <v>0.51351962497141057</v>
      </c>
      <c r="W9" s="107">
        <f t="shared" si="3"/>
        <v>9.9010715955537454E-2</v>
      </c>
    </row>
    <row r="10" spans="1:23">
      <c r="A10" s="110">
        <f>'Calc-Deploy 1'!AK21</f>
        <v>51.944565911732397</v>
      </c>
      <c r="B10" s="110">
        <f>'Calc-Deploy 1'!AL21</f>
        <v>0.52521128440083864</v>
      </c>
      <c r="D10" s="80" t="s">
        <v>57</v>
      </c>
      <c r="E10" s="81" t="b">
        <v>0</v>
      </c>
      <c r="F10" s="87">
        <f>IF(E8,(ROW()-ROW(F3))*5,((ROW(F75)-ROW())*5))</f>
        <v>35</v>
      </c>
      <c r="G10" s="88">
        <f>IF(F10-E9&gt;=0,F10-E9,360-E9+F10)</f>
        <v>35</v>
      </c>
      <c r="H10" s="89" t="str">
        <f>IF(G10=360,0,IF(MOD(G10,E2)=0,G10,""))</f>
        <v/>
      </c>
      <c r="I10" s="89" t="str">
        <f>IF(E13,H10,CHAR(160))</f>
        <v/>
      </c>
      <c r="J10" s="88" t="e">
        <f>NA()</f>
        <v>#N/A</v>
      </c>
      <c r="K10" s="90">
        <v>10</v>
      </c>
      <c r="L10" s="91" t="e">
        <f>L9</f>
        <v>#N/A</v>
      </c>
      <c r="M10" s="92" t="e">
        <f>IF(E8,90-INDEX(F3:F74,L10,1),INDEX(F3:F74,L10,1)+90)</f>
        <v>#N/A</v>
      </c>
      <c r="N10" s="91">
        <f>IF(E12,-(E7),NA())</f>
        <v>-0.60000000000000009</v>
      </c>
      <c r="O10" s="91" t="e">
        <f>COS(RADIANS(M10))*N10</f>
        <v>#N/A</v>
      </c>
      <c r="P10" s="93" t="e">
        <f>SIN(RADIANS(M10))*N10</f>
        <v>#N/A</v>
      </c>
      <c r="Q10" s="111">
        <f t="shared" si="0"/>
        <v>62.542074816163876</v>
      </c>
      <c r="R10" s="113">
        <f t="shared" si="1"/>
        <v>0.3556116186569091</v>
      </c>
      <c r="S10" s="34">
        <f>IF(E10,DEGREES(Q10),Q10)</f>
        <v>62.542074816163876</v>
      </c>
      <c r="T10" s="34">
        <f>IF(E8,90-S10-E9,S10+90+E9)</f>
        <v>27.457925183836124</v>
      </c>
      <c r="U10" s="34">
        <f>IF(E11,IF(OR(AND(E5&gt;=0,E6&gt;=0),AND(E5&lt;0,E6&lt;0)),(E6)-R10,ABS(E6)-R10),IF(OR(AND(E5&gt;=0,E6&gt;=0),AND(E5&lt;0,E6&lt;0)),R10-(E5),ABS(E5)+R10))</f>
        <v>0.3556116186569091</v>
      </c>
      <c r="V10" s="34">
        <f t="shared" si="2"/>
        <v>0.31555185471809349</v>
      </c>
      <c r="W10" s="107">
        <f t="shared" si="3"/>
        <v>0.16397149236302674</v>
      </c>
    </row>
    <row r="11" spans="1:23">
      <c r="A11" s="110">
        <f>'Calc-Deploy 1'!AK22</f>
        <v>58.116373800036428</v>
      </c>
      <c r="B11" s="110">
        <f>'Calc-Deploy 1'!AL22</f>
        <v>0.6676776321736525</v>
      </c>
      <c r="D11" s="80" t="s">
        <v>58</v>
      </c>
      <c r="E11" s="81" t="b">
        <v>0</v>
      </c>
      <c r="F11" s="87">
        <f>IF(E8,(ROW()-ROW(F3))*5,((ROW(F75)-ROW())*5))</f>
        <v>40</v>
      </c>
      <c r="G11" s="88">
        <f>IF(F11-E9&gt;=0,F11-E9,360-E9+F11)</f>
        <v>40</v>
      </c>
      <c r="H11" s="89" t="str">
        <f>IF(G11=360,0,IF(MOD(G11,E2)=0,G11,""))</f>
        <v/>
      </c>
      <c r="I11" s="89" t="str">
        <f>IF(E13,H11,CHAR(160))</f>
        <v/>
      </c>
      <c r="J11" s="88" t="e">
        <f>NA()</f>
        <v>#N/A</v>
      </c>
      <c r="K11" s="90"/>
      <c r="L11" s="91"/>
      <c r="M11" s="92"/>
      <c r="N11" s="91"/>
      <c r="O11" s="91"/>
      <c r="P11" s="93"/>
      <c r="Q11" s="111">
        <f t="shared" si="0"/>
        <v>51.944565911732397</v>
      </c>
      <c r="R11" s="113">
        <f t="shared" si="1"/>
        <v>0.52521128440083864</v>
      </c>
      <c r="S11" s="34">
        <f>IF(E10,DEGREES(Q11),Q11)</f>
        <v>51.944565911732397</v>
      </c>
      <c r="T11" s="34">
        <f>IF(E8,90-S11-E9,S11+90+E9)</f>
        <v>38.055434088267603</v>
      </c>
      <c r="U11" s="34">
        <f>IF(E11,IF(OR(AND(E5&gt;=0,E6&gt;=0),AND(E5&lt;0,E6&lt;0)),(E6)-R11,ABS(E6)-R11),IF(OR(AND(E5&gt;=0,E6&gt;=0),AND(E5&lt;0,E6&lt;0)),R11-(E5),ABS(E5)+R11))</f>
        <v>0.52521128440083864</v>
      </c>
      <c r="V11" s="34">
        <f t="shared" si="2"/>
        <v>0.41355910058357143</v>
      </c>
      <c r="W11" s="107">
        <f t="shared" si="3"/>
        <v>0.32375262714993691</v>
      </c>
    </row>
    <row r="12" spans="1:23">
      <c r="A12" s="110"/>
      <c r="B12" s="110"/>
      <c r="D12" s="80" t="s">
        <v>59</v>
      </c>
      <c r="E12" s="81" t="b">
        <v>1</v>
      </c>
      <c r="F12" s="87">
        <f>IF(E8,(ROW()-ROW(F3))*5,((ROW(F75)-ROW())*5))</f>
        <v>45</v>
      </c>
      <c r="G12" s="88">
        <f>IF(F12-E9&gt;=0,F12-E9,360-E9+F12)</f>
        <v>45</v>
      </c>
      <c r="H12" s="89">
        <f>IF(G12=360,0,IF(MOD(G12,E2)=0,G12,""))</f>
        <v>45</v>
      </c>
      <c r="I12" s="89">
        <f>IF(E13,H12,CHAR(160))</f>
        <v>45</v>
      </c>
      <c r="J12" s="88" t="e">
        <f>NA()</f>
        <v>#N/A</v>
      </c>
      <c r="K12" s="90">
        <v>15</v>
      </c>
      <c r="L12" s="91">
        <f>MATCH(K12,H3:H74,0)</f>
        <v>4</v>
      </c>
      <c r="M12" s="92">
        <f>IF(E8,90-INDEX(F3:F74,L12,1),INDEX(F3:F74,L12,1)+90)</f>
        <v>75</v>
      </c>
      <c r="N12" s="91">
        <f>IF(E12,+(E7),NA())</f>
        <v>0.60000000000000009</v>
      </c>
      <c r="O12" s="91">
        <f>COS(RADIANS(M12))*N12</f>
        <v>0.15529142706151247</v>
      </c>
      <c r="P12" s="93">
        <f>SIN(RADIANS(M12))*N12</f>
        <v>0.57955549577344112</v>
      </c>
      <c r="Q12" s="111">
        <f t="shared" si="0"/>
        <v>58.116373800036428</v>
      </c>
      <c r="R12" s="113">
        <f t="shared" si="1"/>
        <v>0.6676776321736525</v>
      </c>
      <c r="S12" s="34">
        <f>IF(E10,DEGREES(Q12),Q12)</f>
        <v>58.116373800036428</v>
      </c>
      <c r="T12" s="34">
        <f>IF(E8,90-S12-E9,S12+90+E9)</f>
        <v>31.883626199963572</v>
      </c>
      <c r="U12" s="34">
        <f>IF(E11,IF(OR(AND(E5&gt;=0,E6&gt;=0),AND(E5&lt;0,E6&lt;0)),(E6)-R12,ABS(E6)-R12),IF(OR(AND(E5&gt;=0,E6&gt;=0),AND(E5&lt;0,E6&lt;0)),R12-(E5),ABS(E5)+R12))</f>
        <v>0.6676776321736525</v>
      </c>
      <c r="V12" s="34">
        <f t="shared" si="2"/>
        <v>0.56694021261885386</v>
      </c>
      <c r="W12" s="107">
        <f t="shared" si="3"/>
        <v>0.3526644521648078</v>
      </c>
    </row>
    <row r="13" spans="1:23">
      <c r="A13" s="110"/>
      <c r="B13" s="110"/>
      <c r="D13" s="80" t="s">
        <v>60</v>
      </c>
      <c r="E13" s="81" t="b">
        <v>1</v>
      </c>
      <c r="F13" s="87">
        <f>IF(E8,(ROW()-ROW(F3))*5,((ROW(F75)-ROW())*5))</f>
        <v>50</v>
      </c>
      <c r="G13" s="88">
        <f>IF(F13-E9&gt;=0,F13-E9,360-E9+F13)</f>
        <v>50</v>
      </c>
      <c r="H13" s="89" t="str">
        <f>IF(G13=360,0,IF(MOD(G13,E2)=0,G13,""))</f>
        <v/>
      </c>
      <c r="I13" s="89" t="str">
        <f>IF(E13,H13,CHAR(160))</f>
        <v/>
      </c>
      <c r="J13" s="88" t="e">
        <f>NA()</f>
        <v>#N/A</v>
      </c>
      <c r="K13" s="90">
        <v>15</v>
      </c>
      <c r="L13" s="91">
        <f>L12</f>
        <v>4</v>
      </c>
      <c r="M13" s="92">
        <f>IF(E8,90-INDEX(F3:F74,L13,1),INDEX(F3:F74,L13,1)+90)</f>
        <v>75</v>
      </c>
      <c r="N13" s="91">
        <f>IF(E12,-(E7),NA())</f>
        <v>-0.60000000000000009</v>
      </c>
      <c r="O13" s="91">
        <f>COS(RADIANS(M13))*N13</f>
        <v>-0.15529142706151247</v>
      </c>
      <c r="P13" s="93">
        <f>SIN(RADIANS(M13))*N13</f>
        <v>-0.57955549577344112</v>
      </c>
      <c r="Q13" s="111"/>
      <c r="R13" s="113"/>
      <c r="S13" s="34"/>
      <c r="T13" s="34"/>
      <c r="U13" s="34"/>
      <c r="V13" s="34"/>
      <c r="W13" s="107"/>
    </row>
    <row r="14" spans="1:23">
      <c r="A14" s="110"/>
      <c r="B14" s="110"/>
      <c r="D14" s="80" t="s">
        <v>61</v>
      </c>
      <c r="E14" s="81" t="b">
        <v>1</v>
      </c>
      <c r="F14" s="87">
        <f>IF(E8,(ROW()-ROW(F3))*5,((ROW(F75)-ROW())*5))</f>
        <v>55</v>
      </c>
      <c r="G14" s="88">
        <f>IF(F14-E9&gt;=0,F14-E9,360-E9+F14)</f>
        <v>55</v>
      </c>
      <c r="H14" s="89" t="str">
        <f>IF(G14=360,0,IF(MOD(G14,E2)=0,G14,""))</f>
        <v/>
      </c>
      <c r="I14" s="89" t="str">
        <f>IF(E13,H14,CHAR(160))</f>
        <v/>
      </c>
      <c r="J14" s="88" t="e">
        <f>NA()</f>
        <v>#N/A</v>
      </c>
      <c r="K14" s="90"/>
      <c r="L14" s="91"/>
      <c r="M14" s="92"/>
      <c r="N14" s="91"/>
      <c r="O14" s="91"/>
      <c r="P14" s="93"/>
      <c r="Q14" s="111"/>
      <c r="R14" s="113"/>
      <c r="S14" s="34"/>
      <c r="T14" s="34"/>
      <c r="U14" s="34"/>
      <c r="V14" s="34"/>
      <c r="W14" s="107"/>
    </row>
    <row r="15" spans="1:23">
      <c r="A15" s="110"/>
      <c r="B15" s="110"/>
      <c r="D15" s="80" t="s">
        <v>62</v>
      </c>
      <c r="E15" s="81" t="b">
        <v>1</v>
      </c>
      <c r="F15" s="87">
        <f>IF(E8,(ROW()-ROW(F3))*5,((ROW(F75)-ROW())*5))</f>
        <v>60</v>
      </c>
      <c r="G15" s="88">
        <f>IF(F15-E9&gt;=0,F15-E9,360-E9+F15)</f>
        <v>60</v>
      </c>
      <c r="H15" s="89">
        <f>IF(G15=360,0,IF(MOD(G15,E2)=0,G15,""))</f>
        <v>60</v>
      </c>
      <c r="I15" s="89">
        <f>IF(E13,H15,CHAR(160))</f>
        <v>60</v>
      </c>
      <c r="J15" s="88" t="e">
        <f>NA()</f>
        <v>#N/A</v>
      </c>
      <c r="K15" s="90">
        <v>20</v>
      </c>
      <c r="L15" s="91" t="e">
        <f>MATCH(K15,H3:H74,0)</f>
        <v>#N/A</v>
      </c>
      <c r="M15" s="92" t="e">
        <f>IF(E8,90-INDEX(F3:F74,L15,1),INDEX(F3:F74,L15,1)+90)</f>
        <v>#N/A</v>
      </c>
      <c r="N15" s="91">
        <f>IF(E12,+(E7),NA())</f>
        <v>0.60000000000000009</v>
      </c>
      <c r="O15" s="91" t="e">
        <f>COS(RADIANS(M15))*N15</f>
        <v>#N/A</v>
      </c>
      <c r="P15" s="93" t="e">
        <f>SIN(RADIANS(M15))*N15</f>
        <v>#N/A</v>
      </c>
      <c r="Q15" s="111"/>
      <c r="R15" s="113"/>
      <c r="S15" s="34"/>
      <c r="T15" s="34"/>
      <c r="U15" s="34"/>
      <c r="V15" s="34"/>
      <c r="W15" s="107"/>
    </row>
    <row r="16" spans="1:23">
      <c r="A16" s="110"/>
      <c r="B16" s="110"/>
      <c r="D16" s="80" t="s">
        <v>63</v>
      </c>
      <c r="E16" s="81" t="b">
        <v>0</v>
      </c>
      <c r="F16" s="87">
        <f>IF(E8,(ROW()-ROW(F3))*5,((ROW(F75)-ROW())*5))</f>
        <v>65</v>
      </c>
      <c r="G16" s="88">
        <f>IF(F16-E9&gt;=0,F16-E9,360-E9+F16)</f>
        <v>65</v>
      </c>
      <c r="H16" s="89" t="str">
        <f>IF(G16=360,0,IF(MOD(G16,E2)=0,G16,""))</f>
        <v/>
      </c>
      <c r="I16" s="89" t="str">
        <f>IF(E13,H16,CHAR(160))</f>
        <v/>
      </c>
      <c r="J16" s="88" t="e">
        <f>NA()</f>
        <v>#N/A</v>
      </c>
      <c r="K16" s="90">
        <v>20</v>
      </c>
      <c r="L16" s="91" t="e">
        <f>L15</f>
        <v>#N/A</v>
      </c>
      <c r="M16" s="92" t="e">
        <f>IF(E8,90-INDEX(F3:F74,L16,1),INDEX(F3:F74,L16,1)+90)</f>
        <v>#N/A</v>
      </c>
      <c r="N16" s="91">
        <f>IF(E12,-(E7),NA())</f>
        <v>-0.60000000000000009</v>
      </c>
      <c r="O16" s="91" t="e">
        <f>COS(RADIANS(M16))*N16</f>
        <v>#N/A</v>
      </c>
      <c r="P16" s="93" t="e">
        <f>SIN(RADIANS(M16))*N16</f>
        <v>#N/A</v>
      </c>
      <c r="Q16" s="111"/>
      <c r="R16" s="113"/>
      <c r="S16" s="34"/>
      <c r="T16" s="34"/>
      <c r="U16" s="34"/>
      <c r="V16" s="34"/>
      <c r="W16" s="107"/>
    </row>
    <row r="17" spans="1:23">
      <c r="A17" s="110"/>
      <c r="B17" s="110"/>
      <c r="D17" s="80" t="s">
        <v>64</v>
      </c>
      <c r="E17" s="81" t="b">
        <v>0</v>
      </c>
      <c r="F17" s="87">
        <f>IF(E8,(ROW()-ROW(F3))*5,((ROW(F75)-ROW())*5))</f>
        <v>70</v>
      </c>
      <c r="G17" s="88">
        <f>IF(F17-E9&gt;=0,F17-E9,360-E9+F17)</f>
        <v>70</v>
      </c>
      <c r="H17" s="89" t="str">
        <f>IF(G17=360,0,IF(MOD(G17,E2)=0,G17,""))</f>
        <v/>
      </c>
      <c r="I17" s="89" t="str">
        <f>IF(E13,H17,CHAR(160))</f>
        <v/>
      </c>
      <c r="J17" s="88" t="e">
        <f>NA()</f>
        <v>#N/A</v>
      </c>
      <c r="K17" s="90"/>
      <c r="L17" s="91"/>
      <c r="M17" s="92"/>
      <c r="N17" s="91"/>
      <c r="O17" s="91"/>
      <c r="P17" s="93"/>
      <c r="Q17" s="111"/>
      <c r="R17" s="113"/>
      <c r="S17" s="34"/>
      <c r="T17" s="34"/>
      <c r="U17" s="34"/>
      <c r="V17" s="34"/>
      <c r="W17" s="107"/>
    </row>
    <row r="18" spans="1:23">
      <c r="A18" s="110"/>
      <c r="B18" s="110"/>
      <c r="D18" s="80" t="s">
        <v>65</v>
      </c>
      <c r="E18" s="81" t="b">
        <v>1</v>
      </c>
      <c r="F18" s="87">
        <f>IF(E8,(ROW()-ROW(F3))*5,((ROW(F75)-ROW())*5))</f>
        <v>75</v>
      </c>
      <c r="G18" s="88">
        <f>IF(F18-E9&gt;=0,F18-E9,360-E9+F18)</f>
        <v>75</v>
      </c>
      <c r="H18" s="89">
        <f>IF(G18=360,0,IF(MOD(G18,E2)=0,G18,""))</f>
        <v>75</v>
      </c>
      <c r="I18" s="89">
        <f>IF(E13,H18,CHAR(160))</f>
        <v>75</v>
      </c>
      <c r="J18" s="88" t="e">
        <f>NA()</f>
        <v>#N/A</v>
      </c>
      <c r="K18" s="90">
        <v>25</v>
      </c>
      <c r="L18" s="91" t="e">
        <f>MATCH(K18,H3:H74,0)</f>
        <v>#N/A</v>
      </c>
      <c r="M18" s="92" t="e">
        <f>IF(E8,90-INDEX(F3:F74,L18,1),INDEX(F3:F74,L18,1)+90)</f>
        <v>#N/A</v>
      </c>
      <c r="N18" s="91">
        <f>IF(E12,+(E7),NA())</f>
        <v>0.60000000000000009</v>
      </c>
      <c r="O18" s="91" t="e">
        <f>COS(RADIANS(M18))*N18</f>
        <v>#N/A</v>
      </c>
      <c r="P18" s="93" t="e">
        <f>SIN(RADIANS(M18))*N18</f>
        <v>#N/A</v>
      </c>
      <c r="Q18" s="111"/>
      <c r="R18" s="113"/>
      <c r="S18" s="34"/>
      <c r="T18" s="34"/>
      <c r="U18" s="34"/>
      <c r="V18" s="34"/>
      <c r="W18" s="107"/>
    </row>
    <row r="19" spans="1:23">
      <c r="A19" s="110"/>
      <c r="B19" s="110"/>
      <c r="D19" s="80" t="s">
        <v>66</v>
      </c>
      <c r="E19" s="81">
        <v>0.10433173350769616</v>
      </c>
      <c r="F19" s="87">
        <f>IF(E8,(ROW()-ROW(F3))*5,((ROW(F75)-ROW())*5))</f>
        <v>80</v>
      </c>
      <c r="G19" s="88">
        <f>IF(F19-E9&gt;=0,F19-E9,360-E9+F19)</f>
        <v>80</v>
      </c>
      <c r="H19" s="89" t="str">
        <f>IF(G19=360,0,IF(MOD(G19,E2)=0,G19,""))</f>
        <v/>
      </c>
      <c r="I19" s="89" t="str">
        <f>IF(E13,H19,CHAR(160))</f>
        <v/>
      </c>
      <c r="J19" s="88" t="e">
        <f>NA()</f>
        <v>#N/A</v>
      </c>
      <c r="K19" s="90">
        <v>25</v>
      </c>
      <c r="L19" s="91" t="e">
        <f>L18</f>
        <v>#N/A</v>
      </c>
      <c r="M19" s="92" t="e">
        <f>IF(E8,90-INDEX(F3:F74,L19,1),INDEX(F3:F74,L19,1)+90)</f>
        <v>#N/A</v>
      </c>
      <c r="N19" s="91">
        <f>IF(E12,-(E7),NA())</f>
        <v>-0.60000000000000009</v>
      </c>
      <c r="O19" s="91" t="e">
        <f>COS(RADIANS(M19))*N19</f>
        <v>#N/A</v>
      </c>
      <c r="P19" s="93" t="e">
        <f>SIN(RADIANS(M19))*N19</f>
        <v>#N/A</v>
      </c>
      <c r="Q19" s="111"/>
      <c r="R19" s="113"/>
      <c r="S19" s="34"/>
      <c r="T19" s="34"/>
      <c r="U19" s="34"/>
      <c r="V19" s="34"/>
      <c r="W19" s="107"/>
    </row>
    <row r="20" spans="1:23">
      <c r="A20" s="110"/>
      <c r="B20" s="110"/>
      <c r="D20" s="80" t="s">
        <v>67</v>
      </c>
      <c r="E20" s="81">
        <v>0.57282653081086954</v>
      </c>
      <c r="F20" s="87">
        <f>IF(E8,(ROW()-ROW(F3))*5,((ROW(F75)-ROW())*5))</f>
        <v>85</v>
      </c>
      <c r="G20" s="88">
        <f>IF(F20-E9&gt;=0,F20-E9,360-E9+F20)</f>
        <v>85</v>
      </c>
      <c r="H20" s="89" t="str">
        <f>IF(G20=360,0,IF(MOD(G20,E2)=0,G20,""))</f>
        <v/>
      </c>
      <c r="I20" s="89" t="str">
        <f>IF(E13,H20,CHAR(160))</f>
        <v/>
      </c>
      <c r="J20" s="88" t="e">
        <f>NA()</f>
        <v>#N/A</v>
      </c>
      <c r="K20" s="90"/>
      <c r="L20" s="91"/>
      <c r="M20" s="92"/>
      <c r="N20" s="91"/>
      <c r="O20" s="91"/>
      <c r="P20" s="93"/>
      <c r="Q20" s="111"/>
      <c r="R20" s="113"/>
      <c r="S20" s="34"/>
      <c r="T20" s="34"/>
      <c r="U20" s="34"/>
      <c r="V20" s="34"/>
      <c r="W20" s="107"/>
    </row>
    <row r="21" spans="1:23">
      <c r="A21" s="110"/>
      <c r="B21" s="110"/>
      <c r="D21" s="80" t="s">
        <v>68</v>
      </c>
      <c r="E21" s="103" t="s">
        <v>72</v>
      </c>
      <c r="F21" s="87">
        <f>IF(E8,(ROW()-ROW(F3))*5,((ROW(F75)-ROW())*5))</f>
        <v>90</v>
      </c>
      <c r="G21" s="88">
        <f>IF(F21-E9&gt;=0,F21-E9,360-E9+F21)</f>
        <v>90</v>
      </c>
      <c r="H21" s="89">
        <f>IF(G21=360,0,IF(MOD(G21,E2)=0,G21,""))</f>
        <v>90</v>
      </c>
      <c r="I21" s="89">
        <f>IF(E13,H21,CHAR(160))</f>
        <v>90</v>
      </c>
      <c r="J21" s="88" t="e">
        <f>NA()</f>
        <v>#N/A</v>
      </c>
      <c r="K21" s="90">
        <v>30</v>
      </c>
      <c r="L21" s="91">
        <f>MATCH(K21,H3:H74,0)</f>
        <v>7</v>
      </c>
      <c r="M21" s="92">
        <f>IF(E8,90-INDEX(F3:F74,L21,1),INDEX(F3:F74,L21,1)+90)</f>
        <v>60</v>
      </c>
      <c r="N21" s="91">
        <f>IF(E12,+(E7),NA())</f>
        <v>0.60000000000000009</v>
      </c>
      <c r="O21" s="91">
        <f>COS(RADIANS(M21))*N21</f>
        <v>0.3000000000000001</v>
      </c>
      <c r="P21" s="93">
        <f>SIN(RADIANS(M21))*N21</f>
        <v>0.51961524227066325</v>
      </c>
      <c r="Q21" s="111"/>
      <c r="R21" s="113"/>
      <c r="S21" s="34"/>
      <c r="T21" s="34"/>
      <c r="U21" s="34"/>
      <c r="V21" s="34"/>
      <c r="W21" s="107"/>
    </row>
    <row r="22" spans="1:23">
      <c r="A22" s="110"/>
      <c r="B22" s="110"/>
      <c r="D22" s="80" t="s">
        <v>69</v>
      </c>
      <c r="E22" s="94" t="b">
        <v>0</v>
      </c>
      <c r="F22" s="87">
        <f>IF(E8,(ROW()-ROW(F3))*5,((ROW(F75)-ROW())*5))</f>
        <v>95</v>
      </c>
      <c r="G22" s="88">
        <f>IF(F22-E9&gt;=0,F22-E9,360-E9+F22)</f>
        <v>95</v>
      </c>
      <c r="H22" s="89" t="str">
        <f>IF(G22=360,0,IF(MOD(G22,E2)=0,G22,""))</f>
        <v/>
      </c>
      <c r="I22" s="89" t="str">
        <f>IF(E13,H22,CHAR(160))</f>
        <v/>
      </c>
      <c r="J22" s="88" t="e">
        <f>NA()</f>
        <v>#N/A</v>
      </c>
      <c r="K22" s="90">
        <v>30</v>
      </c>
      <c r="L22" s="91">
        <f>L21</f>
        <v>7</v>
      </c>
      <c r="M22" s="92">
        <f>IF(E8,90-INDEX(F3:F74,L22,1),INDEX(F3:F74,L22,1)+90)</f>
        <v>60</v>
      </c>
      <c r="N22" s="91">
        <f>IF(E12,-(E7),NA())</f>
        <v>-0.60000000000000009</v>
      </c>
      <c r="O22" s="91">
        <f>COS(RADIANS(M22))*N22</f>
        <v>-0.3000000000000001</v>
      </c>
      <c r="P22" s="93">
        <f>SIN(RADIANS(M22))*N22</f>
        <v>-0.51961524227066325</v>
      </c>
      <c r="Q22" s="111"/>
      <c r="R22" s="113"/>
      <c r="S22" s="34"/>
      <c r="T22" s="34"/>
      <c r="U22" s="34"/>
      <c r="V22" s="34"/>
      <c r="W22" s="107"/>
    </row>
    <row r="23" spans="1:23">
      <c r="A23" s="110"/>
      <c r="B23" s="110"/>
      <c r="F23" s="87">
        <f>IF(E8,(ROW()-ROW(F3))*5,((ROW(F75)-ROW())*5))</f>
        <v>100</v>
      </c>
      <c r="G23" s="88">
        <f>IF(F23-E9&gt;=0,F23-E9,360-E9+F23)</f>
        <v>100</v>
      </c>
      <c r="H23" s="89" t="str">
        <f>IF(G23=360,0,IF(MOD(G23,E2)=0,G23,""))</f>
        <v/>
      </c>
      <c r="I23" s="89" t="str">
        <f>IF(E13,H23,CHAR(160))</f>
        <v/>
      </c>
      <c r="J23" s="88" t="e">
        <f>NA()</f>
        <v>#N/A</v>
      </c>
      <c r="K23" s="90"/>
      <c r="L23" s="91"/>
      <c r="M23" s="92"/>
      <c r="N23" s="91"/>
      <c r="O23" s="91"/>
      <c r="P23" s="93"/>
      <c r="Q23" s="111"/>
      <c r="R23" s="113"/>
      <c r="S23" s="34"/>
      <c r="T23" s="34"/>
      <c r="U23" s="34"/>
      <c r="V23" s="34"/>
      <c r="W23" s="107"/>
    </row>
    <row r="24" spans="1:23">
      <c r="A24" s="110"/>
      <c r="B24" s="110"/>
      <c r="F24" s="87">
        <f>IF(E8,(ROW()-ROW(F3))*5,((ROW(F75)-ROW())*5))</f>
        <v>105</v>
      </c>
      <c r="G24" s="88">
        <f>IF(F24-E9&gt;=0,F24-E9,360-E9+F24)</f>
        <v>105</v>
      </c>
      <c r="H24" s="89">
        <f>IF(G24=360,0,IF(MOD(G24,E2)=0,G24,""))</f>
        <v>105</v>
      </c>
      <c r="I24" s="89">
        <f>IF(E13,H24,CHAR(160))</f>
        <v>105</v>
      </c>
      <c r="J24" s="88" t="e">
        <f>NA()</f>
        <v>#N/A</v>
      </c>
      <c r="K24" s="90">
        <v>35</v>
      </c>
      <c r="L24" s="91" t="e">
        <f>MATCH(K24,H3:H74,0)</f>
        <v>#N/A</v>
      </c>
      <c r="M24" s="92" t="e">
        <f>IF(E8,90-INDEX(F3:F74,L24,1),INDEX(F3:F74,L24,1)+90)</f>
        <v>#N/A</v>
      </c>
      <c r="N24" s="91">
        <f>IF(E12,+(E7),NA())</f>
        <v>0.60000000000000009</v>
      </c>
      <c r="O24" s="91" t="e">
        <f>COS(RADIANS(M24))*N24</f>
        <v>#N/A</v>
      </c>
      <c r="P24" s="93" t="e">
        <f>SIN(RADIANS(M24))*N24</f>
        <v>#N/A</v>
      </c>
      <c r="Q24" s="111"/>
      <c r="R24" s="113"/>
      <c r="S24" s="34"/>
      <c r="T24" s="34"/>
      <c r="U24" s="34"/>
      <c r="V24" s="34"/>
      <c r="W24" s="107"/>
    </row>
    <row r="25" spans="1:23">
      <c r="A25" s="110"/>
      <c r="B25" s="110"/>
      <c r="F25" s="87">
        <f>IF(E8,(ROW()-ROW(F3))*5,((ROW(F75)-ROW())*5))</f>
        <v>110</v>
      </c>
      <c r="G25" s="88">
        <f>IF(F25-E9&gt;=0,F25-E9,360-E9+F25)</f>
        <v>110</v>
      </c>
      <c r="H25" s="89" t="str">
        <f>IF(G25=360,0,IF(MOD(G25,E2)=0,G25,""))</f>
        <v/>
      </c>
      <c r="I25" s="89" t="str">
        <f>IF(E13,H25,CHAR(160))</f>
        <v/>
      </c>
      <c r="J25" s="88" t="e">
        <f>NA()</f>
        <v>#N/A</v>
      </c>
      <c r="K25" s="90">
        <v>35</v>
      </c>
      <c r="L25" s="91" t="e">
        <f>L24</f>
        <v>#N/A</v>
      </c>
      <c r="M25" s="92" t="e">
        <f>IF(E8,90-INDEX(F3:F74,L25,1),INDEX(F3:F74,L25,1)+90)</f>
        <v>#N/A</v>
      </c>
      <c r="N25" s="91">
        <f>IF(E12,-(E7),NA())</f>
        <v>-0.60000000000000009</v>
      </c>
      <c r="O25" s="91" t="e">
        <f>COS(RADIANS(M25))*N25</f>
        <v>#N/A</v>
      </c>
      <c r="P25" s="93" t="e">
        <f>SIN(RADIANS(M25))*N25</f>
        <v>#N/A</v>
      </c>
      <c r="Q25" s="111"/>
      <c r="R25" s="113"/>
      <c r="S25" s="34"/>
      <c r="T25" s="34"/>
      <c r="U25" s="34"/>
      <c r="V25" s="34"/>
      <c r="W25" s="107"/>
    </row>
    <row r="26" spans="1:23">
      <c r="A26" s="110"/>
      <c r="B26" s="110"/>
      <c r="F26" s="87">
        <f>IF(E8,(ROW()-ROW(F3))*5,((ROW(F75)-ROW())*5))</f>
        <v>115</v>
      </c>
      <c r="G26" s="88">
        <f>IF(F26-E9&gt;=0,F26-E9,360-E9+F26)</f>
        <v>115</v>
      </c>
      <c r="H26" s="89" t="str">
        <f>IF(G26=360,0,IF(MOD(G26,E2)=0,G26,""))</f>
        <v/>
      </c>
      <c r="I26" s="89" t="str">
        <f>IF(E13,H26,CHAR(160))</f>
        <v/>
      </c>
      <c r="J26" s="88" t="e">
        <f>NA()</f>
        <v>#N/A</v>
      </c>
      <c r="K26" s="90"/>
      <c r="L26" s="91"/>
      <c r="M26" s="92"/>
      <c r="N26" s="91"/>
      <c r="O26" s="91"/>
      <c r="P26" s="93"/>
      <c r="Q26" s="111"/>
      <c r="R26" s="113"/>
      <c r="S26" s="34"/>
      <c r="T26" s="34"/>
      <c r="U26" s="34"/>
      <c r="V26" s="34"/>
      <c r="W26" s="107"/>
    </row>
    <row r="27" spans="1:23">
      <c r="A27" s="110"/>
      <c r="B27" s="110"/>
      <c r="F27" s="87">
        <f>IF(E8,(ROW()-ROW(F3))*5,((ROW(F75)-ROW())*5))</f>
        <v>120</v>
      </c>
      <c r="G27" s="88">
        <f>IF(F27-E9&gt;=0,F27-E9,360-E9+F27)</f>
        <v>120</v>
      </c>
      <c r="H27" s="89">
        <f>IF(G27=360,0,IF(MOD(G27,E2)=0,G27,""))</f>
        <v>120</v>
      </c>
      <c r="I27" s="89">
        <f>IF(E13,H27,CHAR(160))</f>
        <v>120</v>
      </c>
      <c r="J27" s="88" t="e">
        <f>NA()</f>
        <v>#N/A</v>
      </c>
      <c r="K27" s="90">
        <v>40</v>
      </c>
      <c r="L27" s="91" t="e">
        <f>MATCH(K27,H3:H74,0)</f>
        <v>#N/A</v>
      </c>
      <c r="M27" s="92" t="e">
        <f>IF(E8,90-INDEX(F3:F74,L27,1),INDEX(F3:F74,L27,1)+90)</f>
        <v>#N/A</v>
      </c>
      <c r="N27" s="91">
        <f>IF(E12,+(E7),NA())</f>
        <v>0.60000000000000009</v>
      </c>
      <c r="O27" s="91" t="e">
        <f>COS(RADIANS(M27))*N27</f>
        <v>#N/A</v>
      </c>
      <c r="P27" s="93" t="e">
        <f>SIN(RADIANS(M27))*N27</f>
        <v>#N/A</v>
      </c>
      <c r="Q27" s="111"/>
      <c r="R27" s="113"/>
      <c r="S27" s="34"/>
      <c r="T27" s="34"/>
      <c r="U27" s="34"/>
      <c r="V27" s="34"/>
      <c r="W27" s="107"/>
    </row>
    <row r="28" spans="1:23">
      <c r="A28" s="110"/>
      <c r="B28" s="110"/>
      <c r="F28" s="87">
        <f>IF(E8,(ROW()-ROW(F3))*5,((ROW(F75)-ROW())*5))</f>
        <v>125</v>
      </c>
      <c r="G28" s="88">
        <f>IF(F28-E9&gt;=0,F28-E9,360-E9+F28)</f>
        <v>125</v>
      </c>
      <c r="H28" s="89" t="str">
        <f>IF(G28=360,0,IF(MOD(G28,E2)=0,G28,""))</f>
        <v/>
      </c>
      <c r="I28" s="89" t="str">
        <f>IF(E13,H28,CHAR(160))</f>
        <v/>
      </c>
      <c r="J28" s="88" t="e">
        <f>NA()</f>
        <v>#N/A</v>
      </c>
      <c r="K28" s="90">
        <v>40</v>
      </c>
      <c r="L28" s="91" t="e">
        <f>L27</f>
        <v>#N/A</v>
      </c>
      <c r="M28" s="92" t="e">
        <f>IF(E8,90-INDEX(F3:F74,L28,1),INDEX(F3:F74,L28,1)+90)</f>
        <v>#N/A</v>
      </c>
      <c r="N28" s="91">
        <f>IF(E12,-(E7),NA())</f>
        <v>-0.60000000000000009</v>
      </c>
      <c r="O28" s="91" t="e">
        <f>COS(RADIANS(M28))*N28</f>
        <v>#N/A</v>
      </c>
      <c r="P28" s="93" t="e">
        <f>SIN(RADIANS(M28))*N28</f>
        <v>#N/A</v>
      </c>
      <c r="Q28" s="111"/>
      <c r="R28" s="113"/>
      <c r="S28" s="34"/>
      <c r="T28" s="34"/>
      <c r="U28" s="34"/>
      <c r="V28" s="34"/>
      <c r="W28" s="107"/>
    </row>
    <row r="29" spans="1:23">
      <c r="A29" s="110"/>
      <c r="B29" s="110"/>
      <c r="F29" s="87">
        <f>IF(E8,(ROW()-ROW(F3))*5,((ROW(F75)-ROW())*5))</f>
        <v>130</v>
      </c>
      <c r="G29" s="88">
        <f>IF(F29-E9&gt;=0,F29-E9,360-E9+F29)</f>
        <v>130</v>
      </c>
      <c r="H29" s="89" t="str">
        <f>IF(G29=360,0,IF(MOD(G29,E2)=0,G29,""))</f>
        <v/>
      </c>
      <c r="I29" s="89" t="str">
        <f>IF(E13,H29,CHAR(160))</f>
        <v/>
      </c>
      <c r="J29" s="88" t="e">
        <f>NA()</f>
        <v>#N/A</v>
      </c>
      <c r="K29" s="90"/>
      <c r="L29" s="91"/>
      <c r="M29" s="92"/>
      <c r="N29" s="91"/>
      <c r="O29" s="91"/>
      <c r="P29" s="93"/>
      <c r="Q29" s="111"/>
      <c r="R29" s="113"/>
      <c r="S29" s="34"/>
      <c r="T29" s="34"/>
      <c r="U29" s="34"/>
      <c r="V29" s="34"/>
      <c r="W29" s="107"/>
    </row>
    <row r="30" spans="1:23">
      <c r="A30" s="110"/>
      <c r="B30" s="110"/>
      <c r="F30" s="87">
        <f>IF(E8,(ROW()-ROW(F3))*5,((ROW(F75)-ROW())*5))</f>
        <v>135</v>
      </c>
      <c r="G30" s="88">
        <f>IF(F30-E9&gt;=0,F30-E9,360-E9+F30)</f>
        <v>135</v>
      </c>
      <c r="H30" s="89">
        <f>IF(G30=360,0,IF(MOD(G30,E2)=0,G30,""))</f>
        <v>135</v>
      </c>
      <c r="I30" s="89">
        <f>IF(E13,H30,CHAR(160))</f>
        <v>135</v>
      </c>
      <c r="J30" s="88" t="e">
        <f>NA()</f>
        <v>#N/A</v>
      </c>
      <c r="K30" s="90">
        <v>45</v>
      </c>
      <c r="L30" s="91">
        <f>MATCH(K30,H3:H74,0)</f>
        <v>10</v>
      </c>
      <c r="M30" s="92">
        <f>IF(E8,90-INDEX(F3:F74,L30,1),INDEX(F3:F74,L30,1)+90)</f>
        <v>45</v>
      </c>
      <c r="N30" s="91">
        <f>IF(E12,+(E7),NA())</f>
        <v>0.60000000000000009</v>
      </c>
      <c r="O30" s="91">
        <f>COS(RADIANS(M30))*N30</f>
        <v>0.42426406871192862</v>
      </c>
      <c r="P30" s="93">
        <f>SIN(RADIANS(M30))*N30</f>
        <v>0.42426406871192857</v>
      </c>
      <c r="Q30" s="111"/>
      <c r="R30" s="113"/>
      <c r="S30" s="34"/>
      <c r="T30" s="34"/>
      <c r="U30" s="34"/>
      <c r="V30" s="34"/>
      <c r="W30" s="107"/>
    </row>
    <row r="31" spans="1:23">
      <c r="A31" s="110"/>
      <c r="B31" s="110"/>
      <c r="F31" s="87">
        <f>IF(E8,(ROW()-ROW(F3))*5,((ROW(F75)-ROW())*5))</f>
        <v>140</v>
      </c>
      <c r="G31" s="88">
        <f>IF(F31-E9&gt;=0,F31-E9,360-E9+F31)</f>
        <v>140</v>
      </c>
      <c r="H31" s="89" t="str">
        <f>IF(G31=360,0,IF(MOD(G31,E2)=0,G31,""))</f>
        <v/>
      </c>
      <c r="I31" s="89" t="str">
        <f>IF(E13,H31,CHAR(160))</f>
        <v/>
      </c>
      <c r="J31" s="88" t="e">
        <f>NA()</f>
        <v>#N/A</v>
      </c>
      <c r="K31" s="90">
        <v>45</v>
      </c>
      <c r="L31" s="91">
        <f>L30</f>
        <v>10</v>
      </c>
      <c r="M31" s="92">
        <f>IF(E8,90-INDEX(F3:F74,L31,1),INDEX(F3:F74,L31,1)+90)</f>
        <v>45</v>
      </c>
      <c r="N31" s="91">
        <f>IF(E12,-(E7),NA())</f>
        <v>-0.60000000000000009</v>
      </c>
      <c r="O31" s="91">
        <f>COS(RADIANS(M31))*N31</f>
        <v>-0.42426406871192862</v>
      </c>
      <c r="P31" s="93">
        <f>SIN(RADIANS(M31))*N31</f>
        <v>-0.42426406871192857</v>
      </c>
      <c r="Q31" s="111"/>
      <c r="R31" s="113"/>
      <c r="S31" s="34"/>
      <c r="T31" s="34"/>
      <c r="U31" s="34"/>
      <c r="V31" s="34"/>
      <c r="W31" s="107"/>
    </row>
    <row r="32" spans="1:23">
      <c r="A32" s="110"/>
      <c r="B32" s="110"/>
      <c r="F32" s="87">
        <f>IF(E8,(ROW()-ROW(F3))*5,((ROW(F75)-ROW())*5))</f>
        <v>145</v>
      </c>
      <c r="G32" s="88">
        <f>IF(F32-E9&gt;=0,F32-E9,360-E9+F32)</f>
        <v>145</v>
      </c>
      <c r="H32" s="89" t="str">
        <f>IF(G32=360,0,IF(MOD(G32,E2)=0,G32,""))</f>
        <v/>
      </c>
      <c r="I32" s="89" t="str">
        <f>IF(E13,H32,CHAR(160))</f>
        <v/>
      </c>
      <c r="J32" s="88" t="e">
        <f>NA()</f>
        <v>#N/A</v>
      </c>
      <c r="K32" s="90"/>
      <c r="L32" s="91"/>
      <c r="M32" s="92"/>
      <c r="N32" s="91"/>
      <c r="O32" s="91"/>
      <c r="P32" s="93"/>
      <c r="Q32" s="111"/>
      <c r="R32" s="113"/>
      <c r="S32" s="34"/>
      <c r="T32" s="34"/>
      <c r="U32" s="34"/>
      <c r="V32" s="34"/>
      <c r="W32" s="107"/>
    </row>
    <row r="33" spans="1:23">
      <c r="A33" s="110"/>
      <c r="B33" s="110"/>
      <c r="F33" s="87">
        <f>IF(E8,(ROW()-ROW(F3))*5,((ROW(F75)-ROW())*5))</f>
        <v>150</v>
      </c>
      <c r="G33" s="88">
        <f>IF(F33-E9&gt;=0,F33-E9,360-E9+F33)</f>
        <v>150</v>
      </c>
      <c r="H33" s="89">
        <f>IF(G33=360,0,IF(MOD(G33,E2)=0,G33,""))</f>
        <v>150</v>
      </c>
      <c r="I33" s="89">
        <f>IF(E13,H33,CHAR(160))</f>
        <v>150</v>
      </c>
      <c r="J33" s="88" t="e">
        <f>NA()</f>
        <v>#N/A</v>
      </c>
      <c r="K33" s="90">
        <v>50</v>
      </c>
      <c r="L33" s="91" t="e">
        <f>MATCH(K33,H3:H74,0)</f>
        <v>#N/A</v>
      </c>
      <c r="M33" s="92" t="e">
        <f>IF(E8,90-INDEX(F3:F74,L33,1),INDEX(F3:F74,L33,1)+90)</f>
        <v>#N/A</v>
      </c>
      <c r="N33" s="91">
        <f>IF(E12,+(E7),NA())</f>
        <v>0.60000000000000009</v>
      </c>
      <c r="O33" s="91" t="e">
        <f>COS(RADIANS(M33))*N33</f>
        <v>#N/A</v>
      </c>
      <c r="P33" s="93" t="e">
        <f>SIN(RADIANS(M33))*N33</f>
        <v>#N/A</v>
      </c>
      <c r="Q33" s="111"/>
      <c r="R33" s="113"/>
      <c r="S33" s="34"/>
      <c r="T33" s="34"/>
      <c r="U33" s="34"/>
      <c r="V33" s="34"/>
      <c r="W33" s="107"/>
    </row>
    <row r="34" spans="1:23">
      <c r="A34" s="110"/>
      <c r="B34" s="110"/>
      <c r="F34" s="87">
        <f>IF(E8,(ROW()-ROW(F3))*5,((ROW(F75)-ROW())*5))</f>
        <v>155</v>
      </c>
      <c r="G34" s="88">
        <f>IF(F34-E9&gt;=0,F34-E9,360-E9+F34)</f>
        <v>155</v>
      </c>
      <c r="H34" s="89" t="str">
        <f>IF(G34=360,0,IF(MOD(G34,E2)=0,G34,""))</f>
        <v/>
      </c>
      <c r="I34" s="89" t="str">
        <f>IF(E13,H34,CHAR(160))</f>
        <v/>
      </c>
      <c r="J34" s="88" t="e">
        <f>NA()</f>
        <v>#N/A</v>
      </c>
      <c r="K34" s="90">
        <v>50</v>
      </c>
      <c r="L34" s="91" t="e">
        <f>L33</f>
        <v>#N/A</v>
      </c>
      <c r="M34" s="92" t="e">
        <f>IF(E8,90-INDEX(F3:F74,L34,1),INDEX(F3:F74,L34,1)+90)</f>
        <v>#N/A</v>
      </c>
      <c r="N34" s="91">
        <f>IF(E12,-(E7),NA())</f>
        <v>-0.60000000000000009</v>
      </c>
      <c r="O34" s="91" t="e">
        <f>COS(RADIANS(M34))*N34</f>
        <v>#N/A</v>
      </c>
      <c r="P34" s="93" t="e">
        <f>SIN(RADIANS(M34))*N34</f>
        <v>#N/A</v>
      </c>
      <c r="Q34" s="111"/>
      <c r="R34" s="113"/>
      <c r="S34" s="34"/>
      <c r="T34" s="34"/>
      <c r="U34" s="34"/>
      <c r="V34" s="34"/>
      <c r="W34" s="107"/>
    </row>
    <row r="35" spans="1:23">
      <c r="A35" s="110"/>
      <c r="B35" s="110"/>
      <c r="F35" s="87">
        <f>IF(E8,(ROW()-ROW(F3))*5,((ROW(F75)-ROW())*5))</f>
        <v>160</v>
      </c>
      <c r="G35" s="88">
        <f>IF(F35-E9&gt;=0,F35-E9,360-E9+F35)</f>
        <v>160</v>
      </c>
      <c r="H35" s="89" t="str">
        <f>IF(G35=360,0,IF(MOD(G35,E2)=0,G35,""))</f>
        <v/>
      </c>
      <c r="I35" s="89" t="str">
        <f>IF(E13,H35,CHAR(160))</f>
        <v/>
      </c>
      <c r="J35" s="88" t="e">
        <f>NA()</f>
        <v>#N/A</v>
      </c>
      <c r="K35" s="90"/>
      <c r="L35" s="91"/>
      <c r="M35" s="92"/>
      <c r="N35" s="91"/>
      <c r="O35" s="91"/>
      <c r="P35" s="93"/>
      <c r="Q35" s="111"/>
      <c r="R35" s="113"/>
      <c r="S35" s="34"/>
      <c r="T35" s="34"/>
      <c r="U35" s="34"/>
      <c r="V35" s="34"/>
      <c r="W35" s="107"/>
    </row>
    <row r="36" spans="1:23">
      <c r="A36" s="110"/>
      <c r="B36" s="110"/>
      <c r="F36" s="87">
        <f>IF(E8,(ROW()-ROW(F3))*5,((ROW(F75)-ROW())*5))</f>
        <v>165</v>
      </c>
      <c r="G36" s="88">
        <f>IF(F36-E9&gt;=0,F36-E9,360-E9+F36)</f>
        <v>165</v>
      </c>
      <c r="H36" s="89">
        <f>IF(G36=360,0,IF(MOD(G36,E2)=0,G36,""))</f>
        <v>165</v>
      </c>
      <c r="I36" s="89">
        <f>IF(E13,H36,CHAR(160))</f>
        <v>165</v>
      </c>
      <c r="J36" s="88" t="e">
        <f>NA()</f>
        <v>#N/A</v>
      </c>
      <c r="K36" s="90">
        <v>55</v>
      </c>
      <c r="L36" s="91" t="e">
        <f>MATCH(K36,H3:H74,0)</f>
        <v>#N/A</v>
      </c>
      <c r="M36" s="92" t="e">
        <f>IF(E8,90-INDEX(F3:F74,L36,1),INDEX(F3:F74,L36,1)+90)</f>
        <v>#N/A</v>
      </c>
      <c r="N36" s="91">
        <f>IF(E12,+(E7),NA())</f>
        <v>0.60000000000000009</v>
      </c>
      <c r="O36" s="91" t="e">
        <f>COS(RADIANS(M36))*N36</f>
        <v>#N/A</v>
      </c>
      <c r="P36" s="93" t="e">
        <f>SIN(RADIANS(M36))*N36</f>
        <v>#N/A</v>
      </c>
      <c r="Q36" s="111"/>
      <c r="R36" s="113"/>
      <c r="S36" s="34"/>
      <c r="T36" s="34"/>
      <c r="U36" s="34"/>
      <c r="V36" s="34"/>
      <c r="W36" s="107"/>
    </row>
    <row r="37" spans="1:23">
      <c r="A37" s="110"/>
      <c r="B37" s="110"/>
      <c r="F37" s="87">
        <f>IF(E8,(ROW()-ROW(F3))*5,((ROW(F75)-ROW())*5))</f>
        <v>170</v>
      </c>
      <c r="G37" s="88">
        <f>IF(F37-E9&gt;=0,F37-E9,360-E9+F37)</f>
        <v>170</v>
      </c>
      <c r="H37" s="89" t="str">
        <f>IF(G37=360,0,IF(MOD(G37,E2)=0,G37,""))</f>
        <v/>
      </c>
      <c r="I37" s="89" t="str">
        <f>IF(E13,H37,CHAR(160))</f>
        <v/>
      </c>
      <c r="J37" s="88" t="e">
        <f>NA()</f>
        <v>#N/A</v>
      </c>
      <c r="K37" s="90">
        <v>55</v>
      </c>
      <c r="L37" s="91" t="e">
        <f>L36</f>
        <v>#N/A</v>
      </c>
      <c r="M37" s="92" t="e">
        <f>IF(E8,90-INDEX(F3:F74,L37,1),INDEX(F3:F74,L37,1)+90)</f>
        <v>#N/A</v>
      </c>
      <c r="N37" s="91">
        <f>IF(E12,-(E7),NA())</f>
        <v>-0.60000000000000009</v>
      </c>
      <c r="O37" s="91" t="e">
        <f>COS(RADIANS(M37))*N37</f>
        <v>#N/A</v>
      </c>
      <c r="P37" s="93" t="e">
        <f>SIN(RADIANS(M37))*N37</f>
        <v>#N/A</v>
      </c>
      <c r="Q37" s="111"/>
      <c r="R37" s="113"/>
      <c r="S37" s="34"/>
      <c r="T37" s="34"/>
      <c r="U37" s="34"/>
      <c r="V37" s="34"/>
      <c r="W37" s="107"/>
    </row>
    <row r="38" spans="1:23">
      <c r="A38" s="110"/>
      <c r="B38" s="110"/>
      <c r="F38" s="87">
        <f>IF(E8,(ROW()-ROW(F3))*5,((ROW(F75)-ROW())*5))</f>
        <v>175</v>
      </c>
      <c r="G38" s="88">
        <f>IF(F38-E9&gt;=0,F38-E9,360-E9+F38)</f>
        <v>175</v>
      </c>
      <c r="H38" s="89" t="str">
        <f>IF(G38=360,0,IF(MOD(G38,E2)=0,G38,""))</f>
        <v/>
      </c>
      <c r="I38" s="89" t="str">
        <f>IF(E13,H38,CHAR(160))</f>
        <v/>
      </c>
      <c r="J38" s="88" t="e">
        <f>NA()</f>
        <v>#N/A</v>
      </c>
      <c r="K38" s="90"/>
      <c r="L38" s="91"/>
      <c r="M38" s="92"/>
      <c r="N38" s="91"/>
      <c r="O38" s="91"/>
      <c r="P38" s="93"/>
      <c r="Q38" s="112"/>
      <c r="R38" s="114"/>
      <c r="S38" s="108"/>
      <c r="T38" s="108"/>
      <c r="U38" s="108"/>
      <c r="V38" s="108"/>
      <c r="W38" s="109"/>
    </row>
    <row r="39" spans="1:23">
      <c r="A39" s="110"/>
      <c r="B39" s="110"/>
      <c r="F39" s="87">
        <f>IF(E8,(ROW()-ROW(F3))*5,((ROW(F75)-ROW())*5))</f>
        <v>180</v>
      </c>
      <c r="G39" s="88">
        <f>IF(F39-E9&gt;=0,F39-E9,360-E9+F39)</f>
        <v>180</v>
      </c>
      <c r="H39" s="89">
        <f>IF(G39=360,0,IF(MOD(G39,E2)=0,G39,""))</f>
        <v>180</v>
      </c>
      <c r="I39" s="89">
        <f>IF(E13,H39,CHAR(160))</f>
        <v>180</v>
      </c>
      <c r="J39" s="88" t="e">
        <f>NA()</f>
        <v>#N/A</v>
      </c>
      <c r="K39" s="90">
        <v>60</v>
      </c>
      <c r="L39" s="91">
        <f>MATCH(K39,H3:H74,0)</f>
        <v>13</v>
      </c>
      <c r="M39" s="92">
        <f>IF(E8,90-INDEX(F3:F74,L39,1),INDEX(F3:F74,L39,1)+90)</f>
        <v>30</v>
      </c>
      <c r="N39" s="91">
        <f>IF(E12,+(E7),NA())</f>
        <v>0.60000000000000009</v>
      </c>
      <c r="O39" s="91">
        <f>COS(RADIANS(M39))*N39</f>
        <v>0.51961524227066325</v>
      </c>
      <c r="P39" s="93">
        <f>SIN(RADIANS(M39))*N39</f>
        <v>0.3</v>
      </c>
      <c r="Q39" s="111"/>
      <c r="R39" s="113"/>
      <c r="S39" s="34"/>
      <c r="T39" s="34"/>
      <c r="U39" s="34"/>
      <c r="V39" s="34"/>
      <c r="W39" s="107"/>
    </row>
    <row r="40" spans="1:23">
      <c r="A40" s="110"/>
      <c r="B40" s="110"/>
      <c r="F40" s="87">
        <f>IF(E8,(ROW()-ROW(F3))*5,((ROW(F75)-ROW())*5))</f>
        <v>185</v>
      </c>
      <c r="G40" s="88">
        <f>IF(F40-E9&gt;=0,F40-E9,360-E9+F40)</f>
        <v>185</v>
      </c>
      <c r="H40" s="89" t="str">
        <f>IF(G40=360,0,IF(MOD(G40,E2)=0,G40,""))</f>
        <v/>
      </c>
      <c r="I40" s="89" t="str">
        <f>IF(E13,H40,CHAR(160))</f>
        <v/>
      </c>
      <c r="J40" s="88" t="e">
        <f>NA()</f>
        <v>#N/A</v>
      </c>
      <c r="K40" s="90">
        <v>60</v>
      </c>
      <c r="L40" s="91">
        <f>L39</f>
        <v>13</v>
      </c>
      <c r="M40" s="92">
        <f>IF(E8,90-INDEX(F3:F74,L40,1),INDEX(F3:F74,L40,1)+90)</f>
        <v>30</v>
      </c>
      <c r="N40" s="91">
        <f>IF(E12,-(E7),NA())</f>
        <v>-0.60000000000000009</v>
      </c>
      <c r="O40" s="91">
        <f>COS(RADIANS(M40))*N40</f>
        <v>-0.51961524227066325</v>
      </c>
      <c r="P40" s="93">
        <f>SIN(RADIANS(M40))*N40</f>
        <v>-0.3</v>
      </c>
      <c r="Q40" s="111"/>
      <c r="R40" s="113"/>
      <c r="S40" s="34"/>
      <c r="T40" s="34"/>
      <c r="U40" s="34"/>
      <c r="V40" s="34"/>
      <c r="W40" s="107"/>
    </row>
    <row r="41" spans="1:23">
      <c r="A41" s="110"/>
      <c r="B41" s="110"/>
      <c r="F41" s="87">
        <f>IF(E8,(ROW()-ROW(F3))*5,((ROW(F75)-ROW())*5))</f>
        <v>190</v>
      </c>
      <c r="G41" s="88">
        <f>IF(F41-E9&gt;=0,F41-E9,360-E9+F41)</f>
        <v>190</v>
      </c>
      <c r="H41" s="89" t="str">
        <f>IF(G41=360,0,IF(MOD(G41,E2)=0,G41,""))</f>
        <v/>
      </c>
      <c r="I41" s="89" t="str">
        <f>IF(E13,H41,CHAR(160))</f>
        <v/>
      </c>
      <c r="J41" s="88" t="e">
        <f>NA()</f>
        <v>#N/A</v>
      </c>
      <c r="K41" s="90"/>
      <c r="L41" s="91"/>
      <c r="M41" s="92"/>
      <c r="N41" s="91"/>
      <c r="O41" s="91"/>
      <c r="P41" s="93"/>
      <c r="Q41" s="112"/>
      <c r="R41" s="114"/>
      <c r="S41" s="108"/>
      <c r="T41" s="108"/>
      <c r="U41" s="108"/>
      <c r="V41" s="108"/>
      <c r="W41" s="109"/>
    </row>
    <row r="42" spans="1:23">
      <c r="A42" s="110"/>
      <c r="B42" s="110"/>
      <c r="F42" s="87">
        <f>IF(E8,(ROW()-ROW(F3))*5,((ROW(F75)-ROW())*5))</f>
        <v>195</v>
      </c>
      <c r="G42" s="88">
        <f>IF(F42-E9&gt;=0,F42-E9,360-E9+F42)</f>
        <v>195</v>
      </c>
      <c r="H42" s="89">
        <f>IF(G42=360,0,IF(MOD(G42,E2)=0,G42,""))</f>
        <v>195</v>
      </c>
      <c r="I42" s="89">
        <f>IF(E13,H42,CHAR(160))</f>
        <v>195</v>
      </c>
      <c r="J42" s="88" t="e">
        <f>NA()</f>
        <v>#N/A</v>
      </c>
      <c r="K42" s="90">
        <v>65</v>
      </c>
      <c r="L42" s="91" t="e">
        <f>MATCH(K42,H3:H74,0)</f>
        <v>#N/A</v>
      </c>
      <c r="M42" s="92" t="e">
        <f>IF(E8,90-INDEX(F3:F74,L42,1),INDEX(F3:F74,L42,1)+90)</f>
        <v>#N/A</v>
      </c>
      <c r="N42" s="91">
        <f>IF(E12,+(E7),NA())</f>
        <v>0.60000000000000009</v>
      </c>
      <c r="O42" s="91" t="e">
        <f>COS(RADIANS(M42))*N42</f>
        <v>#N/A</v>
      </c>
      <c r="P42" s="93" t="e">
        <f>SIN(RADIANS(M42))*N42</f>
        <v>#N/A</v>
      </c>
      <c r="Q42" s="111"/>
      <c r="R42" s="113"/>
      <c r="S42" s="34"/>
      <c r="T42" s="34"/>
      <c r="U42" s="34"/>
      <c r="V42" s="34"/>
      <c r="W42" s="107"/>
    </row>
    <row r="43" spans="1:23">
      <c r="A43" s="110"/>
      <c r="B43" s="110"/>
      <c r="F43" s="87">
        <f>IF(E8,(ROW()-ROW(F3))*5,((ROW(F75)-ROW())*5))</f>
        <v>200</v>
      </c>
      <c r="G43" s="88">
        <f>IF(F43-E9&gt;=0,F43-E9,360-E9+F43)</f>
        <v>200</v>
      </c>
      <c r="H43" s="89" t="str">
        <f>IF(G43=360,0,IF(MOD(G43,E2)=0,G43,""))</f>
        <v/>
      </c>
      <c r="I43" s="89" t="str">
        <f>IF(E13,H43,CHAR(160))</f>
        <v/>
      </c>
      <c r="J43" s="88" t="e">
        <f>NA()</f>
        <v>#N/A</v>
      </c>
      <c r="K43" s="90">
        <v>65</v>
      </c>
      <c r="L43" s="91" t="e">
        <f>L42</f>
        <v>#N/A</v>
      </c>
      <c r="M43" s="92" t="e">
        <f>IF(E8,90-INDEX(F3:F74,L43,1),INDEX(F3:F74,L43,1)+90)</f>
        <v>#N/A</v>
      </c>
      <c r="N43" s="91">
        <f>IF(E12,-(E7),NA())</f>
        <v>-0.60000000000000009</v>
      </c>
      <c r="O43" s="91" t="e">
        <f>COS(RADIANS(M43))*N43</f>
        <v>#N/A</v>
      </c>
      <c r="P43" s="93" t="e">
        <f>SIN(RADIANS(M43))*N43</f>
        <v>#N/A</v>
      </c>
      <c r="Q43" s="111"/>
      <c r="R43" s="113"/>
      <c r="S43" s="34"/>
      <c r="T43" s="34"/>
      <c r="U43" s="34"/>
      <c r="V43" s="34"/>
      <c r="W43" s="107"/>
    </row>
    <row r="44" spans="1:23">
      <c r="A44" s="110"/>
      <c r="B44" s="110"/>
      <c r="F44" s="87">
        <f>IF(E8,(ROW()-ROW(F3))*5,((ROW(F75)-ROW())*5))</f>
        <v>205</v>
      </c>
      <c r="G44" s="88">
        <f>IF(F44-E9&gt;=0,F44-E9,360-E9+F44)</f>
        <v>205</v>
      </c>
      <c r="H44" s="89" t="str">
        <f>IF(G44=360,0,IF(MOD(G44,E2)=0,G44,""))</f>
        <v/>
      </c>
      <c r="I44" s="89" t="str">
        <f>IF(E13,H44,CHAR(160))</f>
        <v/>
      </c>
      <c r="J44" s="88" t="e">
        <f>NA()</f>
        <v>#N/A</v>
      </c>
      <c r="K44" s="90"/>
      <c r="L44" s="91"/>
      <c r="M44" s="92"/>
      <c r="N44" s="91"/>
      <c r="O44" s="91"/>
      <c r="P44" s="93"/>
      <c r="Q44" s="111"/>
      <c r="R44" s="113"/>
      <c r="S44" s="34"/>
      <c r="T44" s="34"/>
      <c r="U44" s="34"/>
      <c r="V44" s="34"/>
      <c r="W44" s="107"/>
    </row>
    <row r="45" spans="1:23">
      <c r="A45" s="110"/>
      <c r="B45" s="110"/>
      <c r="F45" s="87">
        <f>IF(E8,(ROW()-ROW(F3))*5,((ROW(F75)-ROW())*5))</f>
        <v>210</v>
      </c>
      <c r="G45" s="88">
        <f>IF(F45-E9&gt;=0,F45-E9,360-E9+F45)</f>
        <v>210</v>
      </c>
      <c r="H45" s="89">
        <f>IF(G45=360,0,IF(MOD(G45,E2)=0,G45,""))</f>
        <v>210</v>
      </c>
      <c r="I45" s="89">
        <f>IF(E13,H45,CHAR(160))</f>
        <v>210</v>
      </c>
      <c r="J45" s="88" t="e">
        <f>NA()</f>
        <v>#N/A</v>
      </c>
      <c r="K45" s="90">
        <v>70</v>
      </c>
      <c r="L45" s="91" t="e">
        <f>MATCH(K45,H3:H74,0)</f>
        <v>#N/A</v>
      </c>
      <c r="M45" s="92" t="e">
        <f>IF(E8,90-INDEX(F3:F74,L45,1),INDEX(F3:F74,L45,1)+90)</f>
        <v>#N/A</v>
      </c>
      <c r="N45" s="91">
        <f>IF(E12,+(E7),NA())</f>
        <v>0.60000000000000009</v>
      </c>
      <c r="O45" s="91" t="e">
        <f>COS(RADIANS(M45))*N45</f>
        <v>#N/A</v>
      </c>
      <c r="P45" s="93" t="e">
        <f>SIN(RADIANS(M45))*N45</f>
        <v>#N/A</v>
      </c>
      <c r="Q45" s="111"/>
      <c r="R45" s="113"/>
      <c r="S45" s="34"/>
      <c r="T45" s="34"/>
      <c r="U45" s="34"/>
      <c r="V45" s="34"/>
      <c r="W45" s="107"/>
    </row>
    <row r="46" spans="1:23">
      <c r="A46" s="110"/>
      <c r="B46" s="110"/>
      <c r="F46" s="87">
        <f>IF(E8,(ROW()-ROW(F3))*5,((ROW(F75)-ROW())*5))</f>
        <v>215</v>
      </c>
      <c r="G46" s="88">
        <f>IF(F46-E9&gt;=0,F46-E9,360-E9+F46)</f>
        <v>215</v>
      </c>
      <c r="H46" s="89" t="str">
        <f>IF(G46=360,0,IF(MOD(G46,E2)=0,G46,""))</f>
        <v/>
      </c>
      <c r="I46" s="89" t="str">
        <f>IF(E13,H46,CHAR(160))</f>
        <v/>
      </c>
      <c r="J46" s="88" t="e">
        <f>NA()</f>
        <v>#N/A</v>
      </c>
      <c r="K46" s="90">
        <v>70</v>
      </c>
      <c r="L46" s="91" t="e">
        <f>L45</f>
        <v>#N/A</v>
      </c>
      <c r="M46" s="92" t="e">
        <f>IF(E8,90-INDEX(F3:F74,L46,1),INDEX(F3:F74,L46,1)+90)</f>
        <v>#N/A</v>
      </c>
      <c r="N46" s="91">
        <f>IF(E12,-(E7),NA())</f>
        <v>-0.60000000000000009</v>
      </c>
      <c r="O46" s="91" t="e">
        <f>COS(RADIANS(M46))*N46</f>
        <v>#N/A</v>
      </c>
      <c r="P46" s="93" t="e">
        <f>SIN(RADIANS(M46))*N46</f>
        <v>#N/A</v>
      </c>
      <c r="Q46" s="111"/>
      <c r="R46" s="113"/>
      <c r="S46" s="34"/>
      <c r="T46" s="34"/>
      <c r="U46" s="34"/>
      <c r="V46" s="34"/>
      <c r="W46" s="107"/>
    </row>
    <row r="47" spans="1:23">
      <c r="A47" s="110"/>
      <c r="B47" s="110"/>
      <c r="F47" s="87">
        <f>IF(E8,(ROW()-ROW(F3))*5,((ROW(F75)-ROW())*5))</f>
        <v>220</v>
      </c>
      <c r="G47" s="88">
        <f>IF(F47-E9&gt;=0,F47-E9,360-E9+F47)</f>
        <v>220</v>
      </c>
      <c r="H47" s="89" t="str">
        <f>IF(G47=360,0,IF(MOD(G47,E2)=0,G47,""))</f>
        <v/>
      </c>
      <c r="I47" s="89" t="str">
        <f>IF(E13,H47,CHAR(160))</f>
        <v/>
      </c>
      <c r="J47" s="88" t="e">
        <f>NA()</f>
        <v>#N/A</v>
      </c>
      <c r="K47" s="90"/>
      <c r="L47" s="91"/>
      <c r="M47" s="92"/>
      <c r="N47" s="91"/>
      <c r="O47" s="91"/>
      <c r="P47" s="93"/>
      <c r="Q47" s="111"/>
      <c r="R47" s="113"/>
      <c r="S47" s="34"/>
      <c r="T47" s="34"/>
      <c r="U47" s="34"/>
      <c r="V47" s="34"/>
      <c r="W47" s="107"/>
    </row>
    <row r="48" spans="1:23">
      <c r="A48" s="110"/>
      <c r="B48" s="110"/>
      <c r="F48" s="87">
        <f>IF(E8,(ROW()-ROW(F3))*5,((ROW(F75)-ROW())*5))</f>
        <v>225</v>
      </c>
      <c r="G48" s="88">
        <f>IF(F48-E9&gt;=0,F48-E9,360-E9+F48)</f>
        <v>225</v>
      </c>
      <c r="H48" s="89">
        <f>IF(G48=360,0,IF(MOD(G48,E2)=0,G48,""))</f>
        <v>225</v>
      </c>
      <c r="I48" s="89">
        <f>IF(E13,H48,CHAR(160))</f>
        <v>225</v>
      </c>
      <c r="J48" s="88" t="e">
        <f>NA()</f>
        <v>#N/A</v>
      </c>
      <c r="K48" s="90">
        <v>75</v>
      </c>
      <c r="L48" s="91">
        <f>MATCH(K48,H3:H74,0)</f>
        <v>16</v>
      </c>
      <c r="M48" s="92">
        <f>IF(E8,90-INDEX(F3:F74,L48,1),INDEX(F3:F74,L48,1)+90)</f>
        <v>15</v>
      </c>
      <c r="N48" s="91">
        <f>IF(E12,+(E7),NA())</f>
        <v>0.60000000000000009</v>
      </c>
      <c r="O48" s="91">
        <f>COS(RADIANS(M48))*N48</f>
        <v>0.57955549577344112</v>
      </c>
      <c r="P48" s="93">
        <f>SIN(RADIANS(M48))*N48</f>
        <v>0.15529142706151247</v>
      </c>
      <c r="Q48" s="111"/>
      <c r="R48" s="113"/>
      <c r="S48" s="34"/>
      <c r="T48" s="34"/>
      <c r="U48" s="34"/>
      <c r="V48" s="34"/>
      <c r="W48" s="107"/>
    </row>
    <row r="49" spans="1:23">
      <c r="A49" s="110"/>
      <c r="B49" s="110"/>
      <c r="F49" s="87">
        <f>IF(E8,(ROW()-ROW(F3))*5,((ROW(F75)-ROW())*5))</f>
        <v>230</v>
      </c>
      <c r="G49" s="88">
        <f>IF(F49-E9&gt;=0,F49-E9,360-E9+F49)</f>
        <v>230</v>
      </c>
      <c r="H49" s="89" t="str">
        <f>IF(G49=360,0,IF(MOD(G49,E2)=0,G49,""))</f>
        <v/>
      </c>
      <c r="I49" s="89" t="str">
        <f>IF(E13,H49,CHAR(160))</f>
        <v/>
      </c>
      <c r="J49" s="88" t="e">
        <f>NA()</f>
        <v>#N/A</v>
      </c>
      <c r="K49" s="90">
        <v>75</v>
      </c>
      <c r="L49" s="91">
        <f>L48</f>
        <v>16</v>
      </c>
      <c r="M49" s="92">
        <f>IF(E8,90-INDEX(F3:F74,L49,1),INDEX(F3:F74,L49,1)+90)</f>
        <v>15</v>
      </c>
      <c r="N49" s="91">
        <f>IF(E12,-(E7),NA())</f>
        <v>-0.60000000000000009</v>
      </c>
      <c r="O49" s="91">
        <f>COS(RADIANS(M49))*N49</f>
        <v>-0.57955549577344112</v>
      </c>
      <c r="P49" s="93">
        <f>SIN(RADIANS(M49))*N49</f>
        <v>-0.15529142706151247</v>
      </c>
      <c r="Q49" s="111"/>
      <c r="R49" s="113"/>
      <c r="S49" s="34"/>
      <c r="T49" s="34"/>
      <c r="U49" s="34"/>
      <c r="V49" s="34"/>
      <c r="W49" s="107"/>
    </row>
    <row r="50" spans="1:23">
      <c r="A50" s="110"/>
      <c r="B50" s="110"/>
      <c r="F50" s="87">
        <f>IF(E8,(ROW()-ROW(F3))*5,((ROW(F75)-ROW())*5))</f>
        <v>235</v>
      </c>
      <c r="G50" s="88">
        <f>IF(F50-E9&gt;=0,F50-E9,360-E9+F50)</f>
        <v>235</v>
      </c>
      <c r="H50" s="89" t="str">
        <f>IF(G50=360,0,IF(MOD(G50,E2)=0,G50,""))</f>
        <v/>
      </c>
      <c r="I50" s="89" t="str">
        <f>IF(E13,H50,CHAR(160))</f>
        <v/>
      </c>
      <c r="J50" s="88" t="e">
        <f>NA()</f>
        <v>#N/A</v>
      </c>
      <c r="K50" s="90"/>
      <c r="L50" s="91"/>
      <c r="M50" s="92"/>
      <c r="N50" s="91"/>
      <c r="O50" s="91"/>
      <c r="P50" s="93"/>
      <c r="Q50" s="111"/>
      <c r="R50" s="113"/>
      <c r="S50" s="34"/>
      <c r="T50" s="34"/>
      <c r="U50" s="34"/>
      <c r="V50" s="34"/>
      <c r="W50" s="107"/>
    </row>
    <row r="51" spans="1:23">
      <c r="A51" s="110"/>
      <c r="B51" s="110"/>
      <c r="F51" s="87">
        <f>IF(E8,(ROW()-ROW(F3))*5,((ROW(F75)-ROW())*5))</f>
        <v>240</v>
      </c>
      <c r="G51" s="88">
        <f>IF(F51-E9&gt;=0,F51-E9,360-E9+F51)</f>
        <v>240</v>
      </c>
      <c r="H51" s="89">
        <f>IF(G51=360,0,IF(MOD(G51,E2)=0,G51,""))</f>
        <v>240</v>
      </c>
      <c r="I51" s="89">
        <f>IF(E13,H51,CHAR(160))</f>
        <v>240</v>
      </c>
      <c r="J51" s="88" t="e">
        <f>NA()</f>
        <v>#N/A</v>
      </c>
      <c r="K51" s="90">
        <v>80</v>
      </c>
      <c r="L51" s="91" t="e">
        <f>MATCH(K51,H3:H74,0)</f>
        <v>#N/A</v>
      </c>
      <c r="M51" s="92" t="e">
        <f>IF(E8,90-INDEX(F3:F74,L51,1),INDEX(F3:F74,L51,1)+90)</f>
        <v>#N/A</v>
      </c>
      <c r="N51" s="91">
        <f>IF(E12,+(E7),NA())</f>
        <v>0.60000000000000009</v>
      </c>
      <c r="O51" s="91" t="e">
        <f>COS(RADIANS(M51))*N51</f>
        <v>#N/A</v>
      </c>
      <c r="P51" s="93" t="e">
        <f>SIN(RADIANS(M51))*N51</f>
        <v>#N/A</v>
      </c>
      <c r="Q51" s="111"/>
      <c r="R51" s="113"/>
      <c r="S51" s="34"/>
      <c r="T51" s="34"/>
      <c r="U51" s="34"/>
      <c r="V51" s="34"/>
      <c r="W51" s="107"/>
    </row>
    <row r="52" spans="1:23">
      <c r="A52" s="110"/>
      <c r="B52" s="110"/>
      <c r="F52" s="87">
        <f>IF(E8,(ROW()-ROW(F3))*5,((ROW(F75)-ROW())*5))</f>
        <v>245</v>
      </c>
      <c r="G52" s="88">
        <f>IF(F52-E9&gt;=0,F52-E9,360-E9+F52)</f>
        <v>245</v>
      </c>
      <c r="H52" s="89" t="str">
        <f>IF(G52=360,0,IF(MOD(G52,E2)=0,G52,""))</f>
        <v/>
      </c>
      <c r="I52" s="89" t="str">
        <f>IF(E13,H52,CHAR(160))</f>
        <v/>
      </c>
      <c r="J52" s="88" t="e">
        <f>NA()</f>
        <v>#N/A</v>
      </c>
      <c r="K52" s="90">
        <v>80</v>
      </c>
      <c r="L52" s="91" t="e">
        <f>L51</f>
        <v>#N/A</v>
      </c>
      <c r="M52" s="92" t="e">
        <f>IF(E8,90-INDEX(F3:F74,L52,1),INDEX(F3:F74,L52,1)+90)</f>
        <v>#N/A</v>
      </c>
      <c r="N52" s="91">
        <f>IF(E12,-(E7),NA())</f>
        <v>-0.60000000000000009</v>
      </c>
      <c r="O52" s="91" t="e">
        <f>COS(RADIANS(M52))*N52</f>
        <v>#N/A</v>
      </c>
      <c r="P52" s="93" t="e">
        <f>SIN(RADIANS(M52))*N52</f>
        <v>#N/A</v>
      </c>
      <c r="Q52" s="111"/>
      <c r="R52" s="113"/>
      <c r="S52" s="34"/>
      <c r="T52" s="34"/>
      <c r="U52" s="34"/>
      <c r="V52" s="34"/>
      <c r="W52" s="107"/>
    </row>
    <row r="53" spans="1:23">
      <c r="A53" s="110"/>
      <c r="B53" s="110"/>
      <c r="F53" s="87">
        <f>IF(E8,(ROW()-ROW(F3))*5,((ROW(F75)-ROW())*5))</f>
        <v>250</v>
      </c>
      <c r="G53" s="88">
        <f>IF(F53-E9&gt;=0,F53-E9,360-E9+F53)</f>
        <v>250</v>
      </c>
      <c r="H53" s="89" t="str">
        <f>IF(G53=360,0,IF(MOD(G53,E2)=0,G53,""))</f>
        <v/>
      </c>
      <c r="I53" s="89" t="str">
        <f>IF(E13,H53,CHAR(160))</f>
        <v/>
      </c>
      <c r="J53" s="88" t="e">
        <f>NA()</f>
        <v>#N/A</v>
      </c>
      <c r="K53" s="90"/>
      <c r="L53" s="91"/>
      <c r="M53" s="92"/>
      <c r="N53" s="91"/>
      <c r="O53" s="91"/>
      <c r="P53" s="93"/>
      <c r="Q53" s="112"/>
      <c r="R53" s="114"/>
      <c r="S53" s="108"/>
      <c r="T53" s="108"/>
      <c r="U53" s="108"/>
      <c r="V53" s="108"/>
      <c r="W53" s="109"/>
    </row>
    <row r="54" spans="1:23">
      <c r="A54" s="110"/>
      <c r="B54" s="110"/>
      <c r="F54" s="87">
        <f>IF(E8,(ROW()-ROW(F3))*5,((ROW(F75)-ROW())*5))</f>
        <v>255</v>
      </c>
      <c r="G54" s="88">
        <f>IF(F54-E9&gt;=0,F54-E9,360-E9+F54)</f>
        <v>255</v>
      </c>
      <c r="H54" s="89">
        <f>IF(G54=360,0,IF(MOD(G54,E2)=0,G54,""))</f>
        <v>255</v>
      </c>
      <c r="I54" s="89">
        <f>IF(E13,H54,CHAR(160))</f>
        <v>255</v>
      </c>
      <c r="J54" s="88" t="e">
        <f>NA()</f>
        <v>#N/A</v>
      </c>
      <c r="K54" s="90">
        <v>85</v>
      </c>
      <c r="L54" s="91" t="e">
        <f>MATCH(K54,H3:H74,0)</f>
        <v>#N/A</v>
      </c>
      <c r="M54" s="92" t="e">
        <f>IF(E8,90-INDEX(F3:F74,L54,1),INDEX(F3:F74,L54,1)+90)</f>
        <v>#N/A</v>
      </c>
      <c r="N54" s="91">
        <f>IF(E12,+(E7),NA())</f>
        <v>0.60000000000000009</v>
      </c>
      <c r="O54" s="91" t="e">
        <f>COS(RADIANS(M54))*N54</f>
        <v>#N/A</v>
      </c>
      <c r="P54" s="93" t="e">
        <f>SIN(RADIANS(M54))*N54</f>
        <v>#N/A</v>
      </c>
      <c r="Q54" s="111"/>
      <c r="R54" s="113"/>
      <c r="S54" s="34"/>
      <c r="T54" s="34"/>
      <c r="U54" s="34"/>
      <c r="V54" s="34"/>
      <c r="W54" s="107"/>
    </row>
    <row r="55" spans="1:23">
      <c r="A55" s="110"/>
      <c r="B55" s="110"/>
      <c r="F55" s="87">
        <f>IF(E8,(ROW()-ROW(F3))*5,((ROW(F75)-ROW())*5))</f>
        <v>260</v>
      </c>
      <c r="G55" s="88">
        <f>IF(F55-E9&gt;=0,F55-E9,360-E9+F55)</f>
        <v>260</v>
      </c>
      <c r="H55" s="89" t="str">
        <f>IF(G55=360,0,IF(MOD(G55,E2)=0,G55,""))</f>
        <v/>
      </c>
      <c r="I55" s="89" t="str">
        <f>IF(E13,H55,CHAR(160))</f>
        <v/>
      </c>
      <c r="J55" s="88" t="e">
        <f>NA()</f>
        <v>#N/A</v>
      </c>
      <c r="K55" s="90">
        <v>85</v>
      </c>
      <c r="L55" s="91" t="e">
        <f>L54</f>
        <v>#N/A</v>
      </c>
      <c r="M55" s="92" t="e">
        <f>IF(E8,90-INDEX(F3:F74,L55,1),INDEX(F3:F74,L55,1)+90)</f>
        <v>#N/A</v>
      </c>
      <c r="N55" s="91">
        <f>IF(E12,-(E7),NA())</f>
        <v>-0.60000000000000009</v>
      </c>
      <c r="O55" s="91" t="e">
        <f>COS(RADIANS(M55))*N55</f>
        <v>#N/A</v>
      </c>
      <c r="P55" s="93" t="e">
        <f>SIN(RADIANS(M55))*N55</f>
        <v>#N/A</v>
      </c>
      <c r="Q55" s="111"/>
      <c r="R55" s="113"/>
      <c r="S55" s="34"/>
      <c r="T55" s="34"/>
      <c r="U55" s="34"/>
      <c r="V55" s="34"/>
      <c r="W55" s="107"/>
    </row>
    <row r="56" spans="1:23">
      <c r="A56" s="110"/>
      <c r="B56" s="110"/>
      <c r="F56" s="87">
        <f>IF(E8,(ROW()-ROW(F3))*5,((ROW(F75)-ROW())*5))</f>
        <v>265</v>
      </c>
      <c r="G56" s="88">
        <f>IF(F56-E9&gt;=0,F56-E9,360-E9+F56)</f>
        <v>265</v>
      </c>
      <c r="H56" s="89" t="str">
        <f>IF(G56=360,0,IF(MOD(G56,E2)=0,G56,""))</f>
        <v/>
      </c>
      <c r="I56" s="89" t="str">
        <f>IF(E13,H56,CHAR(160))</f>
        <v/>
      </c>
      <c r="J56" s="88" t="e">
        <f>NA()</f>
        <v>#N/A</v>
      </c>
      <c r="K56" s="90"/>
      <c r="L56" s="91"/>
      <c r="M56" s="91"/>
      <c r="N56" s="91"/>
      <c r="O56" s="91"/>
      <c r="P56" s="93"/>
      <c r="Q56" s="111"/>
      <c r="R56" s="113"/>
      <c r="S56" s="34"/>
      <c r="T56" s="34"/>
      <c r="U56" s="34"/>
      <c r="V56" s="34"/>
      <c r="W56" s="107"/>
    </row>
    <row r="57" spans="1:23">
      <c r="A57" s="110"/>
      <c r="B57" s="110"/>
      <c r="F57" s="87">
        <f>IF(E8,(ROW()-ROW(F3))*5,((ROW(F75)-ROW())*5))</f>
        <v>270</v>
      </c>
      <c r="G57" s="88">
        <f>IF(F57-E9&gt;=0,F57-E9,360-E9+F57)</f>
        <v>270</v>
      </c>
      <c r="H57" s="89">
        <f>IF(G57=360,0,IF(MOD(G57,E2)=0,G57,""))</f>
        <v>270</v>
      </c>
      <c r="I57" s="89">
        <f>IF(E13,H57,CHAR(160))</f>
        <v>270</v>
      </c>
      <c r="J57" s="88" t="e">
        <f>NA()</f>
        <v>#N/A</v>
      </c>
      <c r="K57" s="90">
        <v>90</v>
      </c>
      <c r="L57" s="91">
        <f>MATCH(K57,H3:H74,0)</f>
        <v>19</v>
      </c>
      <c r="M57" s="92">
        <f>IF(E8,90-INDEX(F3:F74,L57,1),INDEX(F3:F74,L57,1)+90)</f>
        <v>0</v>
      </c>
      <c r="N57" s="91">
        <f>IF(E12,+(E7),NA())</f>
        <v>0.60000000000000009</v>
      </c>
      <c r="O57" s="91">
        <f>COS(RADIANS(M57))*N57</f>
        <v>0.60000000000000009</v>
      </c>
      <c r="P57" s="93">
        <f>SIN(RADIANS(M57))*N57</f>
        <v>0</v>
      </c>
      <c r="Q57" s="111"/>
      <c r="R57" s="113"/>
      <c r="S57" s="34"/>
      <c r="T57" s="34"/>
      <c r="U57" s="34"/>
      <c r="V57" s="34"/>
      <c r="W57" s="107"/>
    </row>
    <row r="58" spans="1:23">
      <c r="A58" s="110"/>
      <c r="B58" s="110"/>
      <c r="F58" s="87">
        <f>IF(E8,(ROW()-ROW(F3))*5,((ROW(F75)-ROW())*5))</f>
        <v>275</v>
      </c>
      <c r="G58" s="88">
        <f>IF(F58-E9&gt;=0,F58-E9,360-E9+F58)</f>
        <v>275</v>
      </c>
      <c r="H58" s="89" t="str">
        <f>IF(G58=360,0,IF(MOD(G58,E2)=0,G58,""))</f>
        <v/>
      </c>
      <c r="I58" s="89" t="str">
        <f>IF(E13,H58,CHAR(160))</f>
        <v/>
      </c>
      <c r="J58" s="88" t="e">
        <f>NA()</f>
        <v>#N/A</v>
      </c>
      <c r="K58" s="90">
        <v>90</v>
      </c>
      <c r="L58" s="91">
        <f>L57</f>
        <v>19</v>
      </c>
      <c r="M58" s="92">
        <f>IF(E8,90-INDEX(F3:F74,L58,1),INDEX(F3:F74,L58,1)+90)</f>
        <v>0</v>
      </c>
      <c r="N58" s="91">
        <f>IF(E12,-(E7),NA())</f>
        <v>-0.60000000000000009</v>
      </c>
      <c r="O58" s="91">
        <f>COS(RADIANS(M58))*N58</f>
        <v>-0.60000000000000009</v>
      </c>
      <c r="P58" s="93">
        <f>SIN(RADIANS(M58))*N58</f>
        <v>0</v>
      </c>
      <c r="Q58" s="111"/>
      <c r="R58" s="113"/>
      <c r="S58" s="34"/>
      <c r="T58" s="34"/>
      <c r="U58" s="34"/>
      <c r="V58" s="34"/>
      <c r="W58" s="107"/>
    </row>
    <row r="59" spans="1:23">
      <c r="A59" s="110"/>
      <c r="B59" s="110"/>
      <c r="F59" s="87">
        <f>IF(E8,(ROW()-ROW(F3))*5,((ROW(F75)-ROW())*5))</f>
        <v>280</v>
      </c>
      <c r="G59" s="88">
        <f>IF(F59-E9&gt;=0,F59-E9,360-E9+F59)</f>
        <v>280</v>
      </c>
      <c r="H59" s="89" t="str">
        <f>IF(G59=360,0,IF(MOD(G59,E2)=0,G59,""))</f>
        <v/>
      </c>
      <c r="I59" s="89" t="str">
        <f>IF(E13,H59,CHAR(160))</f>
        <v/>
      </c>
      <c r="J59" s="88" t="e">
        <f>NA()</f>
        <v>#N/A</v>
      </c>
      <c r="K59" s="90"/>
      <c r="L59" s="91"/>
      <c r="M59" s="92"/>
      <c r="N59" s="91"/>
      <c r="O59" s="91"/>
      <c r="P59" s="93"/>
      <c r="Q59" s="111"/>
      <c r="R59" s="113"/>
      <c r="S59" s="34"/>
      <c r="T59" s="34"/>
      <c r="U59" s="34"/>
      <c r="V59" s="34"/>
      <c r="W59" s="107"/>
    </row>
    <row r="60" spans="1:23">
      <c r="A60" s="110"/>
      <c r="B60" s="110"/>
      <c r="F60" s="87">
        <f>IF(E8,(ROW()-ROW(F3))*5,((ROW(F75)-ROW())*5))</f>
        <v>285</v>
      </c>
      <c r="G60" s="88">
        <f>IF(F60-E9&gt;=0,F60-E9,360-E9+F60)</f>
        <v>285</v>
      </c>
      <c r="H60" s="89">
        <f>IF(G60=360,0,IF(MOD(G60,E2)=0,G60,""))</f>
        <v>285</v>
      </c>
      <c r="I60" s="89">
        <f>IF(E13,H60,CHAR(160))</f>
        <v>285</v>
      </c>
      <c r="J60" s="88" t="e">
        <f>NA()</f>
        <v>#N/A</v>
      </c>
      <c r="K60" s="90">
        <v>95</v>
      </c>
      <c r="L60" s="91" t="e">
        <f>MATCH(K60,H3:H74,0)</f>
        <v>#N/A</v>
      </c>
      <c r="M60" s="92" t="e">
        <f>IF(E8,90-INDEX(F3:F74,L60,1),INDEX(F3:F74,L60,1)+90)</f>
        <v>#N/A</v>
      </c>
      <c r="N60" s="91">
        <f>IF(E12,+(E7),NA())</f>
        <v>0.60000000000000009</v>
      </c>
      <c r="O60" s="91" t="e">
        <f>COS(RADIANS(M60))*N60</f>
        <v>#N/A</v>
      </c>
      <c r="P60" s="93" t="e">
        <f>SIN(RADIANS(M60))*N60</f>
        <v>#N/A</v>
      </c>
      <c r="Q60" s="111"/>
      <c r="R60" s="113"/>
      <c r="S60" s="34"/>
      <c r="T60" s="34"/>
      <c r="U60" s="34"/>
      <c r="V60" s="34"/>
      <c r="W60" s="107"/>
    </row>
    <row r="61" spans="1:23">
      <c r="A61" s="110"/>
      <c r="B61" s="110"/>
      <c r="F61" s="87">
        <f>IF(E8,(ROW()-ROW(F3))*5,((ROW(F75)-ROW())*5))</f>
        <v>290</v>
      </c>
      <c r="G61" s="88">
        <f>IF(F61-E9&gt;=0,F61-E9,360-E9+F61)</f>
        <v>290</v>
      </c>
      <c r="H61" s="89" t="str">
        <f>IF(G61=360,0,IF(MOD(G61,E2)=0,G61,""))</f>
        <v/>
      </c>
      <c r="I61" s="89" t="str">
        <f>IF(E13,H61,CHAR(160))</f>
        <v/>
      </c>
      <c r="J61" s="88" t="e">
        <f>NA()</f>
        <v>#N/A</v>
      </c>
      <c r="K61" s="90">
        <v>95</v>
      </c>
      <c r="L61" s="91" t="e">
        <f>L60</f>
        <v>#N/A</v>
      </c>
      <c r="M61" s="92" t="e">
        <f>IF(E8,90-INDEX(F3:F74,L61,1),INDEX(F3:F74,L61,1)+90)</f>
        <v>#N/A</v>
      </c>
      <c r="N61" s="91">
        <f>IF(E12,-(E7),NA())</f>
        <v>-0.60000000000000009</v>
      </c>
      <c r="O61" s="91" t="e">
        <f>COS(RADIANS(M61))*N61</f>
        <v>#N/A</v>
      </c>
      <c r="P61" s="93" t="e">
        <f>SIN(RADIANS(M61))*N61</f>
        <v>#N/A</v>
      </c>
      <c r="Q61" s="112"/>
      <c r="R61" s="114"/>
      <c r="S61" s="108"/>
      <c r="T61" s="108"/>
      <c r="U61" s="108"/>
      <c r="V61" s="108"/>
      <c r="W61" s="109"/>
    </row>
    <row r="62" spans="1:23">
      <c r="A62" s="110"/>
      <c r="B62" s="110"/>
      <c r="F62" s="87">
        <f>IF(E8,(ROW()-ROW(F3))*5,((ROW(F75)-ROW())*5))</f>
        <v>295</v>
      </c>
      <c r="G62" s="88">
        <f>IF(F62-E9&gt;=0,F62-E9,360-E9+F62)</f>
        <v>295</v>
      </c>
      <c r="H62" s="89" t="str">
        <f>IF(G62=360,0,IF(MOD(G62,E2)=0,G62,""))</f>
        <v/>
      </c>
      <c r="I62" s="89" t="str">
        <f>IF(E13,H62,CHAR(160))</f>
        <v/>
      </c>
      <c r="J62" s="88" t="e">
        <f>NA()</f>
        <v>#N/A</v>
      </c>
      <c r="K62" s="90"/>
      <c r="L62" s="91"/>
      <c r="M62" s="92"/>
      <c r="N62" s="91"/>
      <c r="O62" s="91"/>
      <c r="P62" s="93"/>
      <c r="Q62" s="111"/>
      <c r="R62" s="113"/>
      <c r="S62" s="34"/>
      <c r="T62" s="34"/>
      <c r="U62" s="34"/>
      <c r="V62" s="34"/>
      <c r="W62" s="107"/>
    </row>
    <row r="63" spans="1:23">
      <c r="A63" s="110"/>
      <c r="B63" s="110"/>
      <c r="F63" s="87">
        <f>IF(E8,(ROW()-ROW(F3))*5,((ROW(F75)-ROW())*5))</f>
        <v>300</v>
      </c>
      <c r="G63" s="88">
        <f>IF(F63-E9&gt;=0,F63-E9,360-E9+F63)</f>
        <v>300</v>
      </c>
      <c r="H63" s="89">
        <f>IF(G63=360,0,IF(MOD(G63,E2)=0,G63,""))</f>
        <v>300</v>
      </c>
      <c r="I63" s="89">
        <f>IF(E13,H63,CHAR(160))</f>
        <v>300</v>
      </c>
      <c r="J63" s="88" t="e">
        <f>NA()</f>
        <v>#N/A</v>
      </c>
      <c r="K63" s="90">
        <v>100</v>
      </c>
      <c r="L63" s="91" t="e">
        <f>MATCH(K63,H3:H74,0)</f>
        <v>#N/A</v>
      </c>
      <c r="M63" s="92" t="e">
        <f>IF(E8,90-INDEX(F3:F74,L63,1),INDEX(F3:F74,L63,1)+90)</f>
        <v>#N/A</v>
      </c>
      <c r="N63" s="91">
        <f>IF(E12,+(E7),NA())</f>
        <v>0.60000000000000009</v>
      </c>
      <c r="O63" s="91" t="e">
        <f>COS(RADIANS(M63))*N63</f>
        <v>#N/A</v>
      </c>
      <c r="P63" s="93" t="e">
        <f>SIN(RADIANS(M63))*N63</f>
        <v>#N/A</v>
      </c>
      <c r="Q63" s="111"/>
      <c r="R63" s="113"/>
      <c r="S63" s="34"/>
      <c r="T63" s="34"/>
      <c r="U63" s="34"/>
      <c r="V63" s="34"/>
      <c r="W63" s="107"/>
    </row>
    <row r="64" spans="1:23">
      <c r="A64" s="110"/>
      <c r="B64" s="110"/>
      <c r="F64" s="87">
        <f>IF(E8,(ROW()-ROW(F3))*5,((ROW(F75)-ROW())*5))</f>
        <v>305</v>
      </c>
      <c r="G64" s="88">
        <f>IF(F64-E9&gt;=0,F64-E9,360-E9+F64)</f>
        <v>305</v>
      </c>
      <c r="H64" s="89" t="str">
        <f>IF(G64=360,0,IF(MOD(G64,E2)=0,G64,""))</f>
        <v/>
      </c>
      <c r="I64" s="89" t="str">
        <f>IF(E13,H64,CHAR(160))</f>
        <v/>
      </c>
      <c r="J64" s="88" t="e">
        <f>NA()</f>
        <v>#N/A</v>
      </c>
      <c r="K64" s="90">
        <v>100</v>
      </c>
      <c r="L64" s="91" t="e">
        <f>L63</f>
        <v>#N/A</v>
      </c>
      <c r="M64" s="92" t="e">
        <f>IF(E8,90-INDEX(F3:F74,L64,1),INDEX(F3:F74,L64,1)+90)</f>
        <v>#N/A</v>
      </c>
      <c r="N64" s="91">
        <f>IF(E12,-(E7),NA())</f>
        <v>-0.60000000000000009</v>
      </c>
      <c r="O64" s="91" t="e">
        <f>COS(RADIANS(M64))*N64</f>
        <v>#N/A</v>
      </c>
      <c r="P64" s="93" t="e">
        <f>SIN(RADIANS(M64))*N64</f>
        <v>#N/A</v>
      </c>
      <c r="Q64" s="111"/>
      <c r="R64" s="113"/>
      <c r="S64" s="34"/>
      <c r="T64" s="34"/>
      <c r="U64" s="34"/>
      <c r="V64" s="34"/>
      <c r="W64" s="107"/>
    </row>
    <row r="65" spans="1:23">
      <c r="A65" s="110"/>
      <c r="B65" s="110"/>
      <c r="F65" s="87">
        <f>IF(E8,(ROW()-ROW(F3))*5,((ROW(F75)-ROW())*5))</f>
        <v>310</v>
      </c>
      <c r="G65" s="88">
        <f>IF(F65-E9&gt;=0,F65-E9,360-E9+F65)</f>
        <v>310</v>
      </c>
      <c r="H65" s="89" t="str">
        <f>IF(G65=360,0,IF(MOD(G65,E2)=0,G65,""))</f>
        <v/>
      </c>
      <c r="I65" s="89" t="str">
        <f>IF(E13,H65,CHAR(160))</f>
        <v/>
      </c>
      <c r="J65" s="88" t="e">
        <f>NA()</f>
        <v>#N/A</v>
      </c>
      <c r="K65" s="90"/>
      <c r="L65" s="91"/>
      <c r="M65" s="92"/>
      <c r="N65" s="91"/>
      <c r="O65" s="91"/>
      <c r="P65" s="93"/>
      <c r="Q65" s="111"/>
      <c r="R65" s="113"/>
      <c r="S65" s="34"/>
      <c r="T65" s="34"/>
      <c r="U65" s="34"/>
      <c r="V65" s="34"/>
      <c r="W65" s="107"/>
    </row>
    <row r="66" spans="1:23">
      <c r="A66" s="110"/>
      <c r="B66" s="110"/>
      <c r="F66" s="87">
        <f>IF(E8,(ROW()-ROW(F3))*5,((ROW(F75)-ROW())*5))</f>
        <v>315</v>
      </c>
      <c r="G66" s="88">
        <f>IF(F66-E9&gt;=0,F66-E9,360-E9+F66)</f>
        <v>315</v>
      </c>
      <c r="H66" s="89">
        <f>IF(G66=360,0,IF(MOD(G66,E2)=0,G66,""))</f>
        <v>315</v>
      </c>
      <c r="I66" s="89">
        <f>IF(E13,H66,CHAR(160))</f>
        <v>315</v>
      </c>
      <c r="J66" s="88" t="e">
        <f>NA()</f>
        <v>#N/A</v>
      </c>
      <c r="K66" s="90">
        <v>105</v>
      </c>
      <c r="L66" s="91">
        <f>MATCH(K66,H3:H74,0)</f>
        <v>22</v>
      </c>
      <c r="M66" s="92">
        <f>IF(E8,90-INDEX(F3:F74,L66,1),INDEX(F3:F74,L66,1)+90)</f>
        <v>-15</v>
      </c>
      <c r="N66" s="91">
        <f>IF(E12,+(E7),NA())</f>
        <v>0.60000000000000009</v>
      </c>
      <c r="O66" s="91">
        <f>COS(RADIANS(M66))*N66</f>
        <v>0.57955549577344112</v>
      </c>
      <c r="P66" s="93">
        <f>SIN(RADIANS(M66))*N66</f>
        <v>-0.15529142706151247</v>
      </c>
      <c r="Q66" s="111"/>
      <c r="R66" s="113"/>
      <c r="S66" s="34"/>
      <c r="T66" s="34"/>
      <c r="U66" s="34"/>
      <c r="V66" s="34"/>
      <c r="W66" s="107"/>
    </row>
    <row r="67" spans="1:23">
      <c r="A67" s="110"/>
      <c r="B67" s="110"/>
      <c r="F67" s="87">
        <f>IF(E8,(ROW()-ROW(F3))*5,((ROW(F75)-ROW())*5))</f>
        <v>320</v>
      </c>
      <c r="G67" s="88">
        <f>IF(F67-E9&gt;=0,F67-E9,360-E9+F67)</f>
        <v>320</v>
      </c>
      <c r="H67" s="89" t="str">
        <f>IF(G67=360,0,IF(MOD(G67,E2)=0,G67,""))</f>
        <v/>
      </c>
      <c r="I67" s="89" t="str">
        <f>IF(E13,H67,CHAR(160))</f>
        <v/>
      </c>
      <c r="J67" s="88" t="e">
        <f>NA()</f>
        <v>#N/A</v>
      </c>
      <c r="K67" s="90">
        <v>105</v>
      </c>
      <c r="L67" s="91">
        <f>L66</f>
        <v>22</v>
      </c>
      <c r="M67" s="92">
        <f>IF(E8,90-INDEX(F3:F74,L67,1),INDEX(F3:F74,L67,1)+90)</f>
        <v>-15</v>
      </c>
      <c r="N67" s="91">
        <f>IF(E12,-(E7),NA())</f>
        <v>-0.60000000000000009</v>
      </c>
      <c r="O67" s="91">
        <f>COS(RADIANS(M67))*N67</f>
        <v>-0.57955549577344112</v>
      </c>
      <c r="P67" s="93">
        <f>SIN(RADIANS(M67))*N67</f>
        <v>0.15529142706151247</v>
      </c>
      <c r="Q67" s="111"/>
      <c r="R67" s="113"/>
      <c r="S67" s="34"/>
      <c r="T67" s="34"/>
      <c r="U67" s="34"/>
      <c r="V67" s="34"/>
      <c r="W67" s="107"/>
    </row>
    <row r="68" spans="1:23">
      <c r="A68" s="110"/>
      <c r="B68" s="110"/>
      <c r="F68" s="87">
        <f>IF(E8,(ROW()-ROW(F3))*5,((ROW(F75)-ROW())*5))</f>
        <v>325</v>
      </c>
      <c r="G68" s="88">
        <f>IF(F68-E9&gt;=0,F68-E9,360-E9+F68)</f>
        <v>325</v>
      </c>
      <c r="H68" s="89" t="str">
        <f>IF(G68=360,0,IF(MOD(G68,E2)=0,G68,""))</f>
        <v/>
      </c>
      <c r="I68" s="89" t="str">
        <f>IF(E13,H68,CHAR(160))</f>
        <v/>
      </c>
      <c r="J68" s="88" t="e">
        <f>NA()</f>
        <v>#N/A</v>
      </c>
      <c r="K68" s="90"/>
      <c r="L68" s="91"/>
      <c r="M68" s="92"/>
      <c r="N68" s="91"/>
      <c r="O68" s="91"/>
      <c r="P68" s="93"/>
      <c r="Q68" s="111"/>
      <c r="R68" s="113"/>
      <c r="S68" s="34"/>
      <c r="T68" s="34"/>
      <c r="U68" s="34"/>
      <c r="V68" s="34"/>
      <c r="W68" s="107"/>
    </row>
    <row r="69" spans="1:23">
      <c r="A69" s="110"/>
      <c r="B69" s="110"/>
      <c r="F69" s="87">
        <f>IF(E8,(ROW()-ROW(F3))*5,((ROW(F75)-ROW())*5))</f>
        <v>330</v>
      </c>
      <c r="G69" s="88">
        <f>IF(F69-E9&gt;=0,F69-E9,360-E9+F69)</f>
        <v>330</v>
      </c>
      <c r="H69" s="89">
        <f>IF(G69=360,0,IF(MOD(G69,E2)=0,G69,""))</f>
        <v>330</v>
      </c>
      <c r="I69" s="89">
        <f>IF(E13,H69,CHAR(160))</f>
        <v>330</v>
      </c>
      <c r="J69" s="88" t="e">
        <f>NA()</f>
        <v>#N/A</v>
      </c>
      <c r="K69" s="90">
        <v>110</v>
      </c>
      <c r="L69" s="91" t="e">
        <f>MATCH(K69,H3:H74,0)</f>
        <v>#N/A</v>
      </c>
      <c r="M69" s="92" t="e">
        <f>IF(E8,90-INDEX(F3:F74,L69,1),INDEX(F3:F74,L69,1)+90)</f>
        <v>#N/A</v>
      </c>
      <c r="N69" s="91">
        <f>IF(E12,+(E7),NA())</f>
        <v>0.60000000000000009</v>
      </c>
      <c r="O69" s="91" t="e">
        <f>COS(RADIANS(M69))*N69</f>
        <v>#N/A</v>
      </c>
      <c r="P69" s="93" t="e">
        <f>SIN(RADIANS(M69))*N69</f>
        <v>#N/A</v>
      </c>
      <c r="Q69" s="111"/>
      <c r="R69" s="113"/>
      <c r="S69" s="34"/>
      <c r="T69" s="34"/>
      <c r="U69" s="34"/>
      <c r="V69" s="34"/>
      <c r="W69" s="107"/>
    </row>
    <row r="70" spans="1:23">
      <c r="A70" s="110"/>
      <c r="B70" s="110"/>
      <c r="F70" s="87">
        <f>IF(E8,(ROW()-ROW(F3))*5,((ROW(F75)-ROW())*5))</f>
        <v>335</v>
      </c>
      <c r="G70" s="88">
        <f>IF(F70-E9&gt;=0,F70-E9,360-E9+F70)</f>
        <v>335</v>
      </c>
      <c r="H70" s="89" t="str">
        <f>IF(G70=360,0,IF(MOD(G70,E2)=0,G70,""))</f>
        <v/>
      </c>
      <c r="I70" s="89" t="str">
        <f>IF(E13,H70,CHAR(160))</f>
        <v/>
      </c>
      <c r="J70" s="88" t="e">
        <f>NA()</f>
        <v>#N/A</v>
      </c>
      <c r="K70" s="90">
        <v>110</v>
      </c>
      <c r="L70" s="91" t="e">
        <f>L69</f>
        <v>#N/A</v>
      </c>
      <c r="M70" s="92" t="e">
        <f>IF(E8,90-INDEX(F3:F74,L70,1),INDEX(F3:F74,L70,1)+90)</f>
        <v>#N/A</v>
      </c>
      <c r="N70" s="91">
        <f>IF(E12,-(E7),NA())</f>
        <v>-0.60000000000000009</v>
      </c>
      <c r="O70" s="91" t="e">
        <f>COS(RADIANS(M70))*N70</f>
        <v>#N/A</v>
      </c>
      <c r="P70" s="93" t="e">
        <f>SIN(RADIANS(M70))*N70</f>
        <v>#N/A</v>
      </c>
      <c r="Q70" s="111"/>
      <c r="R70" s="113"/>
      <c r="S70" s="34"/>
      <c r="T70" s="34"/>
      <c r="U70" s="34"/>
      <c r="V70" s="34"/>
      <c r="W70" s="107"/>
    </row>
    <row r="71" spans="1:23">
      <c r="A71" s="110"/>
      <c r="B71" s="110"/>
      <c r="F71" s="87">
        <f>IF(E8,(ROW()-ROW(F3))*5,((ROW(F75)-ROW())*5))</f>
        <v>340</v>
      </c>
      <c r="G71" s="88">
        <f>IF(F71-E9&gt;=0,F71-E9,360-E9+F71)</f>
        <v>340</v>
      </c>
      <c r="H71" s="89" t="str">
        <f>IF(G71=360,0,IF(MOD(G71,E2)=0,G71,""))</f>
        <v/>
      </c>
      <c r="I71" s="89" t="str">
        <f>IF(E13,H71,CHAR(160))</f>
        <v/>
      </c>
      <c r="J71" s="88" t="e">
        <f>NA()</f>
        <v>#N/A</v>
      </c>
      <c r="K71" s="90"/>
      <c r="L71" s="91"/>
      <c r="M71" s="92"/>
      <c r="N71" s="91"/>
      <c r="O71" s="91"/>
      <c r="P71" s="93"/>
      <c r="Q71" s="111"/>
      <c r="R71" s="113"/>
      <c r="S71" s="34"/>
      <c r="T71" s="34"/>
      <c r="U71" s="34"/>
      <c r="V71" s="34"/>
      <c r="W71" s="107"/>
    </row>
    <row r="72" spans="1:23">
      <c r="A72" s="110"/>
      <c r="B72" s="110"/>
      <c r="F72" s="87">
        <f>IF(E8,(ROW()-ROW(F3))*5,((ROW(F75)-ROW())*5))</f>
        <v>345</v>
      </c>
      <c r="G72" s="88">
        <f>IF(F72-E9&gt;=0,F72-E9,360-E9+F72)</f>
        <v>345</v>
      </c>
      <c r="H72" s="89">
        <f>IF(G72=360,0,IF(MOD(G72,E2)=0,G72,""))</f>
        <v>345</v>
      </c>
      <c r="I72" s="89">
        <f>IF(E13,H72,CHAR(160))</f>
        <v>345</v>
      </c>
      <c r="J72" s="88" t="e">
        <f>NA()</f>
        <v>#N/A</v>
      </c>
      <c r="K72" s="90">
        <v>115</v>
      </c>
      <c r="L72" s="91" t="e">
        <f>MATCH(K72,H3:H74,0)</f>
        <v>#N/A</v>
      </c>
      <c r="M72" s="92" t="e">
        <f>IF(E8,90-INDEX(F3:F74,L72,1),INDEX(F3:F74,L72,1)+90)</f>
        <v>#N/A</v>
      </c>
      <c r="N72" s="91">
        <f>IF(E12,+(E7),NA())</f>
        <v>0.60000000000000009</v>
      </c>
      <c r="O72" s="91" t="e">
        <f>COS(RADIANS(M72))*N72</f>
        <v>#N/A</v>
      </c>
      <c r="P72" s="93" t="e">
        <f>SIN(RADIANS(M72))*N72</f>
        <v>#N/A</v>
      </c>
      <c r="Q72" s="111"/>
      <c r="R72" s="113"/>
      <c r="S72" s="34"/>
      <c r="T72" s="34"/>
      <c r="U72" s="34"/>
      <c r="V72" s="34"/>
      <c r="W72" s="107"/>
    </row>
    <row r="73" spans="1:23">
      <c r="A73" s="110"/>
      <c r="B73" s="110"/>
      <c r="F73" s="87">
        <f>IF(E8,(ROW()-ROW(F3))*5,((ROW(F75)-ROW())*5))</f>
        <v>350</v>
      </c>
      <c r="G73" s="88">
        <f>IF(F73-E9&gt;=0,F73-E9,360-E9+F73)</f>
        <v>350</v>
      </c>
      <c r="H73" s="89" t="str">
        <f>IF(G73=360,0,IF(MOD(G73,E2)=0,G73,""))</f>
        <v/>
      </c>
      <c r="I73" s="89" t="str">
        <f>IF(E13,H73,CHAR(160))</f>
        <v/>
      </c>
      <c r="J73" s="88" t="e">
        <f>NA()</f>
        <v>#N/A</v>
      </c>
      <c r="K73" s="90">
        <v>115</v>
      </c>
      <c r="L73" s="91" t="e">
        <f>L72</f>
        <v>#N/A</v>
      </c>
      <c r="M73" s="92" t="e">
        <f>IF(E8,90-INDEX(F3:F74,L73,1),INDEX(F3:F74,L73,1)+90)</f>
        <v>#N/A</v>
      </c>
      <c r="N73" s="91">
        <f>IF(E12,-(E7),NA())</f>
        <v>-0.60000000000000009</v>
      </c>
      <c r="O73" s="91" t="e">
        <f>COS(RADIANS(M73))*N73</f>
        <v>#N/A</v>
      </c>
      <c r="P73" s="93" t="e">
        <f>SIN(RADIANS(M73))*N73</f>
        <v>#N/A</v>
      </c>
      <c r="Q73" s="111"/>
      <c r="R73" s="113"/>
      <c r="S73" s="34"/>
      <c r="T73" s="34"/>
      <c r="U73" s="34"/>
      <c r="V73" s="34"/>
      <c r="W73" s="107"/>
    </row>
    <row r="74" spans="1:23">
      <c r="A74" s="110"/>
      <c r="B74" s="110"/>
      <c r="F74" s="95">
        <f>IF(E8,(ROW()-ROW(F3))*5,((ROW(F75)-ROW())*5))</f>
        <v>355</v>
      </c>
      <c r="G74" s="96">
        <f>IF(F74-E9&gt;=0,F74-E9,360-E9+F74)</f>
        <v>355</v>
      </c>
      <c r="H74" s="97" t="str">
        <f>IF(G74=360,0,IF(MOD(G74,E2)=0,G74,""))</f>
        <v/>
      </c>
      <c r="I74" s="97" t="str">
        <f>IF(E13,H74,CHAR(160))</f>
        <v/>
      </c>
      <c r="J74" s="96" t="e">
        <f>NA()</f>
        <v>#N/A</v>
      </c>
      <c r="K74" s="90"/>
      <c r="L74" s="91"/>
      <c r="M74" s="91"/>
      <c r="N74" s="91"/>
      <c r="O74" s="91"/>
      <c r="P74" s="93"/>
      <c r="Q74" s="111"/>
      <c r="R74" s="113"/>
      <c r="S74" s="34"/>
      <c r="T74" s="34"/>
      <c r="U74" s="34"/>
      <c r="V74" s="34"/>
      <c r="W74" s="107"/>
    </row>
    <row r="75" spans="1:23">
      <c r="A75" s="110"/>
      <c r="B75" s="110"/>
      <c r="H75" s="98"/>
      <c r="I75" s="98"/>
      <c r="K75" s="90">
        <v>120</v>
      </c>
      <c r="L75" s="91">
        <f>MATCH(K75,H3:H74,0)</f>
        <v>25</v>
      </c>
      <c r="M75" s="92">
        <f>IF(E8,90-INDEX(F3:F74,L75,1),INDEX(F3:F74,L75,1)+90)</f>
        <v>-30</v>
      </c>
      <c r="N75" s="91">
        <f>IF(E12,+(E7),NA())</f>
        <v>0.60000000000000009</v>
      </c>
      <c r="O75" s="91">
        <f>COS(RADIANS(M75))*N75</f>
        <v>0.51961524227066325</v>
      </c>
      <c r="P75" s="93">
        <f>SIN(RADIANS(M75))*N75</f>
        <v>-0.3</v>
      </c>
      <c r="Q75" s="111"/>
      <c r="R75" s="113"/>
      <c r="S75" s="34"/>
      <c r="T75" s="34"/>
      <c r="U75" s="34"/>
      <c r="V75" s="34"/>
      <c r="W75" s="107"/>
    </row>
    <row r="76" spans="1:23">
      <c r="A76" s="110"/>
      <c r="B76" s="110"/>
      <c r="K76" s="90">
        <v>120</v>
      </c>
      <c r="L76" s="91">
        <f>L75</f>
        <v>25</v>
      </c>
      <c r="M76" s="92">
        <f>IF(E8,90-INDEX(F3:F74,L76,1),INDEX(F3:F74,L76,1)+90)</f>
        <v>-30</v>
      </c>
      <c r="N76" s="91">
        <f>IF(E12,-(E7),NA())</f>
        <v>-0.60000000000000009</v>
      </c>
      <c r="O76" s="91">
        <f>COS(RADIANS(M76))*N76</f>
        <v>-0.51961524227066325</v>
      </c>
      <c r="P76" s="93">
        <f>SIN(RADIANS(M76))*N76</f>
        <v>0.3</v>
      </c>
      <c r="Q76" s="112"/>
      <c r="R76" s="114"/>
      <c r="S76" s="108"/>
      <c r="T76" s="108"/>
      <c r="U76" s="108"/>
      <c r="V76" s="108"/>
      <c r="W76" s="109"/>
    </row>
    <row r="77" spans="1:23">
      <c r="A77" s="110"/>
      <c r="B77" s="110"/>
      <c r="K77" s="90"/>
      <c r="L77" s="91"/>
      <c r="M77" s="92"/>
      <c r="N77" s="91"/>
      <c r="O77" s="91"/>
      <c r="P77" s="93"/>
    </row>
    <row r="78" spans="1:23">
      <c r="A78" s="110"/>
      <c r="B78" s="110"/>
      <c r="K78" s="90">
        <v>125</v>
      </c>
      <c r="L78" s="91" t="e">
        <f>MATCH(K78,H3:H74,0)</f>
        <v>#N/A</v>
      </c>
      <c r="M78" s="92" t="e">
        <f>IF(E8,90-INDEX(F3:F74,L78,1),INDEX(F3:F74,L78,1)+90)</f>
        <v>#N/A</v>
      </c>
      <c r="N78" s="91">
        <f>IF(E12,+(E7),NA())</f>
        <v>0.60000000000000009</v>
      </c>
      <c r="O78" s="91" t="e">
        <f>COS(RADIANS(M78))*N78</f>
        <v>#N/A</v>
      </c>
      <c r="P78" s="93" t="e">
        <f>SIN(RADIANS(M78))*N78</f>
        <v>#N/A</v>
      </c>
    </row>
    <row r="79" spans="1:23">
      <c r="A79" s="110"/>
      <c r="B79" s="110"/>
      <c r="K79" s="90">
        <v>125</v>
      </c>
      <c r="L79" s="91" t="e">
        <f>L78</f>
        <v>#N/A</v>
      </c>
      <c r="M79" s="92" t="e">
        <f>IF(E8,90-INDEX(F3:F74,L79,1),INDEX(F3:F74,L79,1)+90)</f>
        <v>#N/A</v>
      </c>
      <c r="N79" s="91">
        <f>IF(E12,-(E7),NA())</f>
        <v>-0.60000000000000009</v>
      </c>
      <c r="O79" s="91" t="e">
        <f>COS(RADIANS(M79))*N79</f>
        <v>#N/A</v>
      </c>
      <c r="P79" s="93" t="e">
        <f>SIN(RADIANS(M79))*N79</f>
        <v>#N/A</v>
      </c>
    </row>
    <row r="80" spans="1:23">
      <c r="A80" s="110"/>
      <c r="B80" s="110"/>
      <c r="K80" s="90"/>
      <c r="L80" s="91"/>
      <c r="M80" s="92"/>
      <c r="N80" s="91"/>
      <c r="O80" s="91"/>
      <c r="P80" s="93"/>
    </row>
    <row r="81" spans="1:16">
      <c r="A81" s="110"/>
      <c r="B81" s="110"/>
      <c r="K81" s="90">
        <v>130</v>
      </c>
      <c r="L81" s="91" t="e">
        <f>MATCH(K81,H3:H74,0)</f>
        <v>#N/A</v>
      </c>
      <c r="M81" s="92" t="e">
        <f>IF(E8,90-INDEX(F3:F74,L81,1),INDEX(F3:F74,L81,1)+90)</f>
        <v>#N/A</v>
      </c>
      <c r="N81" s="91">
        <f>IF(E12,+(E7),NA())</f>
        <v>0.60000000000000009</v>
      </c>
      <c r="O81" s="91" t="e">
        <f>COS(RADIANS(M81))*N81</f>
        <v>#N/A</v>
      </c>
      <c r="P81" s="93" t="e">
        <f>SIN(RADIANS(M81))*N81</f>
        <v>#N/A</v>
      </c>
    </row>
    <row r="82" spans="1:16">
      <c r="A82" s="110"/>
      <c r="B82" s="110"/>
      <c r="K82" s="90">
        <v>130</v>
      </c>
      <c r="L82" s="91" t="e">
        <f>L81</f>
        <v>#N/A</v>
      </c>
      <c r="M82" s="92" t="e">
        <f>IF(E8,90-INDEX(F3:F74,L82,1),INDEX(F3:F74,L82,1)+90)</f>
        <v>#N/A</v>
      </c>
      <c r="N82" s="91">
        <f>IF(E12,-(E7),NA())</f>
        <v>-0.60000000000000009</v>
      </c>
      <c r="O82" s="91" t="e">
        <f>COS(RADIANS(M82))*N82</f>
        <v>#N/A</v>
      </c>
      <c r="P82" s="93" t="e">
        <f>SIN(RADIANS(M82))*N82</f>
        <v>#N/A</v>
      </c>
    </row>
    <row r="83" spans="1:16">
      <c r="A83" s="110"/>
      <c r="B83" s="110"/>
      <c r="K83" s="90"/>
      <c r="L83" s="91"/>
      <c r="M83" s="92"/>
      <c r="N83" s="91"/>
      <c r="O83" s="91"/>
      <c r="P83" s="93"/>
    </row>
    <row r="84" spans="1:16">
      <c r="A84" s="110"/>
      <c r="B84" s="110"/>
      <c r="K84" s="90">
        <v>135</v>
      </c>
      <c r="L84" s="91">
        <f>MATCH(K84,H3:H74,0)</f>
        <v>28</v>
      </c>
      <c r="M84" s="92">
        <f>IF(E8,90-INDEX(F3:F74,L84,1),INDEX(F3:F74,L84,1)+90)</f>
        <v>-45</v>
      </c>
      <c r="N84" s="91">
        <f>IF(E12,+(E7),NA())</f>
        <v>0.60000000000000009</v>
      </c>
      <c r="O84" s="91">
        <f>COS(RADIANS(M84))*N84</f>
        <v>0.42426406871192862</v>
      </c>
      <c r="P84" s="93">
        <f>SIN(RADIANS(M84))*N84</f>
        <v>-0.42426406871192857</v>
      </c>
    </row>
    <row r="85" spans="1:16">
      <c r="A85" s="110"/>
      <c r="B85" s="110"/>
      <c r="K85" s="90">
        <v>135</v>
      </c>
      <c r="L85" s="91">
        <f>L84</f>
        <v>28</v>
      </c>
      <c r="M85" s="92">
        <f>IF(E8,90-INDEX(F3:F74,L85,1),INDEX(F3:F74,L85,1)+90)</f>
        <v>-45</v>
      </c>
      <c r="N85" s="91">
        <f>IF(E12,-(E7),NA())</f>
        <v>-0.60000000000000009</v>
      </c>
      <c r="O85" s="91">
        <f>COS(RADIANS(M85))*N85</f>
        <v>-0.42426406871192862</v>
      </c>
      <c r="P85" s="93">
        <f>SIN(RADIANS(M85))*N85</f>
        <v>0.42426406871192857</v>
      </c>
    </row>
    <row r="86" spans="1:16">
      <c r="A86" s="110"/>
      <c r="B86" s="110"/>
      <c r="K86" s="90"/>
      <c r="L86" s="91"/>
      <c r="M86" s="92"/>
      <c r="N86" s="91"/>
      <c r="O86" s="91"/>
      <c r="P86" s="93"/>
    </row>
    <row r="87" spans="1:16">
      <c r="A87" s="110"/>
      <c r="B87" s="110"/>
      <c r="K87" s="90">
        <v>140</v>
      </c>
      <c r="L87" s="91" t="e">
        <f>MATCH(K87,H3:H74,0)</f>
        <v>#N/A</v>
      </c>
      <c r="M87" s="92" t="e">
        <f>IF(E8,90-INDEX(F3:F74,L87,1),INDEX(F3:F74,L87,1)+90)</f>
        <v>#N/A</v>
      </c>
      <c r="N87" s="91">
        <f>IF(E12,+(E7),NA())</f>
        <v>0.60000000000000009</v>
      </c>
      <c r="O87" s="91" t="e">
        <f>COS(RADIANS(M87))*N87</f>
        <v>#N/A</v>
      </c>
      <c r="P87" s="93" t="e">
        <f>SIN(RADIANS(M87))*N87</f>
        <v>#N/A</v>
      </c>
    </row>
    <row r="88" spans="1:16">
      <c r="A88" s="110"/>
      <c r="B88" s="110"/>
      <c r="K88" s="90">
        <v>140</v>
      </c>
      <c r="L88" s="91" t="e">
        <f>L87</f>
        <v>#N/A</v>
      </c>
      <c r="M88" s="92" t="e">
        <f>IF(E8,90-INDEX(F3:F74,L88,1),INDEX(F3:F74,L88,1)+90)</f>
        <v>#N/A</v>
      </c>
      <c r="N88" s="91">
        <f>IF(E12,-(E7),NA())</f>
        <v>-0.60000000000000009</v>
      </c>
      <c r="O88" s="91" t="e">
        <f>COS(RADIANS(M88))*N88</f>
        <v>#N/A</v>
      </c>
      <c r="P88" s="93" t="e">
        <f>SIN(RADIANS(M88))*N88</f>
        <v>#N/A</v>
      </c>
    </row>
    <row r="89" spans="1:16">
      <c r="A89" s="110"/>
      <c r="B89" s="110"/>
      <c r="K89" s="90"/>
      <c r="L89" s="91"/>
      <c r="M89" s="92"/>
      <c r="N89" s="91"/>
      <c r="O89" s="91"/>
      <c r="P89" s="93"/>
    </row>
    <row r="90" spans="1:16">
      <c r="A90" s="110"/>
      <c r="B90" s="110"/>
      <c r="K90" s="90">
        <v>145</v>
      </c>
      <c r="L90" s="91" t="e">
        <f>MATCH(K90,H3:H74,0)</f>
        <v>#N/A</v>
      </c>
      <c r="M90" s="92" t="e">
        <f>IF(E8,90-INDEX(F3:F74,L90,1),INDEX(F3:F74,L90,1)+90)</f>
        <v>#N/A</v>
      </c>
      <c r="N90" s="91">
        <f>IF(E12,+(E7),NA())</f>
        <v>0.60000000000000009</v>
      </c>
      <c r="O90" s="91" t="e">
        <f>COS(RADIANS(M90))*N90</f>
        <v>#N/A</v>
      </c>
      <c r="P90" s="93" t="e">
        <f>SIN(RADIANS(M90))*N90</f>
        <v>#N/A</v>
      </c>
    </row>
    <row r="91" spans="1:16">
      <c r="K91" s="90">
        <v>145</v>
      </c>
      <c r="L91" s="91" t="e">
        <f>L90</f>
        <v>#N/A</v>
      </c>
      <c r="M91" s="92" t="e">
        <f>IF(E8,90-INDEX(F3:F74,L91,1),INDEX(F3:F74,L91,1)+90)</f>
        <v>#N/A</v>
      </c>
      <c r="N91" s="91">
        <f>IF(E12,-(E7),NA())</f>
        <v>-0.60000000000000009</v>
      </c>
      <c r="O91" s="91" t="e">
        <f>COS(RADIANS(M91))*N91</f>
        <v>#N/A</v>
      </c>
      <c r="P91" s="93" t="e">
        <f>SIN(RADIANS(M91))*N91</f>
        <v>#N/A</v>
      </c>
    </row>
    <row r="92" spans="1:16">
      <c r="K92" s="90"/>
      <c r="L92" s="91"/>
      <c r="M92" s="91"/>
      <c r="N92" s="91"/>
      <c r="O92" s="91"/>
      <c r="P92" s="93"/>
    </row>
    <row r="93" spans="1:16">
      <c r="K93" s="90">
        <v>150</v>
      </c>
      <c r="L93" s="91">
        <f>MATCH(K93,H3:H74,0)</f>
        <v>31</v>
      </c>
      <c r="M93" s="92">
        <f>IF(E8,90-INDEX(F3:F74,L93,1),INDEX(F3:F74,L93,1)+90)</f>
        <v>-60</v>
      </c>
      <c r="N93" s="91">
        <f>IF(E12,+(E7),NA())</f>
        <v>0.60000000000000009</v>
      </c>
      <c r="O93" s="91">
        <f>COS(RADIANS(M93))*N93</f>
        <v>0.3000000000000001</v>
      </c>
      <c r="P93" s="93">
        <f>SIN(RADIANS(M93))*N93</f>
        <v>-0.51961524227066325</v>
      </c>
    </row>
    <row r="94" spans="1:16">
      <c r="K94" s="90">
        <v>150</v>
      </c>
      <c r="L94" s="91">
        <f>L93</f>
        <v>31</v>
      </c>
      <c r="M94" s="92">
        <f>IF(E8,90-INDEX(F3:F74,L94,1),INDEX(F3:F74,L94,1)+90)</f>
        <v>-60</v>
      </c>
      <c r="N94" s="91">
        <f>IF(E12,-(E7),NA())</f>
        <v>-0.60000000000000009</v>
      </c>
      <c r="O94" s="91">
        <f>COS(RADIANS(M94))*N94</f>
        <v>-0.3000000000000001</v>
      </c>
      <c r="P94" s="93">
        <f>SIN(RADIANS(M94))*N94</f>
        <v>0.51961524227066325</v>
      </c>
    </row>
    <row r="95" spans="1:16">
      <c r="K95" s="90"/>
      <c r="L95" s="91"/>
      <c r="M95" s="92"/>
      <c r="N95" s="91"/>
      <c r="O95" s="91"/>
      <c r="P95" s="93"/>
    </row>
    <row r="96" spans="1:16">
      <c r="K96" s="90">
        <v>155</v>
      </c>
      <c r="L96" s="91" t="e">
        <f>MATCH(K96,H3:H74,0)</f>
        <v>#N/A</v>
      </c>
      <c r="M96" s="92" t="e">
        <f>IF(E8,90-INDEX(F3:F74,L96,1),INDEX(F3:F74,L96,1)+90)</f>
        <v>#N/A</v>
      </c>
      <c r="N96" s="91">
        <f>IF(E12,+(E7),NA())</f>
        <v>0.60000000000000009</v>
      </c>
      <c r="O96" s="91" t="e">
        <f>COS(RADIANS(M96))*N96</f>
        <v>#N/A</v>
      </c>
      <c r="P96" s="93" t="e">
        <f>SIN(RADIANS(M96))*N96</f>
        <v>#N/A</v>
      </c>
    </row>
    <row r="97" spans="11:16">
      <c r="K97" s="90">
        <v>155</v>
      </c>
      <c r="L97" s="91" t="e">
        <f>L96</f>
        <v>#N/A</v>
      </c>
      <c r="M97" s="92" t="e">
        <f>IF(E8,90-INDEX(F3:F74,L97,1),INDEX(F3:F74,L97,1)+90)</f>
        <v>#N/A</v>
      </c>
      <c r="N97" s="91">
        <f>IF(E12,-(E7),NA())</f>
        <v>-0.60000000000000009</v>
      </c>
      <c r="O97" s="91" t="e">
        <f>COS(RADIANS(M97))*N97</f>
        <v>#N/A</v>
      </c>
      <c r="P97" s="93" t="e">
        <f>SIN(RADIANS(M97))*N97</f>
        <v>#N/A</v>
      </c>
    </row>
    <row r="98" spans="11:16">
      <c r="K98" s="90"/>
      <c r="L98" s="91"/>
      <c r="M98" s="92"/>
      <c r="N98" s="91"/>
      <c r="O98" s="91"/>
      <c r="P98" s="93"/>
    </row>
    <row r="99" spans="11:16">
      <c r="K99" s="90">
        <v>160</v>
      </c>
      <c r="L99" s="91" t="e">
        <f>MATCH(K99,H3:H74,0)</f>
        <v>#N/A</v>
      </c>
      <c r="M99" s="92" t="e">
        <f>IF(E8,90-INDEX(F3:F74,L99,1),INDEX(F3:F74,L99,1)+90)</f>
        <v>#N/A</v>
      </c>
      <c r="N99" s="91">
        <f>IF(E12,+(E7),NA())</f>
        <v>0.60000000000000009</v>
      </c>
      <c r="O99" s="91" t="e">
        <f>COS(RADIANS(M99))*N99</f>
        <v>#N/A</v>
      </c>
      <c r="P99" s="93" t="e">
        <f>SIN(RADIANS(M99))*N99</f>
        <v>#N/A</v>
      </c>
    </row>
    <row r="100" spans="11:16">
      <c r="K100" s="90">
        <v>160</v>
      </c>
      <c r="L100" s="91" t="e">
        <f>L99</f>
        <v>#N/A</v>
      </c>
      <c r="M100" s="92" t="e">
        <f>IF(E8,90-INDEX(F3:F74,L100,1),INDEX(F3:F74,L100,1)+90)</f>
        <v>#N/A</v>
      </c>
      <c r="N100" s="91">
        <f>IF(E12,-(E7),NA())</f>
        <v>-0.60000000000000009</v>
      </c>
      <c r="O100" s="91" t="e">
        <f>COS(RADIANS(M100))*N100</f>
        <v>#N/A</v>
      </c>
      <c r="P100" s="93" t="e">
        <f>SIN(RADIANS(M100))*N100</f>
        <v>#N/A</v>
      </c>
    </row>
    <row r="101" spans="11:16">
      <c r="K101" s="90"/>
      <c r="L101" s="91"/>
      <c r="M101" s="92"/>
      <c r="N101" s="91"/>
      <c r="O101" s="91"/>
      <c r="P101" s="93"/>
    </row>
    <row r="102" spans="11:16">
      <c r="K102" s="90">
        <v>165</v>
      </c>
      <c r="L102" s="91">
        <f>MATCH(K102,H3:H74,0)</f>
        <v>34</v>
      </c>
      <c r="M102" s="92">
        <f>IF(E8,90-INDEX(F3:F74,L102,1),INDEX(F3:F74,L102,1)+90)</f>
        <v>-75</v>
      </c>
      <c r="N102" s="91">
        <f>IF(E12,+(E7),NA())</f>
        <v>0.60000000000000009</v>
      </c>
      <c r="O102" s="91">
        <f>COS(RADIANS(M102))*N102</f>
        <v>0.15529142706151247</v>
      </c>
      <c r="P102" s="93">
        <f>SIN(RADIANS(M102))*N102</f>
        <v>-0.57955549577344112</v>
      </c>
    </row>
    <row r="103" spans="11:16">
      <c r="K103" s="90">
        <v>165</v>
      </c>
      <c r="L103" s="91">
        <f>L102</f>
        <v>34</v>
      </c>
      <c r="M103" s="92">
        <f>IF(E8,90-INDEX(F3:F74,L103,1),INDEX(F3:F74,L103,1)+90)</f>
        <v>-75</v>
      </c>
      <c r="N103" s="91">
        <f>IF(E12,-(E7),NA())</f>
        <v>-0.60000000000000009</v>
      </c>
      <c r="O103" s="91">
        <f>COS(RADIANS(M103))*N103</f>
        <v>-0.15529142706151247</v>
      </c>
      <c r="P103" s="93">
        <f>SIN(RADIANS(M103))*N103</f>
        <v>0.57955549577344112</v>
      </c>
    </row>
    <row r="104" spans="11:16">
      <c r="K104" s="90"/>
      <c r="L104" s="91"/>
      <c r="M104" s="92"/>
      <c r="N104" s="91"/>
      <c r="O104" s="91"/>
      <c r="P104" s="93"/>
    </row>
    <row r="105" spans="11:16">
      <c r="K105" s="90">
        <v>170</v>
      </c>
      <c r="L105" s="91" t="e">
        <f>MATCH(K105,H3:H74,0)</f>
        <v>#N/A</v>
      </c>
      <c r="M105" s="92" t="e">
        <f>IF(E8,90-INDEX(F3:F74,L105,1),INDEX(F3:F74,L105,1)+90)</f>
        <v>#N/A</v>
      </c>
      <c r="N105" s="91">
        <f>IF(E12,+(E7),NA())</f>
        <v>0.60000000000000009</v>
      </c>
      <c r="O105" s="91" t="e">
        <f>COS(RADIANS(M105))*N105</f>
        <v>#N/A</v>
      </c>
      <c r="P105" s="93" t="e">
        <f>SIN(RADIANS(M105))*N105</f>
        <v>#N/A</v>
      </c>
    </row>
    <row r="106" spans="11:16">
      <c r="K106" s="90">
        <v>170</v>
      </c>
      <c r="L106" s="91" t="e">
        <f>L105</f>
        <v>#N/A</v>
      </c>
      <c r="M106" s="92" t="e">
        <f>IF(E8,90-INDEX(F3:F74,L106,1),INDEX(F3:F74,L106,1)+90)</f>
        <v>#N/A</v>
      </c>
      <c r="N106" s="91">
        <f>IF(E12,-(E7),NA())</f>
        <v>-0.60000000000000009</v>
      </c>
      <c r="O106" s="91" t="e">
        <f>COS(RADIANS(M106))*N106</f>
        <v>#N/A</v>
      </c>
      <c r="P106" s="93" t="e">
        <f>SIN(RADIANS(M106))*N106</f>
        <v>#N/A</v>
      </c>
    </row>
    <row r="107" spans="11:16">
      <c r="K107" s="90"/>
      <c r="L107" s="91"/>
      <c r="M107" s="92"/>
      <c r="N107" s="91"/>
      <c r="O107" s="91"/>
      <c r="P107" s="93"/>
    </row>
    <row r="108" spans="11:16">
      <c r="K108" s="90">
        <v>175</v>
      </c>
      <c r="L108" s="91" t="e">
        <f>MATCH(K108,H3:H74,0)</f>
        <v>#N/A</v>
      </c>
      <c r="M108" s="92" t="e">
        <f>IF(E8,90-INDEX(F3:F74,L108,1),INDEX(F3:F74,L108,1)+90)</f>
        <v>#N/A</v>
      </c>
      <c r="N108" s="91">
        <f>IF(E12,+(E7),NA())</f>
        <v>0.60000000000000009</v>
      </c>
      <c r="O108" s="91" t="e">
        <f>COS(RADIANS(M108))*N108</f>
        <v>#N/A</v>
      </c>
      <c r="P108" s="93" t="e">
        <f>SIN(RADIANS(M108))*N108</f>
        <v>#N/A</v>
      </c>
    </row>
    <row r="109" spans="11:16">
      <c r="K109" s="99">
        <v>175</v>
      </c>
      <c r="L109" s="100" t="e">
        <f>L108</f>
        <v>#N/A</v>
      </c>
      <c r="M109" s="101" t="e">
        <f>IF(E8,90-INDEX(F3:F74,L109,1),INDEX(F3:F74,L109,1)+90)</f>
        <v>#N/A</v>
      </c>
      <c r="N109" s="100">
        <f>IF(E12,-(E7),NA())</f>
        <v>-0.60000000000000009</v>
      </c>
      <c r="O109" s="100" t="e">
        <f>COS(RADIANS(M109))*N109</f>
        <v>#N/A</v>
      </c>
      <c r="P109" s="102" t="e">
        <f>SIN(RADIANS(M109))*N109</f>
        <v>#N/A</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Calc-Deploy 1</vt:lpstr>
      <vt:lpstr>Graphs-Deploy 1</vt:lpstr>
      <vt:lpstr>Calc-Deploy 2</vt:lpstr>
      <vt:lpstr>Graphs-Deploy 2</vt:lpstr>
      <vt:lpstr>Calc-Deploy 3</vt:lpstr>
      <vt:lpstr>Graphs-Deploy 3</vt:lpstr>
      <vt:lpstr>Conversions</vt:lpstr>
      <vt:lpstr>Polar Plots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2010-12-10T01:03:23Z</cp:lastPrinted>
  <dcterms:created xsi:type="dcterms:W3CDTF">2010-11-21T16:37:27Z</dcterms:created>
  <dcterms:modified xsi:type="dcterms:W3CDTF">2011-09-21T00:50:48Z</dcterms:modified>
</cp:coreProperties>
</file>