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ate1904="1"/>
  <bookViews>
    <workbookView xWindow="1960" yWindow="1120" windowWidth="26520" windowHeight="12080" tabRatio="500"/>
  </bookViews>
  <sheets>
    <sheet name="Summary" sheetId="13" r:id="rId1"/>
    <sheet name="HawaiiDriftPCRData" sheetId="14" r:id="rId2"/>
  </sheets>
  <calcPr calcId="125725"/>
</workbook>
</file>

<file path=xl/calcChain.xml><?xml version="1.0" encoding="utf-8"?>
<calcChain xmlns="http://schemas.openxmlformats.org/spreadsheetml/2006/main">
  <c r="J15" i="13"/>
  <c r="H15"/>
  <c r="G15"/>
  <c r="J14"/>
  <c r="H14"/>
  <c r="G14"/>
  <c r="J13"/>
  <c r="L13"/>
  <c r="I13"/>
  <c r="H13"/>
  <c r="G13"/>
  <c r="L12"/>
  <c r="H10"/>
  <c r="G12"/>
  <c r="H12"/>
  <c r="J12"/>
  <c r="J11"/>
  <c r="I11"/>
  <c r="H11"/>
  <c r="G11"/>
  <c r="J10"/>
  <c r="I10"/>
  <c r="G10"/>
  <c r="E34"/>
  <c r="F34"/>
  <c r="L34" s="1"/>
  <c r="J9"/>
  <c r="I9"/>
  <c r="G9"/>
  <c r="E33"/>
  <c r="F33"/>
  <c r="E35"/>
  <c r="F35"/>
  <c r="E36"/>
  <c r="F36"/>
  <c r="L36" s="1"/>
  <c r="E37"/>
  <c r="F37"/>
  <c r="I37" s="1"/>
  <c r="E38"/>
  <c r="F38"/>
  <c r="E39"/>
  <c r="F39"/>
  <c r="E40"/>
  <c r="F40"/>
  <c r="E41"/>
  <c r="F41"/>
  <c r="E42"/>
  <c r="F42"/>
  <c r="E43"/>
  <c r="F43"/>
  <c r="E44"/>
  <c r="F44"/>
  <c r="E45"/>
  <c r="F45"/>
  <c r="E46"/>
  <c r="F46"/>
  <c r="E47"/>
  <c r="F47"/>
  <c r="E48"/>
  <c r="F48"/>
  <c r="H9"/>
  <c r="H33"/>
  <c r="L37"/>
  <c r="K40"/>
  <c r="L40"/>
  <c r="K41"/>
  <c r="L41"/>
  <c r="K42"/>
  <c r="L42"/>
  <c r="K43"/>
  <c r="L43"/>
  <c r="K44"/>
  <c r="L44"/>
  <c r="K45"/>
  <c r="L45"/>
  <c r="K46"/>
  <c r="L46"/>
  <c r="I33"/>
  <c r="J33"/>
  <c r="I34"/>
  <c r="J34"/>
  <c r="I35"/>
  <c r="J35"/>
  <c r="J36"/>
  <c r="J37"/>
  <c r="I38"/>
  <c r="J38"/>
  <c r="J39"/>
  <c r="I40"/>
  <c r="J40"/>
  <c r="I41"/>
  <c r="J41"/>
  <c r="I42"/>
  <c r="J42"/>
  <c r="I43"/>
  <c r="J43"/>
  <c r="I44"/>
  <c r="J44"/>
  <c r="I45"/>
  <c r="J45"/>
  <c r="I46"/>
  <c r="J46"/>
  <c r="H34"/>
  <c r="H35"/>
  <c r="H36"/>
  <c r="H37"/>
  <c r="H38"/>
  <c r="H39"/>
  <c r="H40"/>
  <c r="H41"/>
  <c r="H42"/>
  <c r="H43"/>
  <c r="H44"/>
  <c r="H45"/>
  <c r="H46"/>
  <c r="E32"/>
  <c r="F32" s="1"/>
  <c r="J8"/>
  <c r="I8"/>
  <c r="I32" s="1"/>
  <c r="H8"/>
  <c r="E30"/>
  <c r="E31"/>
  <c r="K64"/>
  <c r="K63"/>
  <c r="G8"/>
  <c r="F30"/>
  <c r="F31"/>
  <c r="T64"/>
  <c r="U64" s="1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AC83"/>
  <c r="AD83" s="1"/>
  <c r="AC84"/>
  <c r="AD84" s="1"/>
  <c r="AC64"/>
  <c r="AD64" s="1"/>
  <c r="AC65"/>
  <c r="AD65" s="1"/>
  <c r="AC66"/>
  <c r="AD66" s="1"/>
  <c r="AC67"/>
  <c r="AD67" s="1"/>
  <c r="AC68"/>
  <c r="AD68" s="1"/>
  <c r="AC69"/>
  <c r="AD69" s="1"/>
  <c r="AC70"/>
  <c r="AD70" s="1"/>
  <c r="AC71"/>
  <c r="AD71" s="1"/>
  <c r="AC72"/>
  <c r="AD72" s="1"/>
  <c r="AC73"/>
  <c r="AD73" s="1"/>
  <c r="AC74"/>
  <c r="AD74" s="1"/>
  <c r="AC75"/>
  <c r="AD75" s="1"/>
  <c r="AC76"/>
  <c r="AD76" s="1"/>
  <c r="AC77"/>
  <c r="AD77" s="1"/>
  <c r="AC78"/>
  <c r="AD78" s="1"/>
  <c r="AC79"/>
  <c r="AD79" s="1"/>
  <c r="AC80"/>
  <c r="AD80" s="1"/>
  <c r="AC81"/>
  <c r="AD81" s="1"/>
  <c r="AC82"/>
  <c r="AD82" s="1"/>
  <c r="AC63"/>
  <c r="AD63" s="1"/>
  <c r="Z63"/>
  <c r="AA63" s="1"/>
  <c r="Z64"/>
  <c r="AA64" s="1"/>
  <c r="Z65"/>
  <c r="AA65" s="1"/>
  <c r="Z66"/>
  <c r="AA66" s="1"/>
  <c r="Z67"/>
  <c r="AA67" s="1"/>
  <c r="Z68"/>
  <c r="AA68" s="1"/>
  <c r="Z69"/>
  <c r="AA69" s="1"/>
  <c r="Z70"/>
  <c r="AA70" s="1"/>
  <c r="Z71"/>
  <c r="AA71" s="1"/>
  <c r="Z72"/>
  <c r="AA72" s="1"/>
  <c r="Z73"/>
  <c r="AA73" s="1"/>
  <c r="Z74"/>
  <c r="AA74" s="1"/>
  <c r="Z75"/>
  <c r="AA75" s="1"/>
  <c r="Z76"/>
  <c r="AA76" s="1"/>
  <c r="Z77"/>
  <c r="AA77" s="1"/>
  <c r="Z78"/>
  <c r="AA78" s="1"/>
  <c r="Z79"/>
  <c r="AA79" s="1"/>
  <c r="Z80"/>
  <c r="AA80" s="1"/>
  <c r="Z81"/>
  <c r="AA81" s="1"/>
  <c r="Z82"/>
  <c r="AA82" s="1"/>
  <c r="Z83"/>
  <c r="AA83" s="1"/>
  <c r="Z84"/>
  <c r="AA84" s="1"/>
  <c r="W63"/>
  <c r="X63" s="1"/>
  <c r="T65"/>
  <c r="U65" s="1"/>
  <c r="T66"/>
  <c r="U66" s="1"/>
  <c r="T67"/>
  <c r="U67" s="1"/>
  <c r="T68"/>
  <c r="U68" s="1"/>
  <c r="T69"/>
  <c r="U69" s="1"/>
  <c r="T70"/>
  <c r="U70" s="1"/>
  <c r="T71"/>
  <c r="U71" s="1"/>
  <c r="T72"/>
  <c r="U72" s="1"/>
  <c r="T73"/>
  <c r="U73" s="1"/>
  <c r="T74"/>
  <c r="U74" s="1"/>
  <c r="T75"/>
  <c r="U75" s="1"/>
  <c r="T76"/>
  <c r="U76" s="1"/>
  <c r="T77"/>
  <c r="U77" s="1"/>
  <c r="T78"/>
  <c r="U78" s="1"/>
  <c r="T79"/>
  <c r="U79" s="1"/>
  <c r="T80"/>
  <c r="U80" s="1"/>
  <c r="T81"/>
  <c r="U81" s="1"/>
  <c r="T82"/>
  <c r="U82" s="1"/>
  <c r="T83"/>
  <c r="U83" s="1"/>
  <c r="T84"/>
  <c r="U84" s="1"/>
  <c r="T63"/>
  <c r="U63" s="1"/>
  <c r="W72"/>
  <c r="X72" s="1"/>
  <c r="W79"/>
  <c r="X79" s="1"/>
  <c r="W78"/>
  <c r="X78" s="1"/>
  <c r="W77"/>
  <c r="X77" s="1"/>
  <c r="W76"/>
  <c r="X76" s="1"/>
  <c r="W75"/>
  <c r="X75" s="1"/>
  <c r="W74"/>
  <c r="X74" s="1"/>
  <c r="W73"/>
  <c r="X73" s="1"/>
  <c r="W71"/>
  <c r="X71" s="1"/>
  <c r="W70"/>
  <c r="X70" s="1"/>
  <c r="W69"/>
  <c r="X69" s="1"/>
  <c r="W68"/>
  <c r="X68" s="1"/>
  <c r="W67"/>
  <c r="X67" s="1"/>
  <c r="W66"/>
  <c r="X66" s="1"/>
  <c r="W65"/>
  <c r="X65" s="1"/>
  <c r="W64"/>
  <c r="X64" s="1"/>
  <c r="W81"/>
  <c r="X81" s="1"/>
  <c r="W82"/>
  <c r="X82" s="1"/>
  <c r="W83"/>
  <c r="X83" s="1"/>
  <c r="W84"/>
  <c r="X84" s="1"/>
  <c r="W80"/>
  <c r="X80" s="1"/>
  <c r="H60"/>
  <c r="G60"/>
  <c r="H59"/>
  <c r="G59"/>
  <c r="R86"/>
  <c r="R85"/>
  <c r="I64"/>
  <c r="H64"/>
  <c r="G64"/>
  <c r="I65"/>
  <c r="H65"/>
  <c r="G65" s="1"/>
  <c r="I66"/>
  <c r="H66"/>
  <c r="G66"/>
  <c r="I67"/>
  <c r="H67"/>
  <c r="G67" s="1"/>
  <c r="I68"/>
  <c r="H68"/>
  <c r="G68"/>
  <c r="I69"/>
  <c r="H69"/>
  <c r="G69" s="1"/>
  <c r="I70"/>
  <c r="H70"/>
  <c r="G70"/>
  <c r="I71"/>
  <c r="H71"/>
  <c r="G71" s="1"/>
  <c r="I72"/>
  <c r="H72"/>
  <c r="G72"/>
  <c r="I73"/>
  <c r="H73"/>
  <c r="G73" s="1"/>
  <c r="I74"/>
  <c r="H74"/>
  <c r="G74"/>
  <c r="I75"/>
  <c r="H75"/>
  <c r="G75" s="1"/>
  <c r="I76"/>
  <c r="G76" s="1"/>
  <c r="H76"/>
  <c r="I77"/>
  <c r="H77"/>
  <c r="G77" s="1"/>
  <c r="I78"/>
  <c r="H78"/>
  <c r="G78"/>
  <c r="I79"/>
  <c r="H79"/>
  <c r="G79" s="1"/>
  <c r="I80"/>
  <c r="G80" s="1"/>
  <c r="H80"/>
  <c r="I81"/>
  <c r="H81"/>
  <c r="G81" s="1"/>
  <c r="I82"/>
  <c r="G82" s="1"/>
  <c r="H82"/>
  <c r="I83"/>
  <c r="H83"/>
  <c r="G83" s="1"/>
  <c r="I84"/>
  <c r="H84"/>
  <c r="G84"/>
  <c r="I63"/>
  <c r="H63"/>
  <c r="G63" s="1"/>
  <c r="H32" l="1"/>
  <c r="J32"/>
</calcChain>
</file>

<file path=xl/sharedStrings.xml><?xml version="1.0" encoding="utf-8"?>
<sst xmlns="http://schemas.openxmlformats.org/spreadsheetml/2006/main" count="155" uniqueCount="119">
  <si>
    <t>PostCan Core Neg</t>
    <phoneticPr fontId="3"/>
  </si>
  <si>
    <t>50ml Sigma Water</t>
    <phoneticPr fontId="3"/>
  </si>
  <si>
    <t>Deployment: Assay 1</t>
    <phoneticPr fontId="3"/>
  </si>
  <si>
    <t>hyb array</t>
    <phoneticPr fontId="3"/>
  </si>
  <si>
    <t>pcr11sep0314h100ml40s</t>
  </si>
  <si>
    <t>pcr11sep0500h25ml40s</t>
  </si>
  <si>
    <t>2000h</t>
    <phoneticPr fontId="3"/>
  </si>
  <si>
    <t>2000h</t>
  </si>
  <si>
    <t>2000h</t>
    <phoneticPr fontId="3"/>
  </si>
  <si>
    <t>1200h</t>
  </si>
  <si>
    <t>1200h</t>
    <phoneticPr fontId="3"/>
  </si>
  <si>
    <t>0400h</t>
  </si>
  <si>
    <t>0400h</t>
    <phoneticPr fontId="3"/>
  </si>
  <si>
    <t>y = -3.489x + 40.638</t>
    <phoneticPr fontId="3"/>
  </si>
  <si>
    <t>OK</t>
    <phoneticPr fontId="3"/>
  </si>
  <si>
    <t>BAD</t>
    <phoneticPr fontId="3"/>
  </si>
  <si>
    <t>OK</t>
    <phoneticPr fontId="3"/>
  </si>
  <si>
    <t>y= -3.5173x + 41.959</t>
    <phoneticPr fontId="3"/>
  </si>
  <si>
    <t>GrpA (copies/L)</t>
    <phoneticPr fontId="3"/>
  </si>
  <si>
    <t xml:space="preserve"> copies/L:</t>
    <phoneticPr fontId="3"/>
  </si>
  <si>
    <t>y = -3.3939x + 43.287</t>
  </si>
  <si>
    <t>y = -3.2702x + 38.426</t>
  </si>
  <si>
    <t>OK</t>
    <phoneticPr fontId="3"/>
  </si>
  <si>
    <t>SAR11</t>
    <phoneticPr fontId="3"/>
  </si>
  <si>
    <t>SAR11, picocyano, alpha proteo</t>
    <phoneticPr fontId="3"/>
  </si>
  <si>
    <t>DROP SPOT:</t>
    <phoneticPr fontId="3"/>
  </si>
  <si>
    <t>24º 24' N, 157º 51' W</t>
  </si>
  <si>
    <t>110909:</t>
    <phoneticPr fontId="3"/>
  </si>
  <si>
    <t>24º 41'N, 157º 34' W</t>
    <phoneticPr fontId="3"/>
  </si>
  <si>
    <t>29-32=OK</t>
    <phoneticPr fontId="3"/>
  </si>
  <si>
    <t>EW average</t>
  </si>
  <si>
    <t>neg lysate ave</t>
  </si>
  <si>
    <t>Yes, compromised</t>
  </si>
  <si>
    <t>Yes</t>
  </si>
  <si>
    <t>Date</t>
  </si>
  <si>
    <t>Assay</t>
  </si>
  <si>
    <t xml:space="preserve">*NOTE PRE-CAN/POST CAN QC data using threshold of 100 for FAM PP and 200 for IPC.  </t>
  </si>
  <si>
    <t>% transmission</t>
  </si>
  <si>
    <t>depth m</t>
  </si>
  <si>
    <t>PSU</t>
  </si>
  <si>
    <t>mg/m^3</t>
  </si>
  <si>
    <t>temp deg C</t>
  </si>
  <si>
    <t>Nitrate</t>
  </si>
  <si>
    <t>bacshamfb1</t>
  </si>
  <si>
    <t>bacshamfb2</t>
  </si>
  <si>
    <t>bacshamfb3</t>
  </si>
  <si>
    <t>bacshamfb4</t>
  </si>
  <si>
    <t>bacshamfb5</t>
  </si>
  <si>
    <t>bacshamfb6</t>
  </si>
  <si>
    <t>bacshamfb7</t>
  </si>
  <si>
    <t>bacshamfb8</t>
  </si>
  <si>
    <t>bacshamfb9</t>
  </si>
  <si>
    <t>bacshamfb10</t>
  </si>
  <si>
    <t>bacshamfb11</t>
  </si>
  <si>
    <t>bacshamfb12</t>
  </si>
  <si>
    <t>bacshamfb13</t>
  </si>
  <si>
    <t>bacshamfb14</t>
  </si>
  <si>
    <t>bacshamfb15</t>
  </si>
  <si>
    <t>bacshamfb16</t>
  </si>
  <si>
    <t>bacshamfb17</t>
  </si>
  <si>
    <t>bacshamfb18</t>
  </si>
  <si>
    <t>bacshamfb19</t>
  </si>
  <si>
    <t>bacshamfb20</t>
  </si>
  <si>
    <t>bacshamfb21</t>
  </si>
  <si>
    <t>bacshamfb22</t>
  </si>
  <si>
    <t>sh1 start</t>
  </si>
  <si>
    <t>sh1 end</t>
  </si>
  <si>
    <t>cbbL</t>
  </si>
  <si>
    <t>narB</t>
  </si>
  <si>
    <t>sample time</t>
  </si>
  <si>
    <t xml:space="preserve">JD start </t>
  </si>
  <si>
    <t>JD end</t>
  </si>
  <si>
    <t>Volume</t>
  </si>
  <si>
    <t>IPC</t>
  </si>
  <si>
    <t>Volume SW ext (ml)</t>
  </si>
  <si>
    <t>ml SW/6ul extract</t>
  </si>
  <si>
    <t>pm</t>
  </si>
  <si>
    <t>am</t>
  </si>
  <si>
    <t>AM</t>
  </si>
  <si>
    <t>PM</t>
  </si>
  <si>
    <t xml:space="preserve">yes, compromised </t>
  </si>
  <si>
    <t>SAR11-Ct</t>
  </si>
  <si>
    <t>G1Ar-Ct</t>
  </si>
  <si>
    <t>volume</t>
  </si>
  <si>
    <t>ext vol</t>
  </si>
  <si>
    <t>SAR11 copies/ul</t>
  </si>
  <si>
    <t>G1Ar-copies/ul</t>
  </si>
  <si>
    <t>G1Ar-copies/L sw</t>
  </si>
  <si>
    <t>SAR11 copies/L sw</t>
  </si>
  <si>
    <t>yes</t>
  </si>
  <si>
    <t>cbbL copies/ul</t>
  </si>
  <si>
    <t>cbbL copies/L sw</t>
  </si>
  <si>
    <t>narB copies/ul</t>
  </si>
  <si>
    <t>narB copies/L sw</t>
  </si>
  <si>
    <t>NO</t>
  </si>
  <si>
    <t>YES</t>
  </si>
  <si>
    <t>Average</t>
  </si>
  <si>
    <t>Undetectable</t>
    <phoneticPr fontId="3"/>
  </si>
  <si>
    <t>y = -3.5437x + 37.548</t>
  </si>
  <si>
    <t>updated 11/1/10</t>
  </si>
  <si>
    <t>GrpA</t>
    <phoneticPr fontId="3"/>
  </si>
  <si>
    <t>GrpB</t>
    <phoneticPr fontId="3"/>
  </si>
  <si>
    <t>Tricho</t>
    <phoneticPr fontId="3"/>
  </si>
  <si>
    <t>Het-1</t>
    <phoneticPr fontId="3"/>
  </si>
  <si>
    <t>Gamma</t>
    <phoneticPr fontId="3"/>
  </si>
  <si>
    <t>MOE Hawaii Drifter</t>
    <phoneticPr fontId="3"/>
  </si>
  <si>
    <t>Deployment Cts calculated at 200</t>
    <phoneticPr fontId="3"/>
  </si>
  <si>
    <t>PreCan Core Neg</t>
    <phoneticPr fontId="3"/>
  </si>
  <si>
    <t>50ml Sigma Water</t>
    <phoneticPr fontId="3"/>
  </si>
  <si>
    <t>GrpA (copies/L)</t>
  </si>
  <si>
    <t>GrpB</t>
  </si>
  <si>
    <t>Tricho</t>
  </si>
  <si>
    <t>Het-1</t>
  </si>
  <si>
    <t>Gamma</t>
  </si>
  <si>
    <t>Date Time</t>
  </si>
  <si>
    <t>Lat Deg</t>
  </si>
  <si>
    <t>Lat Min</t>
  </si>
  <si>
    <t>Lon Deg</t>
  </si>
  <si>
    <t>Lon Min</t>
  </si>
</sst>
</file>

<file path=xl/styles.xml><?xml version="1.0" encoding="utf-8"?>
<styleSheet xmlns="http://schemas.openxmlformats.org/spreadsheetml/2006/main">
  <numFmts count="5">
    <numFmt numFmtId="164" formatCode="0.0"/>
    <numFmt numFmtId="165" formatCode="0.0000000"/>
    <numFmt numFmtId="166" formatCode="0.000"/>
    <numFmt numFmtId="167" formatCode="m/d/yy\ h:mm\ AM/PM"/>
    <numFmt numFmtId="170" formatCode="m/d/yy\ h:mm;@"/>
  </numFmts>
  <fonts count="25">
    <font>
      <sz val="10"/>
      <name val="Verdana"/>
    </font>
    <font>
      <b/>
      <sz val="10"/>
      <name val="Verdana"/>
    </font>
    <font>
      <sz val="10"/>
      <name val="Verdana"/>
    </font>
    <font>
      <sz val="8"/>
      <name val="Verdana"/>
    </font>
    <font>
      <strike/>
      <sz val="10"/>
      <name val="Verdana"/>
    </font>
    <font>
      <sz val="12"/>
      <name val="Times New Roman"/>
    </font>
    <font>
      <sz val="10"/>
      <name val="Arial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Verdana"/>
      <family val="2"/>
    </font>
  </fonts>
  <fills count="34">
    <fill>
      <patternFill patternType="none"/>
    </fill>
    <fill>
      <patternFill patternType="gray125"/>
    </fill>
    <fill>
      <patternFill patternType="solid">
        <fgColor indexed="2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7" fillId="0" borderId="0" applyNumberFormat="0" applyFill="0" applyBorder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8" applyNumberFormat="0" applyAlignment="0" applyProtection="0"/>
    <xf numFmtId="0" fontId="15" fillId="7" borderId="9" applyNumberFormat="0" applyAlignment="0" applyProtection="0"/>
    <xf numFmtId="0" fontId="16" fillId="7" borderId="8" applyNumberFormat="0" applyAlignment="0" applyProtection="0"/>
    <xf numFmtId="0" fontId="17" fillId="0" borderId="10" applyNumberFormat="0" applyFill="0" applyAlignment="0" applyProtection="0"/>
    <xf numFmtId="0" fontId="18" fillId="8" borderId="11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22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22" fillId="33" borderId="0" applyNumberFormat="0" applyBorder="0" applyAlignment="0" applyProtection="0"/>
    <xf numFmtId="0" fontId="23" fillId="0" borderId="0"/>
    <xf numFmtId="0" fontId="23" fillId="9" borderId="12" applyNumberFormat="0" applyFont="0" applyAlignment="0" applyProtection="0"/>
  </cellStyleXfs>
  <cellXfs count="40">
    <xf numFmtId="0" fontId="0" fillId="0" borderId="0" xfId="0"/>
    <xf numFmtId="0" fontId="0" fillId="0" borderId="1" xfId="0" applyBorder="1"/>
    <xf numFmtId="15" fontId="0" fillId="0" borderId="1" xfId="0" applyNumberFormat="1" applyBorder="1"/>
    <xf numFmtId="0" fontId="0" fillId="0" borderId="1" xfId="0" applyFill="1" applyBorder="1"/>
    <xf numFmtId="164" fontId="0" fillId="0" borderId="1" xfId="0" applyNumberFormat="1" applyBorder="1"/>
    <xf numFmtId="164" fontId="0" fillId="0" borderId="1" xfId="0" applyNumberFormat="1" applyFill="1" applyBorder="1"/>
    <xf numFmtId="0" fontId="0" fillId="0" borderId="0" xfId="0" quotePrefix="1"/>
    <xf numFmtId="0" fontId="0" fillId="0" borderId="0" xfId="0" applyFill="1"/>
    <xf numFmtId="22" fontId="5" fillId="0" borderId="2" xfId="0" applyNumberFormat="1" applyFont="1" applyBorder="1"/>
    <xf numFmtId="22" fontId="5" fillId="0" borderId="1" xfId="0" applyNumberFormat="1" applyFont="1" applyBorder="1"/>
    <xf numFmtId="22" fontId="0" fillId="0" borderId="1" xfId="0" applyNumberFormat="1" applyBorder="1"/>
    <xf numFmtId="1" fontId="5" fillId="0" borderId="1" xfId="0" applyNumberFormat="1" applyFont="1" applyBorder="1"/>
    <xf numFmtId="165" fontId="6" fillId="0" borderId="2" xfId="0" applyNumberFormat="1" applyFont="1" applyBorder="1" applyAlignment="1">
      <alignment wrapText="1"/>
    </xf>
    <xf numFmtId="11" fontId="0" fillId="0" borderId="1" xfId="0" applyNumberFormat="1" applyBorder="1"/>
    <xf numFmtId="2" fontId="0" fillId="0" borderId="0" xfId="0" applyNumberFormat="1"/>
    <xf numFmtId="164" fontId="0" fillId="0" borderId="0" xfId="0" applyNumberFormat="1" applyFill="1"/>
    <xf numFmtId="166" fontId="0" fillId="0" borderId="1" xfId="0" applyNumberFormat="1" applyFill="1" applyBorder="1"/>
    <xf numFmtId="164" fontId="0" fillId="2" borderId="1" xfId="0" applyNumberFormat="1" applyFill="1" applyBorder="1"/>
    <xf numFmtId="15" fontId="0" fillId="0" borderId="1" xfId="0" applyNumberFormat="1" applyFill="1" applyBorder="1"/>
    <xf numFmtId="0" fontId="1" fillId="0" borderId="0" xfId="0" applyFont="1"/>
    <xf numFmtId="0" fontId="4" fillId="0" borderId="1" xfId="0" applyFont="1" applyFill="1" applyBorder="1"/>
    <xf numFmtId="0" fontId="4" fillId="0" borderId="0" xfId="0" applyFont="1"/>
    <xf numFmtId="0" fontId="2" fillId="0" borderId="1" xfId="0" applyFont="1" applyFill="1" applyBorder="1"/>
    <xf numFmtId="0" fontId="0" fillId="0" borderId="3" xfId="0" applyBorder="1"/>
    <xf numFmtId="0" fontId="0" fillId="0" borderId="4" xfId="0" applyBorder="1"/>
    <xf numFmtId="11" fontId="0" fillId="0" borderId="1" xfId="0" applyNumberFormat="1" applyFill="1" applyBorder="1"/>
    <xf numFmtId="167" fontId="0" fillId="0" borderId="1" xfId="0" applyNumberFormat="1" applyBorder="1"/>
    <xf numFmtId="15" fontId="0" fillId="0" borderId="0" xfId="0" applyNumberFormat="1" applyBorder="1"/>
    <xf numFmtId="0" fontId="0" fillId="0" borderId="0" xfId="0" applyFill="1" applyBorder="1"/>
    <xf numFmtId="0" fontId="0" fillId="0" borderId="0" xfId="0" applyBorder="1"/>
    <xf numFmtId="170" fontId="0" fillId="0" borderId="0" xfId="0" applyNumberFormat="1"/>
    <xf numFmtId="170" fontId="24" fillId="0" borderId="0" xfId="0" applyNumberFormat="1" applyFont="1"/>
    <xf numFmtId="0" fontId="23" fillId="0" borderId="0" xfId="41"/>
    <xf numFmtId="0" fontId="23" fillId="0" borderId="0" xfId="41"/>
    <xf numFmtId="0" fontId="23" fillId="0" borderId="0" xfId="41"/>
    <xf numFmtId="0" fontId="23" fillId="0" borderId="0" xfId="41"/>
    <xf numFmtId="0" fontId="23" fillId="0" borderId="0" xfId="41"/>
    <xf numFmtId="0" fontId="23" fillId="0" borderId="0" xfId="41"/>
    <xf numFmtId="0" fontId="23" fillId="0" borderId="0" xfId="41"/>
    <xf numFmtId="0" fontId="23" fillId="0" borderId="0" xfId="4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/>
    <cellStyle name="Note 2" xfId="42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en-US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t>NEO Dep2 2009 May 14- June 11</a:t>
            </a:r>
          </a:p>
        </c:rich>
      </c:tx>
      <c:layout>
        <c:manualLayout>
          <c:xMode val="edge"/>
          <c:yMode val="edge"/>
          <c:x val="0.33898334610828512"/>
          <c:y val="3.1073446327683617E-2"/>
        </c:manualLayout>
      </c:layout>
      <c:spPr>
        <a:noFill/>
        <a:ln w="25400">
          <a:noFill/>
        </a:ln>
      </c:spPr>
    </c:title>
    <c:view3D>
      <c:rotX val="17"/>
      <c:hPercent val="100"/>
      <c:rotY val="22"/>
      <c:depthPercent val="290"/>
      <c:perspective val="30"/>
    </c:view3D>
    <c:floor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spPr>
        <a:solidFill>
          <a:srgbClr val="CDCDCD"/>
        </a:solidFill>
        <a:ln w="12700">
          <a:solidFill>
            <a:srgbClr val="808080"/>
          </a:solidFill>
          <a:prstDash val="solid"/>
        </a:ln>
      </c:spPr>
    </c:sideWall>
    <c:backWall>
      <c:spPr>
        <a:solidFill>
          <a:srgbClr val="CDCDCD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7.2033960404011707E-2"/>
          <c:y val="0.13276872784452198"/>
          <c:w val="0.82203460696342767"/>
          <c:h val="0.67514310542214373"/>
        </c:manualLayout>
      </c:layout>
      <c:line3DChart>
        <c:grouping val="standard"/>
        <c:ser>
          <c:idx val="0"/>
          <c:order val="0"/>
          <c:tx>
            <c:strRef>
              <c:f>Summary!$S$62</c:f>
              <c:strCache>
                <c:ptCount val="1"/>
                <c:pt idx="0">
                  <c:v>SAR11-Ct</c:v>
                </c:pt>
              </c:strCache>
            </c:strRef>
          </c:tx>
          <c:spPr>
            <a:solidFill>
              <a:srgbClr val="63AAFE"/>
            </a:solidFill>
            <a:ln w="25400">
              <a:noFill/>
            </a:ln>
            <a:effectLst>
              <a:outerShdw dist="35921" dir="2700000" algn="br">
                <a:srgbClr val="000000"/>
              </a:outerShdw>
            </a:effectLst>
          </c:spPr>
          <c:cat>
            <c:numRef>
              <c:f>Summary!$E$64:$E$84</c:f>
              <c:numCache>
                <c:formatCode>m/d/yyyy\ h:mm</c:formatCode>
                <c:ptCount val="21"/>
                <c:pt idx="0">
                  <c:v>38486.379861111112</c:v>
                </c:pt>
                <c:pt idx="1">
                  <c:v>38487.379861111112</c:v>
                </c:pt>
                <c:pt idx="2">
                  <c:v>38489.379861111112</c:v>
                </c:pt>
                <c:pt idx="3">
                  <c:v>38490.129861111112</c:v>
                </c:pt>
                <c:pt idx="4">
                  <c:v>38490.838194444441</c:v>
                </c:pt>
                <c:pt idx="5">
                  <c:v>38491.546527777777</c:v>
                </c:pt>
                <c:pt idx="6">
                  <c:v>38492.254861111112</c:v>
                </c:pt>
                <c:pt idx="7">
                  <c:v>38492.963194444441</c:v>
                </c:pt>
                <c:pt idx="8">
                  <c:v>38496.379861111112</c:v>
                </c:pt>
                <c:pt idx="9">
                  <c:v>38497.379861111112</c:v>
                </c:pt>
                <c:pt idx="10">
                  <c:v>38498.379861111112</c:v>
                </c:pt>
                <c:pt idx="11">
                  <c:v>38499.379861111112</c:v>
                </c:pt>
                <c:pt idx="12">
                  <c:v>38500.379861111112</c:v>
                </c:pt>
                <c:pt idx="13">
                  <c:v>38503.629861111112</c:v>
                </c:pt>
                <c:pt idx="14">
                  <c:v>38504.338194444441</c:v>
                </c:pt>
                <c:pt idx="15">
                  <c:v>38505.046527777777</c:v>
                </c:pt>
                <c:pt idx="16">
                  <c:v>38505.754861111112</c:v>
                </c:pt>
                <c:pt idx="17">
                  <c:v>38506.463194444441</c:v>
                </c:pt>
                <c:pt idx="18">
                  <c:v>38507.379861111112</c:v>
                </c:pt>
                <c:pt idx="19">
                  <c:v>38510.379861111112</c:v>
                </c:pt>
                <c:pt idx="20">
                  <c:v>38511.380555555559</c:v>
                </c:pt>
              </c:numCache>
            </c:numRef>
          </c:cat>
          <c:val>
            <c:numRef>
              <c:f>Summary!$S$64:$S$84</c:f>
              <c:numCache>
                <c:formatCode>General</c:formatCode>
                <c:ptCount val="21"/>
                <c:pt idx="0">
                  <c:v>24.6</c:v>
                </c:pt>
                <c:pt idx="1">
                  <c:v>24.4</c:v>
                </c:pt>
                <c:pt idx="2">
                  <c:v>24.2</c:v>
                </c:pt>
                <c:pt idx="3">
                  <c:v>24</c:v>
                </c:pt>
                <c:pt idx="4">
                  <c:v>25.1</c:v>
                </c:pt>
                <c:pt idx="5">
                  <c:v>25.2</c:v>
                </c:pt>
                <c:pt idx="6">
                  <c:v>24.2</c:v>
                </c:pt>
                <c:pt idx="7">
                  <c:v>24.2</c:v>
                </c:pt>
                <c:pt idx="8">
                  <c:v>24.3</c:v>
                </c:pt>
                <c:pt idx="9">
                  <c:v>23.4</c:v>
                </c:pt>
                <c:pt idx="10">
                  <c:v>24.8</c:v>
                </c:pt>
                <c:pt idx="11">
                  <c:v>25.1</c:v>
                </c:pt>
                <c:pt idx="12">
                  <c:v>26.8</c:v>
                </c:pt>
                <c:pt idx="13">
                  <c:v>27.5</c:v>
                </c:pt>
                <c:pt idx="14">
                  <c:v>24.8</c:v>
                </c:pt>
                <c:pt idx="15">
                  <c:v>23.5</c:v>
                </c:pt>
                <c:pt idx="16">
                  <c:v>23.6</c:v>
                </c:pt>
                <c:pt idx="17">
                  <c:v>22.9</c:v>
                </c:pt>
                <c:pt idx="18">
                  <c:v>24.3</c:v>
                </c:pt>
                <c:pt idx="19">
                  <c:v>23.6</c:v>
                </c:pt>
                <c:pt idx="20">
                  <c:v>24.1</c:v>
                </c:pt>
              </c:numCache>
            </c:numRef>
          </c:val>
        </c:ser>
        <c:ser>
          <c:idx val="1"/>
          <c:order val="1"/>
          <c:tx>
            <c:strRef>
              <c:f>Summary!$V$62</c:f>
              <c:strCache>
                <c:ptCount val="1"/>
                <c:pt idx="0">
                  <c:v>cbbL</c:v>
                </c:pt>
              </c:strCache>
            </c:strRef>
          </c:tx>
          <c:spPr>
            <a:solidFill>
              <a:srgbClr val="FCF305"/>
            </a:solidFill>
            <a:ln w="25400">
              <a:noFill/>
            </a:ln>
            <a:effectLst>
              <a:outerShdw dist="35921" dir="2700000" algn="br">
                <a:srgbClr val="000000"/>
              </a:outerShdw>
            </a:effectLst>
          </c:spPr>
          <c:cat>
            <c:numRef>
              <c:f>Summary!$E$64:$E$84</c:f>
              <c:numCache>
                <c:formatCode>m/d/yyyy\ h:mm</c:formatCode>
                <c:ptCount val="21"/>
                <c:pt idx="0">
                  <c:v>38486.379861111112</c:v>
                </c:pt>
                <c:pt idx="1">
                  <c:v>38487.379861111112</c:v>
                </c:pt>
                <c:pt idx="2">
                  <c:v>38489.379861111112</c:v>
                </c:pt>
                <c:pt idx="3">
                  <c:v>38490.129861111112</c:v>
                </c:pt>
                <c:pt idx="4">
                  <c:v>38490.838194444441</c:v>
                </c:pt>
                <c:pt idx="5">
                  <c:v>38491.546527777777</c:v>
                </c:pt>
                <c:pt idx="6">
                  <c:v>38492.254861111112</c:v>
                </c:pt>
                <c:pt idx="7">
                  <c:v>38492.963194444441</c:v>
                </c:pt>
                <c:pt idx="8">
                  <c:v>38496.379861111112</c:v>
                </c:pt>
                <c:pt idx="9">
                  <c:v>38497.379861111112</c:v>
                </c:pt>
                <c:pt idx="10">
                  <c:v>38498.379861111112</c:v>
                </c:pt>
                <c:pt idx="11">
                  <c:v>38499.379861111112</c:v>
                </c:pt>
                <c:pt idx="12">
                  <c:v>38500.379861111112</c:v>
                </c:pt>
                <c:pt idx="13">
                  <c:v>38503.629861111112</c:v>
                </c:pt>
                <c:pt idx="14">
                  <c:v>38504.338194444441</c:v>
                </c:pt>
                <c:pt idx="15">
                  <c:v>38505.046527777777</c:v>
                </c:pt>
                <c:pt idx="16">
                  <c:v>38505.754861111112</c:v>
                </c:pt>
                <c:pt idx="17">
                  <c:v>38506.463194444441</c:v>
                </c:pt>
                <c:pt idx="18">
                  <c:v>38507.379861111112</c:v>
                </c:pt>
                <c:pt idx="19">
                  <c:v>38510.379861111112</c:v>
                </c:pt>
                <c:pt idx="20">
                  <c:v>38511.380555555559</c:v>
                </c:pt>
              </c:numCache>
            </c:numRef>
          </c:cat>
          <c:val>
            <c:numRef>
              <c:f>Summary!$V$64:$V$84</c:f>
              <c:numCache>
                <c:formatCode>General</c:formatCode>
                <c:ptCount val="21"/>
                <c:pt idx="0">
                  <c:v>46</c:v>
                </c:pt>
                <c:pt idx="1">
                  <c:v>46</c:v>
                </c:pt>
                <c:pt idx="2">
                  <c:v>46</c:v>
                </c:pt>
                <c:pt idx="3">
                  <c:v>46</c:v>
                </c:pt>
                <c:pt idx="4">
                  <c:v>46</c:v>
                </c:pt>
                <c:pt idx="5">
                  <c:v>46</c:v>
                </c:pt>
                <c:pt idx="6">
                  <c:v>46</c:v>
                </c:pt>
                <c:pt idx="7">
                  <c:v>46</c:v>
                </c:pt>
                <c:pt idx="8">
                  <c:v>46</c:v>
                </c:pt>
                <c:pt idx="9">
                  <c:v>46</c:v>
                </c:pt>
                <c:pt idx="10">
                  <c:v>46</c:v>
                </c:pt>
                <c:pt idx="11">
                  <c:v>46</c:v>
                </c:pt>
                <c:pt idx="12">
                  <c:v>46</c:v>
                </c:pt>
                <c:pt idx="13">
                  <c:v>46</c:v>
                </c:pt>
                <c:pt idx="14">
                  <c:v>46</c:v>
                </c:pt>
                <c:pt idx="15">
                  <c:v>38.799999999999997</c:v>
                </c:pt>
                <c:pt idx="16">
                  <c:v>34.21</c:v>
                </c:pt>
                <c:pt idx="17">
                  <c:v>31.9</c:v>
                </c:pt>
                <c:pt idx="18">
                  <c:v>30.2</c:v>
                </c:pt>
                <c:pt idx="19">
                  <c:v>30.1</c:v>
                </c:pt>
                <c:pt idx="20">
                  <c:v>30</c:v>
                </c:pt>
              </c:numCache>
            </c:numRef>
          </c:val>
        </c:ser>
        <c:ser>
          <c:idx val="2"/>
          <c:order val="2"/>
          <c:tx>
            <c:strRef>
              <c:f>Summary!$Y$62</c:f>
              <c:strCache>
                <c:ptCount val="1"/>
                <c:pt idx="0">
                  <c:v>narB</c:v>
                </c:pt>
              </c:strCache>
            </c:strRef>
          </c:tx>
          <c:spPr>
            <a:solidFill>
              <a:srgbClr val="1FB714"/>
            </a:solidFill>
            <a:ln w="25400">
              <a:noFill/>
            </a:ln>
            <a:effectLst>
              <a:outerShdw dist="35921" dir="2700000" algn="br">
                <a:srgbClr val="000000"/>
              </a:outerShdw>
            </a:effectLst>
          </c:spPr>
          <c:cat>
            <c:numRef>
              <c:f>Summary!$E$64:$E$84</c:f>
              <c:numCache>
                <c:formatCode>m/d/yyyy\ h:mm</c:formatCode>
                <c:ptCount val="21"/>
                <c:pt idx="0">
                  <c:v>38486.379861111112</c:v>
                </c:pt>
                <c:pt idx="1">
                  <c:v>38487.379861111112</c:v>
                </c:pt>
                <c:pt idx="2">
                  <c:v>38489.379861111112</c:v>
                </c:pt>
                <c:pt idx="3">
                  <c:v>38490.129861111112</c:v>
                </c:pt>
                <c:pt idx="4">
                  <c:v>38490.838194444441</c:v>
                </c:pt>
                <c:pt idx="5">
                  <c:v>38491.546527777777</c:v>
                </c:pt>
                <c:pt idx="6">
                  <c:v>38492.254861111112</c:v>
                </c:pt>
                <c:pt idx="7">
                  <c:v>38492.963194444441</c:v>
                </c:pt>
                <c:pt idx="8">
                  <c:v>38496.379861111112</c:v>
                </c:pt>
                <c:pt idx="9">
                  <c:v>38497.379861111112</c:v>
                </c:pt>
                <c:pt idx="10">
                  <c:v>38498.379861111112</c:v>
                </c:pt>
                <c:pt idx="11">
                  <c:v>38499.379861111112</c:v>
                </c:pt>
                <c:pt idx="12">
                  <c:v>38500.379861111112</c:v>
                </c:pt>
                <c:pt idx="13">
                  <c:v>38503.629861111112</c:v>
                </c:pt>
                <c:pt idx="14">
                  <c:v>38504.338194444441</c:v>
                </c:pt>
                <c:pt idx="15">
                  <c:v>38505.046527777777</c:v>
                </c:pt>
                <c:pt idx="16">
                  <c:v>38505.754861111112</c:v>
                </c:pt>
                <c:pt idx="17">
                  <c:v>38506.463194444441</c:v>
                </c:pt>
                <c:pt idx="18">
                  <c:v>38507.379861111112</c:v>
                </c:pt>
                <c:pt idx="19">
                  <c:v>38510.379861111112</c:v>
                </c:pt>
                <c:pt idx="20">
                  <c:v>38511.380555555559</c:v>
                </c:pt>
              </c:numCache>
            </c:numRef>
          </c:cat>
          <c:val>
            <c:numRef>
              <c:f>Summary!$Y$64:$Y$84</c:f>
              <c:numCache>
                <c:formatCode>General</c:formatCode>
                <c:ptCount val="21"/>
                <c:pt idx="0">
                  <c:v>37.4</c:v>
                </c:pt>
                <c:pt idx="1">
                  <c:v>39.6</c:v>
                </c:pt>
                <c:pt idx="2">
                  <c:v>42</c:v>
                </c:pt>
                <c:pt idx="3">
                  <c:v>40.6</c:v>
                </c:pt>
                <c:pt idx="4">
                  <c:v>40.299999999999997</c:v>
                </c:pt>
                <c:pt idx="5">
                  <c:v>40.200000000000003</c:v>
                </c:pt>
                <c:pt idx="6">
                  <c:v>40.1</c:v>
                </c:pt>
                <c:pt idx="7">
                  <c:v>40.299999999999997</c:v>
                </c:pt>
                <c:pt idx="8">
                  <c:v>38.799999999999997</c:v>
                </c:pt>
                <c:pt idx="9">
                  <c:v>38.4</c:v>
                </c:pt>
                <c:pt idx="10">
                  <c:v>37.9</c:v>
                </c:pt>
                <c:pt idx="11">
                  <c:v>39.5</c:v>
                </c:pt>
                <c:pt idx="12">
                  <c:v>40.1</c:v>
                </c:pt>
                <c:pt idx="13">
                  <c:v>39</c:v>
                </c:pt>
                <c:pt idx="14">
                  <c:v>38.1</c:v>
                </c:pt>
                <c:pt idx="15">
                  <c:v>37.1</c:v>
                </c:pt>
                <c:pt idx="16">
                  <c:v>37.6</c:v>
                </c:pt>
                <c:pt idx="17">
                  <c:v>36.1</c:v>
                </c:pt>
                <c:pt idx="18">
                  <c:v>37.4</c:v>
                </c:pt>
                <c:pt idx="19">
                  <c:v>36.700000000000003</c:v>
                </c:pt>
                <c:pt idx="20">
                  <c:v>37.9</c:v>
                </c:pt>
              </c:numCache>
            </c:numRef>
          </c:val>
        </c:ser>
        <c:ser>
          <c:idx val="3"/>
          <c:order val="3"/>
          <c:tx>
            <c:strRef>
              <c:f>Summary!$AB$62</c:f>
              <c:strCache>
                <c:ptCount val="1"/>
                <c:pt idx="0">
                  <c:v>G1Ar-Ct</c:v>
                </c:pt>
              </c:strCache>
            </c:strRef>
          </c:tx>
          <c:spPr>
            <a:solidFill>
              <a:srgbClr val="0000D4"/>
            </a:solidFill>
            <a:ln w="25400">
              <a:noFill/>
            </a:ln>
            <a:effectLst>
              <a:outerShdw dist="35921" dir="2700000" algn="br">
                <a:srgbClr val="000000"/>
              </a:outerShdw>
            </a:effectLst>
          </c:spPr>
          <c:cat>
            <c:numRef>
              <c:f>Summary!$E$64:$E$84</c:f>
              <c:numCache>
                <c:formatCode>m/d/yyyy\ h:mm</c:formatCode>
                <c:ptCount val="21"/>
                <c:pt idx="0">
                  <c:v>38486.379861111112</c:v>
                </c:pt>
                <c:pt idx="1">
                  <c:v>38487.379861111112</c:v>
                </c:pt>
                <c:pt idx="2">
                  <c:v>38489.379861111112</c:v>
                </c:pt>
                <c:pt idx="3">
                  <c:v>38490.129861111112</c:v>
                </c:pt>
                <c:pt idx="4">
                  <c:v>38490.838194444441</c:v>
                </c:pt>
                <c:pt idx="5">
                  <c:v>38491.546527777777</c:v>
                </c:pt>
                <c:pt idx="6">
                  <c:v>38492.254861111112</c:v>
                </c:pt>
                <c:pt idx="7">
                  <c:v>38492.963194444441</c:v>
                </c:pt>
                <c:pt idx="8">
                  <c:v>38496.379861111112</c:v>
                </c:pt>
                <c:pt idx="9">
                  <c:v>38497.379861111112</c:v>
                </c:pt>
                <c:pt idx="10">
                  <c:v>38498.379861111112</c:v>
                </c:pt>
                <c:pt idx="11">
                  <c:v>38499.379861111112</c:v>
                </c:pt>
                <c:pt idx="12">
                  <c:v>38500.379861111112</c:v>
                </c:pt>
                <c:pt idx="13">
                  <c:v>38503.629861111112</c:v>
                </c:pt>
                <c:pt idx="14">
                  <c:v>38504.338194444441</c:v>
                </c:pt>
                <c:pt idx="15">
                  <c:v>38505.046527777777</c:v>
                </c:pt>
                <c:pt idx="16">
                  <c:v>38505.754861111112</c:v>
                </c:pt>
                <c:pt idx="17">
                  <c:v>38506.463194444441</c:v>
                </c:pt>
                <c:pt idx="18">
                  <c:v>38507.379861111112</c:v>
                </c:pt>
                <c:pt idx="19">
                  <c:v>38510.379861111112</c:v>
                </c:pt>
                <c:pt idx="20">
                  <c:v>38511.380555555559</c:v>
                </c:pt>
              </c:numCache>
            </c:numRef>
          </c:cat>
          <c:val>
            <c:numRef>
              <c:f>Summary!$AB$64:$AB$84</c:f>
              <c:numCache>
                <c:formatCode>General</c:formatCode>
                <c:ptCount val="21"/>
                <c:pt idx="0">
                  <c:v>24.3</c:v>
                </c:pt>
                <c:pt idx="1">
                  <c:v>26</c:v>
                </c:pt>
                <c:pt idx="2">
                  <c:v>24.5</c:v>
                </c:pt>
                <c:pt idx="3">
                  <c:v>23.9</c:v>
                </c:pt>
                <c:pt idx="4">
                  <c:v>23.5</c:v>
                </c:pt>
                <c:pt idx="5">
                  <c:v>24.2</c:v>
                </c:pt>
                <c:pt idx="6">
                  <c:v>24.1</c:v>
                </c:pt>
                <c:pt idx="7">
                  <c:v>23.4</c:v>
                </c:pt>
                <c:pt idx="8">
                  <c:v>27.2</c:v>
                </c:pt>
                <c:pt idx="9">
                  <c:v>27.4</c:v>
                </c:pt>
                <c:pt idx="10">
                  <c:v>28.4</c:v>
                </c:pt>
                <c:pt idx="11">
                  <c:v>31.3</c:v>
                </c:pt>
                <c:pt idx="12">
                  <c:v>32.1</c:v>
                </c:pt>
                <c:pt idx="13">
                  <c:v>37.200000000000003</c:v>
                </c:pt>
                <c:pt idx="14">
                  <c:v>33.1</c:v>
                </c:pt>
                <c:pt idx="15">
                  <c:v>29.8</c:v>
                </c:pt>
                <c:pt idx="16">
                  <c:v>29.4</c:v>
                </c:pt>
                <c:pt idx="17">
                  <c:v>29.9</c:v>
                </c:pt>
                <c:pt idx="18">
                  <c:v>33.700000000000003</c:v>
                </c:pt>
                <c:pt idx="19">
                  <c:v>33.299999999999997</c:v>
                </c:pt>
                <c:pt idx="20">
                  <c:v>46</c:v>
                </c:pt>
              </c:numCache>
            </c:numRef>
          </c:val>
        </c:ser>
        <c:axId val="81682816"/>
        <c:axId val="81685120"/>
        <c:axId val="81715648"/>
      </c:line3DChart>
      <c:dateAx>
        <c:axId val="8168281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t>date</a:t>
                </a:r>
              </a:p>
            </c:rich>
          </c:tx>
          <c:layout>
            <c:manualLayout>
              <c:xMode val="edge"/>
              <c:yMode val="edge"/>
              <c:x val="0.33757090098250991"/>
              <c:y val="0.87853352017438491"/>
            </c:manualLayout>
          </c:layout>
          <c:spPr>
            <a:noFill/>
            <a:ln w="25400">
              <a:noFill/>
            </a:ln>
          </c:spPr>
        </c:title>
        <c:numFmt formatCode="m/d/yyyy" sourceLinked="0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81685120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  <c:noMultiLvlLbl val="1"/>
      </c:dateAx>
      <c:valAx>
        <c:axId val="81685120"/>
        <c:scaling>
          <c:orientation val="minMax"/>
          <c:max val="46"/>
          <c:min val="20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5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t>Ct</a:t>
                </a:r>
              </a:p>
            </c:rich>
          </c:tx>
          <c:layout>
            <c:manualLayout>
              <c:xMode val="edge"/>
              <c:yMode val="edge"/>
              <c:x val="0.19350296920849494"/>
              <c:y val="0.42372992570843904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81682816"/>
        <c:crosses val="autoZero"/>
        <c:crossBetween val="between"/>
      </c:valAx>
      <c:serAx>
        <c:axId val="81715648"/>
        <c:scaling>
          <c:orientation val="minMax"/>
        </c:scaling>
        <c:axPos val="b"/>
        <c:maj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81685120"/>
        <c:crosses val="autoZero"/>
        <c:tickMarkSkip val="1"/>
      </c:ser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8366974971035785"/>
          <c:y val="0.66666821676947718"/>
          <c:w val="0.10180283622759723"/>
          <c:h val="0.15374185407132843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en-US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  <c:printSettings>
    <c:headerFooter alignWithMargins="0"/>
    <c:pageMargins b="1" l="0.75" r="0.75" t="1" header="0.5" footer="0.5"/>
    <c:pageSetup paperSize="0" orientation="landscape" horizontalDpi="-4" verticalDpi="-4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en-US"/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t>NEO Dep2 2009 May 14- June 11</a:t>
            </a:r>
          </a:p>
        </c:rich>
      </c:tx>
      <c:layout>
        <c:manualLayout>
          <c:xMode val="edge"/>
          <c:yMode val="edge"/>
          <c:x val="0.31715798523451466"/>
          <c:y val="3.0985915492957747E-2"/>
        </c:manualLayout>
      </c:layout>
      <c:spPr>
        <a:noFill/>
        <a:ln w="25400">
          <a:noFill/>
        </a:ln>
      </c:spPr>
    </c:title>
    <c:view3D>
      <c:rotX val="17"/>
      <c:hPercent val="100"/>
      <c:rotY val="22"/>
      <c:depthPercent val="290"/>
      <c:perspective val="30"/>
    </c:view3D>
    <c:floor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spPr>
        <a:solidFill>
          <a:srgbClr val="CDCDCD"/>
        </a:solidFill>
        <a:ln w="12700">
          <a:solidFill>
            <a:srgbClr val="808080"/>
          </a:solidFill>
          <a:prstDash val="solid"/>
        </a:ln>
      </c:spPr>
    </c:sideWall>
    <c:backWall>
      <c:spPr>
        <a:solidFill>
          <a:srgbClr val="CDCDCD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3067593583792772"/>
          <c:y val="0.12112680221404676"/>
          <c:w val="0.58405595352438655"/>
          <c:h val="0.69295798475943027"/>
        </c:manualLayout>
      </c:layout>
      <c:line3DChart>
        <c:grouping val="standard"/>
        <c:ser>
          <c:idx val="0"/>
          <c:order val="0"/>
          <c:tx>
            <c:strRef>
              <c:f>Summary!$U$62</c:f>
              <c:strCache>
                <c:ptCount val="1"/>
                <c:pt idx="0">
                  <c:v>SAR11 copies/L sw</c:v>
                </c:pt>
              </c:strCache>
            </c:strRef>
          </c:tx>
          <c:spPr>
            <a:solidFill>
              <a:srgbClr val="63AAFE"/>
            </a:solidFill>
            <a:ln w="25400">
              <a:noFill/>
            </a:ln>
            <a:effectLst>
              <a:outerShdw dist="35921" dir="2700000" algn="br">
                <a:srgbClr val="000000"/>
              </a:outerShdw>
            </a:effectLst>
          </c:spPr>
          <c:cat>
            <c:numRef>
              <c:f>Summary!$E$63:$E$84</c:f>
              <c:numCache>
                <c:formatCode>m/d/yyyy\ h:mm</c:formatCode>
                <c:ptCount val="22"/>
                <c:pt idx="0">
                  <c:v>38485.383761574078</c:v>
                </c:pt>
                <c:pt idx="1">
                  <c:v>38486.379861111112</c:v>
                </c:pt>
                <c:pt idx="2">
                  <c:v>38487.379861111112</c:v>
                </c:pt>
                <c:pt idx="3">
                  <c:v>38489.379861111112</c:v>
                </c:pt>
                <c:pt idx="4">
                  <c:v>38490.129861111112</c:v>
                </c:pt>
                <c:pt idx="5">
                  <c:v>38490.838194444441</c:v>
                </c:pt>
                <c:pt idx="6">
                  <c:v>38491.546527777777</c:v>
                </c:pt>
                <c:pt idx="7">
                  <c:v>38492.254861111112</c:v>
                </c:pt>
                <c:pt idx="8">
                  <c:v>38492.963194444441</c:v>
                </c:pt>
                <c:pt idx="9">
                  <c:v>38496.379861111112</c:v>
                </c:pt>
                <c:pt idx="10">
                  <c:v>38497.379861111112</c:v>
                </c:pt>
                <c:pt idx="11">
                  <c:v>38498.379861111112</c:v>
                </c:pt>
                <c:pt idx="12">
                  <c:v>38499.379861111112</c:v>
                </c:pt>
                <c:pt idx="13">
                  <c:v>38500.379861111112</c:v>
                </c:pt>
                <c:pt idx="14">
                  <c:v>38503.629861111112</c:v>
                </c:pt>
                <c:pt idx="15">
                  <c:v>38504.338194444441</c:v>
                </c:pt>
                <c:pt idx="16">
                  <c:v>38505.046527777777</c:v>
                </c:pt>
                <c:pt idx="17">
                  <c:v>38505.754861111112</c:v>
                </c:pt>
                <c:pt idx="18">
                  <c:v>38506.463194444441</c:v>
                </c:pt>
                <c:pt idx="19">
                  <c:v>38507.379861111112</c:v>
                </c:pt>
                <c:pt idx="20">
                  <c:v>38510.379861111112</c:v>
                </c:pt>
                <c:pt idx="21">
                  <c:v>38511.380555555559</c:v>
                </c:pt>
              </c:numCache>
            </c:numRef>
          </c:cat>
          <c:val>
            <c:numRef>
              <c:f>Summary!$U$63:$U$84</c:f>
              <c:numCache>
                <c:formatCode>0.00E+00</c:formatCode>
                <c:ptCount val="22"/>
                <c:pt idx="0">
                  <c:v>5753039.9286296107</c:v>
                </c:pt>
                <c:pt idx="1">
                  <c:v>2423264.2042709556</c:v>
                </c:pt>
                <c:pt idx="2">
                  <c:v>5459873.2547336267</c:v>
                </c:pt>
                <c:pt idx="3">
                  <c:v>6150839.0016275551</c:v>
                </c:pt>
                <c:pt idx="4">
                  <c:v>6929248.8412880609</c:v>
                </c:pt>
                <c:pt idx="5">
                  <c:v>3597918.0470625535</c:v>
                </c:pt>
                <c:pt idx="6">
                  <c:v>3564469.0710897846</c:v>
                </c:pt>
                <c:pt idx="7">
                  <c:v>8786912.8594679348</c:v>
                </c:pt>
                <c:pt idx="8">
                  <c:v>6150839.0016275551</c:v>
                </c:pt>
                <c:pt idx="9">
                  <c:v>5795066.9848724483</c:v>
                </c:pt>
                <c:pt idx="10">
                  <c:v>9906986.085105218</c:v>
                </c:pt>
                <c:pt idx="11">
                  <c:v>4302084.7772316709</c:v>
                </c:pt>
                <c:pt idx="12">
                  <c:v>3597918.0470625535</c:v>
                </c:pt>
                <c:pt idx="13">
                  <c:v>1306655.1383211093</c:v>
                </c:pt>
                <c:pt idx="14">
                  <c:v>861052.60765470075</c:v>
                </c:pt>
                <c:pt idx="15">
                  <c:v>4302084.7772316709</c:v>
                </c:pt>
                <c:pt idx="16">
                  <c:v>9333953.9477772992</c:v>
                </c:pt>
                <c:pt idx="17">
                  <c:v>8794066.6869627312</c:v>
                </c:pt>
                <c:pt idx="18">
                  <c:v>13345075.923475305</c:v>
                </c:pt>
                <c:pt idx="19">
                  <c:v>5795066.9848724483</c:v>
                </c:pt>
                <c:pt idx="20">
                  <c:v>8794066.6869627312</c:v>
                </c:pt>
                <c:pt idx="21">
                  <c:v>6688988.3726032842</c:v>
                </c:pt>
              </c:numCache>
            </c:numRef>
          </c:val>
        </c:ser>
        <c:ser>
          <c:idx val="1"/>
          <c:order val="1"/>
          <c:tx>
            <c:strRef>
              <c:f>Summary!$X$62</c:f>
              <c:strCache>
                <c:ptCount val="1"/>
                <c:pt idx="0">
                  <c:v>cbbL copies/L sw</c:v>
                </c:pt>
              </c:strCache>
            </c:strRef>
          </c:tx>
          <c:spPr>
            <a:solidFill>
              <a:srgbClr val="FCF305"/>
            </a:solidFill>
            <a:ln w="25400">
              <a:noFill/>
            </a:ln>
            <a:effectLst>
              <a:outerShdw dist="35921" dir="2700000" algn="br">
                <a:srgbClr val="000000"/>
              </a:outerShdw>
            </a:effectLst>
          </c:spPr>
          <c:cat>
            <c:numRef>
              <c:f>Summary!$E$63:$E$84</c:f>
              <c:numCache>
                <c:formatCode>m/d/yyyy\ h:mm</c:formatCode>
                <c:ptCount val="22"/>
                <c:pt idx="0">
                  <c:v>38485.383761574078</c:v>
                </c:pt>
                <c:pt idx="1">
                  <c:v>38486.379861111112</c:v>
                </c:pt>
                <c:pt idx="2">
                  <c:v>38487.379861111112</c:v>
                </c:pt>
                <c:pt idx="3">
                  <c:v>38489.379861111112</c:v>
                </c:pt>
                <c:pt idx="4">
                  <c:v>38490.129861111112</c:v>
                </c:pt>
                <c:pt idx="5">
                  <c:v>38490.838194444441</c:v>
                </c:pt>
                <c:pt idx="6">
                  <c:v>38491.546527777777</c:v>
                </c:pt>
                <c:pt idx="7">
                  <c:v>38492.254861111112</c:v>
                </c:pt>
                <c:pt idx="8">
                  <c:v>38492.963194444441</c:v>
                </c:pt>
                <c:pt idx="9">
                  <c:v>38496.379861111112</c:v>
                </c:pt>
                <c:pt idx="10">
                  <c:v>38497.379861111112</c:v>
                </c:pt>
                <c:pt idx="11">
                  <c:v>38498.379861111112</c:v>
                </c:pt>
                <c:pt idx="12">
                  <c:v>38499.379861111112</c:v>
                </c:pt>
                <c:pt idx="13">
                  <c:v>38500.379861111112</c:v>
                </c:pt>
                <c:pt idx="14">
                  <c:v>38503.629861111112</c:v>
                </c:pt>
                <c:pt idx="15">
                  <c:v>38504.338194444441</c:v>
                </c:pt>
                <c:pt idx="16">
                  <c:v>38505.046527777777</c:v>
                </c:pt>
                <c:pt idx="17">
                  <c:v>38505.754861111112</c:v>
                </c:pt>
                <c:pt idx="18">
                  <c:v>38506.463194444441</c:v>
                </c:pt>
                <c:pt idx="19">
                  <c:v>38507.379861111112</c:v>
                </c:pt>
                <c:pt idx="20">
                  <c:v>38510.379861111112</c:v>
                </c:pt>
                <c:pt idx="21">
                  <c:v>38511.380555555559</c:v>
                </c:pt>
              </c:numCache>
            </c:numRef>
          </c:cat>
          <c:val>
            <c:numRef>
              <c:f>Summary!$X$63:$X$84</c:f>
              <c:numCache>
                <c:formatCode>0.00E+00</c:formatCode>
                <c:ptCount val="22"/>
                <c:pt idx="0">
                  <c:v>351.59238173592126</c:v>
                </c:pt>
                <c:pt idx="1">
                  <c:v>10.142087934690037</c:v>
                </c:pt>
                <c:pt idx="2">
                  <c:v>20.284175869380075</c:v>
                </c:pt>
                <c:pt idx="3">
                  <c:v>20.284175869380075</c:v>
                </c:pt>
                <c:pt idx="4">
                  <c:v>20.284175869380075</c:v>
                </c:pt>
                <c:pt idx="5">
                  <c:v>20.284175869380075</c:v>
                </c:pt>
                <c:pt idx="6">
                  <c:v>21.329312165489043</c:v>
                </c:pt>
                <c:pt idx="7">
                  <c:v>28.977394099114395</c:v>
                </c:pt>
                <c:pt idx="8">
                  <c:v>20.284175869380075</c:v>
                </c:pt>
                <c:pt idx="9">
                  <c:v>20.284175869380075</c:v>
                </c:pt>
                <c:pt idx="10">
                  <c:v>20.284175869380075</c:v>
                </c:pt>
                <c:pt idx="11">
                  <c:v>20.284175869380075</c:v>
                </c:pt>
                <c:pt idx="12">
                  <c:v>20.284175869380075</c:v>
                </c:pt>
                <c:pt idx="13">
                  <c:v>20.284175869380075</c:v>
                </c:pt>
                <c:pt idx="14">
                  <c:v>20.284175869380075</c:v>
                </c:pt>
                <c:pt idx="15">
                  <c:v>20.284175869380075</c:v>
                </c:pt>
                <c:pt idx="16">
                  <c:v>4078.4393316356659</c:v>
                </c:pt>
                <c:pt idx="17">
                  <c:v>119914.33787877788</c:v>
                </c:pt>
                <c:pt idx="18">
                  <c:v>657443.27220636047</c:v>
                </c:pt>
                <c:pt idx="19">
                  <c:v>2299861.3699362921</c:v>
                </c:pt>
                <c:pt idx="20">
                  <c:v>2475668.2402507481</c:v>
                </c:pt>
                <c:pt idx="21">
                  <c:v>2730444.8828458493</c:v>
                </c:pt>
              </c:numCache>
            </c:numRef>
          </c:val>
        </c:ser>
        <c:ser>
          <c:idx val="2"/>
          <c:order val="2"/>
          <c:tx>
            <c:strRef>
              <c:f>Summary!$AA$62</c:f>
              <c:strCache>
                <c:ptCount val="1"/>
                <c:pt idx="0">
                  <c:v>narB copies/L sw</c:v>
                </c:pt>
              </c:strCache>
            </c:strRef>
          </c:tx>
          <c:spPr>
            <a:solidFill>
              <a:srgbClr val="1FB714"/>
            </a:solidFill>
            <a:ln w="25400">
              <a:noFill/>
            </a:ln>
            <a:effectLst>
              <a:outerShdw dist="35921" dir="2700000" algn="br">
                <a:srgbClr val="000000"/>
              </a:outerShdw>
            </a:effectLst>
          </c:spPr>
          <c:cat>
            <c:numRef>
              <c:f>Summary!$E$63:$E$84</c:f>
              <c:numCache>
                <c:formatCode>m/d/yyyy\ h:mm</c:formatCode>
                <c:ptCount val="22"/>
                <c:pt idx="0">
                  <c:v>38485.383761574078</c:v>
                </c:pt>
                <c:pt idx="1">
                  <c:v>38486.379861111112</c:v>
                </c:pt>
                <c:pt idx="2">
                  <c:v>38487.379861111112</c:v>
                </c:pt>
                <c:pt idx="3">
                  <c:v>38489.379861111112</c:v>
                </c:pt>
                <c:pt idx="4">
                  <c:v>38490.129861111112</c:v>
                </c:pt>
                <c:pt idx="5">
                  <c:v>38490.838194444441</c:v>
                </c:pt>
                <c:pt idx="6">
                  <c:v>38491.546527777777</c:v>
                </c:pt>
                <c:pt idx="7">
                  <c:v>38492.254861111112</c:v>
                </c:pt>
                <c:pt idx="8">
                  <c:v>38492.963194444441</c:v>
                </c:pt>
                <c:pt idx="9">
                  <c:v>38496.379861111112</c:v>
                </c:pt>
                <c:pt idx="10">
                  <c:v>38497.379861111112</c:v>
                </c:pt>
                <c:pt idx="11">
                  <c:v>38498.379861111112</c:v>
                </c:pt>
                <c:pt idx="12">
                  <c:v>38499.379861111112</c:v>
                </c:pt>
                <c:pt idx="13">
                  <c:v>38500.379861111112</c:v>
                </c:pt>
                <c:pt idx="14">
                  <c:v>38503.629861111112</c:v>
                </c:pt>
                <c:pt idx="15">
                  <c:v>38504.338194444441</c:v>
                </c:pt>
                <c:pt idx="16">
                  <c:v>38505.046527777777</c:v>
                </c:pt>
                <c:pt idx="17">
                  <c:v>38505.754861111112</c:v>
                </c:pt>
                <c:pt idx="18">
                  <c:v>38506.463194444441</c:v>
                </c:pt>
                <c:pt idx="19">
                  <c:v>38507.379861111112</c:v>
                </c:pt>
                <c:pt idx="20">
                  <c:v>38510.379861111112</c:v>
                </c:pt>
                <c:pt idx="21">
                  <c:v>38511.380555555559</c:v>
                </c:pt>
              </c:numCache>
            </c:numRef>
          </c:cat>
          <c:val>
            <c:numRef>
              <c:f>Summary!$AA$63:$AA$84</c:f>
              <c:numCache>
                <c:formatCode>0.00E+00</c:formatCode>
                <c:ptCount val="22"/>
                <c:pt idx="0">
                  <c:v>692606.46373420116</c:v>
                </c:pt>
                <c:pt idx="1">
                  <c:v>2323173.0720406314</c:v>
                </c:pt>
                <c:pt idx="2">
                  <c:v>1064376.4902372602</c:v>
                </c:pt>
                <c:pt idx="3">
                  <c:v>213253.26399310643</c:v>
                </c:pt>
                <c:pt idx="4">
                  <c:v>544726.84570084221</c:v>
                </c:pt>
                <c:pt idx="5">
                  <c:v>665968.56077751541</c:v>
                </c:pt>
                <c:pt idx="6">
                  <c:v>748798.31742189708</c:v>
                </c:pt>
                <c:pt idx="7">
                  <c:v>1087774.7817664715</c:v>
                </c:pt>
                <c:pt idx="8">
                  <c:v>665968.56077751541</c:v>
                </c:pt>
                <c:pt idx="9">
                  <c:v>1818982.2820138338</c:v>
                </c:pt>
                <c:pt idx="10">
                  <c:v>2377908.1014232817</c:v>
                </c:pt>
                <c:pt idx="11">
                  <c:v>3323941.0551373628</c:v>
                </c:pt>
                <c:pt idx="12">
                  <c:v>1138117.0324069413</c:v>
                </c:pt>
                <c:pt idx="13">
                  <c:v>761442.34723653004</c:v>
                </c:pt>
                <c:pt idx="14">
                  <c:v>1590908.3817428511</c:v>
                </c:pt>
                <c:pt idx="15">
                  <c:v>2907167.2315481021</c:v>
                </c:pt>
                <c:pt idx="16">
                  <c:v>5680499.2793531409</c:v>
                </c:pt>
                <c:pt idx="17">
                  <c:v>4063761.9718394009</c:v>
                </c:pt>
                <c:pt idx="18">
                  <c:v>11099489.466090472</c:v>
                </c:pt>
                <c:pt idx="19">
                  <c:v>4646346.1440812629</c:v>
                </c:pt>
                <c:pt idx="20">
                  <c:v>7425968.5704845367</c:v>
                </c:pt>
                <c:pt idx="21">
                  <c:v>3405677.3105915599</c:v>
                </c:pt>
              </c:numCache>
            </c:numRef>
          </c:val>
        </c:ser>
        <c:ser>
          <c:idx val="3"/>
          <c:order val="3"/>
          <c:tx>
            <c:strRef>
              <c:f>Summary!$AD$62</c:f>
              <c:strCache>
                <c:ptCount val="1"/>
                <c:pt idx="0">
                  <c:v>G1Ar-copies/L sw</c:v>
                </c:pt>
              </c:strCache>
            </c:strRef>
          </c:tx>
          <c:spPr>
            <a:solidFill>
              <a:srgbClr val="0000D4"/>
            </a:solidFill>
            <a:ln w="25400">
              <a:noFill/>
            </a:ln>
            <a:effectLst>
              <a:outerShdw dist="35921" dir="2700000" algn="br">
                <a:srgbClr val="000000"/>
              </a:outerShdw>
            </a:effectLst>
          </c:spPr>
          <c:cat>
            <c:numRef>
              <c:f>Summary!$E$63:$E$84</c:f>
              <c:numCache>
                <c:formatCode>m/d/yyyy\ h:mm</c:formatCode>
                <c:ptCount val="22"/>
                <c:pt idx="0">
                  <c:v>38485.383761574078</c:v>
                </c:pt>
                <c:pt idx="1">
                  <c:v>38486.379861111112</c:v>
                </c:pt>
                <c:pt idx="2">
                  <c:v>38487.379861111112</c:v>
                </c:pt>
                <c:pt idx="3">
                  <c:v>38489.379861111112</c:v>
                </c:pt>
                <c:pt idx="4">
                  <c:v>38490.129861111112</c:v>
                </c:pt>
                <c:pt idx="5">
                  <c:v>38490.838194444441</c:v>
                </c:pt>
                <c:pt idx="6">
                  <c:v>38491.546527777777</c:v>
                </c:pt>
                <c:pt idx="7">
                  <c:v>38492.254861111112</c:v>
                </c:pt>
                <c:pt idx="8">
                  <c:v>38492.963194444441</c:v>
                </c:pt>
                <c:pt idx="9">
                  <c:v>38496.379861111112</c:v>
                </c:pt>
                <c:pt idx="10">
                  <c:v>38497.379861111112</c:v>
                </c:pt>
                <c:pt idx="11">
                  <c:v>38498.379861111112</c:v>
                </c:pt>
                <c:pt idx="12">
                  <c:v>38499.379861111112</c:v>
                </c:pt>
                <c:pt idx="13">
                  <c:v>38500.379861111112</c:v>
                </c:pt>
                <c:pt idx="14">
                  <c:v>38503.629861111112</c:v>
                </c:pt>
                <c:pt idx="15">
                  <c:v>38504.338194444441</c:v>
                </c:pt>
                <c:pt idx="16">
                  <c:v>38505.046527777777</c:v>
                </c:pt>
                <c:pt idx="17">
                  <c:v>38505.754861111112</c:v>
                </c:pt>
                <c:pt idx="18">
                  <c:v>38506.463194444441</c:v>
                </c:pt>
                <c:pt idx="19">
                  <c:v>38507.379861111112</c:v>
                </c:pt>
                <c:pt idx="20">
                  <c:v>38510.379861111112</c:v>
                </c:pt>
                <c:pt idx="21">
                  <c:v>38511.380555555559</c:v>
                </c:pt>
              </c:numCache>
            </c:numRef>
          </c:cat>
          <c:val>
            <c:numRef>
              <c:f>Summary!$AD$63:$AD$84</c:f>
              <c:numCache>
                <c:formatCode>0.00E+00</c:formatCode>
                <c:ptCount val="22"/>
                <c:pt idx="0">
                  <c:v>120349848.33293623</c:v>
                </c:pt>
                <c:pt idx="1">
                  <c:v>88741767.708475113</c:v>
                </c:pt>
                <c:pt idx="2">
                  <c:v>50735821.651069961</c:v>
                </c:pt>
                <c:pt idx="3">
                  <c:v>153170982.40483338</c:v>
                </c:pt>
                <c:pt idx="4">
                  <c:v>238298450.13510439</c:v>
                </c:pt>
                <c:pt idx="5">
                  <c:v>319951657.50664705</c:v>
                </c:pt>
                <c:pt idx="6">
                  <c:v>200894635.93634567</c:v>
                </c:pt>
                <c:pt idx="7">
                  <c:v>293793108.56714642</c:v>
                </c:pt>
                <c:pt idx="8">
                  <c:v>344409522.79081738</c:v>
                </c:pt>
                <c:pt idx="9">
                  <c:v>20961640.007384043</c:v>
                </c:pt>
                <c:pt idx="10">
                  <c:v>18090213.186280962</c:v>
                </c:pt>
                <c:pt idx="11">
                  <c:v>8660357.4654023126</c:v>
                </c:pt>
                <c:pt idx="12">
                  <c:v>1022828.9350815262</c:v>
                </c:pt>
                <c:pt idx="13">
                  <c:v>567383.51330857666</c:v>
                </c:pt>
                <c:pt idx="14">
                  <c:v>13253.98860418697</c:v>
                </c:pt>
                <c:pt idx="15">
                  <c:v>271624.44105161465</c:v>
                </c:pt>
                <c:pt idx="16">
                  <c:v>3087911.2177583743</c:v>
                </c:pt>
                <c:pt idx="17">
                  <c:v>4145987.1509655984</c:v>
                </c:pt>
                <c:pt idx="18">
                  <c:v>2868626.5825327644</c:v>
                </c:pt>
                <c:pt idx="19">
                  <c:v>174591.91386872804</c:v>
                </c:pt>
                <c:pt idx="20">
                  <c:v>234416.01150946139</c:v>
                </c:pt>
                <c:pt idx="21">
                  <c:v>20.782967079282869</c:v>
                </c:pt>
              </c:numCache>
            </c:numRef>
          </c:val>
        </c:ser>
        <c:axId val="85174528"/>
        <c:axId val="102371712"/>
        <c:axId val="85151744"/>
      </c:line3DChart>
      <c:dateAx>
        <c:axId val="8517452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95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t>date</a:t>
                </a:r>
              </a:p>
            </c:rich>
          </c:tx>
          <c:layout>
            <c:manualLayout>
              <c:xMode val="edge"/>
              <c:yMode val="edge"/>
              <c:x val="0.42461046138730058"/>
              <c:y val="0.8563382499722747"/>
            </c:manualLayout>
          </c:layout>
          <c:spPr>
            <a:noFill/>
            <a:ln w="25400">
              <a:noFill/>
            </a:ln>
          </c:spPr>
        </c:title>
        <c:numFmt formatCode="m/d/yyyy" sourceLinked="0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102371712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  <c:noMultiLvlLbl val="1"/>
      </c:dateAx>
      <c:valAx>
        <c:axId val="102371712"/>
        <c:scaling>
          <c:logBase val="10"/>
          <c:orientation val="minMax"/>
          <c:max val="10000000"/>
          <c:min val="1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5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t>Copies/L Seawater</a:t>
                </a:r>
              </a:p>
            </c:rich>
          </c:tx>
          <c:layout>
            <c:manualLayout>
              <c:xMode val="edge"/>
              <c:yMode val="edge"/>
              <c:x val="5.1993067590987867E-2"/>
              <c:y val="0.4084509260286126"/>
            </c:manualLayout>
          </c:layout>
          <c:spPr>
            <a:noFill/>
            <a:ln w="25400">
              <a:noFill/>
            </a:ln>
          </c:spPr>
        </c:title>
        <c:numFmt formatCode="0.00E+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85174528"/>
        <c:crosses val="autoZero"/>
        <c:crossBetween val="between"/>
      </c:valAx>
      <c:serAx>
        <c:axId val="85151744"/>
        <c:scaling>
          <c:orientation val="minMax"/>
        </c:scaling>
        <c:axPos val="b"/>
        <c:maj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102371712"/>
        <c:crosses val="autoZero"/>
        <c:tickMarkSkip val="1"/>
      </c:ser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9166684562781342"/>
          <c:y val="0.55223880597014929"/>
          <c:w val="0.20185189748171148"/>
          <c:h val="0.15332428765264586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7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en-US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en-US"/>
  <c:chart>
    <c:plotArea>
      <c:layout/>
      <c:scatterChart>
        <c:scatterStyle val="lineMarker"/>
        <c:ser>
          <c:idx val="0"/>
          <c:order val="0"/>
          <c:tx>
            <c:v>UCYN-A</c:v>
          </c:tx>
          <c:spPr>
            <a:ln w="25400">
              <a:solidFill>
                <a:srgbClr val="A2BD90"/>
              </a:solidFill>
              <a:prstDash val="sysDash"/>
            </a:ln>
          </c:spPr>
          <c:marker>
            <c:spPr>
              <a:solidFill>
                <a:srgbClr val="948A54"/>
              </a:solidFill>
              <a:ln>
                <a:solidFill>
                  <a:srgbClr val="90713A"/>
                </a:solidFill>
                <a:prstDash val="solid"/>
              </a:ln>
            </c:spPr>
          </c:marker>
          <c:xVal>
            <c:numRef>
              <c:f>Summary!$A$32:$A$39</c:f>
              <c:numCache>
                <c:formatCode>m/d/yy\ h:mm\ AM/PM</c:formatCode>
                <c:ptCount val="8"/>
                <c:pt idx="0">
                  <c:v>39331.833333333336</c:v>
                </c:pt>
                <c:pt idx="1">
                  <c:v>39332.5</c:v>
                </c:pt>
                <c:pt idx="2">
                  <c:v>39333.166666666664</c:v>
                </c:pt>
                <c:pt idx="3">
                  <c:v>39333.833333333336</c:v>
                </c:pt>
                <c:pt idx="4">
                  <c:v>39334.5</c:v>
                </c:pt>
                <c:pt idx="5">
                  <c:v>39335.166666666664</c:v>
                </c:pt>
                <c:pt idx="6">
                  <c:v>39335.833333333336</c:v>
                </c:pt>
                <c:pt idx="7">
                  <c:v>39336.5</c:v>
                </c:pt>
              </c:numCache>
            </c:numRef>
          </c:xVal>
          <c:yVal>
            <c:numRef>
              <c:f>Summary!$H$32:$H$39</c:f>
              <c:numCache>
                <c:formatCode>General</c:formatCode>
                <c:ptCount val="8"/>
                <c:pt idx="0">
                  <c:v>341796.42146451032</c:v>
                </c:pt>
                <c:pt idx="1">
                  <c:v>308258.75261007121</c:v>
                </c:pt>
                <c:pt idx="2">
                  <c:v>239086.47584537428</c:v>
                </c:pt>
                <c:pt idx="3">
                  <c:v>1863.6450395691513</c:v>
                </c:pt>
                <c:pt idx="4">
                  <c:v>431.23729227732184</c:v>
                </c:pt>
                <c:pt idx="5">
                  <c:v>1193.885505870308</c:v>
                </c:pt>
                <c:pt idx="6">
                  <c:v>5074.6796780786717</c:v>
                </c:pt>
                <c:pt idx="7">
                  <c:v>13466.973432935543</c:v>
                </c:pt>
              </c:numCache>
            </c:numRef>
          </c:yVal>
        </c:ser>
        <c:ser>
          <c:idx val="1"/>
          <c:order val="1"/>
          <c:tx>
            <c:v>UCYN-B</c:v>
          </c:tx>
          <c:spPr>
            <a:ln w="25400">
              <a:solidFill>
                <a:srgbClr val="0000D4"/>
              </a:solidFill>
              <a:prstDash val="sysDash"/>
            </a:ln>
          </c:spPr>
          <c:marker>
            <c:spPr>
              <a:solidFill>
                <a:srgbClr val="0000FF"/>
              </a:solidFill>
              <a:ln>
                <a:solidFill>
                  <a:srgbClr val="0000D4"/>
                </a:solidFill>
                <a:prstDash val="solid"/>
              </a:ln>
            </c:spPr>
          </c:marker>
          <c:xVal>
            <c:numRef>
              <c:f>Summary!$A$32:$A$39</c:f>
              <c:numCache>
                <c:formatCode>m/d/yy\ h:mm\ AM/PM</c:formatCode>
                <c:ptCount val="8"/>
                <c:pt idx="0">
                  <c:v>39331.833333333336</c:v>
                </c:pt>
                <c:pt idx="1">
                  <c:v>39332.5</c:v>
                </c:pt>
                <c:pt idx="2">
                  <c:v>39333.166666666664</c:v>
                </c:pt>
                <c:pt idx="3">
                  <c:v>39333.833333333336</c:v>
                </c:pt>
                <c:pt idx="4">
                  <c:v>39334.5</c:v>
                </c:pt>
                <c:pt idx="5">
                  <c:v>39335.166666666664</c:v>
                </c:pt>
                <c:pt idx="6">
                  <c:v>39335.833333333336</c:v>
                </c:pt>
                <c:pt idx="7">
                  <c:v>39336.5</c:v>
                </c:pt>
              </c:numCache>
            </c:numRef>
          </c:xVal>
          <c:yVal>
            <c:numRef>
              <c:f>Summary!$I$32:$I$39</c:f>
              <c:numCache>
                <c:formatCode>General</c:formatCode>
                <c:ptCount val="8"/>
                <c:pt idx="0">
                  <c:v>192.90712121212127</c:v>
                </c:pt>
                <c:pt idx="1">
                  <c:v>440.66001114930071</c:v>
                </c:pt>
                <c:pt idx="2">
                  <c:v>5226.610075828522</c:v>
                </c:pt>
                <c:pt idx="3">
                  <c:v>6.076995036507391</c:v>
                </c:pt>
                <c:pt idx="4">
                  <c:v>1</c:v>
                </c:pt>
                <c:pt idx="5">
                  <c:v>95.129238207511676</c:v>
                </c:pt>
                <c:pt idx="6">
                  <c:v>104.04457948689978</c:v>
                </c:pt>
                <c:pt idx="7">
                  <c:v>1</c:v>
                </c:pt>
              </c:numCache>
            </c:numRef>
          </c:yVal>
        </c:ser>
        <c:ser>
          <c:idx val="2"/>
          <c:order val="2"/>
          <c:tx>
            <c:v>Tricho</c:v>
          </c:tx>
          <c:spPr>
            <a:ln w="25400">
              <a:solidFill>
                <a:srgbClr val="008080"/>
              </a:solidFill>
              <a:prstDash val="sysDash"/>
            </a:ln>
          </c:spPr>
          <c:marker>
            <c:symbol val="square"/>
            <c:size val="7"/>
            <c:spPr>
              <a:solidFill>
                <a:srgbClr val="159E97"/>
              </a:solidFill>
              <a:ln>
                <a:solidFill>
                  <a:srgbClr val="008080"/>
                </a:solidFill>
                <a:prstDash val="solid"/>
              </a:ln>
            </c:spPr>
          </c:marker>
          <c:xVal>
            <c:numRef>
              <c:f>Summary!$A$32:$A$39</c:f>
              <c:numCache>
                <c:formatCode>m/d/yy\ h:mm\ AM/PM</c:formatCode>
                <c:ptCount val="8"/>
                <c:pt idx="0">
                  <c:v>39331.833333333336</c:v>
                </c:pt>
                <c:pt idx="1">
                  <c:v>39332.5</c:v>
                </c:pt>
                <c:pt idx="2">
                  <c:v>39333.166666666664</c:v>
                </c:pt>
                <c:pt idx="3">
                  <c:v>39333.833333333336</c:v>
                </c:pt>
                <c:pt idx="4">
                  <c:v>39334.5</c:v>
                </c:pt>
                <c:pt idx="5">
                  <c:v>39335.166666666664</c:v>
                </c:pt>
                <c:pt idx="6">
                  <c:v>39335.833333333336</c:v>
                </c:pt>
                <c:pt idx="7">
                  <c:v>39336.5</c:v>
                </c:pt>
              </c:numCache>
            </c:numRef>
          </c:xVal>
          <c:yVal>
            <c:numRef>
              <c:f>Summary!$J$32:$J$39</c:f>
              <c:numCache>
                <c:formatCode>General</c:formatCode>
                <c:ptCount val="8"/>
                <c:pt idx="0">
                  <c:v>16538.260032262853</c:v>
                </c:pt>
                <c:pt idx="1">
                  <c:v>50329.442028903737</c:v>
                </c:pt>
                <c:pt idx="2" formatCode="0.00E+00">
                  <c:v>2322213.2335138721</c:v>
                </c:pt>
                <c:pt idx="3">
                  <c:v>310600.34795606922</c:v>
                </c:pt>
                <c:pt idx="4">
                  <c:v>1557365.7119268973</c:v>
                </c:pt>
                <c:pt idx="5">
                  <c:v>1125901.5805548846</c:v>
                </c:pt>
                <c:pt idx="6">
                  <c:v>906614.91340709478</c:v>
                </c:pt>
                <c:pt idx="7">
                  <c:v>754768.96655980323</c:v>
                </c:pt>
              </c:numCache>
            </c:numRef>
          </c:yVal>
        </c:ser>
        <c:ser>
          <c:idx val="3"/>
          <c:order val="3"/>
          <c:tx>
            <c:v>Het-1</c:v>
          </c:tx>
          <c:spPr>
            <a:ln w="28575">
              <a:noFill/>
            </a:ln>
          </c:spPr>
          <c:marker>
            <c:spPr>
              <a:solidFill>
                <a:srgbClr val="8064A2"/>
              </a:solidFill>
              <a:ln>
                <a:solidFill>
                  <a:srgbClr val="865357"/>
                </a:solidFill>
                <a:prstDash val="solid"/>
              </a:ln>
            </c:spPr>
          </c:marker>
          <c:xVal>
            <c:numRef>
              <c:f>Summary!$A$32:$A$39</c:f>
              <c:numCache>
                <c:formatCode>m/d/yy\ h:mm\ AM/PM</c:formatCode>
                <c:ptCount val="8"/>
                <c:pt idx="0">
                  <c:v>39331.833333333336</c:v>
                </c:pt>
                <c:pt idx="1">
                  <c:v>39332.5</c:v>
                </c:pt>
                <c:pt idx="2">
                  <c:v>39333.166666666664</c:v>
                </c:pt>
                <c:pt idx="3">
                  <c:v>39333.833333333336</c:v>
                </c:pt>
                <c:pt idx="4">
                  <c:v>39334.5</c:v>
                </c:pt>
                <c:pt idx="5">
                  <c:v>39335.166666666664</c:v>
                </c:pt>
                <c:pt idx="6">
                  <c:v>39335.833333333336</c:v>
                </c:pt>
                <c:pt idx="7">
                  <c:v>39336.5</c:v>
                </c:pt>
              </c:numCache>
            </c:numRef>
          </c:xVal>
          <c:yVal>
            <c:numRef>
              <c:f>Summary!$K$32:$K$39</c:f>
              <c:numCache>
                <c:formatCode>General</c:formatCode>
                <c:ptCount val="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</c:numCache>
            </c:numRef>
          </c:yVal>
        </c:ser>
        <c:ser>
          <c:idx val="4"/>
          <c:order val="4"/>
          <c:tx>
            <c:v>Gamma</c:v>
          </c:tx>
          <c:spPr>
            <a:ln w="25400">
              <a:solidFill>
                <a:srgbClr val="CC99FF"/>
              </a:solidFill>
              <a:prstDash val="sysDash"/>
            </a:ln>
          </c:spPr>
          <c:marker>
            <c:spPr>
              <a:solidFill>
                <a:srgbClr val="B3A2C7"/>
              </a:solidFill>
              <a:ln>
                <a:solidFill>
                  <a:srgbClr val="CC99FF"/>
                </a:solidFill>
                <a:prstDash val="solid"/>
              </a:ln>
            </c:spPr>
          </c:marker>
          <c:xVal>
            <c:numRef>
              <c:f>Summary!$A$32:$A$39</c:f>
              <c:numCache>
                <c:formatCode>m/d/yy\ h:mm\ AM/PM</c:formatCode>
                <c:ptCount val="8"/>
                <c:pt idx="0">
                  <c:v>39331.833333333336</c:v>
                </c:pt>
                <c:pt idx="1">
                  <c:v>39332.5</c:v>
                </c:pt>
                <c:pt idx="2">
                  <c:v>39333.166666666664</c:v>
                </c:pt>
                <c:pt idx="3">
                  <c:v>39333.833333333336</c:v>
                </c:pt>
                <c:pt idx="4">
                  <c:v>39334.5</c:v>
                </c:pt>
                <c:pt idx="5">
                  <c:v>39335.166666666664</c:v>
                </c:pt>
                <c:pt idx="6">
                  <c:v>39335.833333333336</c:v>
                </c:pt>
                <c:pt idx="7">
                  <c:v>39336.5</c:v>
                </c:pt>
              </c:numCache>
            </c:numRef>
          </c:xVal>
          <c:yVal>
            <c:numRef>
              <c:f>Summary!$L$32:$L$39</c:f>
              <c:numCache>
                <c:formatCode>General</c:formatCode>
                <c:ptCount val="8"/>
                <c:pt idx="0">
                  <c:v>1</c:v>
                </c:pt>
                <c:pt idx="1">
                  <c:v>1</c:v>
                </c:pt>
                <c:pt idx="2">
                  <c:v>239.45825988222589</c:v>
                </c:pt>
                <c:pt idx="3">
                  <c:v>1</c:v>
                </c:pt>
                <c:pt idx="4">
                  <c:v>12.055469884387144</c:v>
                </c:pt>
                <c:pt idx="5">
                  <c:v>36.722203198704037</c:v>
                </c:pt>
                <c:pt idx="6">
                  <c:v>1</c:v>
                </c:pt>
                <c:pt idx="7">
                  <c:v>1</c:v>
                </c:pt>
              </c:numCache>
            </c:numRef>
          </c:yVal>
        </c:ser>
        <c:axId val="42571648"/>
        <c:axId val="42586112"/>
      </c:scatterChart>
      <c:valAx>
        <c:axId val="42571648"/>
        <c:scaling>
          <c:orientation val="minMax"/>
          <c:max val="39340"/>
          <c:min val="39331"/>
        </c:scaling>
        <c:axPos val="b"/>
        <c:numFmt formatCode="m/d/yy\ h:mm\ AM/PM" sourceLinked="1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42586112"/>
        <c:crosses val="autoZero"/>
        <c:crossBetween val="midCat"/>
        <c:majorUnit val="4"/>
        <c:minorUnit val="0.1"/>
      </c:valAx>
      <c:valAx>
        <c:axId val="42586112"/>
        <c:scaling>
          <c:logBase val="10"/>
          <c:orientation val="minMax"/>
        </c:scaling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Copies per liter</a:t>
                </a:r>
              </a:p>
            </c:rich>
          </c:tx>
          <c:layout/>
          <c:spPr>
            <a:noFill/>
            <a:ln w="25400">
              <a:noFill/>
            </a:ln>
          </c:spPr>
        </c:title>
        <c:numFmt formatCode="0.E+00" sourceLinked="0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42571648"/>
        <c:crosses val="autoZero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83778914952092121"/>
          <c:y val="0.35564384224379192"/>
          <c:w val="0.15115227780135432"/>
          <c:h val="0.29790093058797334"/>
        </c:manualLayout>
      </c:layout>
      <c:spPr>
        <a:noFill/>
        <a:ln w="25400">
          <a:noFill/>
        </a:ln>
      </c:spPr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177800</xdr:colOff>
      <xdr:row>86</xdr:row>
      <xdr:rowOff>133350</xdr:rowOff>
    </xdr:from>
    <xdr:to>
      <xdr:col>13</xdr:col>
      <xdr:colOff>304800</xdr:colOff>
      <xdr:row>114</xdr:row>
      <xdr:rowOff>0</xdr:rowOff>
    </xdr:to>
    <xdr:graphicFrame macro="">
      <xdr:nvGraphicFramePr>
        <xdr:cNvPr id="827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12700</xdr:colOff>
      <xdr:row>87</xdr:row>
      <xdr:rowOff>133350</xdr:rowOff>
    </xdr:from>
    <xdr:to>
      <xdr:col>21</xdr:col>
      <xdr:colOff>933450</xdr:colOff>
      <xdr:row>115</xdr:row>
      <xdr:rowOff>12700</xdr:rowOff>
    </xdr:to>
    <xdr:graphicFrame macro="">
      <xdr:nvGraphicFramePr>
        <xdr:cNvPr id="827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425450</xdr:colOff>
      <xdr:row>45</xdr:row>
      <xdr:rowOff>133350</xdr:rowOff>
    </xdr:from>
    <xdr:to>
      <xdr:col>7</xdr:col>
      <xdr:colOff>107950</xdr:colOff>
      <xdr:row>72</xdr:row>
      <xdr:rowOff>88900</xdr:rowOff>
    </xdr:to>
    <xdr:graphicFrame macro="">
      <xdr:nvGraphicFramePr>
        <xdr:cNvPr id="8273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D86"/>
  <sheetViews>
    <sheetView tabSelected="1" topLeftCell="A25" workbookViewId="0">
      <selection activeCell="A53" sqref="A53"/>
    </sheetView>
  </sheetViews>
  <sheetFormatPr defaultColWidth="11.07421875" defaultRowHeight="13.5"/>
  <cols>
    <col min="1" max="1" width="19.53515625" customWidth="1"/>
    <col min="3" max="3" width="20.84375" customWidth="1"/>
    <col min="4" max="4" width="15" customWidth="1"/>
    <col min="5" max="5" width="15.3046875" customWidth="1"/>
    <col min="6" max="6" width="13.69140625" customWidth="1"/>
    <col min="7" max="7" width="11.3828125" bestFit="1" customWidth="1"/>
    <col min="8" max="12" width="13.69140625" customWidth="1"/>
    <col min="13" max="13" width="19.69140625" customWidth="1"/>
    <col min="14" max="14" width="6.84375" customWidth="1"/>
    <col min="15" max="15" width="11" customWidth="1"/>
    <col min="18" max="18" width="6.53515625" customWidth="1"/>
    <col min="19" max="19" width="6.69140625" customWidth="1"/>
    <col min="20" max="20" width="10" customWidth="1"/>
    <col min="21" max="21" width="12.15234375" customWidth="1"/>
    <col min="22" max="22" width="7.84375" customWidth="1"/>
    <col min="23" max="23" width="15" customWidth="1"/>
    <col min="24" max="24" width="13.15234375" customWidth="1"/>
    <col min="28" max="28" width="8.3046875" customWidth="1"/>
    <col min="29" max="29" width="12" customWidth="1"/>
    <col min="30" max="30" width="16" customWidth="1"/>
  </cols>
  <sheetData>
    <row r="1" spans="1:14">
      <c r="A1" t="s">
        <v>105</v>
      </c>
      <c r="C1" t="s">
        <v>25</v>
      </c>
      <c r="D1" t="s">
        <v>27</v>
      </c>
    </row>
    <row r="2" spans="1:14">
      <c r="C2" t="s">
        <v>26</v>
      </c>
      <c r="D2" t="s">
        <v>28</v>
      </c>
    </row>
    <row r="5" spans="1:14">
      <c r="A5" s="1" t="s">
        <v>34</v>
      </c>
      <c r="B5" s="1"/>
      <c r="C5" s="1" t="s">
        <v>35</v>
      </c>
      <c r="D5" s="1" t="s">
        <v>72</v>
      </c>
      <c r="E5" s="1"/>
      <c r="F5" s="1"/>
      <c r="G5" s="1" t="s">
        <v>73</v>
      </c>
      <c r="H5" s="1" t="s">
        <v>100</v>
      </c>
      <c r="I5" s="1" t="s">
        <v>101</v>
      </c>
      <c r="J5" s="1" t="s">
        <v>102</v>
      </c>
      <c r="K5" s="1" t="s">
        <v>103</v>
      </c>
      <c r="L5" s="1" t="s">
        <v>104</v>
      </c>
      <c r="M5" s="3" t="s">
        <v>3</v>
      </c>
    </row>
    <row r="6" spans="1:14">
      <c r="A6" s="2">
        <v>39329</v>
      </c>
      <c r="B6" s="2"/>
      <c r="C6" s="1" t="s">
        <v>107</v>
      </c>
      <c r="D6" s="1" t="s">
        <v>108</v>
      </c>
      <c r="E6" s="1"/>
      <c r="F6" s="1"/>
      <c r="G6" s="1"/>
      <c r="H6" s="1"/>
      <c r="I6" s="1"/>
      <c r="J6" s="1"/>
      <c r="K6" s="1"/>
      <c r="L6" s="1"/>
      <c r="M6" s="3" t="s">
        <v>4</v>
      </c>
    </row>
    <row r="7" spans="1:14">
      <c r="A7" s="2">
        <v>39330</v>
      </c>
      <c r="B7" s="2"/>
      <c r="C7" s="1" t="s">
        <v>0</v>
      </c>
      <c r="D7" s="1" t="s">
        <v>1</v>
      </c>
      <c r="E7" s="1"/>
      <c r="F7" s="1"/>
      <c r="G7" s="1"/>
      <c r="H7" s="1"/>
      <c r="I7" s="1"/>
      <c r="J7" s="1"/>
      <c r="K7" s="1"/>
      <c r="L7" s="1"/>
      <c r="M7" s="1" t="s">
        <v>5</v>
      </c>
    </row>
    <row r="8" spans="1:14">
      <c r="A8" s="2">
        <v>39331</v>
      </c>
      <c r="B8" s="2" t="s">
        <v>8</v>
      </c>
      <c r="C8" s="1" t="s">
        <v>2</v>
      </c>
      <c r="D8" s="1">
        <v>2000</v>
      </c>
      <c r="E8" s="1"/>
      <c r="F8" s="1"/>
      <c r="G8">
        <f>(200+1150.7)/44.19</f>
        <v>30.565738854944559</v>
      </c>
      <c r="H8" s="23">
        <f>(200+2811.4)/106</f>
        <v>28.409433962264153</v>
      </c>
      <c r="I8" s="1">
        <f>(200+810)/24.6</f>
        <v>41.056910569105689</v>
      </c>
      <c r="J8" s="24">
        <f>(200+1886.8)/58.2</f>
        <v>35.855670103092784</v>
      </c>
      <c r="K8" s="1">
        <v>42</v>
      </c>
      <c r="L8" s="1">
        <v>42</v>
      </c>
      <c r="M8" s="1"/>
      <c r="N8" t="s">
        <v>23</v>
      </c>
    </row>
    <row r="9" spans="1:14">
      <c r="A9" s="2">
        <v>39332</v>
      </c>
      <c r="B9" s="2" t="s">
        <v>10</v>
      </c>
      <c r="C9" s="1"/>
      <c r="D9" s="1"/>
      <c r="E9" s="1"/>
      <c r="F9" s="1"/>
      <c r="G9">
        <f>(200+1105.7)/42.583</f>
        <v>30.662470939107159</v>
      </c>
      <c r="H9">
        <f>(200+2616.6)/98.6</f>
        <v>28.565922920892497</v>
      </c>
      <c r="I9">
        <f>(200+1077.7)/32.107</f>
        <v>39.795060267231449</v>
      </c>
      <c r="J9">
        <f>(200+1993.2)/64.1</f>
        <v>34.215288611544459</v>
      </c>
      <c r="K9" s="1">
        <v>42</v>
      </c>
      <c r="L9" s="1">
        <v>42</v>
      </c>
      <c r="M9" s="1"/>
      <c r="N9" t="s">
        <v>24</v>
      </c>
    </row>
    <row r="10" spans="1:14">
      <c r="A10" s="2">
        <v>39333</v>
      </c>
      <c r="B10" s="2" t="s">
        <v>12</v>
      </c>
      <c r="C10" s="1"/>
      <c r="D10" s="1"/>
      <c r="E10" s="1"/>
      <c r="F10" s="1"/>
      <c r="G10">
        <f>(200+885.4)/34.029</f>
        <v>31.896323723882571</v>
      </c>
      <c r="H10">
        <f>(200+2634.3)/97.9</f>
        <v>28.95097037793667</v>
      </c>
      <c r="I10">
        <f>(200+1184.1)/38.429</f>
        <v>36.017070441593582</v>
      </c>
      <c r="J10">
        <f>(200+3605.2)/133.2</f>
        <v>28.567567567567568</v>
      </c>
      <c r="K10" s="1">
        <v>42</v>
      </c>
      <c r="L10">
        <v>36.306451612903217</v>
      </c>
      <c r="M10" s="1"/>
    </row>
    <row r="11" spans="1:14">
      <c r="A11" s="2">
        <v>39333</v>
      </c>
      <c r="B11" s="2" t="s">
        <v>8</v>
      </c>
      <c r="C11" s="1"/>
      <c r="D11" s="1"/>
      <c r="E11" s="1"/>
      <c r="F11" s="1"/>
      <c r="G11">
        <f>(200+1084.3)/40.714</f>
        <v>31.544431890750111</v>
      </c>
      <c r="H11">
        <f>(200+2501.2)/74.4</f>
        <v>36.306451612903217</v>
      </c>
      <c r="I11">
        <f>(200+453.7)/14.107</f>
        <v>46.338697100730137</v>
      </c>
      <c r="J11">
        <f>(200+3066.8)/103.6</f>
        <v>31.532818532818535</v>
      </c>
      <c r="K11" s="1">
        <v>42</v>
      </c>
      <c r="L11" s="1">
        <v>42</v>
      </c>
      <c r="M11" s="1"/>
    </row>
    <row r="12" spans="1:14">
      <c r="A12" s="2">
        <v>39334</v>
      </c>
      <c r="B12" s="2" t="s">
        <v>10</v>
      </c>
      <c r="C12" s="1"/>
      <c r="D12" s="1"/>
      <c r="E12" s="1"/>
      <c r="F12" s="1"/>
      <c r="G12">
        <f>(200+1128.7)/41.971</f>
        <v>31.657573086178555</v>
      </c>
      <c r="H12">
        <f>(200+1350.6)/40.25</f>
        <v>38.524223602484469</v>
      </c>
      <c r="I12">
        <v>42</v>
      </c>
      <c r="J12">
        <f>(200+2558.2)/94.6</f>
        <v>29.15644820295983</v>
      </c>
      <c r="K12" s="1">
        <v>42</v>
      </c>
      <c r="L12">
        <f>(200+1284.9)/36.3</f>
        <v>40.906336088154276</v>
      </c>
      <c r="M12" s="1"/>
    </row>
    <row r="13" spans="1:14">
      <c r="A13" s="2">
        <v>39335</v>
      </c>
      <c r="B13" s="2" t="s">
        <v>12</v>
      </c>
      <c r="C13" s="1"/>
      <c r="D13" s="1"/>
      <c r="E13" s="1"/>
      <c r="F13" s="1"/>
      <c r="G13">
        <f>(200+1390.3)/51.029</f>
        <v>31.164631875992079</v>
      </c>
      <c r="H13">
        <f>(200+2325.3)/68.286</f>
        <v>36.981226019974812</v>
      </c>
      <c r="I13">
        <f>(200+600.6)/19</f>
        <v>42.136842105263156</v>
      </c>
      <c r="J13">
        <f>(200+2573.8)/93.6</f>
        <v>29.634615384615387</v>
      </c>
      <c r="K13" s="1"/>
      <c r="L13">
        <f>(200+1881.1)/53.1</f>
        <v>39.192090395480221</v>
      </c>
      <c r="M13" s="1"/>
    </row>
    <row r="14" spans="1:14">
      <c r="A14" s="2">
        <v>39335</v>
      </c>
      <c r="B14" s="2" t="s">
        <v>8</v>
      </c>
      <c r="C14" s="1"/>
      <c r="D14" s="1"/>
      <c r="E14" s="1"/>
      <c r="F14" s="1"/>
      <c r="G14">
        <f>(200+1166.5)/45.6</f>
        <v>29.967105263157894</v>
      </c>
      <c r="H14">
        <f>(200+2308.5)/72.107</f>
        <v>34.788578085345392</v>
      </c>
      <c r="I14" s="1">
        <v>42</v>
      </c>
      <c r="J14">
        <f>(200+2139.4)/78.1</f>
        <v>29.953905249679902</v>
      </c>
      <c r="K14" s="1">
        <v>42</v>
      </c>
      <c r="L14" s="1">
        <v>42</v>
      </c>
      <c r="M14" s="1"/>
    </row>
    <row r="15" spans="1:14">
      <c r="A15" s="2">
        <v>39336</v>
      </c>
      <c r="B15" s="2" t="s">
        <v>10</v>
      </c>
      <c r="C15" s="1"/>
      <c r="D15" s="1"/>
      <c r="E15" s="1"/>
      <c r="F15" s="1"/>
      <c r="G15">
        <f>(200+971.6)/38.4</f>
        <v>30.510416666666664</v>
      </c>
      <c r="H15">
        <f>(200+3844.8)/121.43</f>
        <v>33.309725767932143</v>
      </c>
      <c r="I15" s="1"/>
      <c r="J15">
        <f>(200+1958)/71.4</f>
        <v>30.224089635854341</v>
      </c>
      <c r="K15" s="1">
        <v>42</v>
      </c>
      <c r="L15" s="1">
        <v>42</v>
      </c>
      <c r="M15" s="1"/>
    </row>
    <row r="16" spans="1:14">
      <c r="A16" s="2">
        <v>39337</v>
      </c>
      <c r="B16" s="2" t="s">
        <v>12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>
      <c r="A17" s="2">
        <v>39337</v>
      </c>
      <c r="B17" s="2" t="s">
        <v>7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>
      <c r="A18" s="2">
        <v>39338</v>
      </c>
      <c r="B18" s="2" t="s">
        <v>9</v>
      </c>
      <c r="C18" s="3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>
      <c r="A19" s="2">
        <v>39339</v>
      </c>
      <c r="B19" s="2" t="s">
        <v>11</v>
      </c>
      <c r="C19" s="3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>
      <c r="A20" s="2">
        <v>39339</v>
      </c>
      <c r="B20" s="2" t="s">
        <v>7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>
      <c r="A21" s="2">
        <v>39340</v>
      </c>
      <c r="B21" s="2" t="s">
        <v>9</v>
      </c>
      <c r="C21" s="3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>
      <c r="A22" s="2">
        <v>39341</v>
      </c>
      <c r="B22" s="2" t="s">
        <v>11</v>
      </c>
      <c r="C22" s="3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>
      <c r="A23" s="2">
        <v>39341</v>
      </c>
      <c r="B23" s="27" t="s">
        <v>6</v>
      </c>
      <c r="C23" s="28"/>
      <c r="D23" s="29"/>
      <c r="E23" s="29"/>
      <c r="F23" s="29"/>
      <c r="G23" s="29"/>
      <c r="H23" s="29"/>
      <c r="I23" s="29"/>
      <c r="J23" s="29"/>
      <c r="K23" s="29"/>
      <c r="L23" s="29"/>
      <c r="M23" s="29"/>
    </row>
    <row r="24" spans="1:13">
      <c r="A24" s="2">
        <v>39342</v>
      </c>
      <c r="B24" s="27" t="s">
        <v>10</v>
      </c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</row>
    <row r="25" spans="1:13">
      <c r="A25" t="s">
        <v>36</v>
      </c>
    </row>
    <row r="27" spans="1:13">
      <c r="H27" s="19" t="s">
        <v>19</v>
      </c>
      <c r="I27" s="6" t="s">
        <v>17</v>
      </c>
      <c r="K27" t="s">
        <v>21</v>
      </c>
    </row>
    <row r="28" spans="1:13">
      <c r="A28" t="s">
        <v>106</v>
      </c>
      <c r="G28" t="s">
        <v>29</v>
      </c>
      <c r="H28" s="6" t="s">
        <v>13</v>
      </c>
      <c r="J28" t="s">
        <v>20</v>
      </c>
      <c r="L28" t="s">
        <v>98</v>
      </c>
    </row>
    <row r="29" spans="1:13">
      <c r="A29" s="1"/>
      <c r="B29" s="1"/>
      <c r="C29" s="3"/>
      <c r="D29" s="3"/>
      <c r="E29" s="3" t="s">
        <v>74</v>
      </c>
      <c r="F29" s="3" t="s">
        <v>75</v>
      </c>
      <c r="G29" s="3" t="s">
        <v>73</v>
      </c>
      <c r="H29" s="3" t="s">
        <v>18</v>
      </c>
      <c r="I29" s="3" t="s">
        <v>101</v>
      </c>
      <c r="J29" s="3" t="s">
        <v>102</v>
      </c>
      <c r="K29" s="3" t="s">
        <v>103</v>
      </c>
      <c r="L29" s="3" t="s">
        <v>104</v>
      </c>
      <c r="M29" s="3" t="s">
        <v>3</v>
      </c>
    </row>
    <row r="30" spans="1:13">
      <c r="A30" s="26">
        <v>39329</v>
      </c>
      <c r="B30" s="2"/>
      <c r="C30" s="3"/>
      <c r="D30" s="3">
        <v>50</v>
      </c>
      <c r="E30" s="5">
        <f>D30/1.5*((0.25/0.475)*0.4)</f>
        <v>7.0175438596491233</v>
      </c>
      <c r="F30" s="5">
        <f>E30/0.06*0.006</f>
        <v>0.70175438596491235</v>
      </c>
      <c r="G30" s="3" t="s">
        <v>14</v>
      </c>
      <c r="I30" s="3"/>
      <c r="J30" s="3"/>
      <c r="K30" s="3"/>
      <c r="L30" s="3"/>
      <c r="M30" s="3" t="s">
        <v>95</v>
      </c>
    </row>
    <row r="31" spans="1:13">
      <c r="A31" s="26">
        <v>39330</v>
      </c>
      <c r="B31" s="2"/>
      <c r="C31" s="3"/>
      <c r="D31" s="3">
        <v>50</v>
      </c>
      <c r="E31" s="5">
        <f>D31/1.5*((0.25/0.475)*0.4)</f>
        <v>7.0175438596491233</v>
      </c>
      <c r="F31" s="5">
        <f>E31/0.06*0.006</f>
        <v>0.70175438596491235</v>
      </c>
      <c r="G31" s="3" t="s">
        <v>15</v>
      </c>
      <c r="H31" s="3"/>
      <c r="I31" s="3"/>
      <c r="J31" s="3"/>
      <c r="K31" s="3"/>
      <c r="L31" s="3"/>
      <c r="M31" s="3" t="s">
        <v>95</v>
      </c>
    </row>
    <row r="32" spans="1:13">
      <c r="A32" s="26">
        <v>39331.833333333336</v>
      </c>
      <c r="B32" s="2"/>
      <c r="C32" s="3"/>
      <c r="D32" s="3">
        <v>2000</v>
      </c>
      <c r="E32" s="5">
        <f>D32/1.5*((0.25/0.475)*0.4)</f>
        <v>280.70175438596488</v>
      </c>
      <c r="F32" s="5">
        <f>E32/0.06*0.006</f>
        <v>28.070175438596486</v>
      </c>
      <c r="G32" s="3" t="s">
        <v>14</v>
      </c>
      <c r="H32" s="3">
        <f t="shared" ref="H32:H46" si="0">3000*(10^((H8-40.638)/-3.489))/$F32</f>
        <v>341796.42146451032</v>
      </c>
      <c r="I32" s="3">
        <f>3000*(10^((I8-41.959)/-3.5173))/$F32</f>
        <v>192.90712121212127</v>
      </c>
      <c r="J32" s="3">
        <f t="shared" ref="J32:J46" si="1">3000*(10^((J8-43.287)/-3.3939))/$F32</f>
        <v>16538.260032262853</v>
      </c>
      <c r="K32" s="20">
        <v>1</v>
      </c>
      <c r="L32" s="20">
        <v>1</v>
      </c>
      <c r="M32" s="3" t="s">
        <v>95</v>
      </c>
    </row>
    <row r="33" spans="1:13">
      <c r="A33" s="26">
        <v>39332.5</v>
      </c>
      <c r="B33" s="2"/>
      <c r="C33" s="3"/>
      <c r="D33" s="3">
        <v>2000</v>
      </c>
      <c r="E33" s="5">
        <f t="shared" ref="E33:E48" si="2">D33/1.5*((0.25/0.475)*0.4)</f>
        <v>280.70175438596488</v>
      </c>
      <c r="F33" s="5">
        <f t="shared" ref="F33:F48" si="3">E33/0.06*0.006</f>
        <v>28.070175438596486</v>
      </c>
      <c r="G33" s="3" t="s">
        <v>14</v>
      </c>
      <c r="H33" s="3">
        <f t="shared" si="0"/>
        <v>308258.75261007121</v>
      </c>
      <c r="I33" s="3">
        <f>3000*(10^((I9-41.959)/-3.5173))/$F33</f>
        <v>440.66001114930071</v>
      </c>
      <c r="J33" s="3">
        <f t="shared" si="1"/>
        <v>50329.442028903737</v>
      </c>
      <c r="K33" s="20">
        <v>1</v>
      </c>
      <c r="L33" s="20">
        <v>1</v>
      </c>
      <c r="M33" s="3" t="s">
        <v>94</v>
      </c>
    </row>
    <row r="34" spans="1:13">
      <c r="A34" s="26">
        <v>39333.166666666664</v>
      </c>
      <c r="B34" s="2"/>
      <c r="C34" s="3"/>
      <c r="D34" s="3">
        <v>2000</v>
      </c>
      <c r="E34" s="5">
        <f t="shared" si="2"/>
        <v>280.70175438596488</v>
      </c>
      <c r="F34" s="5">
        <f t="shared" si="3"/>
        <v>28.070175438596486</v>
      </c>
      <c r="G34" s="3" t="s">
        <v>14</v>
      </c>
      <c r="H34" s="3">
        <f t="shared" si="0"/>
        <v>239086.47584537428</v>
      </c>
      <c r="I34" s="3">
        <f>3000*(10^((I10-41.959)/-3.5173))/$F34</f>
        <v>5226.610075828522</v>
      </c>
      <c r="J34" s="25">
        <f t="shared" si="1"/>
        <v>2322213.2335138721</v>
      </c>
      <c r="K34" s="20">
        <v>1</v>
      </c>
      <c r="L34" s="22">
        <f>3000*(10^((L10-37.548)/-3.5437))/$F34</f>
        <v>239.45825988222589</v>
      </c>
      <c r="M34" s="3" t="s">
        <v>89</v>
      </c>
    </row>
    <row r="35" spans="1:13">
      <c r="A35" s="26">
        <v>39333.833333333336</v>
      </c>
      <c r="B35" s="2"/>
      <c r="C35" s="3"/>
      <c r="D35" s="3">
        <v>2000</v>
      </c>
      <c r="E35" s="5">
        <f t="shared" si="2"/>
        <v>280.70175438596488</v>
      </c>
      <c r="F35" s="5">
        <f t="shared" si="3"/>
        <v>28.070175438596486</v>
      </c>
      <c r="G35" s="3" t="s">
        <v>22</v>
      </c>
      <c r="H35" s="3">
        <f t="shared" si="0"/>
        <v>1863.6450395691513</v>
      </c>
      <c r="I35" s="3">
        <f>3000*(10^((I11-41.959)/-3.5173))/$F35</f>
        <v>6.076995036507391</v>
      </c>
      <c r="J35" s="3">
        <f t="shared" si="1"/>
        <v>310600.34795606922</v>
      </c>
      <c r="K35" s="20">
        <v>1</v>
      </c>
      <c r="L35" s="20">
        <v>1</v>
      </c>
      <c r="M35" s="3" t="s">
        <v>89</v>
      </c>
    </row>
    <row r="36" spans="1:13">
      <c r="A36" s="26">
        <v>39334.5</v>
      </c>
      <c r="B36" s="2"/>
      <c r="C36" s="3"/>
      <c r="D36" s="3">
        <v>2000</v>
      </c>
      <c r="E36" s="5">
        <f t="shared" si="2"/>
        <v>280.70175438596488</v>
      </c>
      <c r="F36" s="5">
        <f t="shared" si="3"/>
        <v>28.070175438596486</v>
      </c>
      <c r="G36" s="3" t="s">
        <v>14</v>
      </c>
      <c r="H36" s="3">
        <f t="shared" si="0"/>
        <v>431.23729227732184</v>
      </c>
      <c r="I36" s="3">
        <v>1</v>
      </c>
      <c r="J36" s="3">
        <f t="shared" si="1"/>
        <v>1557365.7119268973</v>
      </c>
      <c r="K36" s="20">
        <v>1</v>
      </c>
      <c r="L36" s="22">
        <f>3000*(10^((L12-37.548)/-3.5437))/$F36</f>
        <v>12.055469884387144</v>
      </c>
      <c r="M36" s="3" t="s">
        <v>89</v>
      </c>
    </row>
    <row r="37" spans="1:13">
      <c r="A37" s="26">
        <v>39335.166666666664</v>
      </c>
      <c r="B37" s="2"/>
      <c r="C37" s="3"/>
      <c r="D37" s="3">
        <v>2000</v>
      </c>
      <c r="E37" s="5">
        <f t="shared" si="2"/>
        <v>280.70175438596488</v>
      </c>
      <c r="F37" s="5">
        <f t="shared" si="3"/>
        <v>28.070175438596486</v>
      </c>
      <c r="G37" s="3" t="s">
        <v>16</v>
      </c>
      <c r="H37" s="3">
        <f t="shared" si="0"/>
        <v>1193.885505870308</v>
      </c>
      <c r="I37" s="3">
        <f>3000*(10^((I13-41.959)/-3.5173))/$F37</f>
        <v>95.129238207511676</v>
      </c>
      <c r="J37" s="3">
        <f t="shared" si="1"/>
        <v>1125901.5805548846</v>
      </c>
      <c r="K37" s="3">
        <v>1</v>
      </c>
      <c r="L37" s="22">
        <f>3000*(10^((L13-37.548)/-3.5437))/$F37</f>
        <v>36.722203198704037</v>
      </c>
      <c r="M37" s="3" t="s">
        <v>89</v>
      </c>
    </row>
    <row r="38" spans="1:13">
      <c r="A38" s="26">
        <v>39335.833333333336</v>
      </c>
      <c r="B38" s="2"/>
      <c r="C38" s="3"/>
      <c r="D38" s="3">
        <v>2000</v>
      </c>
      <c r="E38" s="5">
        <f t="shared" si="2"/>
        <v>280.70175438596488</v>
      </c>
      <c r="F38" s="5">
        <f t="shared" si="3"/>
        <v>28.070175438596486</v>
      </c>
      <c r="G38" s="3"/>
      <c r="H38" s="3">
        <f t="shared" si="0"/>
        <v>5074.6796780786717</v>
      </c>
      <c r="I38" s="3">
        <f>3000*(10^((I14-41.959)/-3.5173))/$F38</f>
        <v>104.04457948689978</v>
      </c>
      <c r="J38" s="3">
        <f t="shared" si="1"/>
        <v>906614.91340709478</v>
      </c>
      <c r="K38" s="20">
        <v>1</v>
      </c>
      <c r="L38" s="22">
        <v>1</v>
      </c>
      <c r="M38" s="3" t="s">
        <v>33</v>
      </c>
    </row>
    <row r="39" spans="1:13">
      <c r="A39" s="26">
        <v>39336.5</v>
      </c>
      <c r="B39" s="2"/>
      <c r="C39" s="3"/>
      <c r="D39" s="3">
        <v>2000</v>
      </c>
      <c r="E39" s="5">
        <f t="shared" si="2"/>
        <v>280.70175438596488</v>
      </c>
      <c r="F39" s="5">
        <f t="shared" si="3"/>
        <v>28.070175438596486</v>
      </c>
      <c r="G39" s="3"/>
      <c r="H39" s="3">
        <f t="shared" si="0"/>
        <v>13466.973432935543</v>
      </c>
      <c r="I39" s="3">
        <v>1</v>
      </c>
      <c r="J39" s="3">
        <f t="shared" si="1"/>
        <v>754768.96655980323</v>
      </c>
      <c r="K39" s="20">
        <v>1</v>
      </c>
      <c r="L39" s="22">
        <v>1</v>
      </c>
      <c r="M39" s="3" t="s">
        <v>33</v>
      </c>
    </row>
    <row r="40" spans="1:13">
      <c r="A40" s="26">
        <v>39337.166666666664</v>
      </c>
      <c r="B40" s="2"/>
      <c r="C40" s="3"/>
      <c r="D40" s="3">
        <v>2000</v>
      </c>
      <c r="E40" s="5">
        <f t="shared" si="2"/>
        <v>280.70175438596488</v>
      </c>
      <c r="F40" s="5">
        <f t="shared" si="3"/>
        <v>28.070175438596486</v>
      </c>
      <c r="G40" s="3"/>
      <c r="H40" s="3">
        <f t="shared" si="0"/>
        <v>47461295041115.984</v>
      </c>
      <c r="I40" s="3">
        <f t="shared" ref="I40:I46" si="4">3000*(10^((I16-41.959)/-3.5173))/$F40</f>
        <v>90823223863410.422</v>
      </c>
      <c r="J40" s="3">
        <f t="shared" si="1"/>
        <v>607057077070294.62</v>
      </c>
      <c r="K40" s="3">
        <f t="shared" ref="K40:K46" si="5">3000*(10^((K16-38.426)/-3.2702))/$F40</f>
        <v>60148913682473.992</v>
      </c>
      <c r="L40" s="22">
        <f t="shared" ref="L40:L46" si="6">3000*(10^((L16-37.548)/-3.5437))/$F40</f>
        <v>4212900302745.0825</v>
      </c>
      <c r="M40" s="3" t="s">
        <v>94</v>
      </c>
    </row>
    <row r="41" spans="1:13">
      <c r="A41" s="26">
        <v>39337.833333333336</v>
      </c>
      <c r="B41" s="2"/>
      <c r="C41" s="3"/>
      <c r="D41" s="3">
        <v>2000</v>
      </c>
      <c r="E41" s="5">
        <f t="shared" si="2"/>
        <v>280.70175438596488</v>
      </c>
      <c r="F41" s="5">
        <f t="shared" si="3"/>
        <v>28.070175438596486</v>
      </c>
      <c r="G41" s="3"/>
      <c r="H41" s="3">
        <f t="shared" si="0"/>
        <v>47461295041115.984</v>
      </c>
      <c r="I41" s="3">
        <f t="shared" si="4"/>
        <v>90823223863410.422</v>
      </c>
      <c r="J41" s="3">
        <f t="shared" si="1"/>
        <v>607057077070294.62</v>
      </c>
      <c r="K41" s="3">
        <f t="shared" si="5"/>
        <v>60148913682473.992</v>
      </c>
      <c r="L41" s="22">
        <f t="shared" si="6"/>
        <v>4212900302745.0825</v>
      </c>
      <c r="M41" s="3" t="s">
        <v>89</v>
      </c>
    </row>
    <row r="42" spans="1:13">
      <c r="A42" s="26">
        <v>39338.5</v>
      </c>
      <c r="B42" s="2"/>
      <c r="C42" s="3"/>
      <c r="D42" s="3">
        <v>2000</v>
      </c>
      <c r="E42" s="5">
        <f t="shared" si="2"/>
        <v>280.70175438596488</v>
      </c>
      <c r="F42" s="5">
        <f t="shared" si="3"/>
        <v>28.070175438596486</v>
      </c>
      <c r="G42" s="3"/>
      <c r="H42" s="3">
        <f t="shared" si="0"/>
        <v>47461295041115.984</v>
      </c>
      <c r="I42" s="3">
        <f t="shared" si="4"/>
        <v>90823223863410.422</v>
      </c>
      <c r="J42" s="3">
        <f t="shared" si="1"/>
        <v>607057077070294.62</v>
      </c>
      <c r="K42" s="3">
        <f t="shared" si="5"/>
        <v>60148913682473.992</v>
      </c>
      <c r="L42" s="22">
        <f t="shared" si="6"/>
        <v>4212900302745.0825</v>
      </c>
      <c r="M42" s="3" t="s">
        <v>33</v>
      </c>
    </row>
    <row r="43" spans="1:13">
      <c r="A43" s="26">
        <v>39339.166666666664</v>
      </c>
      <c r="B43" s="2"/>
      <c r="C43" s="3"/>
      <c r="D43" s="3">
        <v>2000</v>
      </c>
      <c r="E43" s="5">
        <f t="shared" si="2"/>
        <v>280.70175438596488</v>
      </c>
      <c r="F43" s="5">
        <f t="shared" si="3"/>
        <v>28.070175438596486</v>
      </c>
      <c r="G43" s="3"/>
      <c r="H43" s="3">
        <f t="shared" si="0"/>
        <v>47461295041115.984</v>
      </c>
      <c r="I43" s="3">
        <f t="shared" si="4"/>
        <v>90823223863410.422</v>
      </c>
      <c r="J43" s="3">
        <f t="shared" si="1"/>
        <v>607057077070294.62</v>
      </c>
      <c r="K43" s="3">
        <f t="shared" si="5"/>
        <v>60148913682473.992</v>
      </c>
      <c r="L43" s="22">
        <f t="shared" si="6"/>
        <v>4212900302745.0825</v>
      </c>
      <c r="M43" s="3" t="s">
        <v>80</v>
      </c>
    </row>
    <row r="44" spans="1:13">
      <c r="A44" s="26">
        <v>39339.833333333336</v>
      </c>
      <c r="B44" s="18"/>
      <c r="C44" s="3"/>
      <c r="D44" s="3">
        <v>2000</v>
      </c>
      <c r="E44" s="5">
        <f t="shared" si="2"/>
        <v>280.70175438596488</v>
      </c>
      <c r="F44" s="5">
        <f t="shared" si="3"/>
        <v>28.070175438596486</v>
      </c>
      <c r="G44" s="3"/>
      <c r="H44" s="3">
        <f t="shared" si="0"/>
        <v>47461295041115.984</v>
      </c>
      <c r="I44" s="3">
        <f t="shared" si="4"/>
        <v>90823223863410.422</v>
      </c>
      <c r="J44" s="3">
        <f t="shared" si="1"/>
        <v>607057077070294.62</v>
      </c>
      <c r="K44" s="3">
        <f t="shared" si="5"/>
        <v>60148913682473.992</v>
      </c>
      <c r="L44" s="22">
        <f t="shared" si="6"/>
        <v>4212900302745.0825</v>
      </c>
      <c r="M44" s="3" t="s">
        <v>33</v>
      </c>
    </row>
    <row r="45" spans="1:13">
      <c r="A45" s="26">
        <v>39340.5</v>
      </c>
      <c r="B45" s="18"/>
      <c r="C45" s="3"/>
      <c r="D45" s="3">
        <v>2000</v>
      </c>
      <c r="E45" s="5">
        <f t="shared" si="2"/>
        <v>280.70175438596488</v>
      </c>
      <c r="F45" s="5">
        <f t="shared" si="3"/>
        <v>28.070175438596486</v>
      </c>
      <c r="G45" s="3"/>
      <c r="H45" s="3">
        <f t="shared" si="0"/>
        <v>47461295041115.984</v>
      </c>
      <c r="I45" s="3">
        <f t="shared" si="4"/>
        <v>90823223863410.422</v>
      </c>
      <c r="J45" s="3">
        <f t="shared" si="1"/>
        <v>607057077070294.62</v>
      </c>
      <c r="K45" s="3">
        <f t="shared" si="5"/>
        <v>60148913682473.992</v>
      </c>
      <c r="L45" s="22">
        <f t="shared" si="6"/>
        <v>4212900302745.0825</v>
      </c>
      <c r="M45" s="3" t="s">
        <v>95</v>
      </c>
    </row>
    <row r="46" spans="1:13">
      <c r="A46" s="26">
        <v>39341.166666666664</v>
      </c>
      <c r="B46" s="18"/>
      <c r="C46" s="3"/>
      <c r="D46" s="3">
        <v>2000</v>
      </c>
      <c r="E46" s="5">
        <f t="shared" si="2"/>
        <v>280.70175438596488</v>
      </c>
      <c r="F46" s="5">
        <f t="shared" si="3"/>
        <v>28.070175438596486</v>
      </c>
      <c r="G46" s="3"/>
      <c r="H46" s="3">
        <f t="shared" si="0"/>
        <v>47461295041115.984</v>
      </c>
      <c r="I46" s="3">
        <f t="shared" si="4"/>
        <v>90823223863410.422</v>
      </c>
      <c r="J46" s="3">
        <f t="shared" si="1"/>
        <v>607057077070294.62</v>
      </c>
      <c r="K46" s="3">
        <f t="shared" si="5"/>
        <v>60148913682473.992</v>
      </c>
      <c r="L46" s="22">
        <f t="shared" si="6"/>
        <v>4212900302745.0825</v>
      </c>
      <c r="M46" s="3" t="s">
        <v>94</v>
      </c>
    </row>
    <row r="47" spans="1:13">
      <c r="A47" s="26">
        <v>39341.833333333336</v>
      </c>
      <c r="B47" s="18"/>
      <c r="C47" s="3"/>
      <c r="D47" s="3">
        <v>2000</v>
      </c>
      <c r="E47" s="5">
        <f t="shared" si="2"/>
        <v>280.70175438596488</v>
      </c>
      <c r="F47" s="5">
        <f t="shared" si="3"/>
        <v>28.070175438596486</v>
      </c>
      <c r="G47" s="3"/>
      <c r="H47" s="3"/>
      <c r="I47" s="3"/>
      <c r="J47" s="3"/>
      <c r="K47" s="3"/>
      <c r="L47" s="3"/>
      <c r="M47" s="3" t="s">
        <v>33</v>
      </c>
    </row>
    <row r="48" spans="1:13">
      <c r="A48" s="26">
        <v>39342.5</v>
      </c>
      <c r="B48" s="18"/>
      <c r="C48" s="3"/>
      <c r="D48" s="3">
        <v>2000</v>
      </c>
      <c r="E48" s="5">
        <f t="shared" si="2"/>
        <v>280.70175438596488</v>
      </c>
      <c r="F48" s="5">
        <f t="shared" si="3"/>
        <v>28.070175438596486</v>
      </c>
      <c r="G48" s="3"/>
      <c r="H48" s="3"/>
      <c r="I48" s="3"/>
      <c r="J48" s="3"/>
      <c r="K48" s="3"/>
      <c r="L48" s="3"/>
      <c r="M48" s="3" t="s">
        <v>32</v>
      </c>
    </row>
    <row r="49" spans="1:30">
      <c r="A49" s="26"/>
      <c r="B49" s="18"/>
      <c r="C49" s="3"/>
      <c r="D49" s="3"/>
      <c r="E49" s="5"/>
      <c r="F49" s="5"/>
      <c r="G49" s="3"/>
      <c r="H49" s="3"/>
      <c r="I49" s="3"/>
      <c r="J49" s="3"/>
      <c r="K49" s="3"/>
      <c r="L49" s="3"/>
      <c r="M49" s="3"/>
    </row>
    <row r="50" spans="1:30">
      <c r="A50" s="26"/>
      <c r="B50" s="18"/>
      <c r="C50" s="3"/>
      <c r="D50" s="3"/>
      <c r="E50" s="5"/>
      <c r="F50" s="5"/>
      <c r="G50" s="3"/>
      <c r="H50" s="3"/>
      <c r="I50" s="3"/>
      <c r="J50" s="3"/>
      <c r="K50" s="3"/>
      <c r="L50" s="3"/>
      <c r="M50" s="3"/>
    </row>
    <row r="51" spans="1:30">
      <c r="A51" s="26"/>
      <c r="B51" s="18"/>
      <c r="C51" s="3"/>
      <c r="D51" s="3"/>
      <c r="E51" s="5"/>
      <c r="F51" s="5"/>
      <c r="G51" s="3"/>
      <c r="H51" s="3"/>
      <c r="I51" s="3"/>
      <c r="J51" s="3"/>
      <c r="K51" s="3"/>
      <c r="L51" s="3"/>
      <c r="M51" s="3"/>
    </row>
    <row r="52" spans="1:30">
      <c r="A52" s="26"/>
      <c r="B52" s="18"/>
      <c r="C52" s="3"/>
      <c r="D52" s="3"/>
      <c r="E52" s="5"/>
      <c r="F52" s="5"/>
      <c r="G52" s="3"/>
      <c r="H52" s="3"/>
      <c r="I52" s="3"/>
      <c r="J52" s="3"/>
      <c r="K52" s="3"/>
      <c r="L52" s="3"/>
      <c r="M52" s="3"/>
    </row>
    <row r="53" spans="1:30">
      <c r="A53" s="26"/>
      <c r="B53" s="18"/>
      <c r="C53" s="3"/>
      <c r="D53" s="3"/>
      <c r="E53" s="5"/>
      <c r="F53" s="5"/>
      <c r="G53" s="3"/>
      <c r="H53" s="3"/>
      <c r="I53" s="3"/>
      <c r="J53" s="3"/>
      <c r="K53" s="3"/>
      <c r="L53" s="3"/>
      <c r="M53" s="3"/>
    </row>
    <row r="54" spans="1:30">
      <c r="A54" s="26"/>
      <c r="B54" s="18"/>
      <c r="C54" s="3"/>
      <c r="D54" s="3"/>
      <c r="E54" s="5"/>
      <c r="F54" s="5"/>
      <c r="G54" s="3"/>
      <c r="H54" s="3"/>
      <c r="I54" s="3"/>
      <c r="J54" s="3"/>
      <c r="K54" s="3"/>
      <c r="L54" s="3"/>
      <c r="M54" s="3"/>
    </row>
    <row r="55" spans="1:30">
      <c r="A55" s="26"/>
      <c r="B55" s="18"/>
      <c r="C55" s="3"/>
      <c r="D55" s="3"/>
      <c r="E55" s="5"/>
      <c r="F55" s="5"/>
      <c r="G55" s="3"/>
      <c r="H55" s="3"/>
      <c r="I55" s="3"/>
      <c r="J55" s="3"/>
      <c r="K55" s="3"/>
      <c r="L55" s="3"/>
      <c r="M55" s="3"/>
    </row>
    <row r="56" spans="1:30">
      <c r="A56" s="26"/>
      <c r="B56" s="18"/>
      <c r="C56" s="3"/>
      <c r="D56" s="3"/>
      <c r="E56" s="5"/>
      <c r="F56" s="5"/>
      <c r="G56" s="3"/>
      <c r="H56" s="3"/>
      <c r="I56" s="3"/>
      <c r="J56" s="3"/>
      <c r="K56" s="3"/>
      <c r="L56" s="3"/>
      <c r="M56" s="3"/>
    </row>
    <row r="57" spans="1:30">
      <c r="A57" s="26"/>
      <c r="B57" s="18"/>
      <c r="C57" s="3"/>
      <c r="D57" s="3"/>
      <c r="E57" s="5"/>
      <c r="F57" s="5"/>
      <c r="G57" s="3"/>
      <c r="H57" s="3"/>
      <c r="I57" s="3"/>
      <c r="J57" s="3"/>
      <c r="K57" s="3"/>
      <c r="L57" s="3"/>
      <c r="M57" s="3"/>
    </row>
    <row r="58" spans="1:30">
      <c r="K58" s="21" t="s">
        <v>97</v>
      </c>
    </row>
    <row r="59" spans="1:30">
      <c r="F59" t="s">
        <v>30</v>
      </c>
      <c r="G59">
        <f>(G53+G40)/2</f>
        <v>0</v>
      </c>
      <c r="H59" t="e">
        <f>STDEV(G53,G40)</f>
        <v>#DIV/0!</v>
      </c>
    </row>
    <row r="60" spans="1:30">
      <c r="F60" t="s">
        <v>31</v>
      </c>
      <c r="G60">
        <f>AVERAGE(G33,G46,G57,G13)</f>
        <v>31.164631875992079</v>
      </c>
      <c r="H60" t="e">
        <f>STDEV(G33,G46,G57,G13)</f>
        <v>#DIV/0!</v>
      </c>
    </row>
    <row r="61" spans="1:30">
      <c r="W61" t="s">
        <v>99</v>
      </c>
    </row>
    <row r="62" spans="1:30">
      <c r="A62" s="1"/>
      <c r="B62" s="1"/>
      <c r="C62" s="1"/>
      <c r="D62" s="3"/>
      <c r="E62" t="s">
        <v>65</v>
      </c>
      <c r="F62" t="s">
        <v>66</v>
      </c>
      <c r="G62" t="s">
        <v>69</v>
      </c>
      <c r="H62" t="s">
        <v>70</v>
      </c>
      <c r="I62" t="s">
        <v>71</v>
      </c>
      <c r="J62" t="s">
        <v>83</v>
      </c>
      <c r="K62" t="s">
        <v>84</v>
      </c>
      <c r="L62" s="3" t="s">
        <v>37</v>
      </c>
      <c r="M62" s="3" t="s">
        <v>38</v>
      </c>
      <c r="N62" s="16" t="s">
        <v>39</v>
      </c>
      <c r="O62" s="3" t="s">
        <v>40</v>
      </c>
      <c r="P62" s="3" t="s">
        <v>41</v>
      </c>
      <c r="Q62" s="3" t="s">
        <v>42</v>
      </c>
      <c r="R62" s="1" t="s">
        <v>73</v>
      </c>
      <c r="S62" s="1" t="s">
        <v>81</v>
      </c>
      <c r="T62" s="1" t="s">
        <v>85</v>
      </c>
      <c r="U62" s="1" t="s">
        <v>88</v>
      </c>
      <c r="V62" s="1" t="s">
        <v>67</v>
      </c>
      <c r="W62" s="1" t="s">
        <v>90</v>
      </c>
      <c r="X62" s="1" t="s">
        <v>91</v>
      </c>
      <c r="Y62" s="1" t="s">
        <v>68</v>
      </c>
      <c r="Z62" s="1" t="s">
        <v>92</v>
      </c>
      <c r="AA62" s="1" t="s">
        <v>93</v>
      </c>
      <c r="AB62" s="1" t="s">
        <v>82</v>
      </c>
      <c r="AC62" s="3" t="s">
        <v>86</v>
      </c>
      <c r="AD62" s="3" t="s">
        <v>87</v>
      </c>
    </row>
    <row r="63" spans="1:30" ht="15.5">
      <c r="A63" s="2">
        <v>38485</v>
      </c>
      <c r="B63" s="2"/>
      <c r="C63" s="1"/>
      <c r="D63" s="7" t="s">
        <v>43</v>
      </c>
      <c r="E63" s="8">
        <v>38485.383761574078</v>
      </c>
      <c r="F63" s="8">
        <v>38485.386319444442</v>
      </c>
      <c r="G63" s="11">
        <f t="shared" ref="G63:G84" si="7">(I63-H63)*24*60</f>
        <v>3.6833333456888795</v>
      </c>
      <c r="H63" s="12">
        <f t="shared" ref="H63:H84" si="8">(YEAR(E63)-2009+100)*1000+E63-DATE(YEAR(E63),"01","01")-99999</f>
        <v>134.38376157407765</v>
      </c>
      <c r="I63" s="12">
        <f t="shared" ref="I63:I84" si="9">(YEAR(F63)-2009+100)*1000+F63-DATE(YEAR(F63),"01","01")-99999</f>
        <v>134.3863194444566</v>
      </c>
      <c r="J63" s="1">
        <v>50</v>
      </c>
      <c r="K63" s="4">
        <f>J63/1.3*((0.25/0.475)*0.4)</f>
        <v>8.097165991902834</v>
      </c>
      <c r="L63" s="5">
        <v>94.047799999999995</v>
      </c>
      <c r="M63" s="5">
        <v>10.208</v>
      </c>
      <c r="N63" s="16">
        <v>33.924700000000001</v>
      </c>
      <c r="O63" s="5">
        <v>3.7612999999999999</v>
      </c>
      <c r="P63" s="5">
        <v>9.8071000000000002</v>
      </c>
      <c r="Q63" s="15">
        <v>24.04</v>
      </c>
      <c r="R63" s="1">
        <v>36.5</v>
      </c>
      <c r="S63" s="1">
        <v>29.1</v>
      </c>
      <c r="T63" s="13">
        <f>10^((S63-40.269)/-3.8646)</f>
        <v>776.38865433597982</v>
      </c>
      <c r="U63" s="13">
        <f>T63*60/$K63*1000</f>
        <v>5753039.9286296107</v>
      </c>
      <c r="V63" s="1">
        <v>46</v>
      </c>
      <c r="W63" s="13">
        <f>10^((V63-41.862)/-3.1259)</f>
        <v>4.7448364606737015E-2</v>
      </c>
      <c r="X63" s="13">
        <f>W63*60/$K63*1000</f>
        <v>351.59238173592126</v>
      </c>
      <c r="Y63" s="1">
        <v>44.5</v>
      </c>
      <c r="Z63" s="13">
        <f>2.717281828^((Y63-51.274)/-1.4923)</f>
        <v>93.469158398677621</v>
      </c>
      <c r="AA63" s="13">
        <f>Z63*60/K63*1000</f>
        <v>692606.46373420116</v>
      </c>
      <c r="AB63" s="1">
        <v>28.7</v>
      </c>
      <c r="AC63" s="13">
        <f>10^((AB63-41.862)/-3.1259)</f>
        <v>16241.544984201921</v>
      </c>
      <c r="AD63" s="13">
        <f>AC63*60/K63*1000</f>
        <v>120349848.33293623</v>
      </c>
    </row>
    <row r="64" spans="1:30" ht="15.5">
      <c r="A64" s="2">
        <v>38486</v>
      </c>
      <c r="B64" s="2"/>
      <c r="C64" s="1"/>
      <c r="D64" s="3" t="s">
        <v>44</v>
      </c>
      <c r="E64" s="9">
        <v>38486.379861111112</v>
      </c>
      <c r="F64" s="9">
        <v>38486.412499999999</v>
      </c>
      <c r="G64" s="11">
        <f t="shared" si="7"/>
        <v>47.000000006519258</v>
      </c>
      <c r="H64" s="12">
        <f t="shared" si="8"/>
        <v>135.3798611111124</v>
      </c>
      <c r="I64" s="12">
        <f t="shared" si="9"/>
        <v>135.41250000000582</v>
      </c>
      <c r="J64" s="1">
        <v>2000</v>
      </c>
      <c r="K64" s="4">
        <f>J64/1.5*((0.25/0.475)*0.4)</f>
        <v>280.70175438596488</v>
      </c>
      <c r="L64" s="5">
        <v>94.86587999999999</v>
      </c>
      <c r="M64" s="5">
        <v>10.174600000000002</v>
      </c>
      <c r="N64" s="16">
        <v>33.929639999999999</v>
      </c>
      <c r="O64" s="5">
        <v>2.7588200000000001</v>
      </c>
      <c r="P64" s="5">
        <v>9.9889599999999987</v>
      </c>
      <c r="Q64" s="5">
        <v>24.673999999999999</v>
      </c>
      <c r="R64" s="1">
        <v>36.53</v>
      </c>
      <c r="S64" s="1">
        <v>24.6</v>
      </c>
      <c r="T64" s="13">
        <f>10^((S64-40.269)/-3.8646)</f>
        <v>11336.908557992774</v>
      </c>
      <c r="U64" s="13">
        <f>T64*60/$K64*1000</f>
        <v>2423264.2042709556</v>
      </c>
      <c r="V64" s="1">
        <v>46</v>
      </c>
      <c r="W64" s="13">
        <f t="shared" ref="W64:W84" si="10">10^((V64-41.862)/-3.1259)</f>
        <v>4.7448364606737015E-2</v>
      </c>
      <c r="X64" s="13">
        <f t="shared" ref="X64:X79" si="11">W64*60/$K64*1000</f>
        <v>10.142087934690037</v>
      </c>
      <c r="Y64" s="1">
        <v>37.4</v>
      </c>
      <c r="Z64" s="13">
        <f t="shared" ref="Z64:Z84" si="12">2.717281828^((Y64-51.274)/-1.4923)</f>
        <v>10868.645951067279</v>
      </c>
      <c r="AA64" s="13">
        <f t="shared" ref="AA64:AA84" si="13">Z64*60/K64*1000</f>
        <v>2323173.0720406314</v>
      </c>
      <c r="AB64" s="1">
        <v>24.3</v>
      </c>
      <c r="AC64" s="13">
        <f t="shared" ref="AC64:AC84" si="14">10^((AB64-41.862)/-3.1259)</f>
        <v>415166.16471801221</v>
      </c>
      <c r="AD64" s="13">
        <f t="shared" ref="AD64:AD82" si="15">AC64*60/K64*1000</f>
        <v>88741767.708475113</v>
      </c>
    </row>
    <row r="65" spans="1:30" ht="15.5">
      <c r="A65" s="2">
        <v>38487</v>
      </c>
      <c r="B65" s="2"/>
      <c r="C65" s="1"/>
      <c r="D65" s="3" t="s">
        <v>45</v>
      </c>
      <c r="E65" s="9">
        <v>38487.379861111112</v>
      </c>
      <c r="F65" s="9">
        <v>38487.415972222225</v>
      </c>
      <c r="G65" s="11">
        <f t="shared" si="7"/>
        <v>52.000000001862645</v>
      </c>
      <c r="H65" s="12">
        <f t="shared" si="8"/>
        <v>136.3798611111124</v>
      </c>
      <c r="I65" s="12">
        <f t="shared" si="9"/>
        <v>136.41597222222481</v>
      </c>
      <c r="J65" s="1">
        <v>1000</v>
      </c>
      <c r="K65" s="4">
        <f t="shared" ref="K65:K84" si="16">J65/1.5*((0.25/0.475)*0.4)</f>
        <v>140.35087719298244</v>
      </c>
      <c r="L65" s="5">
        <v>87.265340000000009</v>
      </c>
      <c r="M65" s="5">
        <v>10.3462</v>
      </c>
      <c r="N65" s="16">
        <v>33.924680000000002</v>
      </c>
      <c r="O65" s="5">
        <v>6.1036000000000001</v>
      </c>
      <c r="P65" s="5">
        <v>10.328520000000001</v>
      </c>
      <c r="Q65" s="5">
        <v>23.923999999999999</v>
      </c>
      <c r="R65" s="1">
        <v>35.299999999999997</v>
      </c>
      <c r="S65" s="1">
        <v>24.4</v>
      </c>
      <c r="T65" s="13">
        <f t="shared" ref="T65:T84" si="17">10^((S65-40.269)/-3.8646)</f>
        <v>12771.633344406142</v>
      </c>
      <c r="U65" s="13">
        <f t="shared" ref="U65:U84" si="18">T65*60/$K65*1000</f>
        <v>5459873.2547336267</v>
      </c>
      <c r="V65" s="1">
        <v>46</v>
      </c>
      <c r="W65" s="13">
        <f t="shared" si="10"/>
        <v>4.7448364606737015E-2</v>
      </c>
      <c r="X65" s="13">
        <f t="shared" si="11"/>
        <v>20.284175869380075</v>
      </c>
      <c r="Y65" s="1">
        <v>39.6</v>
      </c>
      <c r="Z65" s="13">
        <f t="shared" si="12"/>
        <v>2489.7695678064561</v>
      </c>
      <c r="AA65" s="13">
        <f t="shared" si="13"/>
        <v>1064376.4902372602</v>
      </c>
      <c r="AB65" s="1">
        <v>26</v>
      </c>
      <c r="AC65" s="13">
        <f t="shared" si="14"/>
        <v>118680.28456390633</v>
      </c>
      <c r="AD65" s="13">
        <f t="shared" si="15"/>
        <v>50735821.651069961</v>
      </c>
    </row>
    <row r="66" spans="1:30" ht="15.5">
      <c r="A66" s="2">
        <v>38489</v>
      </c>
      <c r="B66" s="2"/>
      <c r="C66" s="1"/>
      <c r="D66" s="3" t="s">
        <v>46</v>
      </c>
      <c r="E66" s="9">
        <v>38489.379861111112</v>
      </c>
      <c r="F66" s="9">
        <v>38489.419444444444</v>
      </c>
      <c r="G66" s="11">
        <f t="shared" si="7"/>
        <v>56.999999997206032</v>
      </c>
      <c r="H66" s="12">
        <f t="shared" si="8"/>
        <v>138.3798611111124</v>
      </c>
      <c r="I66" s="12">
        <f t="shared" si="9"/>
        <v>138.4194444444438</v>
      </c>
      <c r="J66" s="1">
        <v>1000</v>
      </c>
      <c r="K66" s="4">
        <f t="shared" si="16"/>
        <v>140.35087719298244</v>
      </c>
      <c r="L66" s="5">
        <v>90.332449999999994</v>
      </c>
      <c r="M66" s="5">
        <v>10.679833333333335</v>
      </c>
      <c r="N66" s="16">
        <v>33.959349999999993</v>
      </c>
      <c r="O66" s="5">
        <v>4.6819833333333332</v>
      </c>
      <c r="P66" s="5">
        <v>10.648099999999999</v>
      </c>
      <c r="Q66" s="5">
        <v>24.888333333333335</v>
      </c>
      <c r="R66" s="1">
        <v>34.01</v>
      </c>
      <c r="S66" s="1">
        <v>24.2</v>
      </c>
      <c r="T66" s="13">
        <f t="shared" si="17"/>
        <v>14387.927489187261</v>
      </c>
      <c r="U66" s="13">
        <f t="shared" si="18"/>
        <v>6150839.0016275551</v>
      </c>
      <c r="V66" s="1">
        <v>46</v>
      </c>
      <c r="W66" s="13">
        <f t="shared" si="10"/>
        <v>4.7448364606737015E-2</v>
      </c>
      <c r="X66" s="13">
        <f t="shared" si="11"/>
        <v>20.284175869380075</v>
      </c>
      <c r="Y66" s="1">
        <v>42</v>
      </c>
      <c r="Z66" s="13">
        <f t="shared" si="12"/>
        <v>498.83804442831911</v>
      </c>
      <c r="AA66" s="13">
        <f t="shared" si="13"/>
        <v>213253.26399310643</v>
      </c>
      <c r="AB66" s="1">
        <v>24.5</v>
      </c>
      <c r="AC66" s="13">
        <f t="shared" si="14"/>
        <v>358294.69568382064</v>
      </c>
      <c r="AD66" s="13">
        <f t="shared" si="15"/>
        <v>153170982.40483338</v>
      </c>
    </row>
    <row r="67" spans="1:30" ht="15.5">
      <c r="A67" s="2">
        <v>38490</v>
      </c>
      <c r="B67" s="2"/>
      <c r="C67" s="1" t="s">
        <v>77</v>
      </c>
      <c r="D67" s="3" t="s">
        <v>47</v>
      </c>
      <c r="E67" s="9">
        <v>38490.129861111112</v>
      </c>
      <c r="F67" s="9">
        <v>38490.17083333333</v>
      </c>
      <c r="G67" s="11">
        <f t="shared" si="7"/>
        <v>59.00000000372529</v>
      </c>
      <c r="H67" s="12">
        <f t="shared" si="8"/>
        <v>139.1298611111124</v>
      </c>
      <c r="I67" s="12">
        <f t="shared" si="9"/>
        <v>139.17083333333721</v>
      </c>
      <c r="J67" s="1">
        <v>1000</v>
      </c>
      <c r="K67" s="4">
        <f t="shared" si="16"/>
        <v>140.35087719298244</v>
      </c>
      <c r="L67" s="5">
        <v>89.38896666666669</v>
      </c>
      <c r="M67" s="5">
        <v>10.831333333333333</v>
      </c>
      <c r="N67" s="16">
        <v>33.936883333333334</v>
      </c>
      <c r="O67" s="5">
        <v>6.1417500000000009</v>
      </c>
      <c r="P67" s="5">
        <v>10.601550000000001</v>
      </c>
      <c r="Q67" s="5">
        <v>24.231666666666666</v>
      </c>
      <c r="R67" s="1">
        <v>34.700000000000003</v>
      </c>
      <c r="S67" s="1">
        <v>24</v>
      </c>
      <c r="T67" s="13">
        <f t="shared" si="17"/>
        <v>16208.769219387275</v>
      </c>
      <c r="U67" s="13">
        <f t="shared" si="18"/>
        <v>6929248.8412880609</v>
      </c>
      <c r="V67" s="1">
        <v>46</v>
      </c>
      <c r="W67" s="13">
        <f t="shared" si="10"/>
        <v>4.7448364606737015E-2</v>
      </c>
      <c r="X67" s="13">
        <f t="shared" si="11"/>
        <v>20.284175869380075</v>
      </c>
      <c r="Y67" s="1">
        <v>40.6</v>
      </c>
      <c r="Z67" s="13">
        <f t="shared" si="12"/>
        <v>1274.2148437446599</v>
      </c>
      <c r="AA67" s="13">
        <f t="shared" si="13"/>
        <v>544726.84570084221</v>
      </c>
      <c r="AB67" s="1">
        <v>23.9</v>
      </c>
      <c r="AC67" s="13">
        <f t="shared" si="14"/>
        <v>557423.27516983473</v>
      </c>
      <c r="AD67" s="13">
        <f t="shared" si="15"/>
        <v>238298450.13510439</v>
      </c>
    </row>
    <row r="68" spans="1:30" ht="15.5">
      <c r="A68" s="2">
        <v>38490</v>
      </c>
      <c r="B68" s="2"/>
      <c r="C68" s="1" t="s">
        <v>76</v>
      </c>
      <c r="D68" s="3" t="s">
        <v>48</v>
      </c>
      <c r="E68" s="9">
        <v>38490.838194444441</v>
      </c>
      <c r="F68" s="9">
        <v>38490.880555555559</v>
      </c>
      <c r="G68" s="11">
        <f t="shared" si="7"/>
        <v>61.000000052154064</v>
      </c>
      <c r="H68" s="12">
        <f t="shared" si="8"/>
        <v>139.83819444442634</v>
      </c>
      <c r="I68" s="12">
        <f t="shared" si="9"/>
        <v>139.88055555557366</v>
      </c>
      <c r="J68" s="3">
        <v>1000</v>
      </c>
      <c r="K68" s="4">
        <f t="shared" si="16"/>
        <v>140.35087719298244</v>
      </c>
      <c r="L68" s="5">
        <v>90.959620000000001</v>
      </c>
      <c r="M68" s="5">
        <v>11.472999999999999</v>
      </c>
      <c r="N68" s="16">
        <v>33.811099999999996</v>
      </c>
      <c r="O68" s="5">
        <v>5.2903000000000002</v>
      </c>
      <c r="P68" s="5">
        <v>10.000400000000001</v>
      </c>
      <c r="Q68" s="5">
        <v>23.338000000000001</v>
      </c>
      <c r="R68" s="3">
        <v>35.5</v>
      </c>
      <c r="S68" s="3">
        <v>25.1</v>
      </c>
      <c r="T68" s="13">
        <f t="shared" si="17"/>
        <v>8416.1825662281935</v>
      </c>
      <c r="U68" s="13">
        <f t="shared" si="18"/>
        <v>3597918.0470625535</v>
      </c>
      <c r="V68" s="3">
        <v>46</v>
      </c>
      <c r="W68" s="13">
        <f t="shared" si="10"/>
        <v>4.7448364606737015E-2</v>
      </c>
      <c r="X68" s="13">
        <f t="shared" si="11"/>
        <v>20.284175869380075</v>
      </c>
      <c r="Y68" s="3">
        <v>40.299999999999997</v>
      </c>
      <c r="Z68" s="13">
        <f t="shared" si="12"/>
        <v>1557.8211948012056</v>
      </c>
      <c r="AA68" s="13">
        <f t="shared" si="13"/>
        <v>665968.56077751541</v>
      </c>
      <c r="AB68" s="3">
        <v>23.5</v>
      </c>
      <c r="AC68" s="13">
        <f t="shared" si="14"/>
        <v>748424.92984011001</v>
      </c>
      <c r="AD68" s="13">
        <f t="shared" si="15"/>
        <v>319951657.50664705</v>
      </c>
    </row>
    <row r="69" spans="1:30" ht="15.5">
      <c r="A69" s="2">
        <v>38491</v>
      </c>
      <c r="B69" s="2"/>
      <c r="C69" s="1"/>
      <c r="D69" s="3" t="s">
        <v>49</v>
      </c>
      <c r="E69" s="9">
        <v>38491.546527777777</v>
      </c>
      <c r="F69" s="9">
        <v>38491.594444444447</v>
      </c>
      <c r="G69" s="11">
        <f t="shared" si="7"/>
        <v>69.00000003632158</v>
      </c>
      <c r="H69" s="12">
        <f t="shared" si="8"/>
        <v>140.54652777776937</v>
      </c>
      <c r="I69" s="12">
        <f t="shared" si="9"/>
        <v>140.59444444446126</v>
      </c>
      <c r="J69" s="3">
        <v>951</v>
      </c>
      <c r="K69" s="4">
        <f t="shared" si="16"/>
        <v>133.4736842105263</v>
      </c>
      <c r="L69" s="5">
        <v>88.845166666666657</v>
      </c>
      <c r="M69" s="5">
        <v>10.318</v>
      </c>
      <c r="N69" s="16">
        <v>33.806083333333333</v>
      </c>
      <c r="O69" s="5">
        <v>4.5293833333333327</v>
      </c>
      <c r="P69" s="5">
        <v>10.582416666666665</v>
      </c>
      <c r="Q69" s="5">
        <v>20.206666666666667</v>
      </c>
      <c r="R69" s="3">
        <v>35.200000000000003</v>
      </c>
      <c r="S69" s="3">
        <v>25.2</v>
      </c>
      <c r="T69" s="13">
        <f t="shared" si="17"/>
        <v>7929.3803195470982</v>
      </c>
      <c r="U69" s="13">
        <f t="shared" si="18"/>
        <v>3564469.0710897846</v>
      </c>
      <c r="V69" s="3">
        <v>46</v>
      </c>
      <c r="W69" s="13">
        <f t="shared" si="10"/>
        <v>4.7448364606737015E-2</v>
      </c>
      <c r="X69" s="13">
        <f t="shared" si="11"/>
        <v>21.329312165489043</v>
      </c>
      <c r="Y69" s="3">
        <v>40.200000000000003</v>
      </c>
      <c r="Z69" s="13">
        <f t="shared" si="12"/>
        <v>1665.7478359490622</v>
      </c>
      <c r="AA69" s="13">
        <f t="shared" si="13"/>
        <v>748798.31742189708</v>
      </c>
      <c r="AB69" s="3">
        <v>24.2</v>
      </c>
      <c r="AC69" s="13">
        <f t="shared" si="14"/>
        <v>446902.4532759409</v>
      </c>
      <c r="AD69" s="13">
        <f t="shared" si="15"/>
        <v>200894635.93634567</v>
      </c>
    </row>
    <row r="70" spans="1:30" ht="15.5">
      <c r="A70" s="2">
        <v>38492</v>
      </c>
      <c r="B70" s="2"/>
      <c r="C70" s="1" t="s">
        <v>78</v>
      </c>
      <c r="D70" s="3" t="s">
        <v>50</v>
      </c>
      <c r="E70" s="9">
        <v>38492.254861111112</v>
      </c>
      <c r="F70" s="9">
        <v>38492.291666666664</v>
      </c>
      <c r="G70" s="11">
        <f t="shared" si="7"/>
        <v>52.999999984167516</v>
      </c>
      <c r="H70" s="12">
        <f t="shared" si="8"/>
        <v>141.2548611111124</v>
      </c>
      <c r="I70" s="12">
        <f t="shared" si="9"/>
        <v>141.29166666665697</v>
      </c>
      <c r="J70" s="3">
        <v>700</v>
      </c>
      <c r="K70" s="4">
        <f t="shared" si="16"/>
        <v>98.245614035087712</v>
      </c>
      <c r="L70" s="5">
        <v>89.558850000000007</v>
      </c>
      <c r="M70" s="5">
        <v>10.8535</v>
      </c>
      <c r="N70" s="16">
        <v>33.828374999999994</v>
      </c>
      <c r="O70" s="5">
        <v>5.0640999999999998</v>
      </c>
      <c r="P70" s="5">
        <v>10.93525</v>
      </c>
      <c r="Q70" s="5">
        <v>20.51</v>
      </c>
      <c r="R70" s="3">
        <v>33.5</v>
      </c>
      <c r="S70" s="3">
        <v>24.2</v>
      </c>
      <c r="T70" s="13">
        <f t="shared" si="17"/>
        <v>14387.927489187261</v>
      </c>
      <c r="U70" s="13">
        <f t="shared" si="18"/>
        <v>8786912.8594679348</v>
      </c>
      <c r="V70" s="3">
        <v>46</v>
      </c>
      <c r="W70" s="13">
        <f t="shared" si="10"/>
        <v>4.7448364606737015E-2</v>
      </c>
      <c r="X70" s="13">
        <f t="shared" si="11"/>
        <v>28.977394099114395</v>
      </c>
      <c r="Y70" s="3">
        <v>40.1</v>
      </c>
      <c r="Z70" s="13">
        <f t="shared" si="12"/>
        <v>1781.1516894421754</v>
      </c>
      <c r="AA70" s="13">
        <f t="shared" si="13"/>
        <v>1087774.7817664715</v>
      </c>
      <c r="AB70" s="3">
        <v>24.1</v>
      </c>
      <c r="AC70" s="13">
        <f t="shared" si="14"/>
        <v>481064.73917427479</v>
      </c>
      <c r="AD70" s="13">
        <f t="shared" si="15"/>
        <v>293793108.56714642</v>
      </c>
    </row>
    <row r="71" spans="1:30" ht="15.5">
      <c r="A71" s="2">
        <v>38492</v>
      </c>
      <c r="B71" s="2"/>
      <c r="C71" s="1" t="s">
        <v>79</v>
      </c>
      <c r="D71" s="3" t="s">
        <v>51</v>
      </c>
      <c r="E71" s="9">
        <v>38492.963194444441</v>
      </c>
      <c r="F71" s="9">
        <v>38493.002083333333</v>
      </c>
      <c r="G71" s="11">
        <f t="shared" si="7"/>
        <v>56.000000014901161</v>
      </c>
      <c r="H71" s="12">
        <f t="shared" si="8"/>
        <v>141.96319444442634</v>
      </c>
      <c r="I71" s="12">
        <f t="shared" si="9"/>
        <v>142.00208333332557</v>
      </c>
      <c r="J71" s="3">
        <v>1000</v>
      </c>
      <c r="K71" s="4">
        <f t="shared" si="16"/>
        <v>140.35087719298244</v>
      </c>
      <c r="L71" s="5">
        <v>91.571799999999996</v>
      </c>
      <c r="M71" s="5">
        <v>11.206</v>
      </c>
      <c r="N71" s="16">
        <v>33.822749999999999</v>
      </c>
      <c r="O71" s="5">
        <v>4.9114999999999993</v>
      </c>
      <c r="P71" s="5">
        <v>10.8309</v>
      </c>
      <c r="Q71" s="5">
        <v>20.677499999999998</v>
      </c>
      <c r="R71" s="3">
        <v>34.9</v>
      </c>
      <c r="S71" s="3">
        <v>24.2</v>
      </c>
      <c r="T71" s="13">
        <f t="shared" si="17"/>
        <v>14387.927489187261</v>
      </c>
      <c r="U71" s="13">
        <f t="shared" si="18"/>
        <v>6150839.0016275551</v>
      </c>
      <c r="V71" s="3">
        <v>46</v>
      </c>
      <c r="W71" s="13">
        <f t="shared" si="10"/>
        <v>4.7448364606737015E-2</v>
      </c>
      <c r="X71" s="13">
        <f t="shared" si="11"/>
        <v>20.284175869380075</v>
      </c>
      <c r="Y71" s="3">
        <v>40.299999999999997</v>
      </c>
      <c r="Z71" s="13">
        <f t="shared" si="12"/>
        <v>1557.8211948012056</v>
      </c>
      <c r="AA71" s="13">
        <f t="shared" si="13"/>
        <v>665968.56077751541</v>
      </c>
      <c r="AB71" s="3">
        <v>23.4</v>
      </c>
      <c r="AC71" s="13">
        <f t="shared" si="14"/>
        <v>805636.3106217949</v>
      </c>
      <c r="AD71" s="13">
        <f t="shared" si="15"/>
        <v>344409522.79081738</v>
      </c>
    </row>
    <row r="72" spans="1:30" ht="15.5">
      <c r="A72" s="2">
        <v>38496</v>
      </c>
      <c r="B72" s="2"/>
      <c r="C72" s="1"/>
      <c r="D72" s="3" t="s">
        <v>52</v>
      </c>
      <c r="E72" s="9">
        <v>38496.379861111112</v>
      </c>
      <c r="F72" s="9">
        <v>38496.42083333333</v>
      </c>
      <c r="G72" s="11">
        <f t="shared" si="7"/>
        <v>59.00000000372529</v>
      </c>
      <c r="H72" s="12">
        <f t="shared" si="8"/>
        <v>145.3798611111124</v>
      </c>
      <c r="I72" s="12">
        <f t="shared" si="9"/>
        <v>145.42083333333721</v>
      </c>
      <c r="J72" s="3">
        <v>1000</v>
      </c>
      <c r="K72" s="4">
        <f t="shared" si="16"/>
        <v>140.35087719298244</v>
      </c>
      <c r="L72" s="5">
        <v>75.77825</v>
      </c>
      <c r="M72" s="5">
        <v>11.014000000000001</v>
      </c>
      <c r="N72" s="16">
        <v>33.783783333333339</v>
      </c>
      <c r="O72" s="5">
        <v>15.780383333333333</v>
      </c>
      <c r="P72" s="5">
        <v>11.001833333333332</v>
      </c>
      <c r="Q72" s="5">
        <v>13.023333333333333</v>
      </c>
      <c r="R72" s="3">
        <v>34.1</v>
      </c>
      <c r="S72" s="3">
        <v>24.3</v>
      </c>
      <c r="T72" s="13">
        <f t="shared" si="17"/>
        <v>13555.712245315666</v>
      </c>
      <c r="U72" s="13">
        <f t="shared" si="18"/>
        <v>5795066.9848724483</v>
      </c>
      <c r="V72" s="3">
        <v>46</v>
      </c>
      <c r="W72" s="13">
        <f t="shared" si="10"/>
        <v>4.7448364606737015E-2</v>
      </c>
      <c r="X72" s="13">
        <f>W72*60/$K72*1000</f>
        <v>20.284175869380075</v>
      </c>
      <c r="Y72" s="3">
        <v>38.799999999999997</v>
      </c>
      <c r="Z72" s="13">
        <f t="shared" si="12"/>
        <v>4254.9293146522423</v>
      </c>
      <c r="AA72" s="13">
        <f t="shared" si="13"/>
        <v>1818982.2820138338</v>
      </c>
      <c r="AB72" s="3">
        <v>27.2</v>
      </c>
      <c r="AC72" s="13">
        <f t="shared" si="14"/>
        <v>49033.076040664419</v>
      </c>
      <c r="AD72" s="13">
        <f t="shared" si="15"/>
        <v>20961640.007384043</v>
      </c>
    </row>
    <row r="73" spans="1:30" ht="15.5">
      <c r="A73" s="2">
        <v>38497</v>
      </c>
      <c r="B73" s="2"/>
      <c r="C73" s="1"/>
      <c r="D73" s="3" t="s">
        <v>53</v>
      </c>
      <c r="E73" s="9">
        <v>38497.379861111112</v>
      </c>
      <c r="F73" s="9">
        <v>38497.421527777777</v>
      </c>
      <c r="G73" s="11">
        <f t="shared" si="7"/>
        <v>59.999999986030161</v>
      </c>
      <c r="H73" s="12">
        <f t="shared" si="8"/>
        <v>146.3798611111124</v>
      </c>
      <c r="I73" s="12">
        <f t="shared" si="9"/>
        <v>146.42152777776937</v>
      </c>
      <c r="J73" s="3">
        <v>1000</v>
      </c>
      <c r="K73" s="4">
        <f t="shared" si="16"/>
        <v>140.35087719298244</v>
      </c>
      <c r="L73" s="5">
        <v>80.564816666666673</v>
      </c>
      <c r="M73" s="5">
        <v>10.342499999999999</v>
      </c>
      <c r="N73" s="16">
        <v>33.803566666666661</v>
      </c>
      <c r="O73" s="5">
        <v>13.618666666666668</v>
      </c>
      <c r="P73" s="5">
        <v>11.146133333333333</v>
      </c>
      <c r="Q73" s="5">
        <v>11.171666666666667</v>
      </c>
      <c r="R73" s="3">
        <v>35.6</v>
      </c>
      <c r="S73" s="3">
        <v>23.4</v>
      </c>
      <c r="T73" s="13">
        <f t="shared" si="17"/>
        <v>23174.236456386472</v>
      </c>
      <c r="U73" s="13">
        <f t="shared" si="18"/>
        <v>9906986.085105218</v>
      </c>
      <c r="V73" s="3">
        <v>46</v>
      </c>
      <c r="W73" s="13">
        <f t="shared" si="10"/>
        <v>4.7448364606737015E-2</v>
      </c>
      <c r="X73" s="13">
        <f t="shared" si="11"/>
        <v>20.284175869380075</v>
      </c>
      <c r="Y73" s="3">
        <v>38.4</v>
      </c>
      <c r="Z73" s="13">
        <f t="shared" si="12"/>
        <v>5562.3581319842833</v>
      </c>
      <c r="AA73" s="13">
        <f t="shared" si="13"/>
        <v>2377908.1014232817</v>
      </c>
      <c r="AB73" s="3">
        <v>27.4</v>
      </c>
      <c r="AC73" s="13">
        <f t="shared" si="14"/>
        <v>42316.288155043178</v>
      </c>
      <c r="AD73" s="13">
        <f t="shared" si="15"/>
        <v>18090213.186280962</v>
      </c>
    </row>
    <row r="74" spans="1:30" ht="15.5">
      <c r="A74" s="2">
        <v>38498</v>
      </c>
      <c r="B74" s="2"/>
      <c r="C74" s="1"/>
      <c r="D74" s="3" t="s">
        <v>54</v>
      </c>
      <c r="E74" s="9">
        <v>38498.379861111112</v>
      </c>
      <c r="F74" s="9">
        <v>38498.42083333333</v>
      </c>
      <c r="G74" s="11">
        <f t="shared" si="7"/>
        <v>59.00000000372529</v>
      </c>
      <c r="H74" s="12">
        <f t="shared" si="8"/>
        <v>147.3798611111124</v>
      </c>
      <c r="I74" s="12">
        <f t="shared" si="9"/>
        <v>147.42083333333721</v>
      </c>
      <c r="J74" s="3">
        <v>1000</v>
      </c>
      <c r="K74" s="4">
        <f t="shared" si="16"/>
        <v>140.35087719298244</v>
      </c>
      <c r="L74" s="5">
        <v>81.662899999999993</v>
      </c>
      <c r="M74" s="5">
        <v>10.044500000000001</v>
      </c>
      <c r="N74" s="16">
        <v>33.803016666666672</v>
      </c>
      <c r="O74" s="5">
        <v>13.223233333333333</v>
      </c>
      <c r="P74" s="5">
        <v>11.182166666666667</v>
      </c>
      <c r="Q74" s="5">
        <v>12.97</v>
      </c>
      <c r="R74" s="3">
        <v>35.5</v>
      </c>
      <c r="S74" s="3">
        <v>24.8</v>
      </c>
      <c r="T74" s="13">
        <f t="shared" si="17"/>
        <v>10063.356204050691</v>
      </c>
      <c r="U74" s="13">
        <f t="shared" si="18"/>
        <v>4302084.7772316709</v>
      </c>
      <c r="V74" s="3">
        <v>46</v>
      </c>
      <c r="W74" s="13">
        <f t="shared" si="10"/>
        <v>4.7448364606737015E-2</v>
      </c>
      <c r="X74" s="13">
        <f t="shared" si="11"/>
        <v>20.284175869380075</v>
      </c>
      <c r="Y74" s="3">
        <v>37.9</v>
      </c>
      <c r="Z74" s="13">
        <f t="shared" si="12"/>
        <v>7775.3007137716068</v>
      </c>
      <c r="AA74" s="13">
        <f t="shared" si="13"/>
        <v>3323941.0551373628</v>
      </c>
      <c r="AB74" s="3">
        <v>28.4</v>
      </c>
      <c r="AC74" s="13">
        <f t="shared" si="14"/>
        <v>20258.146117900145</v>
      </c>
      <c r="AD74" s="13">
        <f t="shared" si="15"/>
        <v>8660357.4654023126</v>
      </c>
    </row>
    <row r="75" spans="1:30" ht="15.5">
      <c r="A75" s="2">
        <v>38499</v>
      </c>
      <c r="B75" s="2"/>
      <c r="C75" s="1"/>
      <c r="D75" s="3" t="s">
        <v>55</v>
      </c>
      <c r="E75" s="9">
        <v>38499.379861111112</v>
      </c>
      <c r="F75" s="9">
        <v>38499.43472222222</v>
      </c>
      <c r="G75" s="11">
        <f t="shared" si="7"/>
        <v>78.999999985098839</v>
      </c>
      <c r="H75" s="12">
        <f t="shared" si="8"/>
        <v>148.3798611111124</v>
      </c>
      <c r="I75" s="12">
        <f t="shared" si="9"/>
        <v>148.43472222221317</v>
      </c>
      <c r="J75" s="3">
        <v>1000</v>
      </c>
      <c r="K75" s="4">
        <f t="shared" si="16"/>
        <v>140.35087719298244</v>
      </c>
      <c r="L75" s="5">
        <v>72.916828571428582</v>
      </c>
      <c r="M75" s="5">
        <v>9.8928571428571423</v>
      </c>
      <c r="N75" s="16">
        <v>33.829271428571431</v>
      </c>
      <c r="O75" s="5">
        <v>17.772414285714287</v>
      </c>
      <c r="P75" s="5">
        <v>11.538399999999999</v>
      </c>
      <c r="Q75" s="17">
        <v>8.2371428571428567</v>
      </c>
      <c r="R75" s="3">
        <v>36</v>
      </c>
      <c r="S75" s="3">
        <v>25.1</v>
      </c>
      <c r="T75" s="13">
        <f t="shared" si="17"/>
        <v>8416.1825662281935</v>
      </c>
      <c r="U75" s="13">
        <f t="shared" si="18"/>
        <v>3597918.0470625535</v>
      </c>
      <c r="V75" s="3">
        <v>46</v>
      </c>
      <c r="W75" s="13">
        <f t="shared" si="10"/>
        <v>4.7448364606737015E-2</v>
      </c>
      <c r="X75" s="13">
        <f t="shared" si="11"/>
        <v>20.284175869380075</v>
      </c>
      <c r="Y75" s="3">
        <v>39.5</v>
      </c>
      <c r="Z75" s="13">
        <f t="shared" si="12"/>
        <v>2662.2620641098038</v>
      </c>
      <c r="AA75" s="13">
        <f t="shared" si="13"/>
        <v>1138117.0324069413</v>
      </c>
      <c r="AB75" s="3">
        <v>31.3</v>
      </c>
      <c r="AC75" s="13">
        <f t="shared" si="14"/>
        <v>2392.5823042842712</v>
      </c>
      <c r="AD75" s="13">
        <f t="shared" si="15"/>
        <v>1022828.9350815262</v>
      </c>
    </row>
    <row r="76" spans="1:30" ht="15.5">
      <c r="A76" s="2">
        <v>38500</v>
      </c>
      <c r="B76" s="2"/>
      <c r="C76" s="1"/>
      <c r="D76" s="3" t="s">
        <v>56</v>
      </c>
      <c r="E76" s="9">
        <v>38500.379861111112</v>
      </c>
      <c r="F76" s="9">
        <v>38500.420138888891</v>
      </c>
      <c r="G76" s="11">
        <f t="shared" si="7"/>
        <v>57.999999979510903</v>
      </c>
      <c r="H76" s="12">
        <f t="shared" si="8"/>
        <v>149.3798611111124</v>
      </c>
      <c r="I76" s="12">
        <f t="shared" si="9"/>
        <v>149.42013888887595</v>
      </c>
      <c r="J76" s="1">
        <v>1000</v>
      </c>
      <c r="K76" s="4">
        <f t="shared" si="16"/>
        <v>140.35087719298244</v>
      </c>
      <c r="L76" s="5">
        <v>80.117383333333336</v>
      </c>
      <c r="M76" s="5">
        <v>9.8866666666666667</v>
      </c>
      <c r="N76" s="16">
        <v>33.794183333333329</v>
      </c>
      <c r="O76" s="5">
        <v>12.582333333333333</v>
      </c>
      <c r="P76" s="5">
        <v>11.327249999999999</v>
      </c>
      <c r="Q76" s="17">
        <v>9.3583333333333325</v>
      </c>
      <c r="R76" s="1">
        <v>35.799999999999997</v>
      </c>
      <c r="S76" s="1">
        <v>26.8</v>
      </c>
      <c r="T76" s="13">
        <f t="shared" si="17"/>
        <v>3056.503247534758</v>
      </c>
      <c r="U76" s="13">
        <f t="shared" si="18"/>
        <v>1306655.1383211093</v>
      </c>
      <c r="V76" s="1">
        <v>46</v>
      </c>
      <c r="W76" s="13">
        <f t="shared" si="10"/>
        <v>4.7448364606737015E-2</v>
      </c>
      <c r="X76" s="13">
        <f t="shared" si="11"/>
        <v>20.284175869380075</v>
      </c>
      <c r="Y76" s="1">
        <v>40.1</v>
      </c>
      <c r="Z76" s="13">
        <f t="shared" si="12"/>
        <v>1781.1516894421754</v>
      </c>
      <c r="AA76" s="13">
        <f t="shared" si="13"/>
        <v>761442.34723653004</v>
      </c>
      <c r="AB76" s="1">
        <v>32.1</v>
      </c>
      <c r="AC76" s="13">
        <f t="shared" si="14"/>
        <v>1327.2128966282494</v>
      </c>
      <c r="AD76" s="13">
        <f t="shared" si="15"/>
        <v>567383.51330857666</v>
      </c>
    </row>
    <row r="77" spans="1:30" ht="15.5">
      <c r="A77" s="2">
        <v>38503</v>
      </c>
      <c r="B77" s="2"/>
      <c r="C77" s="1"/>
      <c r="D77" s="3" t="s">
        <v>57</v>
      </c>
      <c r="E77" s="10">
        <v>38503.629861111112</v>
      </c>
      <c r="F77" s="10">
        <v>38503.671527777777</v>
      </c>
      <c r="G77" s="11">
        <f t="shared" si="7"/>
        <v>59.999999986030161</v>
      </c>
      <c r="H77" s="12">
        <f t="shared" si="8"/>
        <v>152.6298611111124</v>
      </c>
      <c r="I77" s="12">
        <f t="shared" si="9"/>
        <v>152.67152777776937</v>
      </c>
      <c r="J77" s="3">
        <v>1000</v>
      </c>
      <c r="K77" s="4">
        <f t="shared" si="16"/>
        <v>140.35087719298244</v>
      </c>
      <c r="L77" s="5">
        <v>81.995566666666662</v>
      </c>
      <c r="M77" s="5">
        <v>11.199166666666665</v>
      </c>
      <c r="N77" s="16">
        <v>33.726866666666666</v>
      </c>
      <c r="O77" s="5">
        <v>9.679333333333334</v>
      </c>
      <c r="P77" s="5">
        <v>12.538649999999999</v>
      </c>
      <c r="Q77" s="17">
        <v>6.34</v>
      </c>
      <c r="R77" s="3">
        <v>35.9</v>
      </c>
      <c r="S77" s="3">
        <v>27.5</v>
      </c>
      <c r="T77" s="13">
        <f t="shared" si="17"/>
        <v>2014.1581465607035</v>
      </c>
      <c r="U77" s="13">
        <f t="shared" si="18"/>
        <v>861052.60765470075</v>
      </c>
      <c r="V77" s="3">
        <v>46</v>
      </c>
      <c r="W77" s="13">
        <f t="shared" si="10"/>
        <v>4.7448364606737015E-2</v>
      </c>
      <c r="X77" s="13">
        <f t="shared" si="11"/>
        <v>20.284175869380075</v>
      </c>
      <c r="Y77" s="3">
        <v>39</v>
      </c>
      <c r="Z77" s="13">
        <f t="shared" si="12"/>
        <v>3721.4231151879553</v>
      </c>
      <c r="AA77" s="13">
        <f t="shared" si="13"/>
        <v>1590908.3817428511</v>
      </c>
      <c r="AB77" s="3">
        <v>37.200000000000003</v>
      </c>
      <c r="AC77" s="13">
        <f t="shared" si="14"/>
        <v>31.003482115057238</v>
      </c>
      <c r="AD77" s="13">
        <f t="shared" si="15"/>
        <v>13253.98860418697</v>
      </c>
    </row>
    <row r="78" spans="1:30" ht="15.5">
      <c r="A78" s="2">
        <v>38504</v>
      </c>
      <c r="B78" s="2"/>
      <c r="C78" s="1"/>
      <c r="D78" s="3" t="s">
        <v>58</v>
      </c>
      <c r="E78" s="10">
        <v>38504.338194444441</v>
      </c>
      <c r="F78" s="10">
        <v>38504.383333333331</v>
      </c>
      <c r="G78" s="11">
        <f t="shared" si="7"/>
        <v>65.000000023283064</v>
      </c>
      <c r="H78" s="12">
        <f t="shared" si="8"/>
        <v>153.33819444442634</v>
      </c>
      <c r="I78" s="12">
        <f t="shared" si="9"/>
        <v>153.38333333333139</v>
      </c>
      <c r="J78" s="3">
        <v>1000</v>
      </c>
      <c r="K78" s="4">
        <f t="shared" si="16"/>
        <v>140.35087719298244</v>
      </c>
      <c r="L78" s="5">
        <v>89.564279999999997</v>
      </c>
      <c r="M78" s="5">
        <v>10.903600000000001</v>
      </c>
      <c r="N78" s="16">
        <v>33.697879999999998</v>
      </c>
      <c r="O78" s="5">
        <v>6.0151200000000005</v>
      </c>
      <c r="P78" s="5">
        <v>12.018879999999999</v>
      </c>
      <c r="Q78" s="5">
        <v>10.337999999999999</v>
      </c>
      <c r="R78" s="3">
        <v>36.200000000000003</v>
      </c>
      <c r="S78" s="3">
        <v>24.8</v>
      </c>
      <c r="T78" s="13">
        <f>10^((S78-40.269)/-3.8646)</f>
        <v>10063.356204050691</v>
      </c>
      <c r="U78" s="13">
        <f t="shared" si="18"/>
        <v>4302084.7772316709</v>
      </c>
      <c r="V78" s="3">
        <v>46</v>
      </c>
      <c r="W78" s="13">
        <f t="shared" si="10"/>
        <v>4.7448364606737015E-2</v>
      </c>
      <c r="X78" s="13">
        <f t="shared" si="11"/>
        <v>20.284175869380075</v>
      </c>
      <c r="Y78" s="3">
        <v>38.1</v>
      </c>
      <c r="Z78" s="13">
        <f t="shared" si="12"/>
        <v>6800.3911849078395</v>
      </c>
      <c r="AA78" s="13">
        <f t="shared" si="13"/>
        <v>2907167.2315481021</v>
      </c>
      <c r="AB78" s="3">
        <v>33.1</v>
      </c>
      <c r="AC78" s="13">
        <f t="shared" si="14"/>
        <v>635.37880947746112</v>
      </c>
      <c r="AD78" s="13">
        <f t="shared" si="15"/>
        <v>271624.44105161465</v>
      </c>
    </row>
    <row r="79" spans="1:30" ht="15.5">
      <c r="A79" s="2">
        <v>38505</v>
      </c>
      <c r="B79" s="2"/>
      <c r="C79" s="1" t="s">
        <v>78</v>
      </c>
      <c r="D79" s="3" t="s">
        <v>59</v>
      </c>
      <c r="E79" s="10">
        <v>38505.046527777777</v>
      </c>
      <c r="F79" s="10">
        <v>38505.087500000001</v>
      </c>
      <c r="G79" s="11">
        <f t="shared" si="7"/>
        <v>59.00000000372529</v>
      </c>
      <c r="H79" s="12">
        <f t="shared" si="8"/>
        <v>154.04652777776937</v>
      </c>
      <c r="I79" s="12">
        <f t="shared" si="9"/>
        <v>154.08749999999418</v>
      </c>
      <c r="J79" s="3">
        <v>1000</v>
      </c>
      <c r="K79" s="4">
        <f t="shared" si="16"/>
        <v>140.35087719298244</v>
      </c>
      <c r="L79" s="5">
        <v>88.966279999999998</v>
      </c>
      <c r="M79" s="5">
        <v>10.590999999999999</v>
      </c>
      <c r="N79" s="16">
        <v>33.631839999999997</v>
      </c>
      <c r="O79" s="5">
        <v>4.6280400000000004</v>
      </c>
      <c r="P79" s="5">
        <v>12.285160000000001</v>
      </c>
      <c r="Q79" s="5">
        <v>12.99</v>
      </c>
      <c r="R79" s="3">
        <v>33.700000000000003</v>
      </c>
      <c r="S79" s="3">
        <v>23.5</v>
      </c>
      <c r="T79" s="13">
        <f t="shared" si="17"/>
        <v>21833.810404157422</v>
      </c>
      <c r="U79" s="13">
        <f t="shared" si="18"/>
        <v>9333953.9477772992</v>
      </c>
      <c r="V79" s="3">
        <v>38.799999999999997</v>
      </c>
      <c r="W79" s="13">
        <f t="shared" si="10"/>
        <v>9.5402089628904463</v>
      </c>
      <c r="X79" s="13">
        <f t="shared" si="11"/>
        <v>4078.4393316356659</v>
      </c>
      <c r="Y79" s="3">
        <v>37.1</v>
      </c>
      <c r="Z79" s="13">
        <f t="shared" si="12"/>
        <v>13287.717612521965</v>
      </c>
      <c r="AA79" s="13">
        <f t="shared" si="13"/>
        <v>5680499.2793531409</v>
      </c>
      <c r="AB79" s="3">
        <v>29.8</v>
      </c>
      <c r="AC79" s="13">
        <f t="shared" si="14"/>
        <v>7223.1841351073072</v>
      </c>
      <c r="AD79" s="13">
        <f t="shared" si="15"/>
        <v>3087911.2177583743</v>
      </c>
    </row>
    <row r="80" spans="1:30" ht="15.5">
      <c r="A80" s="2">
        <v>38505</v>
      </c>
      <c r="B80" s="2"/>
      <c r="C80" s="1" t="s">
        <v>79</v>
      </c>
      <c r="D80" s="3" t="s">
        <v>60</v>
      </c>
      <c r="E80" s="10">
        <v>38505.754861111112</v>
      </c>
      <c r="F80" s="10">
        <v>38505.79791666667</v>
      </c>
      <c r="G80" s="11">
        <f t="shared" si="7"/>
        <v>61.999999992549419</v>
      </c>
      <c r="H80" s="12">
        <f t="shared" si="8"/>
        <v>154.7548611111124</v>
      </c>
      <c r="I80" s="12">
        <f t="shared" si="9"/>
        <v>154.79791666666279</v>
      </c>
      <c r="J80" s="3">
        <v>1000</v>
      </c>
      <c r="K80" s="4">
        <f t="shared" si="16"/>
        <v>140.35087719298244</v>
      </c>
      <c r="L80" s="5">
        <v>89.656199999999998</v>
      </c>
      <c r="M80" s="5">
        <v>11.4712</v>
      </c>
      <c r="N80" s="16">
        <v>33.63306</v>
      </c>
      <c r="O80" s="5">
        <v>4.78674</v>
      </c>
      <c r="P80" s="5">
        <v>11.43506</v>
      </c>
      <c r="Q80" s="5">
        <v>15.812000000000001</v>
      </c>
      <c r="R80" s="3">
        <v>35.5</v>
      </c>
      <c r="S80" s="3">
        <v>23.6</v>
      </c>
      <c r="T80" s="13">
        <f t="shared" si="17"/>
        <v>20570.916226813402</v>
      </c>
      <c r="U80" s="13">
        <f t="shared" si="18"/>
        <v>8794066.6869627312</v>
      </c>
      <c r="V80" s="3">
        <v>34.21</v>
      </c>
      <c r="W80" s="13">
        <f t="shared" si="10"/>
        <v>280.50137515503593</v>
      </c>
      <c r="X80" s="13">
        <f>W80*60/$K80*1000</f>
        <v>119914.33787877788</v>
      </c>
      <c r="Y80" s="3">
        <v>37.6</v>
      </c>
      <c r="Z80" s="13">
        <f t="shared" si="12"/>
        <v>9505.8759575190652</v>
      </c>
      <c r="AA80" s="13">
        <f t="shared" si="13"/>
        <v>4063761.9718394009</v>
      </c>
      <c r="AB80" s="3">
        <v>29.4</v>
      </c>
      <c r="AC80" s="13">
        <f t="shared" si="14"/>
        <v>9698.2155578142647</v>
      </c>
      <c r="AD80" s="13">
        <f t="shared" si="15"/>
        <v>4145987.1509655984</v>
      </c>
    </row>
    <row r="81" spans="1:30" ht="15.5">
      <c r="A81" s="2">
        <v>38506</v>
      </c>
      <c r="B81" s="2"/>
      <c r="C81" s="1"/>
      <c r="D81" s="3" t="s">
        <v>61</v>
      </c>
      <c r="E81" s="10">
        <v>38506.463194444441</v>
      </c>
      <c r="F81" s="10">
        <v>38506.509027777778</v>
      </c>
      <c r="G81" s="11">
        <f t="shared" si="7"/>
        <v>66.000000005587935</v>
      </c>
      <c r="H81" s="12">
        <f t="shared" si="8"/>
        <v>155.46319444442634</v>
      </c>
      <c r="I81" s="12">
        <f t="shared" si="9"/>
        <v>155.50902777776355</v>
      </c>
      <c r="J81" s="3">
        <v>1000</v>
      </c>
      <c r="K81" s="4">
        <f t="shared" si="16"/>
        <v>140.35087719298244</v>
      </c>
      <c r="L81" s="5">
        <v>88.089200000000005</v>
      </c>
      <c r="M81" s="5">
        <v>11.0816</v>
      </c>
      <c r="N81" s="16">
        <v>33.614600000000003</v>
      </c>
      <c r="O81" s="5">
        <v>3.4988999999999999</v>
      </c>
      <c r="P81" s="5">
        <v>12.58428</v>
      </c>
      <c r="Q81" s="5">
        <v>13.5</v>
      </c>
      <c r="R81" s="3">
        <v>36.1</v>
      </c>
      <c r="S81" s="3">
        <v>22.9</v>
      </c>
      <c r="T81" s="13">
        <f t="shared" si="17"/>
        <v>31216.551867778486</v>
      </c>
      <c r="U81" s="13">
        <f t="shared" si="18"/>
        <v>13345075.923475305</v>
      </c>
      <c r="V81" s="3">
        <v>31.9</v>
      </c>
      <c r="W81" s="13">
        <f t="shared" si="10"/>
        <v>1537.8789993131238</v>
      </c>
      <c r="X81" s="13">
        <f>W81*60/$K81*1000</f>
        <v>657443.27220636047</v>
      </c>
      <c r="Y81" s="3">
        <v>36.1</v>
      </c>
      <c r="Z81" s="13">
        <f t="shared" si="12"/>
        <v>25963.718049334431</v>
      </c>
      <c r="AA81" s="13">
        <f t="shared" si="13"/>
        <v>11099489.466090472</v>
      </c>
      <c r="AB81" s="3">
        <v>29.9</v>
      </c>
      <c r="AC81" s="13">
        <f t="shared" si="14"/>
        <v>6710.237619959682</v>
      </c>
      <c r="AD81" s="13">
        <f t="shared" si="15"/>
        <v>2868626.5825327644</v>
      </c>
    </row>
    <row r="82" spans="1:30" ht="15.5">
      <c r="A82" s="2">
        <v>38507</v>
      </c>
      <c r="B82" s="2"/>
      <c r="C82" s="1"/>
      <c r="D82" s="3" t="s">
        <v>62</v>
      </c>
      <c r="E82" s="10">
        <v>38507.379861111112</v>
      </c>
      <c r="F82" s="10">
        <v>38507.441666666666</v>
      </c>
      <c r="G82" s="11">
        <f t="shared" si="7"/>
        <v>88.999999975785613</v>
      </c>
      <c r="H82" s="12">
        <f t="shared" si="8"/>
        <v>156.3798611111124</v>
      </c>
      <c r="I82" s="12">
        <f t="shared" si="9"/>
        <v>156.44166666665114</v>
      </c>
      <c r="J82" s="1">
        <v>1000</v>
      </c>
      <c r="K82" s="4">
        <f t="shared" si="16"/>
        <v>140.35087719298244</v>
      </c>
      <c r="L82" s="5">
        <v>86.06767499999998</v>
      </c>
      <c r="M82" s="5">
        <v>10.983000000000001</v>
      </c>
      <c r="N82" s="16">
        <v>33.658275000000003</v>
      </c>
      <c r="O82" s="5">
        <v>7.4978999999999996</v>
      </c>
      <c r="P82" s="5">
        <v>12.1752</v>
      </c>
      <c r="Q82" s="5">
        <v>11.71875</v>
      </c>
      <c r="R82" s="3">
        <v>36.200000000000003</v>
      </c>
      <c r="S82" s="3">
        <v>24.3</v>
      </c>
      <c r="T82" s="13">
        <f t="shared" si="17"/>
        <v>13555.712245315666</v>
      </c>
      <c r="U82" s="13">
        <f t="shared" si="18"/>
        <v>5795066.9848724483</v>
      </c>
      <c r="V82" s="3">
        <v>30.2</v>
      </c>
      <c r="W82" s="13">
        <f t="shared" si="10"/>
        <v>5379.7926782135482</v>
      </c>
      <c r="X82" s="13">
        <f>W82*60/$K82*1000</f>
        <v>2299861.3699362921</v>
      </c>
      <c r="Y82" s="3">
        <v>37.4</v>
      </c>
      <c r="Z82" s="13">
        <f t="shared" si="12"/>
        <v>10868.645951067279</v>
      </c>
      <c r="AA82" s="13">
        <f t="shared" si="13"/>
        <v>4646346.1440812629</v>
      </c>
      <c r="AB82" s="3">
        <v>33.700000000000003</v>
      </c>
      <c r="AC82" s="13">
        <f t="shared" si="14"/>
        <v>408.40213770462691</v>
      </c>
      <c r="AD82" s="13">
        <f t="shared" si="15"/>
        <v>174591.91386872804</v>
      </c>
    </row>
    <row r="83" spans="1:30" ht="15.5">
      <c r="A83" s="2">
        <v>38510</v>
      </c>
      <c r="B83" s="2"/>
      <c r="C83" s="1"/>
      <c r="D83" s="3" t="s">
        <v>63</v>
      </c>
      <c r="E83" s="10">
        <v>38510.379861111112</v>
      </c>
      <c r="F83" s="10">
        <v>38510.425694444442</v>
      </c>
      <c r="G83" s="11">
        <f t="shared" si="7"/>
        <v>66.000000005587935</v>
      </c>
      <c r="H83" s="12">
        <f t="shared" si="8"/>
        <v>159.3798611111124</v>
      </c>
      <c r="I83" s="12">
        <f t="shared" si="9"/>
        <v>159.42569444444962</v>
      </c>
      <c r="J83" s="1">
        <v>1000</v>
      </c>
      <c r="K83" s="4">
        <f t="shared" si="16"/>
        <v>140.35087719298244</v>
      </c>
      <c r="L83" s="5">
        <v>88.422333333333327</v>
      </c>
      <c r="M83" s="5">
        <v>10.443333333333333</v>
      </c>
      <c r="N83" s="16">
        <v>33.640966666666664</v>
      </c>
      <c r="O83" s="5">
        <v>4.4937666666666667</v>
      </c>
      <c r="P83" s="5">
        <v>13.283233333333333</v>
      </c>
      <c r="Q83" s="5">
        <v>10.751666666666665</v>
      </c>
      <c r="R83" s="1">
        <v>36.1</v>
      </c>
      <c r="S83" s="1">
        <v>23.6</v>
      </c>
      <c r="T83" s="13">
        <f t="shared" si="17"/>
        <v>20570.916226813402</v>
      </c>
      <c r="U83" s="13">
        <f t="shared" si="18"/>
        <v>8794066.6869627312</v>
      </c>
      <c r="V83" s="1">
        <v>30.1</v>
      </c>
      <c r="W83" s="13">
        <f t="shared" si="10"/>
        <v>5791.036819299994</v>
      </c>
      <c r="X83" s="13">
        <f>W83*60/$K83*1000</f>
        <v>2475668.2402507481</v>
      </c>
      <c r="Y83" s="1">
        <v>36.700000000000003</v>
      </c>
      <c r="Z83" s="13">
        <f t="shared" si="12"/>
        <v>17370.68671458371</v>
      </c>
      <c r="AA83" s="13">
        <f t="shared" si="13"/>
        <v>7425968.5704845367</v>
      </c>
      <c r="AB83" s="1">
        <v>33.299999999999997</v>
      </c>
      <c r="AC83" s="13">
        <f t="shared" si="14"/>
        <v>548.34154739055293</v>
      </c>
      <c r="AD83" s="13">
        <f>AC83*60/K83*1000</f>
        <v>234416.01150946139</v>
      </c>
    </row>
    <row r="84" spans="1:30" ht="15.5">
      <c r="A84" s="2">
        <v>38511</v>
      </c>
      <c r="B84" s="2"/>
      <c r="C84" s="1"/>
      <c r="D84" s="3" t="s">
        <v>64</v>
      </c>
      <c r="E84" s="10">
        <v>38511.380555555559</v>
      </c>
      <c r="F84" s="10">
        <v>38511.438888888886</v>
      </c>
      <c r="G84" s="11">
        <f t="shared" si="7"/>
        <v>83.999999980442226</v>
      </c>
      <c r="H84" s="12">
        <f t="shared" si="8"/>
        <v>160.38055555557366</v>
      </c>
      <c r="I84" s="12">
        <f t="shared" si="9"/>
        <v>160.43888888889342</v>
      </c>
      <c r="J84" s="3">
        <v>976</v>
      </c>
      <c r="K84" s="4">
        <f t="shared" si="16"/>
        <v>136.98245614035085</v>
      </c>
      <c r="L84" s="5">
        <v>80.663187500000006</v>
      </c>
      <c r="M84" s="5">
        <v>10.402125000000002</v>
      </c>
      <c r="N84" s="16">
        <v>33.624962500000002</v>
      </c>
      <c r="O84" s="5">
        <v>9.7028375000000011</v>
      </c>
      <c r="P84" s="5">
        <v>13.714762499999999</v>
      </c>
      <c r="Q84" s="17">
        <v>8.7850000000000001</v>
      </c>
      <c r="R84" s="3">
        <v>33.4</v>
      </c>
      <c r="S84" s="3">
        <v>24.1</v>
      </c>
      <c r="T84" s="13">
        <f t="shared" si="17"/>
        <v>15271.23427289077</v>
      </c>
      <c r="U84" s="13">
        <f t="shared" si="18"/>
        <v>6688988.3726032842</v>
      </c>
      <c r="V84" s="3">
        <v>30</v>
      </c>
      <c r="W84" s="13">
        <f t="shared" si="10"/>
        <v>6233.7174401346165</v>
      </c>
      <c r="X84" s="13">
        <f>W84*60/$K84*1000</f>
        <v>2730444.8828458493</v>
      </c>
      <c r="Y84" s="3">
        <v>37.9</v>
      </c>
      <c r="Z84" s="13">
        <f t="shared" si="12"/>
        <v>7775.3007137716068</v>
      </c>
      <c r="AA84" s="13">
        <f t="shared" si="13"/>
        <v>3405677.3105915599</v>
      </c>
      <c r="AB84" s="3">
        <v>46</v>
      </c>
      <c r="AC84" s="13">
        <f t="shared" si="14"/>
        <v>4.7448364606737015E-2</v>
      </c>
      <c r="AD84" s="13">
        <f>AC84*60/K84*1000</f>
        <v>20.782967079282869</v>
      </c>
    </row>
    <row r="85" spans="1:30">
      <c r="A85" t="s">
        <v>96</v>
      </c>
      <c r="R85" s="14">
        <f>AVERAGE(R63:R84)</f>
        <v>35.283636363636376</v>
      </c>
    </row>
    <row r="86" spans="1:30">
      <c r="R86" s="14">
        <f>STDEV(R63:R84)</f>
        <v>0.98079435956607264</v>
      </c>
    </row>
  </sheetData>
  <phoneticPr fontId="3"/>
  <pageMargins left="0.75" right="0.75" top="1" bottom="1" header="0.5" footer="0.5"/>
  <pageSetup scale="26" orientation="landscape" horizontalDpi="4294967292" verticalDpi="4294967292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selection activeCell="B14" sqref="B14"/>
    </sheetView>
  </sheetViews>
  <sheetFormatPr defaultRowHeight="13.5"/>
  <cols>
    <col min="1" max="1" width="12.4609375" style="30" bestFit="1" customWidth="1"/>
    <col min="2" max="5" width="12.4609375" style="30" customWidth="1"/>
    <col min="6" max="6" width="13.07421875" bestFit="1" customWidth="1"/>
    <col min="7" max="8" width="11.84375" bestFit="1" customWidth="1"/>
    <col min="9" max="9" width="18.4609375" customWidth="1"/>
    <col min="10" max="10" width="11.84375" bestFit="1" customWidth="1"/>
  </cols>
  <sheetData>
    <row r="1" spans="1:10">
      <c r="A1" s="31" t="s">
        <v>114</v>
      </c>
      <c r="B1" s="31" t="s">
        <v>115</v>
      </c>
      <c r="C1" s="31" t="s">
        <v>116</v>
      </c>
      <c r="D1" s="31" t="s">
        <v>117</v>
      </c>
      <c r="E1" s="31" t="s">
        <v>118</v>
      </c>
      <c r="F1" t="s">
        <v>109</v>
      </c>
      <c r="G1" t="s">
        <v>110</v>
      </c>
      <c r="H1" t="s">
        <v>111</v>
      </c>
      <c r="I1" t="s">
        <v>112</v>
      </c>
      <c r="J1" t="s">
        <v>113</v>
      </c>
    </row>
    <row r="2" spans="1:10" ht="14.5">
      <c r="A2" s="30">
        <v>39331.833333333336</v>
      </c>
      <c r="B2" s="32">
        <v>24</v>
      </c>
      <c r="C2" s="32">
        <v>24.550909999999998</v>
      </c>
      <c r="D2" s="32">
        <v>-157</v>
      </c>
      <c r="E2" s="32">
        <v>52.236649999999997</v>
      </c>
      <c r="F2">
        <v>341796.42146451032</v>
      </c>
      <c r="G2">
        <v>192.90712121212127</v>
      </c>
      <c r="H2">
        <v>16538.260032262853</v>
      </c>
      <c r="I2">
        <v>1</v>
      </c>
      <c r="J2">
        <v>1</v>
      </c>
    </row>
    <row r="3" spans="1:10" ht="14.5">
      <c r="A3" s="30">
        <v>39332.5</v>
      </c>
      <c r="B3" s="33">
        <v>24</v>
      </c>
      <c r="C3" s="33">
        <v>30.609490000000001</v>
      </c>
      <c r="D3" s="33">
        <v>-157</v>
      </c>
      <c r="E3" s="33">
        <v>43.874789999999997</v>
      </c>
      <c r="F3">
        <v>308258.75261007121</v>
      </c>
      <c r="G3">
        <v>440.66001114930071</v>
      </c>
      <c r="H3">
        <v>50329.442028903737</v>
      </c>
      <c r="I3">
        <v>1</v>
      </c>
      <c r="J3">
        <v>1</v>
      </c>
    </row>
    <row r="4" spans="1:10" ht="14.5">
      <c r="A4" s="30">
        <v>39333.166666666664</v>
      </c>
      <c r="B4" s="34">
        <v>24</v>
      </c>
      <c r="C4" s="34">
        <v>39.957889999999999</v>
      </c>
      <c r="D4" s="34">
        <v>-157</v>
      </c>
      <c r="E4" s="34">
        <v>36.443579999999997</v>
      </c>
      <c r="F4">
        <v>239086.47584537428</v>
      </c>
      <c r="G4">
        <v>5226.610075828522</v>
      </c>
      <c r="H4">
        <v>2322213.2335138721</v>
      </c>
      <c r="I4">
        <v>1</v>
      </c>
      <c r="J4">
        <v>239.45825988222589</v>
      </c>
    </row>
    <row r="5" spans="1:10" ht="14.5">
      <c r="A5" s="30">
        <v>39333.833333333336</v>
      </c>
      <c r="B5" s="35">
        <v>24</v>
      </c>
      <c r="C5" s="35">
        <v>47.516719999999999</v>
      </c>
      <c r="D5" s="35">
        <v>-157</v>
      </c>
      <c r="E5" s="35">
        <v>30.613119999999999</v>
      </c>
      <c r="F5">
        <v>1863.6450395691513</v>
      </c>
      <c r="G5">
        <v>6.076995036507391</v>
      </c>
      <c r="H5">
        <v>310600.34795606922</v>
      </c>
      <c r="I5">
        <v>1</v>
      </c>
      <c r="J5">
        <v>1</v>
      </c>
    </row>
    <row r="6" spans="1:10" ht="14.5">
      <c r="A6" s="30">
        <v>39334.5</v>
      </c>
      <c r="B6" s="36">
        <v>24</v>
      </c>
      <c r="C6" s="36">
        <v>53.791130000000003</v>
      </c>
      <c r="D6" s="36">
        <v>-157</v>
      </c>
      <c r="E6" s="36">
        <v>24.98415</v>
      </c>
      <c r="F6">
        <v>431.23729227732184</v>
      </c>
      <c r="G6">
        <v>1</v>
      </c>
      <c r="H6">
        <v>1557365.7119268973</v>
      </c>
      <c r="I6">
        <v>1</v>
      </c>
      <c r="J6">
        <v>12.055469884387144</v>
      </c>
    </row>
    <row r="7" spans="1:10" ht="14.5">
      <c r="A7" s="30">
        <v>39335.166666666664</v>
      </c>
      <c r="B7" s="37">
        <v>24</v>
      </c>
      <c r="C7" s="37">
        <v>56.885260000000002</v>
      </c>
      <c r="D7" s="37">
        <v>-157</v>
      </c>
      <c r="E7" s="37">
        <v>23.194389999999999</v>
      </c>
      <c r="F7">
        <v>1193.885505870308</v>
      </c>
      <c r="G7">
        <v>95.129238207511676</v>
      </c>
      <c r="H7">
        <v>1125901.5805548846</v>
      </c>
      <c r="I7">
        <v>1</v>
      </c>
      <c r="J7">
        <v>36.722203198704037</v>
      </c>
    </row>
    <row r="8" spans="1:10" ht="14.5">
      <c r="A8" s="30">
        <v>39335.833333333336</v>
      </c>
      <c r="B8" s="38">
        <v>24</v>
      </c>
      <c r="C8" s="38">
        <v>58.311660000000003</v>
      </c>
      <c r="D8" s="38">
        <v>-157</v>
      </c>
      <c r="E8" s="38">
        <v>20.017800000000001</v>
      </c>
      <c r="F8">
        <v>5074.6796780786717</v>
      </c>
      <c r="G8">
        <v>104.04457948689978</v>
      </c>
      <c r="H8">
        <v>906614.91340709478</v>
      </c>
      <c r="I8">
        <v>1</v>
      </c>
      <c r="J8">
        <v>1</v>
      </c>
    </row>
    <row r="9" spans="1:10" ht="14.5">
      <c r="A9" s="30">
        <v>39336.5</v>
      </c>
      <c r="B9" s="39">
        <v>25</v>
      </c>
      <c r="C9" s="39">
        <v>1.5583499999999999</v>
      </c>
      <c r="D9" s="39">
        <v>-157</v>
      </c>
      <c r="E9" s="39">
        <v>19.7347</v>
      </c>
      <c r="F9">
        <v>13466.973432935543</v>
      </c>
      <c r="G9">
        <v>1</v>
      </c>
      <c r="H9">
        <v>754768.96655980323</v>
      </c>
      <c r="I9">
        <v>1</v>
      </c>
      <c r="J9">
        <v>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HawaiiDriftPCRData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mbari 948</dc:creator>
  <cp:lastModifiedBy>Gene Massion</cp:lastModifiedBy>
  <cp:lastPrinted>2011-09-09T04:49:03Z</cp:lastPrinted>
  <dcterms:created xsi:type="dcterms:W3CDTF">2009-05-10T17:26:59Z</dcterms:created>
  <dcterms:modified xsi:type="dcterms:W3CDTF">2011-09-13T21:32:46Z</dcterms:modified>
</cp:coreProperties>
</file>