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32850" yWindow="180" windowWidth="34440" windowHeight="10830" tabRatio="859" activeTab="2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45621"/>
</workbook>
</file>

<file path=xl/calcChain.xml><?xml version="1.0" encoding="utf-8"?>
<calcChain xmlns="http://schemas.openxmlformats.org/spreadsheetml/2006/main">
  <c r="B24" i="4" l="1"/>
  <c r="B10" i="4"/>
  <c r="B9" i="4"/>
  <c r="B8" i="4"/>
  <c r="B7" i="4"/>
  <c r="B14" i="4"/>
  <c r="B31" i="4"/>
  <c r="C23" i="6"/>
  <c r="C6" i="6"/>
  <c r="B21" i="5"/>
  <c r="B6" i="5"/>
  <c r="B7" i="1"/>
  <c r="C16" i="6"/>
  <c r="C27" i="6"/>
  <c r="B22" i="10"/>
  <c r="C18" i="1"/>
  <c r="E7" i="4"/>
  <c r="E8" i="4"/>
  <c r="D10" i="4"/>
  <c r="E10" i="4"/>
  <c r="E11" i="4"/>
  <c r="D14" i="4"/>
  <c r="E14" i="4"/>
  <c r="E16" i="4"/>
  <c r="D24" i="4"/>
  <c r="E24" i="4"/>
  <c r="E26" i="4"/>
  <c r="D19" i="4"/>
  <c r="E19" i="4"/>
  <c r="D20" i="4"/>
  <c r="E20" i="4"/>
  <c r="E21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 s="1"/>
  <c r="D25" i="4"/>
  <c r="E25" i="4"/>
  <c r="D15" i="4"/>
  <c r="E15" i="4"/>
  <c r="D7" i="4"/>
  <c r="D8" i="4"/>
  <c r="D9" i="4"/>
  <c r="E9" i="4"/>
  <c r="D8" i="1"/>
  <c r="E8" i="1" s="1"/>
  <c r="D9" i="1"/>
  <c r="E9" i="1" s="1"/>
  <c r="D8" i="5" s="1"/>
  <c r="D10" i="1"/>
  <c r="E10" i="1" s="1"/>
  <c r="D9" i="5" s="1"/>
  <c r="D11" i="1"/>
  <c r="E11" i="1" s="1"/>
  <c r="D10" i="5" s="1"/>
  <c r="D12" i="1"/>
  <c r="E12" i="1" s="1"/>
  <c r="D13" i="1"/>
  <c r="E13" i="1" s="1"/>
  <c r="D12" i="5" s="1"/>
  <c r="D14" i="1"/>
  <c r="E14" i="1" s="1"/>
  <c r="D13" i="5" s="1"/>
  <c r="D15" i="1"/>
  <c r="E15" i="1" s="1"/>
  <c r="D14" i="5" s="1"/>
  <c r="D16" i="1"/>
  <c r="E16" i="1"/>
  <c r="D15" i="5"/>
  <c r="D17" i="1"/>
  <c r="E17" i="1" s="1"/>
  <c r="D16" i="5" s="1"/>
  <c r="D21" i="4"/>
  <c r="D36" i="4"/>
  <c r="D17" i="10" s="1"/>
  <c r="D26" i="4"/>
  <c r="D16" i="4"/>
  <c r="D11" i="4"/>
  <c r="D38" i="4"/>
  <c r="D18" i="10" s="1"/>
  <c r="B8" i="10"/>
  <c r="B18" i="1"/>
  <c r="B7" i="10"/>
  <c r="B9" i="10"/>
  <c r="B36" i="4"/>
  <c r="B26" i="4"/>
  <c r="B21" i="4"/>
  <c r="B16" i="4"/>
  <c r="B11" i="4"/>
  <c r="B38" i="4"/>
  <c r="B18" i="10"/>
  <c r="B24" i="10"/>
  <c r="B25" i="10"/>
  <c r="C7" i="10"/>
  <c r="C8" i="10"/>
  <c r="C9" i="10"/>
  <c r="C36" i="4"/>
  <c r="C26" i="4"/>
  <c r="C21" i="4"/>
  <c r="C16" i="4"/>
  <c r="C11" i="4"/>
  <c r="C38" i="4"/>
  <c r="C18" i="10"/>
  <c r="C24" i="10"/>
  <c r="D27" i="6"/>
  <c r="C22" i="10"/>
  <c r="C25" i="10"/>
  <c r="C2" i="5"/>
  <c r="B2" i="5"/>
  <c r="C2" i="6"/>
  <c r="B2" i="6"/>
  <c r="C2" i="4"/>
  <c r="B2" i="4"/>
  <c r="B2" i="1"/>
  <c r="C2" i="1"/>
  <c r="C17" i="5"/>
  <c r="E20" i="6"/>
  <c r="F20" i="6"/>
  <c r="G20" i="6"/>
  <c r="E6" i="6"/>
  <c r="F6" i="6" s="1"/>
  <c r="F8" i="6"/>
  <c r="G8" i="6"/>
  <c r="E9" i="6"/>
  <c r="F9" i="6"/>
  <c r="G9" i="6"/>
  <c r="E10" i="6"/>
  <c r="F10" i="6"/>
  <c r="G10" i="6"/>
  <c r="E11" i="6"/>
  <c r="F11" i="6"/>
  <c r="G11" i="6"/>
  <c r="E12" i="6"/>
  <c r="F12" i="6"/>
  <c r="G12" i="6"/>
  <c r="E13" i="6"/>
  <c r="F13" i="6"/>
  <c r="G13" i="6"/>
  <c r="E14" i="6"/>
  <c r="F14" i="6"/>
  <c r="G14" i="6"/>
  <c r="E15" i="6"/>
  <c r="F15" i="6"/>
  <c r="G15" i="6"/>
  <c r="F10" i="4"/>
  <c r="F7" i="4"/>
  <c r="F8" i="4"/>
  <c r="F9" i="4"/>
  <c r="F11" i="4"/>
  <c r="F20" i="4"/>
  <c r="F19" i="4"/>
  <c r="F21" i="4"/>
  <c r="F24" i="4"/>
  <c r="F25" i="4"/>
  <c r="F26" i="4"/>
  <c r="F29" i="4"/>
  <c r="F30" i="4"/>
  <c r="F31" i="4"/>
  <c r="F32" i="4"/>
  <c r="F33" i="4"/>
  <c r="F34" i="4"/>
  <c r="F14" i="4"/>
  <c r="F15" i="4"/>
  <c r="F16" i="4"/>
  <c r="F16" i="10"/>
  <c r="F15" i="10"/>
  <c r="F14" i="10"/>
  <c r="F13" i="10"/>
  <c r="F12" i="10"/>
  <c r="F11" i="10"/>
  <c r="E16" i="10"/>
  <c r="E15" i="10"/>
  <c r="E14" i="10"/>
  <c r="E13" i="10"/>
  <c r="E12" i="10"/>
  <c r="E11" i="10"/>
  <c r="G22" i="6"/>
  <c r="G24" i="6"/>
  <c r="G25" i="6"/>
  <c r="G26" i="6"/>
  <c r="F22" i="6"/>
  <c r="F24" i="6"/>
  <c r="F25" i="6"/>
  <c r="F26" i="6"/>
  <c r="B23" i="10"/>
  <c r="C23" i="10"/>
  <c r="A8" i="5"/>
  <c r="A9" i="5"/>
  <c r="A10" i="5"/>
  <c r="G7" i="1"/>
  <c r="A10" i="1"/>
  <c r="A11" i="1"/>
  <c r="A12" i="1"/>
  <c r="A13" i="1"/>
  <c r="A14" i="1"/>
  <c r="A15" i="1"/>
  <c r="A16" i="1"/>
  <c r="A17" i="1"/>
  <c r="A9" i="1"/>
  <c r="G10" i="1"/>
  <c r="G11" i="1"/>
  <c r="G13" i="1"/>
  <c r="G15" i="1"/>
  <c r="G16" i="1"/>
  <c r="G17" i="1"/>
  <c r="A7" i="5"/>
  <c r="B21" i="10"/>
  <c r="C21" i="10"/>
  <c r="B20" i="10"/>
  <c r="D16" i="6"/>
  <c r="C20" i="10"/>
  <c r="C17" i="10"/>
  <c r="B17" i="10"/>
  <c r="D16" i="10"/>
  <c r="C16" i="10"/>
  <c r="B16" i="10"/>
  <c r="D15" i="10"/>
  <c r="C15" i="10"/>
  <c r="B15" i="10"/>
  <c r="D14" i="10"/>
  <c r="C14" i="10"/>
  <c r="B14" i="10"/>
  <c r="B13" i="10"/>
  <c r="D13" i="10"/>
  <c r="C13" i="10"/>
  <c r="D12" i="10"/>
  <c r="B12" i="10"/>
  <c r="B11" i="10"/>
  <c r="D11" i="10"/>
  <c r="C11" i="10"/>
  <c r="C12" i="10"/>
  <c r="E21" i="6"/>
  <c r="F21" i="6" s="1"/>
  <c r="G21" i="6" s="1"/>
  <c r="E22" i="6"/>
  <c r="E23" i="6"/>
  <c r="E24" i="6"/>
  <c r="E25" i="6"/>
  <c r="E26" i="6"/>
  <c r="B17" i="5"/>
  <c r="E7" i="6"/>
  <c r="E16" i="6" s="1"/>
  <c r="D20" i="10" s="1"/>
  <c r="E8" i="6"/>
  <c r="A16" i="5"/>
  <c r="A15" i="5"/>
  <c r="A14" i="5"/>
  <c r="A13" i="5"/>
  <c r="A12" i="5"/>
  <c r="A11" i="5"/>
  <c r="A8" i="1"/>
  <c r="E17" i="10" l="1"/>
  <c r="E36" i="4"/>
  <c r="E38" i="4" s="1"/>
  <c r="E18" i="10" s="1"/>
  <c r="F35" i="4"/>
  <c r="F7" i="6"/>
  <c r="G7" i="6" s="1"/>
  <c r="G6" i="6"/>
  <c r="E27" i="6"/>
  <c r="D22" i="10" s="1"/>
  <c r="F23" i="6"/>
  <c r="G8" i="1"/>
  <c r="D7" i="5"/>
  <c r="F8" i="1"/>
  <c r="G9" i="1"/>
  <c r="G14" i="1"/>
  <c r="D18" i="1"/>
  <c r="G12" i="1"/>
  <c r="E18" i="1"/>
  <c r="D11" i="5"/>
  <c r="F36" i="4" l="1"/>
  <c r="F38" i="4" s="1"/>
  <c r="F18" i="10" s="1"/>
  <c r="F17" i="10"/>
  <c r="G16" i="6"/>
  <c r="F20" i="10" s="1"/>
  <c r="F16" i="6"/>
  <c r="E20" i="10" s="1"/>
  <c r="D21" i="10"/>
  <c r="F27" i="6"/>
  <c r="G23" i="6"/>
  <c r="G27" i="6" s="1"/>
  <c r="F21" i="10" s="1"/>
  <c r="F22" i="10" s="1"/>
  <c r="D17" i="5"/>
  <c r="D6" i="5" s="1"/>
  <c r="D8" i="10" s="1"/>
  <c r="F18" i="1"/>
  <c r="D7" i="10"/>
  <c r="E22" i="10" l="1"/>
  <c r="E21" i="10"/>
  <c r="D21" i="5"/>
  <c r="D24" i="10" s="1"/>
  <c r="E6" i="5"/>
  <c r="E8" i="10" s="1"/>
  <c r="D9" i="10"/>
  <c r="D23" i="10" s="1"/>
  <c r="E7" i="10"/>
  <c r="G18" i="1"/>
  <c r="F7" i="10" s="1"/>
  <c r="E21" i="5" l="1"/>
  <c r="E24" i="10" s="1"/>
  <c r="A23" i="5"/>
  <c r="F6" i="5"/>
  <c r="F8" i="10" s="1"/>
  <c r="F9" i="10" s="1"/>
  <c r="D25" i="10"/>
  <c r="D2" i="1" s="1"/>
  <c r="E9" i="10"/>
  <c r="E23" i="10" s="1"/>
  <c r="F23" i="10" s="1"/>
  <c r="F21" i="5" l="1"/>
  <c r="F17" i="5"/>
  <c r="D2" i="6"/>
  <c r="D2" i="4"/>
  <c r="D2" i="5"/>
  <c r="F24" i="10"/>
  <c r="E25" i="10"/>
  <c r="E2" i="6" l="1"/>
  <c r="E2" i="1"/>
  <c r="E2" i="5"/>
  <c r="E2" i="4"/>
  <c r="F25" i="10"/>
  <c r="F2" i="5" l="1"/>
  <c r="F2" i="4"/>
  <c r="F2" i="6"/>
  <c r="F2" i="1"/>
</calcChain>
</file>

<file path=xl/comments1.xml><?xml version="1.0" encoding="utf-8"?>
<comments xmlns="http://schemas.openxmlformats.org/spreadsheetml/2006/main">
  <authors>
    <author>Dana Lacono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<sst xmlns="http://schemas.openxmlformats.org/spreadsheetml/2006/main" count="237" uniqueCount="156">
  <si>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</si>
  <si>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</si>
  <si>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</si>
  <si>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</si>
  <si>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</si>
  <si>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</si>
  <si>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</si>
  <si>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</si>
  <si>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</si>
  <si>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</si>
  <si>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</si>
  <si>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</si>
  <si>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</si>
  <si>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</si>
  <si>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</si>
  <si>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</si>
  <si>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</si>
  <si>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</si>
  <si>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</si>
  <si>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</si>
  <si>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</si>
  <si>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</si>
  <si>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</si>
  <si>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</si>
  <si>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</si>
  <si>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</si>
  <si>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</si>
  <si>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</si>
  <si>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</si>
  <si>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</si>
  <si>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</si>
  <si>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</si>
  <si>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</si>
  <si>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</si>
  <si>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</si>
  <si>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</si>
  <si>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</si>
  <si>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</si>
  <si>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</si>
  <si>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</si>
  <si>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</si>
  <si>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</si>
  <si>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</si>
  <si>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</si>
  <si>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</si>
  <si>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</si>
  <si>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</si>
  <si>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</si>
  <si>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</si>
  <si>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</si>
  <si>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</si>
  <si>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</si>
  <si>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</si>
  <si>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</si>
  <si>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</si>
  <si>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Capital Equipment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</si>
  <si>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</si>
  <si>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</si>
  <si>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</si>
  <si>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</si>
  <si>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</si>
  <si>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</si>
  <si>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</si>
  <si>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</si>
  <si>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</si>
  <si>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</si>
  <si>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</si>
  <si>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</si>
  <si>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</si>
  <si>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</si>
  <si>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</si>
  <si>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</si>
  <si>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</si>
  <si>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</si>
  <si>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</si>
  <si>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</si>
  <si>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</si>
  <si>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</si>
  <si>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</si>
  <si>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</si>
  <si>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</si>
  <si>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</si>
  <si>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</si>
  <si>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</si>
  <si>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</si>
  <si>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</si>
  <si>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</si>
  <si>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</si>
  <si>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</si>
  <si>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</si>
  <si>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</si>
  <si>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</si>
  <si>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</si>
  <si>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</si>
  <si>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</si>
  <si>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</si>
  <si>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</si>
  <si>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</si>
  <si>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</si>
  <si>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</si>
  <si>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</si>
  <si>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</si>
  <si>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</si>
  <si>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</si>
  <si>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</si>
  <si>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</si>
  <si>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</si>
  <si>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</si>
  <si>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</si>
  <si>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</si>
  <si>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</si>
  <si>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</si>
  <si>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</si>
  <si>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</si>
  <si>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</si>
  <si>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</si>
  <si>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</si>
  <si>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</si>
  <si>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</si>
  <si>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</si>
  <si>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</si>
  <si>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</si>
  <si>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</si>
  <si>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</si>
  <si>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</si>
  <si>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Jan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</si>
  <si>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</si>
  <si>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</si>
  <si>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</si>
  <si>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</si>
  <si>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</si>
  <si>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</si>
  <si>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</si>
  <si>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</si>
  <si>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Feb 2017</t>
  </si>
  <si>
    <t>Mar 2017</t>
  </si>
  <si>
    <t>Apr 2017</t>
  </si>
  <si>
    <t>3/15/15 - 2/29/20</t>
  </si>
  <si>
    <t>Craig Dawe</t>
  </si>
  <si>
    <t>Ken Heller</t>
  </si>
  <si>
    <t>Paul McGill</t>
  </si>
  <si>
    <t>Ray Thompson</t>
  </si>
  <si>
    <t>Fringe Rates</t>
  </si>
  <si>
    <t>MARS Routers</t>
  </si>
  <si>
    <t>ODI Connectors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</si>
  <si>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</si>
  <si>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</si>
  <si>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</si>
  <si>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</si>
  <si>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Doug Parget</t>
  </si>
  <si>
    <t xml:space="preserve">Jose Rosal </t>
  </si>
  <si>
    <t>Ed Mellinger</t>
  </si>
  <si>
    <t>Rich Schramm</t>
  </si>
  <si>
    <t>Peter Walz</t>
  </si>
  <si>
    <t>Ed Peltzer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</si>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</sst>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&quot;$&quot;#,##0"/>
    <numFmt numFmtId="168" formatCode="0.0%"/>
    <numFmt numFmtId="169" formatCode="#,##0_ ;[Red]\-#,##0\ "/>
    <numFmt numFmtId="170" formatCode="mmm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</cellStyleXfs>
  <cellXfs count="99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7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167" fontId="6" fillId="0" borderId="0" xfId="0" applyNumberFormat="1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7" fontId="6" fillId="0" borderId="3" xfId="5" applyNumberFormat="1" applyProtection="1"/>
    <xf numFmtId="168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7" fontId="6" fillId="0" borderId="0" xfId="0" applyNumberFormat="1" applyFont="1" applyProtection="1">
      <protection locked="0"/>
    </xf>
    <xf numFmtId="0" fontId="6" fillId="6" borderId="0" xfId="0" applyFont="1" applyFill="1" applyProtection="1"/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7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7" fontId="0" fillId="0" borderId="0" xfId="0" applyNumberFormat="1" applyProtection="1">
      <protection locked="0"/>
    </xf>
    <xf numFmtId="0" fontId="0" fillId="6" borderId="0" xfId="0" applyFill="1" applyProtection="1">
      <protection locked="0"/>
    </xf>
    <xf numFmtId="3" fontId="0" fillId="0" borderId="0" xfId="0" applyNumberFormat="1" applyFont="1" applyProtection="1"/>
    <xf numFmtId="167" fontId="0" fillId="0" borderId="0" xfId="0" applyNumberFormat="1" applyProtection="1"/>
    <xf numFmtId="164" fontId="6" fillId="7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7" borderId="10" xfId="5" applyNumberFormat="1" applyFill="1" applyBorder="1" applyAlignment="1">
      <alignment horizontal="right"/>
    </xf>
    <xf numFmtId="0" fontId="12" fillId="7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167" fontId="0" fillId="0" borderId="0" xfId="0" applyNumberFormat="1" applyFill="1" applyProtection="1"/>
    <xf numFmtId="0" fontId="12" fillId="7" borderId="11" xfId="2" applyFont="1" applyFill="1" applyBorder="1" applyAlignment="1">
      <alignment horizontal="center"/>
    </xf>
    <xf numFmtId="0" fontId="0" fillId="7" borderId="12" xfId="0" applyFill="1" applyBorder="1"/>
    <xf numFmtId="0" fontId="0" fillId="7" borderId="10" xfId="0" applyFill="1" applyBorder="1"/>
    <xf numFmtId="0" fontId="12" fillId="7" borderId="11" xfId="2" applyFont="1" applyFill="1" applyBorder="1" applyAlignment="1">
      <alignment horizontal="right"/>
    </xf>
    <xf numFmtId="164" fontId="6" fillId="7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169" fontId="6" fillId="0" borderId="3" xfId="5" applyNumberFormat="1"/>
    <xf numFmtId="3" fontId="6" fillId="0" borderId="3" xfId="5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7" borderId="7" xfId="5" applyFill="1" applyBorder="1" applyAlignment="1">
      <alignment horizontal="center" vertical="center"/>
    </xf>
    <xf numFmtId="0" fontId="6" fillId="7" borderId="8" xfId="5" applyFill="1" applyBorder="1" applyAlignment="1">
      <alignment horizontal="center" vertical="center"/>
    </xf>
    <xf numFmtId="0" fontId="3" fillId="0" borderId="0" xfId="3" applyAlignment="1">
      <alignment horizontal="center"/>
    </xf>
    <xf numFmtId="0" fontId="3" fillId="0" borderId="2" xfId="3" applyBorder="1" applyAlignment="1">
      <alignment horizontal="center"/>
    </xf>
    <xf numFmtId="0" fontId="0" fillId="0" borderId="0" xfId="0" applyFill="1" applyBorder="1" applyAlignment="1">
      <alignment wrapText="1"/>
    </xf>
  </cellXfs>
  <cellStyles count="12">
    <cellStyle name="20% - Accent1" xfId="4" builtinId="30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6" activePane="bottomLeft" state="frozen"/>
      <selection pane="bottomLeft" activeCell="B2" sqref="B2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89" t="s">
        <v>80</v>
      </c>
      <c r="B1" s="89"/>
      <c r="C1" s="89"/>
      <c r="D1" s="89"/>
      <c r="E1" s="89"/>
      <c r="F1" s="89"/>
    </row>
    <row r="2" spans="1:6">
      <c r="A2" s="4" t="s">
        <v>101</v>
      </c>
      <c r="B2" s="78">
        <v>701127</v>
      </c>
      <c r="C2" s="4" t="s">
        <v>71</v>
      </c>
      <c r="D2" s="79"/>
    </row>
    <row r="3" spans="1:6">
      <c r="A3" s="4" t="s">
        <v>70</v>
      </c>
      <c r="B3" s="78" t="s">
        <v>137</v>
      </c>
      <c r="C3" s="4" t="s">
        <v>72</v>
      </c>
      <c r="D3" s="79">
        <v>837823</v>
      </c>
    </row>
    <row r="4" spans="1:6">
      <c r="B4" s="9"/>
      <c r="C4" s="13"/>
      <c r="D4" s="13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106</v>
      </c>
      <c r="F5" s="16" t="s">
        <v>107</v>
      </c>
    </row>
    <row r="6" spans="1:6">
      <c r="A6" s="87" t="s">
        <v>89</v>
      </c>
      <c r="B6" s="87"/>
      <c r="C6" s="87"/>
      <c r="D6" s="87"/>
      <c r="E6" s="87"/>
      <c r="F6" s="87"/>
    </row>
    <row r="7" spans="1:6">
      <c r="A7" t="s">
        <v>36</v>
      </c>
      <c r="B7" s="22">
        <f>Labor!B18</f>
        <v>354107</v>
      </c>
      <c r="C7" s="22">
        <f>Labor!C18</f>
        <v>142454.15</v>
      </c>
      <c r="D7" s="22">
        <f>Labor!E18</f>
        <v>101647.8</v>
      </c>
      <c r="E7" s="22">
        <f>Labor!F18</f>
        <v>244101.95</v>
      </c>
      <c r="F7" s="22">
        <f>Labor!G18</f>
        <v>110005.04999999999</v>
      </c>
    </row>
    <row r="8" spans="1:6">
      <c r="A8" t="s">
        <v>87</v>
      </c>
      <c r="B8" s="22">
        <f>'Fringe &amp; OH'!B6</f>
        <v>198301</v>
      </c>
      <c r="C8" s="22">
        <f>'Fringe &amp; OH'!C6</f>
        <v>79774.320000000007</v>
      </c>
      <c r="D8" s="22">
        <f>'Fringe &amp; OH'!D6</f>
        <v>56922.768000000004</v>
      </c>
      <c r="E8" s="22">
        <f>'Fringe &amp; OH'!E6</f>
        <v>136697.08800000002</v>
      </c>
      <c r="F8" s="22">
        <f>'Fringe &amp; OH'!F6</f>
        <v>61603.911999999982</v>
      </c>
    </row>
    <row r="9" spans="1:6" ht="15.75" thickBot="1">
      <c r="A9" s="5" t="s">
        <v>88</v>
      </c>
      <c r="B9" s="23">
        <f>SUM(B7:B8)</f>
        <v>552408</v>
      </c>
      <c r="C9" s="23">
        <f>SUM(C7:C8)</f>
        <v>222228.47</v>
      </c>
      <c r="D9" s="23">
        <f>SUM(D7:D8)</f>
        <v>158570.568</v>
      </c>
      <c r="E9" s="23">
        <f>SUM(E7:E8)</f>
        <v>380799.03800000006</v>
      </c>
      <c r="F9" s="23">
        <f>SUM(F7:F8)</f>
        <v>171608.96199999997</v>
      </c>
    </row>
    <row r="10" spans="1:6" ht="15.75" thickTop="1">
      <c r="A10" s="88" t="s">
        <v>9</v>
      </c>
      <c r="B10" s="88"/>
      <c r="C10" s="88"/>
      <c r="D10" s="88"/>
      <c r="E10" s="88"/>
      <c r="F10" s="88"/>
    </row>
    <row r="11" spans="1:6">
      <c r="A11" t="s">
        <v>11</v>
      </c>
      <c r="B11" s="22">
        <f>Expenses!B26</f>
        <v>3000</v>
      </c>
      <c r="C11" s="22">
        <f>Expenses!C26</f>
        <v>746.98</v>
      </c>
      <c r="D11" s="22">
        <f>Expenses!D26</f>
        <v>640</v>
      </c>
      <c r="E11" s="22">
        <f>Expenses!E26</f>
        <v>1386.98</v>
      </c>
      <c r="F11" s="22">
        <f>Expenses!F26</f>
        <v>1613.02</v>
      </c>
    </row>
    <row r="12" spans="1:6">
      <c r="A12" t="s">
        <v>81</v>
      </c>
      <c r="B12" s="22">
        <f>Expenses!B11</f>
        <v>48183</v>
      </c>
      <c r="C12" s="22">
        <f>Expenses!C11</f>
        <v>37184.089999999997</v>
      </c>
      <c r="D12" s="22">
        <f>Expenses!D11</f>
        <v>13940</v>
      </c>
      <c r="E12" s="22">
        <f>Expenses!E11</f>
        <v>51124.09</v>
      </c>
      <c r="F12" s="22">
        <f>Expenses!F11</f>
        <v>-2941.09</v>
      </c>
    </row>
    <row r="13" spans="1:6">
      <c r="A13" t="s">
        <v>82</v>
      </c>
      <c r="B13" s="22">
        <f>Expenses!B32</f>
        <v>0</v>
      </c>
      <c r="C13" s="22">
        <f>Expenses!C32</f>
        <v>0</v>
      </c>
      <c r="D13" s="22">
        <f>Expenses!D32</f>
        <v>0</v>
      </c>
      <c r="E13" s="22">
        <f>Expenses!E32</f>
        <v>0</v>
      </c>
      <c r="F13" s="22">
        <f>Expenses!F32</f>
        <v>0</v>
      </c>
    </row>
    <row r="14" spans="1:6">
      <c r="A14" t="s">
        <v>83</v>
      </c>
      <c r="B14" s="22">
        <f>Expenses!B16</f>
        <v>34557</v>
      </c>
      <c r="C14" s="22">
        <f>Expenses!C16</f>
        <v>4543.0600000000004</v>
      </c>
      <c r="D14" s="22">
        <f>Expenses!D16</f>
        <v>86.07</v>
      </c>
      <c r="E14" s="22">
        <f>Expenses!E16</f>
        <v>4629.13</v>
      </c>
      <c r="F14" s="22">
        <f>Expenses!F16</f>
        <v>29927.87</v>
      </c>
    </row>
    <row r="15" spans="1:6">
      <c r="A15" t="s">
        <v>84</v>
      </c>
      <c r="B15" s="22">
        <f>Expenses!B21</f>
        <v>0</v>
      </c>
      <c r="C15" s="22">
        <f>Expenses!C21</f>
        <v>0</v>
      </c>
      <c r="D15" s="22">
        <f>Expenses!D21</f>
        <v>0</v>
      </c>
      <c r="E15" s="22">
        <f>Expenses!E21</f>
        <v>0</v>
      </c>
      <c r="F15" s="22">
        <f>Expenses!F21</f>
        <v>0</v>
      </c>
    </row>
    <row r="16" spans="1:6">
      <c r="A16" t="s">
        <v>85</v>
      </c>
      <c r="B16" s="22">
        <f>Expenses!B34</f>
        <v>0</v>
      </c>
      <c r="C16" s="22">
        <f>Expenses!C34</f>
        <v>0</v>
      </c>
      <c r="D16" s="22">
        <f>Expenses!D34</f>
        <v>0</v>
      </c>
      <c r="E16" s="22">
        <f>Expenses!E34</f>
        <v>0</v>
      </c>
      <c r="F16" s="22">
        <f>Expenses!F34</f>
        <v>0</v>
      </c>
    </row>
    <row r="17" spans="1:6">
      <c r="A17" t="s">
        <v>15</v>
      </c>
      <c r="B17" s="22">
        <f>Expenses!B36-Expenses!B34-Expenses!B32</f>
        <v>600</v>
      </c>
      <c r="C17" s="22">
        <f>Expenses!C36-Expenses!C34-Expenses!C32</f>
        <v>0</v>
      </c>
      <c r="D17" s="22">
        <f>Expenses!D36-Expenses!D34-Expenses!D32</f>
        <v>163800</v>
      </c>
      <c r="E17" s="22">
        <f>SUM(Expenses!E35,Expenses!E33,Expenses!E31,Expenses!E30,Expenses!E29)</f>
        <v>163800</v>
      </c>
      <c r="F17" s="22">
        <f>SUM(Expenses!F35,Expenses!F33,Expenses!F31,Expenses!F30,Expenses!F29)</f>
        <v>-163200</v>
      </c>
    </row>
    <row r="18" spans="1:6" ht="15.75" thickBot="1">
      <c r="A18" s="5" t="s">
        <v>93</v>
      </c>
      <c r="B18" s="23">
        <f>Expenses!B38</f>
        <v>86340</v>
      </c>
      <c r="C18" s="23">
        <f>Expenses!C38</f>
        <v>42474.13</v>
      </c>
      <c r="D18" s="23">
        <f>Expenses!D38</f>
        <v>178466.07</v>
      </c>
      <c r="E18" s="23">
        <f>Expenses!E38</f>
        <v>220940.2</v>
      </c>
      <c r="F18" s="23">
        <f>Expenses!F38</f>
        <v>-134600.20000000001</v>
      </c>
    </row>
    <row r="19" spans="1:6" ht="15.75" thickTop="1">
      <c r="A19" s="88" t="s">
        <v>90</v>
      </c>
      <c r="B19" s="88"/>
      <c r="C19" s="88"/>
      <c r="D19" s="88"/>
      <c r="E19" s="88"/>
      <c r="F19" s="88"/>
    </row>
    <row r="20" spans="1:6">
      <c r="A20" t="s">
        <v>55</v>
      </c>
      <c r="B20" s="22">
        <f>'Capital Equipment &amp; DMO Assets'!C16</f>
        <v>50000</v>
      </c>
      <c r="C20" s="22">
        <f>'Capital Equipment &amp; DMO Assets'!D16</f>
        <v>32243.599999999999</v>
      </c>
      <c r="D20" s="22">
        <f>'Capital Equipment &amp; DMO Assets'!E16</f>
        <v>15000</v>
      </c>
      <c r="E20" s="22">
        <f>'Capital Equipment &amp; DMO Assets'!F16</f>
        <v>47243.6</v>
      </c>
      <c r="F20" s="22">
        <f>'Capital Equipment &amp; DMO Assets'!G16</f>
        <v>2756.4000000000015</v>
      </c>
    </row>
    <row r="21" spans="1:6">
      <c r="A21" t="s">
        <v>91</v>
      </c>
      <c r="B21" s="22">
        <f>'Capital Equipment &amp; DMO Assets'!C27</f>
        <v>202950</v>
      </c>
      <c r="C21" s="22">
        <f>'Capital Equipment &amp; DMO Assets'!D27</f>
        <v>33000</v>
      </c>
      <c r="D21" s="22">
        <f>'Capital Equipment &amp; DMO Assets'!E27</f>
        <v>4</v>
      </c>
      <c r="E21" s="22">
        <f>'Capital Equipment &amp; DMO Assets'!F27</f>
        <v>33004</v>
      </c>
      <c r="F21" s="22">
        <f>'Capital Equipment &amp; DMO Assets'!G27</f>
        <v>169946</v>
      </c>
    </row>
    <row r="22" spans="1:6" ht="15.75" thickBot="1">
      <c r="A22" s="5" t="s">
        <v>94</v>
      </c>
      <c r="B22" s="82">
        <f>SUM('Capital Equipment &amp; DMO Assets'!C27,'Capital Equipment &amp; DMO Assets'!C16)</f>
        <v>252950</v>
      </c>
      <c r="C22" s="82">
        <f>SUM('Capital Equipment &amp; DMO Assets'!D27,'Capital Equipment &amp; DMO Assets'!D38)</f>
        <v>33000</v>
      </c>
      <c r="D22" s="82">
        <f>SUM('Capital Equipment &amp; DMO Assets'!E27,'Capital Equipment &amp; DMO Assets'!E38)</f>
        <v>4</v>
      </c>
      <c r="E22" s="82">
        <f>SUM('Capital Equipment &amp; DMO Assets'!F27,'Capital Equipment &amp; DMO Assets'!F16)</f>
        <v>80247.600000000006</v>
      </c>
      <c r="F22" s="82">
        <f>SUM(F20:F21)</f>
        <v>172702.4</v>
      </c>
    </row>
    <row r="23" spans="1:6" ht="15.75" thickTop="1">
      <c r="A23" s="14" t="s">
        <v>108</v>
      </c>
      <c r="B23" s="45">
        <f>SUM(B18,B22,B9)</f>
        <v>891698</v>
      </c>
      <c r="C23" s="45">
        <f t="shared" ref="C23:E23" si="0">SUM(C18,C22,C9)</f>
        <v>297702.59999999998</v>
      </c>
      <c r="D23" s="45">
        <f t="shared" si="0"/>
        <v>337040.63800000004</v>
      </c>
      <c r="E23" s="45">
        <f t="shared" si="0"/>
        <v>681986.83800000011</v>
      </c>
      <c r="F23" s="45">
        <f>B23-E23</f>
        <v>209711.16199999989</v>
      </c>
    </row>
    <row r="24" spans="1:6">
      <c r="A24" s="14" t="s">
        <v>73</v>
      </c>
      <c r="B24" s="45">
        <f>'Fringe &amp; OH'!B21</f>
        <v>325762</v>
      </c>
      <c r="C24" s="45">
        <f>'Fringe &amp; OH'!C21</f>
        <v>134998.32999999999</v>
      </c>
      <c r="D24" s="45">
        <f>'Fringe &amp; OH'!D21</f>
        <v>171888.68537999998</v>
      </c>
      <c r="E24" s="45">
        <f>'Fringe &amp; OH'!E21</f>
        <v>306887.01538</v>
      </c>
      <c r="F24" s="45">
        <f>B24-E24</f>
        <v>18874.984620000003</v>
      </c>
    </row>
    <row r="25" spans="1:6" ht="15.75" thickBot="1">
      <c r="A25" s="15" t="s">
        <v>86</v>
      </c>
      <c r="B25" s="24">
        <f>SUM(B24,B22,B18,B9)</f>
        <v>1217460</v>
      </c>
      <c r="C25" s="24">
        <f>SUM(C24,C22,C18,C9)</f>
        <v>432700.93</v>
      </c>
      <c r="D25" s="24">
        <f>SUM(D24,D22,D18,D9)</f>
        <v>508929.32337999996</v>
      </c>
      <c r="E25" s="24">
        <f>SUM(E24,E22,E18,E9)</f>
        <v>988873.8533800001</v>
      </c>
      <c r="F25" s="24">
        <f>B25-E25</f>
        <v>228586.1466199999</v>
      </c>
    </row>
    <row r="26" spans="1:6" ht="15.75" thickTop="1"/>
  </sheetData>
  <sheetProtection password="CB1D" sheet="1" objects="1" scenarios="1"/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3" sqref="B13"/>
    </sheetView>
  </sheetViews>
  <sheetFormatPr defaultColWidth="11.5703125" defaultRowHeight="15"/>
  <cols>
    <col min="1" max="1" width="22.140625" bestFit="1" customWidth="1"/>
    <col min="2" max="2" width="86.7109375" customWidth="1"/>
  </cols>
  <sheetData>
    <row r="1" spans="1:2" ht="20.25" thickBot="1">
      <c r="A1" s="12" t="s">
        <v>114</v>
      </c>
      <c r="B1" s="12"/>
    </row>
    <row r="2" spans="1:2" ht="15.75" thickTop="1"/>
    <row r="3" spans="1:2" ht="30">
      <c r="A3" s="90" t="s">
        <v>110</v>
      </c>
      <c r="B3" s="84" t="s">
        <v>115</v>
      </c>
    </row>
    <row r="4" spans="1:2">
      <c r="A4" s="91"/>
      <c r="B4" s="84" t="s">
        <v>117</v>
      </c>
    </row>
    <row r="5" spans="1:2">
      <c r="A5" s="92"/>
      <c r="B5" s="84" t="s">
        <v>118</v>
      </c>
    </row>
    <row r="6" spans="1:2">
      <c r="A6" s="85" t="s">
        <v>111</v>
      </c>
      <c r="B6" s="84" t="s">
        <v>145</v>
      </c>
    </row>
    <row r="7" spans="1:2" ht="30">
      <c r="A7" s="85" t="s">
        <v>36</v>
      </c>
      <c r="B7" s="84" t="s">
        <v>146</v>
      </c>
    </row>
    <row r="8" spans="1:2" ht="30">
      <c r="A8" s="85" t="s">
        <v>9</v>
      </c>
      <c r="B8" s="84" t="s">
        <v>147</v>
      </c>
    </row>
    <row r="9" spans="1:2" ht="45">
      <c r="A9" s="85" t="s">
        <v>112</v>
      </c>
      <c r="B9" s="84" t="s">
        <v>148</v>
      </c>
    </row>
    <row r="10" spans="1:2">
      <c r="A10" s="85" t="s">
        <v>113</v>
      </c>
      <c r="B10" s="84" t="s">
        <v>116</v>
      </c>
    </row>
    <row r="13" spans="1:2">
      <c r="B13" s="98" t="s">
        <v>155</v>
      </c>
    </row>
  </sheetData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"/>
  <sheetViews>
    <sheetView tabSelected="1" workbookViewId="0">
      <selection activeCell="C11" sqref="C11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  <c r="E1" s="49" t="s">
        <v>142</v>
      </c>
    </row>
    <row r="2" spans="1:6">
      <c r="A2" s="18" t="s">
        <v>138</v>
      </c>
      <c r="B2" s="10">
        <v>79.930000000000007</v>
      </c>
      <c r="C2" s="11">
        <v>0.56000000000000005</v>
      </c>
      <c r="E2" t="s">
        <v>120</v>
      </c>
      <c r="F2" s="50">
        <v>0.56000000000000005</v>
      </c>
    </row>
    <row r="3" spans="1:6">
      <c r="A3" s="18" t="s">
        <v>139</v>
      </c>
      <c r="B3" s="10">
        <v>31.34</v>
      </c>
      <c r="C3" s="11">
        <v>0.56000000000000005</v>
      </c>
      <c r="E3" t="s">
        <v>119</v>
      </c>
      <c r="F3" s="50">
        <v>0.46</v>
      </c>
    </row>
    <row r="4" spans="1:6">
      <c r="A4" s="18" t="s">
        <v>152</v>
      </c>
      <c r="B4" s="10">
        <v>0</v>
      </c>
      <c r="C4" s="11">
        <v>0.56000000000000005</v>
      </c>
      <c r="E4" t="s">
        <v>122</v>
      </c>
      <c r="F4" s="50">
        <v>0.32</v>
      </c>
    </row>
    <row r="5" spans="1:6">
      <c r="A5" s="18" t="s">
        <v>154</v>
      </c>
      <c r="B5" s="10">
        <v>0</v>
      </c>
      <c r="C5" s="11">
        <v>0.56000000000000005</v>
      </c>
      <c r="E5" t="s">
        <v>121</v>
      </c>
      <c r="F5" s="50">
        <v>0.12</v>
      </c>
    </row>
    <row r="6" spans="1:6">
      <c r="A6" s="18" t="s">
        <v>140</v>
      </c>
      <c r="B6" s="10">
        <v>82.9</v>
      </c>
      <c r="C6" s="11">
        <v>0.56000000000000005</v>
      </c>
    </row>
    <row r="7" spans="1:6">
      <c r="A7" s="18" t="s">
        <v>153</v>
      </c>
      <c r="B7" s="10">
        <v>0</v>
      </c>
      <c r="C7" s="11">
        <v>0.56000000000000005</v>
      </c>
    </row>
    <row r="8" spans="1:6">
      <c r="A8" s="18" t="s">
        <v>141</v>
      </c>
      <c r="B8" s="10">
        <v>51.4</v>
      </c>
      <c r="C8" s="11">
        <v>0.56000000000000005</v>
      </c>
    </row>
    <row r="9" spans="1:6">
      <c r="A9" s="18" t="s">
        <v>149</v>
      </c>
      <c r="B9" s="10">
        <v>0</v>
      </c>
      <c r="C9" s="11">
        <v>0</v>
      </c>
    </row>
    <row r="10" spans="1:6">
      <c r="A10" s="18" t="s">
        <v>150</v>
      </c>
      <c r="B10" s="10">
        <v>0</v>
      </c>
      <c r="C10" s="11">
        <v>0</v>
      </c>
    </row>
    <row r="11" spans="1:6">
      <c r="A11" s="18" t="s">
        <v>151</v>
      </c>
      <c r="B11" s="10">
        <v>0</v>
      </c>
      <c r="C11" s="11">
        <v>0</v>
      </c>
    </row>
  </sheetData>
  <sheetProtection password="CB1D" sheet="1" objects="1" scenarios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19"/>
  <sheetViews>
    <sheetView workbookViewId="0">
      <pane xSplit="7" topLeftCell="K1" activePane="topRight" state="frozen"/>
      <selection pane="topRight" activeCell="Q14" sqref="Q14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9" width="11" customWidth="1" outlineLevel="1"/>
    <col min="20" max="21" width="12" customWidth="1"/>
    <col min="22" max="22" width="12.42578125" customWidth="1"/>
    <col min="23" max="27" width="12" customWidth="1"/>
  </cols>
  <sheetData>
    <row r="1" spans="1:19">
      <c r="A1" s="94" t="s">
        <v>123</v>
      </c>
      <c r="B1" s="71" t="s">
        <v>3</v>
      </c>
      <c r="C1" s="71" t="s">
        <v>4</v>
      </c>
      <c r="D1" s="71" t="s">
        <v>7</v>
      </c>
      <c r="E1" s="71" t="s">
        <v>105</v>
      </c>
      <c r="F1" s="74" t="s">
        <v>107</v>
      </c>
      <c r="G1" s="72"/>
    </row>
    <row r="2" spans="1:19" ht="15.75" thickBot="1">
      <c r="A2" s="95"/>
      <c r="B2" s="75">
        <f>Summary!B25</f>
        <v>1217460</v>
      </c>
      <c r="C2" s="75">
        <f>Summary!C25</f>
        <v>432700.93</v>
      </c>
      <c r="D2" s="75">
        <f>Summary!D25</f>
        <v>508929.32337999996</v>
      </c>
      <c r="E2" s="75">
        <f>Summary!E25</f>
        <v>988873.8533800001</v>
      </c>
      <c r="F2" s="61">
        <f>Summary!F25</f>
        <v>228586.1466199999</v>
      </c>
      <c r="G2" s="73"/>
    </row>
    <row r="5" spans="1:19" ht="20.25" thickBot="1">
      <c r="A5" s="93" t="s">
        <v>36</v>
      </c>
      <c r="B5" s="93"/>
      <c r="C5" s="8"/>
      <c r="D5" s="8"/>
      <c r="E5" s="8"/>
      <c r="F5" s="8"/>
      <c r="G5" s="8"/>
    </row>
    <row r="6" spans="1:19" ht="31.5" thickTop="1" thickBot="1">
      <c r="A6" s="25" t="s">
        <v>0</v>
      </c>
      <c r="B6" s="25" t="s">
        <v>3</v>
      </c>
      <c r="C6" s="25" t="s">
        <v>4</v>
      </c>
      <c r="D6" s="26" t="s">
        <v>102</v>
      </c>
      <c r="E6" s="26" t="s">
        <v>103</v>
      </c>
      <c r="F6" s="26" t="s">
        <v>106</v>
      </c>
      <c r="G6" s="25" t="s">
        <v>5</v>
      </c>
      <c r="H6" s="86">
        <v>42736</v>
      </c>
      <c r="I6" s="86">
        <v>42767</v>
      </c>
      <c r="J6" s="86">
        <v>42795</v>
      </c>
      <c r="K6" s="86">
        <v>42826</v>
      </c>
      <c r="L6" s="86">
        <v>42856</v>
      </c>
      <c r="M6" s="86">
        <v>42887</v>
      </c>
      <c r="N6" s="86">
        <v>42917</v>
      </c>
      <c r="O6" s="86">
        <v>42948</v>
      </c>
      <c r="P6" s="86">
        <v>42979</v>
      </c>
      <c r="Q6" s="86">
        <v>43009</v>
      </c>
      <c r="R6" s="86">
        <v>43040</v>
      </c>
      <c r="S6" s="86">
        <v>43070</v>
      </c>
    </row>
    <row r="7" spans="1:19">
      <c r="A7" s="27" t="s">
        <v>109</v>
      </c>
      <c r="B7" s="51">
        <f>248867+105240</f>
        <v>354107</v>
      </c>
      <c r="C7" s="51">
        <v>142454.15</v>
      </c>
      <c r="D7" s="52"/>
      <c r="E7" s="52"/>
      <c r="F7" s="52"/>
      <c r="G7" s="28">
        <f>B7-C7</f>
        <v>211652.85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</row>
    <row r="8" spans="1:19">
      <c r="A8" s="8" t="str">
        <f>'Personnel Info'!A2</f>
        <v>Craig Dawe</v>
      </c>
      <c r="B8" s="39"/>
      <c r="C8" s="54"/>
      <c r="D8" s="59">
        <f t="shared" ref="D8:D17" si="0">SUM(H8:AA8)</f>
        <v>380</v>
      </c>
      <c r="E8" s="39">
        <f>D8*'Personnel Info'!B2</f>
        <v>30373.4</v>
      </c>
      <c r="F8" s="39">
        <f>C8+E8</f>
        <v>30373.4</v>
      </c>
      <c r="G8" s="60">
        <f>Labor!B8-(('Personnel Info'!B2*Labor!D8)+C8)</f>
        <v>-30373.4</v>
      </c>
      <c r="H8" s="9">
        <v>35</v>
      </c>
      <c r="I8" s="17">
        <v>35</v>
      </c>
      <c r="J8" s="9">
        <v>35</v>
      </c>
      <c r="K8" s="9">
        <v>35</v>
      </c>
      <c r="L8" s="9">
        <v>35</v>
      </c>
      <c r="M8" s="9">
        <v>35</v>
      </c>
      <c r="N8" s="46">
        <v>35</v>
      </c>
      <c r="O8" s="46">
        <v>35</v>
      </c>
      <c r="P8" s="46">
        <v>15</v>
      </c>
      <c r="Q8" s="46">
        <v>15</v>
      </c>
      <c r="R8" s="46">
        <v>35</v>
      </c>
      <c r="S8" s="46">
        <v>35</v>
      </c>
    </row>
    <row r="9" spans="1:19">
      <c r="A9" s="67" t="str">
        <f>'Personnel Info'!A3</f>
        <v>Ken Heller</v>
      </c>
      <c r="B9" s="68"/>
      <c r="C9" s="69"/>
      <c r="D9" s="68">
        <f t="shared" si="0"/>
        <v>1760</v>
      </c>
      <c r="E9" s="68">
        <f>D9*'Personnel Info'!B3</f>
        <v>55158.400000000001</v>
      </c>
      <c r="F9" s="68"/>
      <c r="G9" s="70">
        <f>Labor!B9-(('Personnel Info'!B3*Labor!D9)+C9)</f>
        <v>-55158.400000000001</v>
      </c>
      <c r="H9" s="9">
        <v>147</v>
      </c>
      <c r="I9" s="9">
        <v>147</v>
      </c>
      <c r="J9" s="9">
        <v>147</v>
      </c>
      <c r="K9" s="9">
        <v>147</v>
      </c>
      <c r="L9" s="9">
        <v>147</v>
      </c>
      <c r="M9" s="9">
        <v>147</v>
      </c>
      <c r="N9" s="9">
        <v>147</v>
      </c>
      <c r="O9" s="9">
        <v>147</v>
      </c>
      <c r="P9" s="9">
        <v>147</v>
      </c>
      <c r="Q9" s="9">
        <v>147</v>
      </c>
      <c r="R9" s="9">
        <v>147</v>
      </c>
      <c r="S9" s="9">
        <v>143</v>
      </c>
    </row>
    <row r="10" spans="1:19">
      <c r="A10" s="8" t="str">
        <f>'Personnel Info'!A4</f>
        <v>Rich Schramm</v>
      </c>
      <c r="B10" s="39"/>
      <c r="C10" s="54"/>
      <c r="D10" s="39">
        <f t="shared" si="0"/>
        <v>80</v>
      </c>
      <c r="E10" s="39">
        <f>D10*'Personnel Info'!B4</f>
        <v>0</v>
      </c>
      <c r="F10" s="39"/>
      <c r="G10" s="60">
        <f>Labor!B10-(('Personnel Info'!B4*Labor!D10)+C10)</f>
        <v>0</v>
      </c>
      <c r="H10" s="9"/>
      <c r="I10" s="9"/>
      <c r="J10" s="9"/>
      <c r="K10" s="9"/>
      <c r="L10" s="9"/>
      <c r="M10" s="9"/>
      <c r="N10" s="9"/>
      <c r="O10" s="9">
        <v>20</v>
      </c>
      <c r="P10" s="9">
        <v>20</v>
      </c>
      <c r="Q10" s="9"/>
      <c r="R10" s="9"/>
      <c r="S10" s="9">
        <v>40</v>
      </c>
    </row>
    <row r="11" spans="1:19">
      <c r="A11" s="8" t="str">
        <f>'Personnel Info'!A5</f>
        <v>Ed Peltzer</v>
      </c>
      <c r="B11" s="39"/>
      <c r="C11" s="54"/>
      <c r="D11" s="39">
        <f t="shared" si="0"/>
        <v>40</v>
      </c>
      <c r="E11" s="39">
        <f>D11*'Personnel Info'!B5</f>
        <v>0</v>
      </c>
      <c r="F11" s="39"/>
      <c r="G11" s="60">
        <f>Labor!B11-(('Personnel Info'!B5*Labor!D11)+C11)</f>
        <v>0</v>
      </c>
      <c r="H11" s="9"/>
      <c r="I11" s="9"/>
      <c r="J11" s="9"/>
      <c r="K11" s="9"/>
      <c r="L11" s="9"/>
      <c r="M11" s="9"/>
      <c r="N11" s="9"/>
      <c r="O11" s="9"/>
      <c r="P11" s="9"/>
      <c r="Q11" s="9">
        <v>40</v>
      </c>
      <c r="R11" s="9"/>
      <c r="S11" s="9"/>
    </row>
    <row r="12" spans="1:19">
      <c r="A12" s="8" t="str">
        <f>'Personnel Info'!A6</f>
        <v>Paul McGill</v>
      </c>
      <c r="B12" s="39"/>
      <c r="C12" s="54"/>
      <c r="D12" s="39">
        <f t="shared" si="0"/>
        <v>120</v>
      </c>
      <c r="E12" s="39">
        <f>D12*'Personnel Info'!B6</f>
        <v>9948</v>
      </c>
      <c r="F12" s="39"/>
      <c r="G12" s="60">
        <f>Labor!B12-(('Personnel Info'!B6*Labor!D12)+C12)</f>
        <v>-9948</v>
      </c>
      <c r="H12" s="9"/>
      <c r="I12" s="9">
        <v>20</v>
      </c>
      <c r="J12" s="9">
        <v>20</v>
      </c>
      <c r="K12" s="9"/>
      <c r="L12" s="9"/>
      <c r="M12" s="9">
        <v>40</v>
      </c>
      <c r="N12" s="9"/>
      <c r="O12" s="9"/>
      <c r="P12" s="9"/>
      <c r="Q12" s="9">
        <v>40</v>
      </c>
      <c r="R12" s="9"/>
      <c r="S12" s="9"/>
    </row>
    <row r="13" spans="1:19" outlineLevel="1">
      <c r="A13" s="8" t="str">
        <f>'Personnel Info'!A7</f>
        <v>Peter Walz</v>
      </c>
      <c r="B13" s="39"/>
      <c r="C13" s="54"/>
      <c r="D13" s="39">
        <f t="shared" si="0"/>
        <v>40</v>
      </c>
      <c r="E13" s="39">
        <f>D13*'Personnel Info'!B7</f>
        <v>0</v>
      </c>
      <c r="F13" s="39"/>
      <c r="G13" s="60">
        <f>Labor!B13-(('Personnel Info'!B7*Labor!D13)+C13)</f>
        <v>0</v>
      </c>
      <c r="H13" s="9"/>
      <c r="I13" s="9"/>
      <c r="J13" s="9"/>
      <c r="K13" s="9"/>
      <c r="L13" s="9"/>
      <c r="M13" s="9"/>
      <c r="N13" s="9"/>
      <c r="O13" s="9"/>
      <c r="P13" s="9"/>
      <c r="Q13" s="9">
        <v>40</v>
      </c>
      <c r="R13" s="9"/>
      <c r="S13" s="9"/>
    </row>
    <row r="14" spans="1:19" outlineLevel="1">
      <c r="A14" s="8" t="str">
        <f>'Personnel Info'!A8</f>
        <v>Ray Thompson</v>
      </c>
      <c r="B14" s="39"/>
      <c r="C14" s="54"/>
      <c r="D14" s="39">
        <f t="shared" si="0"/>
        <v>120</v>
      </c>
      <c r="E14" s="39">
        <f>D14*'Personnel Info'!B8</f>
        <v>6168</v>
      </c>
      <c r="F14" s="39"/>
      <c r="G14" s="60">
        <f>Labor!B14-(('Personnel Info'!B8*Labor!D14)+C14)</f>
        <v>-6168</v>
      </c>
      <c r="H14" s="9"/>
      <c r="I14" s="9"/>
      <c r="J14" s="9"/>
      <c r="K14" s="9">
        <v>20</v>
      </c>
      <c r="L14" s="9">
        <v>20</v>
      </c>
      <c r="M14" s="9">
        <v>20</v>
      </c>
      <c r="N14" s="9">
        <v>20</v>
      </c>
      <c r="O14" s="9">
        <v>20</v>
      </c>
      <c r="P14" s="9">
        <v>20</v>
      </c>
      <c r="Q14" s="9"/>
      <c r="R14" s="9"/>
      <c r="S14" s="9"/>
    </row>
    <row r="15" spans="1:19" outlineLevel="1">
      <c r="A15" s="8" t="str">
        <f>'Personnel Info'!A9</f>
        <v>Doug Parget</v>
      </c>
      <c r="B15" s="39"/>
      <c r="C15" s="54"/>
      <c r="D15" s="39">
        <f t="shared" si="0"/>
        <v>160</v>
      </c>
      <c r="E15" s="39">
        <f>D15*'Personnel Info'!B9</f>
        <v>0</v>
      </c>
      <c r="F15" s="39"/>
      <c r="G15" s="60">
        <f>Labor!B15-(('Personnel Info'!B9*Labor!D15)+C15)</f>
        <v>0</v>
      </c>
      <c r="H15" s="9"/>
      <c r="I15" s="9"/>
      <c r="J15" s="9">
        <v>40</v>
      </c>
      <c r="K15" s="9">
        <v>80</v>
      </c>
      <c r="L15" s="9">
        <v>20</v>
      </c>
      <c r="M15" s="9">
        <v>20</v>
      </c>
      <c r="N15" s="9"/>
      <c r="O15" s="9"/>
      <c r="P15" s="9"/>
      <c r="Q15" s="9"/>
      <c r="R15" s="9"/>
      <c r="S15" s="9"/>
    </row>
    <row r="16" spans="1:19" outlineLevel="1">
      <c r="A16" s="8" t="str">
        <f>'Personnel Info'!A10</f>
        <v xml:space="preserve">Jose Rosal </v>
      </c>
      <c r="B16" s="39"/>
      <c r="C16" s="54"/>
      <c r="D16" s="39">
        <f t="shared" si="0"/>
        <v>0</v>
      </c>
      <c r="E16" s="39">
        <f>D16*'Personnel Info'!B10</f>
        <v>0</v>
      </c>
      <c r="F16" s="39"/>
      <c r="G16" s="60">
        <f>Labor!B16-(('Personnel Info'!B10*Labor!D16)+C16)</f>
        <v>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outlineLevel="1">
      <c r="A17" s="8" t="str">
        <f>'Personnel Info'!A11</f>
        <v>Ed Mellinger</v>
      </c>
      <c r="B17" s="39"/>
      <c r="C17" s="54"/>
      <c r="D17" s="39">
        <f t="shared" si="0"/>
        <v>80</v>
      </c>
      <c r="E17" s="39">
        <f>D17*'Personnel Info'!B11</f>
        <v>0</v>
      </c>
      <c r="F17" s="39"/>
      <c r="G17" s="60">
        <f>Labor!B17-(('Personnel Info'!B11*Labor!D17)+C17)</f>
        <v>0</v>
      </c>
      <c r="H17" s="9"/>
      <c r="I17" s="9"/>
      <c r="J17" s="9"/>
      <c r="K17" s="9"/>
      <c r="L17" s="9"/>
      <c r="M17" s="9"/>
      <c r="N17" s="9"/>
      <c r="O17" s="9">
        <v>40</v>
      </c>
      <c r="P17" s="9"/>
      <c r="Q17" s="9"/>
      <c r="R17" s="9">
        <v>20</v>
      </c>
      <c r="S17" s="9">
        <v>20</v>
      </c>
    </row>
    <row r="18" spans="1:19" ht="15.75" thickBot="1">
      <c r="A18" s="29" t="s">
        <v>75</v>
      </c>
      <c r="B18" s="43">
        <f>SUM(B7:B17)</f>
        <v>354107</v>
      </c>
      <c r="C18" s="43">
        <f>SUM(C7:C17)</f>
        <v>142454.15</v>
      </c>
      <c r="D18" s="83">
        <f>SUM(D8:D17)</f>
        <v>2780</v>
      </c>
      <c r="E18" s="43">
        <f>SUM(E8:E17)</f>
        <v>101647.8</v>
      </c>
      <c r="F18" s="43">
        <f>SUM(C18,E18)</f>
        <v>244101.95</v>
      </c>
      <c r="G18" s="43">
        <f>B18-F18</f>
        <v>110005.04999999999</v>
      </c>
    </row>
    <row r="19" spans="1:19" ht="15.75" thickTop="1"/>
  </sheetData>
  <sheetProtection password="CB1D" sheet="1" objects="1" scenarios="1"/>
  <mergeCells count="2">
    <mergeCell ref="A5:B5"/>
    <mergeCell ref="A1:A2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55"/>
  <sheetViews>
    <sheetView workbookViewId="0">
      <pane ySplit="5" topLeftCell="A24" activePane="bottomLeft" state="frozen"/>
      <selection pane="bottomLeft" activeCell="I35" sqref="I35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19" width="8.7109375" customWidth="1" outlineLevel="1"/>
  </cols>
  <sheetData>
    <row r="1" spans="1:19" s="65" customFormat="1">
      <c r="A1" s="94" t="s">
        <v>123</v>
      </c>
      <c r="B1" s="71" t="s">
        <v>3</v>
      </c>
      <c r="C1" s="71" t="s">
        <v>4</v>
      </c>
      <c r="D1" s="71" t="s">
        <v>7</v>
      </c>
      <c r="E1" s="71" t="s">
        <v>105</v>
      </c>
      <c r="F1" s="74" t="s">
        <v>107</v>
      </c>
      <c r="G1" s="20"/>
    </row>
    <row r="2" spans="1:19" s="65" customFormat="1" ht="15.75" thickBot="1">
      <c r="A2" s="95"/>
      <c r="B2" s="75">
        <f>Summary!B25</f>
        <v>1217460</v>
      </c>
      <c r="C2" s="75">
        <f>Summary!C25</f>
        <v>432700.93</v>
      </c>
      <c r="D2" s="75">
        <f>Summary!D25</f>
        <v>508929.32337999996</v>
      </c>
      <c r="E2" s="75">
        <f>Summary!E25</f>
        <v>988873.8533800001</v>
      </c>
      <c r="F2" s="61">
        <f>Summary!F25</f>
        <v>228586.1466199999</v>
      </c>
      <c r="G2" s="20"/>
    </row>
    <row r="3" spans="1:19" s="65" customFormat="1">
      <c r="D3" s="66"/>
      <c r="G3" s="20"/>
    </row>
    <row r="4" spans="1:19" ht="20.25" thickBot="1">
      <c r="A4" s="30" t="s">
        <v>9</v>
      </c>
      <c r="B4" s="8"/>
      <c r="C4" s="8"/>
      <c r="D4" s="31"/>
      <c r="E4" s="31"/>
      <c r="F4" s="8"/>
      <c r="G4" s="20"/>
    </row>
    <row r="5" spans="1:19" ht="16.5" thickTop="1" thickBot="1">
      <c r="A5" s="8"/>
      <c r="B5" s="32" t="s">
        <v>3</v>
      </c>
      <c r="C5" s="32" t="s">
        <v>4</v>
      </c>
      <c r="D5" s="33" t="s">
        <v>92</v>
      </c>
      <c r="E5" s="34" t="s">
        <v>105</v>
      </c>
      <c r="F5" s="32" t="s">
        <v>5</v>
      </c>
      <c r="G5" s="80" t="s">
        <v>124</v>
      </c>
      <c r="H5" s="76" t="s">
        <v>125</v>
      </c>
      <c r="I5" s="77" t="s">
        <v>134</v>
      </c>
      <c r="J5" s="76" t="s">
        <v>135</v>
      </c>
      <c r="K5" s="76" t="s">
        <v>136</v>
      </c>
      <c r="L5" s="76" t="s">
        <v>126</v>
      </c>
      <c r="M5" s="76" t="s">
        <v>127</v>
      </c>
      <c r="N5" s="76" t="s">
        <v>128</v>
      </c>
      <c r="O5" s="76" t="s">
        <v>129</v>
      </c>
      <c r="P5" s="76" t="s">
        <v>130</v>
      </c>
      <c r="Q5" s="76" t="s">
        <v>131</v>
      </c>
      <c r="R5" s="76" t="s">
        <v>132</v>
      </c>
      <c r="S5" s="76" t="s">
        <v>133</v>
      </c>
    </row>
    <row r="6" spans="1:19" ht="15.75" thickBot="1">
      <c r="A6" s="35" t="s">
        <v>81</v>
      </c>
      <c r="B6" s="35"/>
      <c r="C6" s="35"/>
      <c r="D6" s="35"/>
      <c r="E6" s="35"/>
      <c r="F6" s="35"/>
      <c r="G6" s="81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>
      <c r="A7" s="8" t="s">
        <v>14</v>
      </c>
      <c r="B7" s="9">
        <f>7000+17000</f>
        <v>24000</v>
      </c>
      <c r="C7" s="53">
        <v>26299.39</v>
      </c>
      <c r="D7" s="37">
        <f>SUM(G7:S7)</f>
        <v>0</v>
      </c>
      <c r="E7" s="37">
        <f>C7+D7</f>
        <v>26299.39</v>
      </c>
      <c r="F7" s="36">
        <f>B7-(C7+D7)</f>
        <v>-2299.3899999999994</v>
      </c>
      <c r="G7" s="1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 t="s">
        <v>12</v>
      </c>
      <c r="B8" s="9">
        <f>9333+750</f>
        <v>10083</v>
      </c>
      <c r="C8" s="53">
        <v>9339.84</v>
      </c>
      <c r="D8" s="37">
        <f>SUM(G8:S8)</f>
        <v>0</v>
      </c>
      <c r="E8" s="37">
        <f t="shared" ref="E8:E10" si="0">C8+D8</f>
        <v>9339.84</v>
      </c>
      <c r="F8" s="36">
        <f t="shared" ref="F8:F10" si="1">B8-(C8+D8)</f>
        <v>743.15999999999985</v>
      </c>
      <c r="G8" s="1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 t="s">
        <v>13</v>
      </c>
      <c r="B9" s="9">
        <f>400+200</f>
        <v>600</v>
      </c>
      <c r="C9" s="53"/>
      <c r="D9" s="37">
        <f>SUM(G9:S9)</f>
        <v>0</v>
      </c>
      <c r="E9" s="37">
        <f t="shared" si="0"/>
        <v>0</v>
      </c>
      <c r="F9" s="36">
        <f t="shared" si="1"/>
        <v>600</v>
      </c>
      <c r="G9" s="1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 t="s">
        <v>21</v>
      </c>
      <c r="B10" s="9">
        <f>9000+4500</f>
        <v>13500</v>
      </c>
      <c r="C10" s="53">
        <v>1544.86</v>
      </c>
      <c r="D10" s="37">
        <f>SUM(G10:S10)</f>
        <v>13940</v>
      </c>
      <c r="E10" s="37">
        <f t="shared" si="0"/>
        <v>15484.86</v>
      </c>
      <c r="F10" s="36">
        <f t="shared" si="1"/>
        <v>-1984.8600000000006</v>
      </c>
      <c r="G10" s="19">
        <v>13940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5.75" thickBot="1">
      <c r="A11" s="29" t="s">
        <v>77</v>
      </c>
      <c r="B11" s="29">
        <f>SUM(B7:B10)</f>
        <v>48183</v>
      </c>
      <c r="C11" s="38">
        <f>SUM(C7:C10)</f>
        <v>37184.089999999997</v>
      </c>
      <c r="D11" s="38">
        <f>SUM(D7:D10)</f>
        <v>13940</v>
      </c>
      <c r="E11" s="38">
        <f>SUM(E7:E10)</f>
        <v>51124.09</v>
      </c>
      <c r="F11" s="38">
        <f>SUM(F7:F10)</f>
        <v>-2941.09</v>
      </c>
      <c r="G11" s="1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15.75" thickTop="1">
      <c r="A12" s="8"/>
      <c r="B12" s="8"/>
      <c r="C12" s="8"/>
      <c r="D12" s="31"/>
      <c r="E12" s="31"/>
      <c r="F12" s="8"/>
      <c r="G12" s="1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5.75" thickBot="1">
      <c r="A13" s="35" t="s">
        <v>83</v>
      </c>
      <c r="B13" s="35"/>
      <c r="C13" s="35"/>
      <c r="D13" s="35"/>
      <c r="E13" s="35"/>
      <c r="F13" s="35"/>
      <c r="G13" s="1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 t="s">
        <v>25</v>
      </c>
      <c r="B14" s="54">
        <f>27894+6663</f>
        <v>34557</v>
      </c>
      <c r="C14" s="54">
        <v>4543.0600000000004</v>
      </c>
      <c r="D14" s="40">
        <f>SUM(G14:S14)</f>
        <v>86.07</v>
      </c>
      <c r="E14" s="40">
        <f>C14+D14</f>
        <v>4629.13</v>
      </c>
      <c r="F14" s="39">
        <f>B14-(C14+D14)</f>
        <v>29927.87</v>
      </c>
      <c r="G14" s="19">
        <v>86.07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 t="s">
        <v>24</v>
      </c>
      <c r="B15" s="54"/>
      <c r="C15" s="54"/>
      <c r="D15" s="40">
        <f>SUM(G15:S15)</f>
        <v>0</v>
      </c>
      <c r="E15" s="40">
        <f>C15+D15</f>
        <v>0</v>
      </c>
      <c r="F15" s="39">
        <f>B15-(C15+D15)</f>
        <v>0</v>
      </c>
      <c r="G15" s="1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75" thickBot="1">
      <c r="A16" s="29" t="s">
        <v>78</v>
      </c>
      <c r="B16" s="41">
        <f t="shared" ref="B16:F16" si="2">SUM(B14:B15)</f>
        <v>34557</v>
      </c>
      <c r="C16" s="41">
        <f t="shared" si="2"/>
        <v>4543.0600000000004</v>
      </c>
      <c r="D16" s="41">
        <f>SUM(D14:D15)</f>
        <v>86.07</v>
      </c>
      <c r="E16" s="41">
        <f>SUM(E14:E15)</f>
        <v>4629.13</v>
      </c>
      <c r="F16" s="41">
        <f t="shared" si="2"/>
        <v>29927.87</v>
      </c>
      <c r="G16" s="1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5.75" thickTop="1">
      <c r="A17" s="8"/>
      <c r="B17" s="8"/>
      <c r="C17" s="8"/>
      <c r="D17" s="31"/>
      <c r="E17" s="31"/>
      <c r="F17" s="8"/>
      <c r="G17" s="1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.75" thickBot="1">
      <c r="A18" s="35" t="s">
        <v>84</v>
      </c>
      <c r="B18" s="35"/>
      <c r="C18" s="35"/>
      <c r="D18" s="35"/>
      <c r="E18" s="35"/>
      <c r="F18" s="35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 t="s">
        <v>23</v>
      </c>
      <c r="B19" s="54"/>
      <c r="C19" s="54"/>
      <c r="D19" s="40">
        <f>SUM(G19:S19)</f>
        <v>0</v>
      </c>
      <c r="E19" s="40">
        <f t="shared" ref="E19:E20" si="3">C19+D19</f>
        <v>0</v>
      </c>
      <c r="F19" s="39">
        <f>B19-(C19+D19)</f>
        <v>0</v>
      </c>
      <c r="G19" s="1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 t="s">
        <v>35</v>
      </c>
      <c r="B20" s="54"/>
      <c r="C20" s="54"/>
      <c r="D20" s="40">
        <f>SUM(G20:S20)</f>
        <v>0</v>
      </c>
      <c r="E20" s="40">
        <f t="shared" si="3"/>
        <v>0</v>
      </c>
      <c r="F20" s="39">
        <f>B20-(C20+D20)</f>
        <v>0</v>
      </c>
      <c r="G20" s="1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15.75" thickBot="1">
      <c r="A21" s="29" t="s">
        <v>79</v>
      </c>
      <c r="B21" s="41">
        <f t="shared" ref="B21:F21" si="4">SUM(B19:B20)</f>
        <v>0</v>
      </c>
      <c r="C21" s="41">
        <f t="shared" si="4"/>
        <v>0</v>
      </c>
      <c r="D21" s="41">
        <f>SUM(D19:D20)</f>
        <v>0</v>
      </c>
      <c r="E21" s="41">
        <f>SUM(E19:E20)</f>
        <v>0</v>
      </c>
      <c r="F21" s="41">
        <f t="shared" si="4"/>
        <v>0</v>
      </c>
      <c r="G21" s="1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5.75" thickTop="1">
      <c r="A22" s="8"/>
      <c r="B22" s="8"/>
      <c r="C22" s="8"/>
      <c r="D22" s="31"/>
      <c r="E22" s="31"/>
      <c r="F22" s="8"/>
      <c r="G22" s="1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5.75" thickBot="1">
      <c r="A23" s="35" t="s">
        <v>11</v>
      </c>
      <c r="B23" s="35"/>
      <c r="C23" s="35"/>
      <c r="D23" s="35"/>
      <c r="E23" s="35"/>
      <c r="F23" s="35"/>
      <c r="G23" s="1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 t="s">
        <v>26</v>
      </c>
      <c r="B24" s="54">
        <f>2000+1000</f>
        <v>3000</v>
      </c>
      <c r="C24" s="54">
        <v>746.98</v>
      </c>
      <c r="D24" s="40">
        <f>SUM(G24:S24)</f>
        <v>640</v>
      </c>
      <c r="E24" s="40">
        <f t="shared" ref="E24:E25" si="5">C24+D24</f>
        <v>1386.98</v>
      </c>
      <c r="F24" s="39">
        <f>B24-(C24+D24)</f>
        <v>1613.02</v>
      </c>
      <c r="G24" s="19">
        <v>640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 t="s">
        <v>27</v>
      </c>
      <c r="B25" s="54"/>
      <c r="C25" s="54"/>
      <c r="D25" s="40">
        <f>SUM(G25:S25)</f>
        <v>0</v>
      </c>
      <c r="E25" s="40">
        <f t="shared" si="5"/>
        <v>0</v>
      </c>
      <c r="F25" s="39">
        <f>B25-(C25+D25)</f>
        <v>0</v>
      </c>
      <c r="G25" s="1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15.75" thickBot="1">
      <c r="A26" s="29" t="s">
        <v>76</v>
      </c>
      <c r="B26" s="41">
        <f t="shared" ref="B26:C26" si="6">SUM(B24:B25)</f>
        <v>3000</v>
      </c>
      <c r="C26" s="41">
        <f t="shared" si="6"/>
        <v>746.98</v>
      </c>
      <c r="D26" s="41">
        <f>SUM(D24:D25)</f>
        <v>640</v>
      </c>
      <c r="E26" s="41">
        <f>SUM(E24:E25)</f>
        <v>1386.98</v>
      </c>
      <c r="F26" s="41">
        <f>SUM(F24:F25)</f>
        <v>1613.02</v>
      </c>
      <c r="G26" s="1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thickTop="1">
      <c r="A27" s="8"/>
      <c r="B27" s="8"/>
      <c r="C27" s="8"/>
      <c r="D27" s="31"/>
      <c r="E27" s="31"/>
      <c r="F27" s="8"/>
      <c r="G27" s="1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15.75" thickBot="1">
      <c r="A28" s="35" t="s">
        <v>15</v>
      </c>
      <c r="B28" s="35"/>
      <c r="C28" s="35"/>
      <c r="D28" s="35"/>
      <c r="E28" s="35"/>
      <c r="F28" s="35"/>
      <c r="G28" s="1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 t="s">
        <v>16</v>
      </c>
      <c r="B29" s="54"/>
      <c r="C29" s="54"/>
      <c r="D29" s="40">
        <f t="shared" ref="D29:D35" si="7">SUM(G29:S29)</f>
        <v>0</v>
      </c>
      <c r="E29" s="40">
        <f t="shared" ref="E29:E35" si="8">C29+D29</f>
        <v>0</v>
      </c>
      <c r="F29" s="39">
        <f>B29-(C29+D29)</f>
        <v>0</v>
      </c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 t="s">
        <v>17</v>
      </c>
      <c r="B30" s="54"/>
      <c r="C30" s="54"/>
      <c r="D30" s="40">
        <f t="shared" si="7"/>
        <v>0</v>
      </c>
      <c r="E30" s="40">
        <f t="shared" si="8"/>
        <v>0</v>
      </c>
      <c r="F30" s="39">
        <f t="shared" ref="F30:F35" si="9">B30-(C30+D30)</f>
        <v>0</v>
      </c>
      <c r="G30" s="1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 t="s">
        <v>18</v>
      </c>
      <c r="B31" s="54">
        <f>400+200</f>
        <v>600</v>
      </c>
      <c r="C31" s="54"/>
      <c r="D31" s="40">
        <f t="shared" si="7"/>
        <v>0</v>
      </c>
      <c r="E31" s="40">
        <f t="shared" si="8"/>
        <v>0</v>
      </c>
      <c r="F31" s="39">
        <f t="shared" si="9"/>
        <v>600</v>
      </c>
      <c r="G31" s="1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 t="s">
        <v>19</v>
      </c>
      <c r="B32" s="54"/>
      <c r="C32" s="54"/>
      <c r="D32" s="40">
        <f t="shared" si="7"/>
        <v>0</v>
      </c>
      <c r="E32" s="40">
        <f t="shared" si="8"/>
        <v>0</v>
      </c>
      <c r="F32" s="39">
        <f t="shared" si="9"/>
        <v>0</v>
      </c>
      <c r="G32" s="1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 t="s">
        <v>20</v>
      </c>
      <c r="B33" s="54"/>
      <c r="C33" s="54"/>
      <c r="D33" s="40">
        <f t="shared" si="7"/>
        <v>0</v>
      </c>
      <c r="E33" s="40">
        <f t="shared" si="8"/>
        <v>0</v>
      </c>
      <c r="F33" s="39">
        <f t="shared" si="9"/>
        <v>0</v>
      </c>
      <c r="G33" s="1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8" t="s">
        <v>97</v>
      </c>
      <c r="B34" s="54"/>
      <c r="C34" s="54"/>
      <c r="D34" s="40">
        <f t="shared" si="7"/>
        <v>0</v>
      </c>
      <c r="E34" s="40">
        <f t="shared" si="8"/>
        <v>0</v>
      </c>
      <c r="F34" s="39">
        <f t="shared" si="9"/>
        <v>0</v>
      </c>
      <c r="G34" s="1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>
      <c r="A35" s="8" t="s">
        <v>95</v>
      </c>
      <c r="B35" s="54"/>
      <c r="C35" s="54"/>
      <c r="D35" s="40">
        <f t="shared" si="7"/>
        <v>163800</v>
      </c>
      <c r="E35" s="40">
        <f t="shared" si="8"/>
        <v>163800</v>
      </c>
      <c r="F35" s="39">
        <f t="shared" si="9"/>
        <v>-163800</v>
      </c>
      <c r="G35" s="19"/>
      <c r="H35" s="9">
        <v>4800</v>
      </c>
      <c r="I35" s="9"/>
      <c r="J35" s="9"/>
      <c r="K35" s="54">
        <v>98000</v>
      </c>
      <c r="L35" s="9"/>
      <c r="M35" s="9"/>
      <c r="N35" s="9"/>
      <c r="O35" s="9">
        <v>61000</v>
      </c>
      <c r="P35" s="9"/>
      <c r="Q35" s="9"/>
      <c r="R35" s="9"/>
      <c r="S35" s="9"/>
    </row>
    <row r="36" spans="1:19" ht="15.75" thickBot="1">
      <c r="A36" s="29" t="s">
        <v>96</v>
      </c>
      <c r="B36" s="41">
        <f t="shared" ref="B36:C36" si="10">SUM(B29:B35)</f>
        <v>600</v>
      </c>
      <c r="C36" s="41">
        <f t="shared" si="10"/>
        <v>0</v>
      </c>
      <c r="D36" s="42">
        <f>SUM(D29:D35)</f>
        <v>163800</v>
      </c>
      <c r="E36" s="42">
        <f>SUM(E29:E35)</f>
        <v>163800</v>
      </c>
      <c r="F36" s="41">
        <f>SUM(F29:F35)</f>
        <v>-163200</v>
      </c>
      <c r="G36" s="1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5.75" thickTop="1">
      <c r="A37" s="8"/>
      <c r="B37" s="8"/>
      <c r="C37" s="8"/>
      <c r="D37" s="31"/>
      <c r="E37" s="31"/>
      <c r="F37" s="8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ht="15.75" thickBot="1">
      <c r="A38" s="29" t="s">
        <v>98</v>
      </c>
      <c r="B38" s="43">
        <f>SUM(B36,B26,B21,B16,B11)</f>
        <v>86340</v>
      </c>
      <c r="C38" s="43">
        <f t="shared" ref="C38" si="11">SUM(C36,C26,C21,C16,C11)</f>
        <v>42474.13</v>
      </c>
      <c r="D38" s="43">
        <f>SUM(D36,D26,D21,D16,D11)</f>
        <v>178466.07</v>
      </c>
      <c r="E38" s="43">
        <f>SUM(E36,E26,E21,E16,E11)</f>
        <v>220940.2</v>
      </c>
      <c r="F38" s="43">
        <f>SUM(F36,F26,F21,F16,F11)</f>
        <v>-134600.20000000001</v>
      </c>
      <c r="G38" s="20"/>
    </row>
    <row r="39" spans="1:19" ht="15.75" thickTop="1"/>
    <row r="40" spans="1:19">
      <c r="C40" s="6"/>
      <c r="F40" s="6"/>
    </row>
    <row r="43" spans="1:19">
      <c r="C43" s="6"/>
      <c r="F43" s="6"/>
    </row>
    <row r="45" spans="1:19">
      <c r="C45" s="6"/>
      <c r="F45" s="6"/>
    </row>
    <row r="47" spans="1:19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sheetProtection password="CB1D" sheet="1" objects="1" scenarios="1"/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28"/>
  <sheetViews>
    <sheetView topLeftCell="A2" workbookViewId="0">
      <selection activeCell="I8" sqref="I8"/>
    </sheetView>
  </sheetViews>
  <sheetFormatPr defaultColWidth="8.7109375" defaultRowHeight="15" outlineLevelRow="1" outlineLevelCol="1"/>
  <cols>
    <col min="1" max="1" width="24.7109375" bestFit="1" customWidth="1"/>
    <col min="2" max="2" width="10.1406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25" width="8.7109375" customWidth="1" outlineLevel="1"/>
  </cols>
  <sheetData>
    <row r="1" spans="1:25" s="65" customFormat="1">
      <c r="A1" s="94" t="s">
        <v>123</v>
      </c>
      <c r="B1" s="71" t="s">
        <v>3</v>
      </c>
      <c r="C1" s="71" t="s">
        <v>4</v>
      </c>
      <c r="D1" s="71" t="s">
        <v>7</v>
      </c>
      <c r="E1" s="71" t="s">
        <v>105</v>
      </c>
      <c r="F1" s="64" t="s">
        <v>107</v>
      </c>
      <c r="G1" s="62"/>
    </row>
    <row r="2" spans="1:25" s="65" customFormat="1" ht="15.75" thickBot="1">
      <c r="A2" s="95"/>
      <c r="B2" s="75">
        <f>Summary!B25</f>
        <v>1217460</v>
      </c>
      <c r="C2" s="75">
        <f>Summary!C25</f>
        <v>432700.93</v>
      </c>
      <c r="D2" s="75">
        <f>Summary!D25</f>
        <v>508929.32337999996</v>
      </c>
      <c r="E2" s="75">
        <f>Summary!E25</f>
        <v>988873.8533800001</v>
      </c>
      <c r="F2" s="63">
        <f>Summary!F25</f>
        <v>228586.1466199999</v>
      </c>
      <c r="G2" s="62"/>
    </row>
    <row r="3" spans="1:25" s="65" customFormat="1"/>
    <row r="4" spans="1:25" ht="20.25" thickBot="1">
      <c r="A4" s="47" t="s">
        <v>55</v>
      </c>
      <c r="B4" s="47"/>
      <c r="C4" s="47"/>
      <c r="D4" s="47"/>
      <c r="E4" s="47"/>
      <c r="F4" s="47"/>
      <c r="G4" s="47"/>
      <c r="H4" s="96" t="s">
        <v>37</v>
      </c>
      <c r="I4" s="96" t="s">
        <v>38</v>
      </c>
      <c r="J4" s="96" t="s">
        <v>39</v>
      </c>
      <c r="K4" s="96" t="s">
        <v>40</v>
      </c>
      <c r="L4" s="96" t="s">
        <v>41</v>
      </c>
      <c r="M4" s="96" t="s">
        <v>42</v>
      </c>
      <c r="N4" s="96" t="s">
        <v>43</v>
      </c>
      <c r="O4" s="96" t="s">
        <v>44</v>
      </c>
      <c r="P4" s="96" t="s">
        <v>45</v>
      </c>
      <c r="Q4" s="96" t="s">
        <v>46</v>
      </c>
      <c r="R4" s="96" t="s">
        <v>47</v>
      </c>
      <c r="S4" s="96" t="s">
        <v>48</v>
      </c>
      <c r="T4" s="96" t="s">
        <v>49</v>
      </c>
      <c r="U4" s="96" t="s">
        <v>50</v>
      </c>
      <c r="V4" s="96" t="s">
        <v>51</v>
      </c>
      <c r="W4" s="96" t="s">
        <v>52</v>
      </c>
      <c r="X4" s="96" t="s">
        <v>53</v>
      </c>
      <c r="Y4" s="96" t="s">
        <v>54</v>
      </c>
    </row>
    <row r="5" spans="1:25" ht="16.5" thickTop="1" thickBot="1">
      <c r="A5" s="35"/>
      <c r="B5" s="35"/>
      <c r="C5" s="32" t="s">
        <v>3</v>
      </c>
      <c r="D5" s="32" t="s">
        <v>4</v>
      </c>
      <c r="E5" s="32" t="s">
        <v>92</v>
      </c>
      <c r="F5" s="32" t="s">
        <v>105</v>
      </c>
      <c r="G5" s="32" t="s">
        <v>5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</row>
    <row r="6" spans="1:25">
      <c r="A6" s="9" t="s">
        <v>143</v>
      </c>
      <c r="B6" s="8"/>
      <c r="C6" s="54">
        <f>16000+16000</f>
        <v>32000</v>
      </c>
      <c r="D6" s="54"/>
      <c r="E6" s="39">
        <f t="shared" ref="E6:E15" si="0">SUM(H6:Y6)</f>
        <v>15000</v>
      </c>
      <c r="F6" s="39">
        <f>D6+E6</f>
        <v>15000</v>
      </c>
      <c r="G6" s="39">
        <f>C6-F6</f>
        <v>17000</v>
      </c>
      <c r="H6" s="9">
        <v>15000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>
      <c r="A7" s="9" t="s">
        <v>144</v>
      </c>
      <c r="B7" s="8"/>
      <c r="C7" s="54">
        <v>18000</v>
      </c>
      <c r="D7" s="54">
        <v>32243.599999999999</v>
      </c>
      <c r="E7" s="39">
        <f t="shared" si="0"/>
        <v>0</v>
      </c>
      <c r="F7" s="39">
        <f t="shared" ref="F7:F15" si="1">D7+E7</f>
        <v>32243.599999999999</v>
      </c>
      <c r="G7" s="39">
        <f t="shared" ref="G7:G15" si="2">C7-F7</f>
        <v>-14243.599999999999</v>
      </c>
      <c r="H7" s="9"/>
      <c r="I7" s="9">
        <v>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>
      <c r="A8" s="9" t="s">
        <v>56</v>
      </c>
      <c r="B8" s="8"/>
      <c r="C8" s="54"/>
      <c r="D8" s="54"/>
      <c r="E8" s="39">
        <f t="shared" si="0"/>
        <v>0</v>
      </c>
      <c r="F8" s="39">
        <f t="shared" si="1"/>
        <v>0</v>
      </c>
      <c r="G8" s="39">
        <f t="shared" si="2"/>
        <v>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idden="1" outlineLevel="1">
      <c r="A9" s="9" t="s">
        <v>57</v>
      </c>
      <c r="B9" s="8"/>
      <c r="C9" s="54"/>
      <c r="D9" s="54"/>
      <c r="E9" s="39">
        <f t="shared" si="0"/>
        <v>0</v>
      </c>
      <c r="F9" s="39">
        <f t="shared" si="1"/>
        <v>0</v>
      </c>
      <c r="G9" s="39">
        <f t="shared" si="2"/>
        <v>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idden="1" outlineLevel="1">
      <c r="A10" s="9" t="s">
        <v>58</v>
      </c>
      <c r="B10" s="8"/>
      <c r="C10" s="54"/>
      <c r="D10" s="54"/>
      <c r="E10" s="39">
        <f t="shared" si="0"/>
        <v>0</v>
      </c>
      <c r="F10" s="39">
        <f t="shared" si="1"/>
        <v>0</v>
      </c>
      <c r="G10" s="39">
        <f t="shared" si="2"/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idden="1" outlineLevel="1">
      <c r="A11" s="9" t="s">
        <v>59</v>
      </c>
      <c r="B11" s="8"/>
      <c r="C11" s="54"/>
      <c r="D11" s="54"/>
      <c r="E11" s="39">
        <f t="shared" si="0"/>
        <v>0</v>
      </c>
      <c r="F11" s="39">
        <f t="shared" si="1"/>
        <v>0</v>
      </c>
      <c r="G11" s="39">
        <f t="shared" si="2"/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idden="1" outlineLevel="1">
      <c r="A12" s="9" t="s">
        <v>60</v>
      </c>
      <c r="B12" s="8"/>
      <c r="C12" s="54"/>
      <c r="D12" s="54"/>
      <c r="E12" s="39">
        <f t="shared" si="0"/>
        <v>0</v>
      </c>
      <c r="F12" s="39">
        <f t="shared" si="1"/>
        <v>0</v>
      </c>
      <c r="G12" s="39">
        <f t="shared" si="2"/>
        <v>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idden="1" outlineLevel="1">
      <c r="A13" s="9" t="s">
        <v>61</v>
      </c>
      <c r="B13" s="8"/>
      <c r="C13" s="54"/>
      <c r="D13" s="54"/>
      <c r="E13" s="39">
        <f t="shared" si="0"/>
        <v>0</v>
      </c>
      <c r="F13" s="39">
        <f t="shared" si="1"/>
        <v>0</v>
      </c>
      <c r="G13" s="39">
        <f t="shared" si="2"/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idden="1" outlineLevel="1">
      <c r="A14" s="9" t="s">
        <v>62</v>
      </c>
      <c r="B14" s="8"/>
      <c r="C14" s="54"/>
      <c r="D14" s="54"/>
      <c r="E14" s="39">
        <f t="shared" si="0"/>
        <v>0</v>
      </c>
      <c r="F14" s="39">
        <f t="shared" si="1"/>
        <v>0</v>
      </c>
      <c r="G14" s="39">
        <f t="shared" si="2"/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idden="1" outlineLevel="1">
      <c r="A15" s="9" t="s">
        <v>63</v>
      </c>
      <c r="B15" s="8"/>
      <c r="C15" s="54"/>
      <c r="D15" s="54"/>
      <c r="E15" s="39">
        <f t="shared" si="0"/>
        <v>0</v>
      </c>
      <c r="F15" s="39">
        <f t="shared" si="1"/>
        <v>0</v>
      </c>
      <c r="G15" s="39">
        <f t="shared" si="2"/>
        <v>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collapsed="1" thickBot="1">
      <c r="A16" s="29" t="s">
        <v>99</v>
      </c>
      <c r="B16" s="29"/>
      <c r="C16" s="43">
        <f>SUM(C6:C15)</f>
        <v>50000</v>
      </c>
      <c r="D16" s="43">
        <f t="shared" ref="D16:G16" si="3">SUM(D6:D15)</f>
        <v>32243.599999999999</v>
      </c>
      <c r="E16" s="43">
        <f>SUM(E6:E15)</f>
        <v>15000</v>
      </c>
      <c r="F16" s="43">
        <f>SUM(F6:F15)</f>
        <v>47243.6</v>
      </c>
      <c r="G16" s="43">
        <f t="shared" si="3"/>
        <v>2756.4000000000015</v>
      </c>
    </row>
    <row r="17" spans="1:24" ht="15.75" thickTop="1">
      <c r="A17" s="8"/>
      <c r="B17" s="8"/>
      <c r="C17" s="8"/>
      <c r="D17" s="8"/>
      <c r="E17" s="8"/>
      <c r="F17" s="8"/>
      <c r="G17" s="8"/>
    </row>
    <row r="18" spans="1:24" ht="20.25" thickBot="1">
      <c r="A18" s="47" t="s">
        <v>34</v>
      </c>
      <c r="B18" s="47"/>
      <c r="C18" s="47"/>
      <c r="D18" s="47"/>
      <c r="E18" s="47"/>
      <c r="F18" s="47"/>
      <c r="G18" s="47"/>
    </row>
    <row r="19" spans="1:24" ht="16.5" thickTop="1" thickBot="1">
      <c r="A19" s="35"/>
      <c r="B19" s="35"/>
      <c r="C19" s="32" t="s">
        <v>3</v>
      </c>
      <c r="D19" s="32" t="s">
        <v>4</v>
      </c>
      <c r="E19" s="32" t="s">
        <v>92</v>
      </c>
      <c r="F19" s="32" t="s">
        <v>105</v>
      </c>
      <c r="G19" s="32" t="s">
        <v>5</v>
      </c>
    </row>
    <row r="20" spans="1:24">
      <c r="A20" s="8" t="s">
        <v>64</v>
      </c>
      <c r="B20" s="48">
        <v>12600</v>
      </c>
      <c r="C20" s="54"/>
      <c r="D20" s="54"/>
      <c r="E20" s="39">
        <f t="shared" ref="E20:E26" si="4">SUM(H20:Y20)</f>
        <v>0</v>
      </c>
      <c r="F20" s="39">
        <f>D20+E20</f>
        <v>0</v>
      </c>
      <c r="G20" s="39">
        <f>C20-F20</f>
        <v>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>
      <c r="A21" s="8" t="s">
        <v>65</v>
      </c>
      <c r="B21" s="48">
        <v>4800</v>
      </c>
      <c r="C21" s="54">
        <v>10200</v>
      </c>
      <c r="D21" s="54">
        <v>10200</v>
      </c>
      <c r="E21" s="39">
        <f t="shared" si="4"/>
        <v>2</v>
      </c>
      <c r="F21" s="39">
        <f t="shared" ref="F21:F26" si="5">D21+E21</f>
        <v>10202</v>
      </c>
      <c r="G21" s="39">
        <f t="shared" ref="G21:G26" si="6">C21-F21</f>
        <v>-2</v>
      </c>
      <c r="H21" s="9"/>
      <c r="I21" s="9"/>
      <c r="J21" s="9"/>
      <c r="K21" s="9"/>
      <c r="L21" s="9"/>
      <c r="M21" s="9">
        <v>1</v>
      </c>
      <c r="N21" s="9"/>
      <c r="O21" s="9"/>
      <c r="P21" s="9">
        <v>1</v>
      </c>
      <c r="Q21" s="9"/>
      <c r="R21" s="9"/>
      <c r="S21" s="9"/>
      <c r="T21" s="9"/>
      <c r="U21" s="9"/>
      <c r="V21" s="9"/>
      <c r="W21" s="9"/>
      <c r="X21" s="9"/>
    </row>
    <row r="22" spans="1:24">
      <c r="A22" s="8" t="s">
        <v>67</v>
      </c>
      <c r="B22" s="48">
        <v>1600</v>
      </c>
      <c r="C22" s="54"/>
      <c r="D22" s="54"/>
      <c r="E22" s="39">
        <f t="shared" si="4"/>
        <v>0</v>
      </c>
      <c r="F22" s="39">
        <f t="shared" si="5"/>
        <v>0</v>
      </c>
      <c r="G22" s="39">
        <f t="shared" si="6"/>
        <v>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8" t="s">
        <v>66</v>
      </c>
      <c r="B23" s="48">
        <v>11100</v>
      </c>
      <c r="C23" s="54">
        <f>122790+69960</f>
        <v>192750</v>
      </c>
      <c r="D23" s="54">
        <v>22800</v>
      </c>
      <c r="E23" s="39">
        <f t="shared" si="4"/>
        <v>2</v>
      </c>
      <c r="F23" s="39">
        <f t="shared" si="5"/>
        <v>22802</v>
      </c>
      <c r="G23" s="39">
        <f t="shared" si="6"/>
        <v>169948</v>
      </c>
      <c r="H23" s="9"/>
      <c r="I23" s="9"/>
      <c r="J23" s="9"/>
      <c r="K23" s="9"/>
      <c r="L23" s="9"/>
      <c r="M23" s="9">
        <v>1</v>
      </c>
      <c r="N23" s="9"/>
      <c r="O23" s="9"/>
      <c r="P23" s="9">
        <v>1</v>
      </c>
      <c r="Q23" s="9"/>
      <c r="R23" s="9"/>
      <c r="S23" s="9"/>
      <c r="T23" s="9"/>
      <c r="U23" s="9"/>
      <c r="V23" s="9"/>
      <c r="W23" s="9"/>
      <c r="X23" s="9"/>
    </row>
    <row r="24" spans="1:24">
      <c r="A24" s="8" t="s">
        <v>68</v>
      </c>
      <c r="B24" s="48">
        <v>12500</v>
      </c>
      <c r="C24" s="54"/>
      <c r="D24" s="54"/>
      <c r="E24" s="39">
        <f t="shared" si="4"/>
        <v>0</v>
      </c>
      <c r="F24" s="39">
        <f t="shared" si="5"/>
        <v>0</v>
      </c>
      <c r="G24" s="39">
        <f t="shared" si="6"/>
        <v>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>
      <c r="A25" s="8" t="s">
        <v>69</v>
      </c>
      <c r="B25" s="48">
        <v>33500</v>
      </c>
      <c r="C25" s="54"/>
      <c r="D25" s="54"/>
      <c r="E25" s="39">
        <f t="shared" si="4"/>
        <v>0</v>
      </c>
      <c r="F25" s="39">
        <f t="shared" si="5"/>
        <v>0</v>
      </c>
      <c r="G25" s="39">
        <f t="shared" si="6"/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>
      <c r="A26" s="8" t="s">
        <v>33</v>
      </c>
      <c r="B26" s="48">
        <v>450</v>
      </c>
      <c r="C26" s="54"/>
      <c r="D26" s="54"/>
      <c r="E26" s="39">
        <f t="shared" si="4"/>
        <v>0</v>
      </c>
      <c r="F26" s="39">
        <f t="shared" si="5"/>
        <v>0</v>
      </c>
      <c r="G26" s="39">
        <f t="shared" si="6"/>
        <v>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15.75" thickBot="1">
      <c r="A27" s="29" t="s">
        <v>100</v>
      </c>
      <c r="B27" s="29"/>
      <c r="C27" s="43">
        <f>SUM(C20:C26)</f>
        <v>202950</v>
      </c>
      <c r="D27" s="43">
        <f t="shared" ref="D27:G27" si="7">SUM(D20:D26)</f>
        <v>33000</v>
      </c>
      <c r="E27" s="43">
        <f>SUM(E20:E26)</f>
        <v>4</v>
      </c>
      <c r="F27" s="43">
        <f>SUM(F20:F26)</f>
        <v>33004</v>
      </c>
      <c r="G27" s="43">
        <f t="shared" si="7"/>
        <v>169946</v>
      </c>
    </row>
    <row r="28" spans="1:24" ht="15.75" thickTop="1"/>
  </sheetData>
  <mergeCells count="19">
    <mergeCell ref="W4:W5"/>
    <mergeCell ref="X4:X5"/>
    <mergeCell ref="Y4:Y5"/>
    <mergeCell ref="Q4:Q5"/>
    <mergeCell ref="R4:R5"/>
    <mergeCell ref="S4:S5"/>
    <mergeCell ref="T4:T5"/>
    <mergeCell ref="U4:U5"/>
    <mergeCell ref="V4:V5"/>
    <mergeCell ref="P4:P5"/>
    <mergeCell ref="A1:A2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4"/>
  <sheetViews>
    <sheetView topLeftCell="A3" workbookViewId="0">
      <selection activeCell="B22" sqref="B22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5" customFormat="1">
      <c r="A1" s="94" t="s">
        <v>123</v>
      </c>
      <c r="B1" s="71" t="s">
        <v>3</v>
      </c>
      <c r="C1" s="71" t="s">
        <v>4</v>
      </c>
      <c r="D1" s="71" t="s">
        <v>7</v>
      </c>
      <c r="E1" s="71" t="s">
        <v>105</v>
      </c>
      <c r="F1" s="64" t="s">
        <v>107</v>
      </c>
      <c r="G1" s="62"/>
    </row>
    <row r="2" spans="1:7" s="65" customFormat="1" ht="15.75" thickBot="1">
      <c r="A2" s="95"/>
      <c r="B2" s="75">
        <f>Summary!B25</f>
        <v>1217460</v>
      </c>
      <c r="C2" s="75">
        <f>Summary!C25</f>
        <v>432700.93</v>
      </c>
      <c r="D2" s="75">
        <f>Summary!D25</f>
        <v>508929.32337999996</v>
      </c>
      <c r="E2" s="75">
        <f>Summary!E25</f>
        <v>988873.8533800001</v>
      </c>
      <c r="F2" s="63">
        <f>Summary!F25</f>
        <v>228586.1466199999</v>
      </c>
      <c r="G2" s="62"/>
    </row>
    <row r="3" spans="1:7" s="65" customFormat="1"/>
    <row r="4" spans="1:7" ht="20.25" thickBot="1">
      <c r="A4" s="12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105</v>
      </c>
      <c r="F5" s="2" t="s">
        <v>5</v>
      </c>
    </row>
    <row r="6" spans="1:7">
      <c r="A6" t="s">
        <v>8</v>
      </c>
      <c r="B6" s="55">
        <f>139366+58935</f>
        <v>198301</v>
      </c>
      <c r="C6" s="55">
        <v>79774.320000000007</v>
      </c>
      <c r="D6" s="56">
        <f>D17</f>
        <v>56922.768000000004</v>
      </c>
      <c r="E6" s="56">
        <f>C6+D6</f>
        <v>136697.08800000002</v>
      </c>
      <c r="F6" s="56">
        <f>B6-(E6)</f>
        <v>61603.911999999982</v>
      </c>
    </row>
    <row r="7" spans="1:7">
      <c r="A7" t="str">
        <f>'Personnel Info'!A2</f>
        <v>Craig Dawe</v>
      </c>
      <c r="B7" s="21"/>
      <c r="C7" s="21"/>
      <c r="D7" s="7">
        <f>Labor!E8*'Personnel Info'!C2</f>
        <v>17009.104000000003</v>
      </c>
      <c r="E7" s="7"/>
      <c r="F7" s="8"/>
    </row>
    <row r="8" spans="1:7">
      <c r="A8" t="str">
        <f>'Personnel Info'!A3</f>
        <v>Ken Heller</v>
      </c>
      <c r="B8" s="21"/>
      <c r="C8" s="21"/>
      <c r="D8" s="7">
        <f>Labor!E9*'Personnel Info'!C3</f>
        <v>30888.704000000005</v>
      </c>
      <c r="E8" s="7"/>
      <c r="F8" s="8"/>
    </row>
    <row r="9" spans="1:7">
      <c r="A9" t="str">
        <f>'Personnel Info'!A4</f>
        <v>Rich Schramm</v>
      </c>
      <c r="B9" s="21"/>
      <c r="C9" s="21"/>
      <c r="D9" s="7">
        <f>Labor!E10*'Personnel Info'!C4</f>
        <v>0</v>
      </c>
      <c r="E9" s="7"/>
      <c r="F9" s="8"/>
    </row>
    <row r="10" spans="1:7">
      <c r="A10" t="str">
        <f>'Personnel Info'!A5</f>
        <v>Ed Peltzer</v>
      </c>
      <c r="B10" s="21"/>
      <c r="C10" s="21"/>
      <c r="D10" s="7">
        <f>Labor!E11*'Personnel Info'!C5</f>
        <v>0</v>
      </c>
      <c r="E10" s="7"/>
      <c r="F10" s="8"/>
    </row>
    <row r="11" spans="1:7">
      <c r="A11" t="str">
        <f>'Personnel Info'!A6</f>
        <v>Paul McGill</v>
      </c>
      <c r="B11" s="21"/>
      <c r="C11" s="21"/>
      <c r="D11" s="7">
        <f>Labor!E12*'Personnel Info'!C6</f>
        <v>5570.88</v>
      </c>
      <c r="E11" s="7"/>
      <c r="F11" s="8"/>
    </row>
    <row r="12" spans="1:7">
      <c r="A12" t="str">
        <f>'Personnel Info'!A7</f>
        <v>Peter Walz</v>
      </c>
      <c r="B12" s="21"/>
      <c r="C12" s="21"/>
      <c r="D12" s="7">
        <f>Labor!E13*'Personnel Info'!C7</f>
        <v>0</v>
      </c>
      <c r="E12" s="7"/>
      <c r="F12" s="8"/>
    </row>
    <row r="13" spans="1:7">
      <c r="A13" t="str">
        <f>'Personnel Info'!A8</f>
        <v>Ray Thompson</v>
      </c>
      <c r="B13" s="21"/>
      <c r="C13" s="21"/>
      <c r="D13" s="7">
        <f>Labor!E14*'Personnel Info'!C8</f>
        <v>3454.0800000000004</v>
      </c>
      <c r="E13" s="7"/>
      <c r="F13" s="8"/>
    </row>
    <row r="14" spans="1:7">
      <c r="A14" t="str">
        <f>'Personnel Info'!A9</f>
        <v>Doug Parget</v>
      </c>
      <c r="B14" s="21"/>
      <c r="C14" s="21"/>
      <c r="D14" s="7">
        <f>Labor!E15*'Personnel Info'!C9</f>
        <v>0</v>
      </c>
      <c r="E14" s="7"/>
      <c r="F14" s="8"/>
    </row>
    <row r="15" spans="1:7">
      <c r="A15" t="str">
        <f>'Personnel Info'!A10</f>
        <v xml:space="preserve">Jose Rosal </v>
      </c>
      <c r="B15" s="21"/>
      <c r="C15" s="21"/>
      <c r="D15" s="7">
        <f>Labor!E16*'Personnel Info'!C10</f>
        <v>0</v>
      </c>
      <c r="E15" s="7"/>
      <c r="F15" s="8"/>
    </row>
    <row r="16" spans="1:7">
      <c r="A16" t="str">
        <f>'Personnel Info'!A11</f>
        <v>Ed Mellinger</v>
      </c>
      <c r="B16" s="21"/>
      <c r="C16" s="21"/>
      <c r="D16" s="7">
        <f>Labor!E17*'Personnel Info'!C11</f>
        <v>0</v>
      </c>
      <c r="E16" s="7"/>
      <c r="F16" s="8"/>
    </row>
    <row r="17" spans="1:6">
      <c r="B17" s="21">
        <f>SUM(B6:B16)</f>
        <v>198301</v>
      </c>
      <c r="C17" s="21">
        <f>SUM(C6:C16)</f>
        <v>79774.320000000007</v>
      </c>
      <c r="D17" s="7">
        <f>SUM(D7:D16)</f>
        <v>56922.768000000004</v>
      </c>
      <c r="E17" s="7"/>
      <c r="F17" s="7">
        <f>SUM(F6:F16)</f>
        <v>61603.911999999982</v>
      </c>
    </row>
    <row r="19" spans="1:6" ht="20.25" thickBot="1">
      <c r="A19" s="12" t="s">
        <v>73</v>
      </c>
    </row>
    <row r="20" spans="1:6" ht="16.5" thickTop="1" thickBot="1">
      <c r="A20" s="2" t="s">
        <v>74</v>
      </c>
      <c r="B20" s="2" t="s">
        <v>3</v>
      </c>
      <c r="C20" s="2" t="s">
        <v>4</v>
      </c>
      <c r="D20" s="2" t="s">
        <v>7</v>
      </c>
      <c r="E20" s="2" t="s">
        <v>105</v>
      </c>
      <c r="F20" s="2" t="s">
        <v>5</v>
      </c>
    </row>
    <row r="21" spans="1:6">
      <c r="A21" s="44">
        <v>0.51</v>
      </c>
      <c r="B21" s="57">
        <f>226573+99189</f>
        <v>325762</v>
      </c>
      <c r="C21" s="57">
        <v>134998.32999999999</v>
      </c>
      <c r="D21" s="1">
        <f>(SUM(Labor!E18,Expenses!D38,'Capital Equipment &amp; DMO Assets'!E26,'Fringe &amp; OH'!D17)-Expenses!D19)*A21</f>
        <v>171888.68537999998</v>
      </c>
      <c r="E21" s="1">
        <f>C21+D21</f>
        <v>306887.01538</v>
      </c>
      <c r="F21" s="1">
        <f>B21-E21</f>
        <v>18874.984620000003</v>
      </c>
    </row>
    <row r="22" spans="1:6" ht="15.75" thickBot="1">
      <c r="A22" s="2" t="s">
        <v>104</v>
      </c>
    </row>
    <row r="23" spans="1:6">
      <c r="A23" s="1">
        <f>(SUM(Labor!F18,Expenses!E38,'Capital Equipment &amp; DMO Assets'!E26,'Fringe &amp; OH'!E6)-Expenses!E19)</f>
        <v>601739.23800000001</v>
      </c>
    </row>
    <row r="24" spans="1:6" ht="15.75" thickBot="1">
      <c r="A24" s="2"/>
    </row>
  </sheetData>
  <sheetProtection password="CB1D" sheet="1" objects="1" scenarios="1"/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Craig Dawe</cp:lastModifiedBy>
  <dcterms:created xsi:type="dcterms:W3CDTF">2016-02-16T16:55:39Z</dcterms:created>
  <dcterms:modified xsi:type="dcterms:W3CDTF">2016-12-19T21:49:59Z</dcterms:modified>
</cp:coreProperties>
</file>