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15" yWindow="9960" windowWidth="38430" windowHeight="10830"/>
  </bookViews>
  <sheets>
    <sheet name="Sheet1" sheetId="1" r:id="rId1"/>
    <sheet name="Sheet2" sheetId="2" r:id="rId2"/>
    <sheet name="Sheet3" sheetId="3" r:id="rId3"/>
  </sheets>
  <calcPr calcId="145621"/>
</workbook>
</file>

<file path=xl/calcChain.xml><?xml version="1.0" encoding="utf-8"?>
<calcChain xmlns="http://schemas.openxmlformats.org/spreadsheetml/2006/main">
  <c r="J120" i="1" l="1"/>
  <c r="K102" i="1"/>
  <c r="K69" i="1"/>
  <c r="K36" i="1"/>
  <c r="H101" i="1"/>
  <c r="G101" i="1"/>
  <c r="E101" i="1"/>
  <c r="B101" i="1"/>
  <c r="J68" i="1"/>
  <c r="H68" i="1"/>
  <c r="G68" i="1"/>
  <c r="E68" i="1"/>
  <c r="B68" i="1"/>
  <c r="F131" i="1"/>
  <c r="C129" i="1"/>
  <c r="C128" i="1"/>
  <c r="G127" i="1"/>
  <c r="E127" i="1"/>
  <c r="K127" i="1" s="1"/>
  <c r="E126" i="1"/>
  <c r="G126" i="1" s="1"/>
  <c r="G125" i="1"/>
  <c r="E125" i="1"/>
  <c r="K125" i="1" s="1"/>
  <c r="E124" i="1"/>
  <c r="G124" i="1" s="1"/>
  <c r="G123" i="1"/>
  <c r="E123" i="1"/>
  <c r="K123" i="1" s="1"/>
  <c r="E122" i="1"/>
  <c r="G122" i="1" s="1"/>
  <c r="G121" i="1"/>
  <c r="E121" i="1"/>
  <c r="K121" i="1" s="1"/>
  <c r="E120" i="1"/>
  <c r="G120" i="1" s="1"/>
  <c r="C119" i="1"/>
  <c r="C118" i="1"/>
  <c r="G118" i="1" s="1"/>
  <c r="F115" i="1"/>
  <c r="M81" i="1"/>
  <c r="F98" i="1"/>
  <c r="C96" i="1"/>
  <c r="C95" i="1"/>
  <c r="E94" i="1"/>
  <c r="G94" i="1" s="1"/>
  <c r="E93" i="1"/>
  <c r="E92" i="1"/>
  <c r="G92" i="1" s="1"/>
  <c r="E91" i="1"/>
  <c r="E90" i="1"/>
  <c r="G90" i="1" s="1"/>
  <c r="E89" i="1"/>
  <c r="E88" i="1"/>
  <c r="G88" i="1" s="1"/>
  <c r="E87" i="1"/>
  <c r="C86" i="1"/>
  <c r="E86" i="1" s="1"/>
  <c r="C85" i="1"/>
  <c r="B98" i="1" s="1"/>
  <c r="F82" i="1"/>
  <c r="J82" i="1"/>
  <c r="J98" i="1" s="1"/>
  <c r="H82" i="1"/>
  <c r="H98" i="1" s="1"/>
  <c r="H115" i="1" s="1"/>
  <c r="H131" i="1" s="1"/>
  <c r="B82" i="1"/>
  <c r="B115" i="1" s="1"/>
  <c r="K35" i="1"/>
  <c r="I32" i="1"/>
  <c r="J101" i="1" l="1"/>
  <c r="J115" i="1" s="1"/>
  <c r="J131" i="1" s="1"/>
  <c r="K120" i="1"/>
  <c r="K122" i="1"/>
  <c r="K124" i="1"/>
  <c r="K126" i="1"/>
  <c r="B131" i="1"/>
  <c r="E119" i="1"/>
  <c r="E128" i="1"/>
  <c r="E129" i="1"/>
  <c r="K68" i="1"/>
  <c r="G86" i="1"/>
  <c r="K86" i="1" s="1"/>
  <c r="G87" i="1"/>
  <c r="K87" i="1" s="1"/>
  <c r="K88" i="1"/>
  <c r="G89" i="1"/>
  <c r="K89" i="1" s="1"/>
  <c r="K90" i="1"/>
  <c r="G91" i="1"/>
  <c r="K91" i="1" s="1"/>
  <c r="K92" i="1"/>
  <c r="G93" i="1"/>
  <c r="K93" i="1" s="1"/>
  <c r="K94" i="1"/>
  <c r="E95" i="1"/>
  <c r="E98" i="1" s="1"/>
  <c r="E96" i="1"/>
  <c r="G96" i="1" s="1"/>
  <c r="G85" i="1"/>
  <c r="E131" i="1" l="1"/>
  <c r="G129" i="1"/>
  <c r="K129" i="1" s="1"/>
  <c r="G119" i="1"/>
  <c r="K128" i="1"/>
  <c r="G128" i="1"/>
  <c r="G95" i="1"/>
  <c r="K95" i="1" s="1"/>
  <c r="E82" i="1"/>
  <c r="K96" i="1"/>
  <c r="E115" i="1" l="1"/>
  <c r="K119" i="1"/>
  <c r="G82" i="1"/>
  <c r="G98" i="1" l="1"/>
  <c r="K98" i="1" s="1"/>
  <c r="K82" i="1"/>
  <c r="B65" i="1"/>
  <c r="H49" i="1"/>
  <c r="E16" i="1"/>
  <c r="F16" i="1"/>
  <c r="G16" i="1"/>
  <c r="G32" i="1" s="1"/>
  <c r="H16" i="1"/>
  <c r="H32" i="1" s="1"/>
  <c r="H35" i="1" s="1"/>
  <c r="B32" i="1"/>
  <c r="B16" i="1"/>
  <c r="E32" i="1"/>
  <c r="F32" i="1"/>
  <c r="K2" i="1"/>
  <c r="K29" i="1"/>
  <c r="I27" i="1"/>
  <c r="F26" i="1"/>
  <c r="B26" i="1"/>
  <c r="E29" i="1"/>
  <c r="K101" i="1" l="1"/>
  <c r="G115" i="1"/>
  <c r="H53" i="1"/>
  <c r="F65" i="1"/>
  <c r="C63" i="1"/>
  <c r="C62" i="1"/>
  <c r="E59" i="1"/>
  <c r="G59" i="1" s="1"/>
  <c r="E58" i="1"/>
  <c r="G57" i="1"/>
  <c r="E57" i="1"/>
  <c r="E56" i="1"/>
  <c r="E55" i="1"/>
  <c r="G55" i="1" s="1"/>
  <c r="E54" i="1"/>
  <c r="C53" i="1"/>
  <c r="C52" i="1"/>
  <c r="F49" i="1"/>
  <c r="L44" i="1"/>
  <c r="L42" i="1"/>
  <c r="L11" i="1"/>
  <c r="C28" i="1"/>
  <c r="C27" i="1"/>
  <c r="C30" i="1"/>
  <c r="C29" i="1"/>
  <c r="G131" i="1" l="1"/>
  <c r="K131" i="1" s="1"/>
  <c r="K115" i="1"/>
  <c r="K57" i="1"/>
  <c r="K55" i="1"/>
  <c r="G52" i="1"/>
  <c r="E53" i="1"/>
  <c r="G53" i="1" s="1"/>
  <c r="K53" i="1" s="1"/>
  <c r="G54" i="1"/>
  <c r="K54" i="1" s="1"/>
  <c r="G56" i="1"/>
  <c r="K56" i="1" s="1"/>
  <c r="G58" i="1"/>
  <c r="K58" i="1" s="1"/>
  <c r="K59" i="1"/>
  <c r="E60" i="1"/>
  <c r="G60" i="1" s="1"/>
  <c r="K60" i="1" s="1"/>
  <c r="E61" i="1"/>
  <c r="G61" i="1" s="1"/>
  <c r="K61" i="1" s="1"/>
  <c r="E63" i="1"/>
  <c r="G63" i="1" s="1"/>
  <c r="E62" i="1"/>
  <c r="G62" i="1" s="1"/>
  <c r="N12" i="1"/>
  <c r="O18" i="1"/>
  <c r="O17" i="1" s="1"/>
  <c r="K62" i="1" l="1"/>
  <c r="E65" i="1"/>
  <c r="K63" i="1"/>
  <c r="J16" i="1"/>
  <c r="J35" i="1" s="1"/>
  <c r="J49" i="1" s="1"/>
  <c r="J65" i="1" s="1"/>
  <c r="H65" i="1"/>
  <c r="E30" i="1" l="1"/>
  <c r="G30" i="1" l="1"/>
  <c r="E19" i="1"/>
  <c r="K30" i="1" l="1"/>
  <c r="G19" i="1"/>
  <c r="K19" i="1" l="1"/>
  <c r="J32" i="1"/>
  <c r="B27" i="1" l="1"/>
  <c r="B28" i="1"/>
  <c r="B35" i="1" l="1"/>
  <c r="B49" i="1" s="1"/>
  <c r="L9" i="1"/>
  <c r="N3" i="1" l="1"/>
  <c r="O6" i="1"/>
  <c r="N6" i="1"/>
  <c r="O8" i="1" l="1"/>
  <c r="O9" i="1" s="1"/>
  <c r="E20" i="1" l="1"/>
  <c r="E21" i="1"/>
  <c r="E22" i="1"/>
  <c r="E23" i="1"/>
  <c r="E24" i="1"/>
  <c r="E25" i="1"/>
  <c r="E26" i="1"/>
  <c r="E27" i="1"/>
  <c r="E28" i="1"/>
  <c r="G29" i="1"/>
  <c r="E35" i="1" l="1"/>
  <c r="G22" i="1"/>
  <c r="K22" i="1" s="1"/>
  <c r="G21" i="1"/>
  <c r="K21" i="1" s="1"/>
  <c r="G28" i="1"/>
  <c r="K28" i="1" s="1"/>
  <c r="G20" i="1"/>
  <c r="G26" i="1"/>
  <c r="K26" i="1" s="1"/>
  <c r="G25" i="1"/>
  <c r="K25" i="1" s="1"/>
  <c r="G24" i="1"/>
  <c r="K24" i="1" s="1"/>
  <c r="G27" i="1"/>
  <c r="K27" i="1" s="1"/>
  <c r="G23" i="1"/>
  <c r="K23" i="1" s="1"/>
  <c r="E49" i="1" l="1"/>
  <c r="K16" i="1"/>
  <c r="K20" i="1"/>
  <c r="G35" i="1" l="1"/>
  <c r="K32" i="1"/>
  <c r="G49" i="1" l="1"/>
  <c r="G65" i="1" l="1"/>
  <c r="K65" i="1" s="1"/>
  <c r="K49" i="1"/>
</calcChain>
</file>

<file path=xl/comments1.xml><?xml version="1.0" encoding="utf-8"?>
<comments xmlns="http://schemas.openxmlformats.org/spreadsheetml/2006/main">
  <authors>
    <author>Craig Dawe</author>
  </authors>
  <commentList>
    <comment ref="I2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Routers $16,000
ODI connectors $18,000</t>
        </r>
      </text>
    </comment>
    <comment ref="I27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ODI 12way Cw penetrator 10m oil filled hose X 2</t>
        </r>
      </text>
    </comment>
    <comment ref="J30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MLHD rent/year</t>
        </r>
      </text>
    </comment>
    <comment ref="H52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HP 5500 or Lantech</t>
        </r>
      </text>
    </comment>
    <comment ref="D54" author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Mini node Pen head</t>
        </r>
      </text>
    </comment>
    <comment ref="H55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atomic clock</t>
        </r>
      </text>
    </comment>
    <comment ref="D56" author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ME design work costs</t>
        </r>
      </text>
    </comment>
    <comment ref="D57" author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EE design/consultation</t>
        </r>
      </text>
    </comment>
    <comment ref="H57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3 12way ODI con Refurbs</t>
        </r>
      </text>
    </comment>
    <comment ref="D58" author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Node Mechanicals build</t>
        </r>
      </text>
    </comment>
    <comment ref="H58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3way node refurb
</t>
        </r>
      </text>
    </comment>
    <comment ref="D59" author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ME Thermal analysis</t>
        </r>
      </text>
    </comment>
    <comment ref="H59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8way optical refurb
</t>
        </r>
      </text>
    </comment>
    <comment ref="H60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Alcatel MVC Re-commissioning</t>
        </r>
      </text>
    </comment>
    <comment ref="H61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Alcatel MVC Installation test</t>
        </r>
      </text>
    </comment>
    <comment ref="D62" authorId="0">
      <text>
        <r>
          <rPr>
            <b/>
            <sz val="9"/>
            <color indexed="81"/>
            <rFont val="Tahoma"/>
            <charset val="1"/>
          </rPr>
          <t>Craig Dawe:</t>
        </r>
        <r>
          <rPr>
            <sz val="9"/>
            <color indexed="81"/>
            <rFont val="Tahoma"/>
            <charset val="1"/>
          </rPr>
          <t xml:space="preserve">
Fluorinert Testing Ed/Peter</t>
        </r>
      </text>
    </comment>
    <comment ref="J63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MLHD rent/year</t>
        </r>
      </text>
    </comment>
    <comment ref="F65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J86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MLHD rent/year</t>
        </r>
      </text>
    </comment>
    <comment ref="F98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  <comment ref="J121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MLHD rent/year</t>
        </r>
      </text>
    </comment>
    <comment ref="J122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5yr HP support</t>
        </r>
      </text>
    </comment>
    <comment ref="F131" authorId="0">
      <text>
        <r>
          <rPr>
            <b/>
            <sz val="9"/>
            <color indexed="81"/>
            <rFont val="Tahoma"/>
            <family val="2"/>
          </rPr>
          <t>Craig Dawe:</t>
        </r>
        <r>
          <rPr>
            <sz val="9"/>
            <color indexed="81"/>
            <rFont val="Tahoma"/>
            <family val="2"/>
          </rPr>
          <t xml:space="preserve">
expected income from UW APL, Ryan PAM, Haddock/Martini</t>
        </r>
      </text>
    </comment>
  </commentList>
</comments>
</file>

<file path=xl/sharedStrings.xml><?xml version="1.0" encoding="utf-8"?>
<sst xmlns="http://schemas.openxmlformats.org/spreadsheetml/2006/main" count="137" uniqueCount="47">
  <si>
    <t>ship time</t>
  </si>
  <si>
    <t>jan</t>
  </si>
  <si>
    <t>feb</t>
  </si>
  <si>
    <t>mar</t>
  </si>
  <si>
    <t>apr</t>
  </si>
  <si>
    <t>may</t>
  </si>
  <si>
    <t>jun</t>
  </si>
  <si>
    <t>jul</t>
  </si>
  <si>
    <t>aug</t>
  </si>
  <si>
    <t>labor MARS Technician</t>
  </si>
  <si>
    <t>sep</t>
  </si>
  <si>
    <t>oct</t>
  </si>
  <si>
    <t>nov</t>
  </si>
  <si>
    <t>dec</t>
  </si>
  <si>
    <t>Science (Survey techs)</t>
  </si>
  <si>
    <t>expenses</t>
  </si>
  <si>
    <t>fringe 53%</t>
  </si>
  <si>
    <t>income</t>
  </si>
  <si>
    <t>labor MARS Manager</t>
  </si>
  <si>
    <t>sum of income -labor</t>
  </si>
  <si>
    <t>indirect</t>
  </si>
  <si>
    <t>End of year projection</t>
  </si>
  <si>
    <t>labor for biological survery</t>
  </si>
  <si>
    <t>and Engineering suport</t>
  </si>
  <si>
    <t>Calculated</t>
  </si>
  <si>
    <t>used</t>
  </si>
  <si>
    <t>heller</t>
  </si>
  <si>
    <t>Data Analysis and Report Writing</t>
  </si>
  <si>
    <t>Total</t>
  </si>
  <si>
    <t>flyer</t>
  </si>
  <si>
    <t>Carson Ventana (12) 2015</t>
  </si>
  <si>
    <t>Broke July 1st</t>
  </si>
  <si>
    <t>Current status 2016</t>
  </si>
  <si>
    <t>Dawe</t>
  </si>
  <si>
    <t>Yr 3 Award</t>
  </si>
  <si>
    <t>03012017- 02282018</t>
  </si>
  <si>
    <t>Costs for 2017</t>
  </si>
  <si>
    <t>fringe 56%</t>
  </si>
  <si>
    <t>remaining</t>
  </si>
  <si>
    <t>Feb 28,2017</t>
  </si>
  <si>
    <t>Capitol</t>
  </si>
  <si>
    <t>annual total</t>
  </si>
  <si>
    <t>Yr 4 Award</t>
  </si>
  <si>
    <t>03012018- 02282019</t>
  </si>
  <si>
    <t>Yr 5 Award</t>
  </si>
  <si>
    <t>03012019- 02282020</t>
  </si>
  <si>
    <t>Project award income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</si>
</sst>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6" formatCode="&quot;$&quot;#,##0_);[Red]\(&quot;$&quot;#,##0\)"/>
    <numFmt numFmtId="44" formatCode="_(&quot;$&quot;* #,##0.00_);_(&quot;$&quot;* \(#,##0.00\);_(&quot;$&quot;* &quot;-&quot;??_);_(@_)"/>
    <numFmt numFmtId="164" formatCode="&quot;$&quot;#,##0.00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u/>
      <sz val="12"/>
      <name val="Times New Roman"/>
      <family val="1"/>
    </font>
    <font>
      <sz val="11"/>
      <color theme="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44" fontId="0" fillId="0" borderId="0" xfId="1" applyFont="1"/>
    <xf numFmtId="14" fontId="0" fillId="0" borderId="0" xfId="0" applyNumberFormat="1"/>
    <xf numFmtId="0" fontId="0" fillId="2" borderId="0" xfId="0" applyFill="1"/>
    <xf numFmtId="44" fontId="0" fillId="2" borderId="0" xfId="1" applyFont="1" applyFill="1"/>
    <xf numFmtId="14" fontId="0" fillId="2" borderId="0" xfId="0" applyNumberFormat="1" applyFill="1"/>
    <xf numFmtId="1" fontId="0" fillId="0" borderId="0" xfId="0" applyNumberFormat="1"/>
    <xf numFmtId="44" fontId="0" fillId="0" borderId="0" xfId="0" applyNumberFormat="1"/>
    <xf numFmtId="44" fontId="0" fillId="0" borderId="0" xfId="1" applyFont="1" applyFill="1"/>
    <xf numFmtId="0" fontId="2" fillId="0" borderId="0" xfId="0" applyFont="1"/>
    <xf numFmtId="6" fontId="0" fillId="0" borderId="0" xfId="0" applyNumberFormat="1"/>
    <xf numFmtId="14" fontId="0" fillId="3" borderId="0" xfId="0" applyNumberFormat="1" applyFill="1"/>
    <xf numFmtId="44" fontId="0" fillId="3" borderId="0" xfId="1" applyFont="1" applyFill="1"/>
    <xf numFmtId="0" fontId="3" fillId="3" borderId="0" xfId="0" applyFont="1" applyFill="1"/>
    <xf numFmtId="0" fontId="0" fillId="3" borderId="0" xfId="0" applyFill="1"/>
    <xf numFmtId="14" fontId="0" fillId="0" borderId="0" xfId="0" applyNumberFormat="1" applyFill="1"/>
    <xf numFmtId="0" fontId="0" fillId="0" borderId="0" xfId="0" applyFill="1"/>
    <xf numFmtId="44" fontId="0" fillId="0" borderId="0" xfId="0" applyNumberFormat="1" applyFill="1"/>
    <xf numFmtId="164" fontId="0" fillId="0" borderId="0" xfId="0" applyNumberFormat="1"/>
    <xf numFmtId="164" fontId="0" fillId="2" borderId="0" xfId="1" applyNumberFormat="1" applyFont="1" applyFill="1"/>
    <xf numFmtId="164" fontId="0" fillId="0" borderId="0" xfId="0" applyNumberForma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pageSetUpPr fitToPage="1"/>
  </sheetPr>
  <dimension ref="A1:O131"/>
  <sheetViews>
    <sheetView tabSelected="1" topLeftCell="A37" zoomScaleNormal="100" workbookViewId="0">
      <selection activeCell="E119" sqref="E119"/>
    </sheetView>
  </sheetViews>
  <sheetFormatPr defaultRowHeight="15" x14ac:dyDescent="0.25"/>
  <cols>
    <col min="1" max="1" width="21.140625" customWidth="1"/>
    <col min="2" max="3" width="21.140625" style="1" customWidth="1"/>
    <col min="4" max="4" width="25.85546875" style="1" customWidth="1"/>
    <col min="5" max="10" width="21.140625" style="1" customWidth="1"/>
    <col min="11" max="11" width="21.140625" style="18" customWidth="1"/>
    <col min="12" max="27" width="21.140625" customWidth="1"/>
  </cols>
  <sheetData>
    <row r="1" spans="1:15" x14ac:dyDescent="0.25">
      <c r="A1" s="3" t="s">
        <v>32</v>
      </c>
      <c r="B1" s="4" t="s">
        <v>9</v>
      </c>
      <c r="C1" s="4" t="s">
        <v>18</v>
      </c>
      <c r="D1" s="4" t="s">
        <v>14</v>
      </c>
      <c r="E1" s="4" t="s">
        <v>37</v>
      </c>
      <c r="F1" s="4" t="s">
        <v>17</v>
      </c>
      <c r="G1" s="4" t="s">
        <v>20</v>
      </c>
      <c r="H1" s="4" t="s">
        <v>15</v>
      </c>
      <c r="I1" s="4" t="s">
        <v>40</v>
      </c>
      <c r="J1" s="4" t="s">
        <v>0</v>
      </c>
      <c r="K1" s="19" t="s">
        <v>28</v>
      </c>
      <c r="L1" s="4"/>
    </row>
    <row r="2" spans="1:15" x14ac:dyDescent="0.25">
      <c r="A2" s="5">
        <v>42668</v>
      </c>
      <c r="B2" s="8">
        <v>115710.41</v>
      </c>
      <c r="C2" s="4" t="s">
        <v>23</v>
      </c>
      <c r="D2" s="4" t="s">
        <v>22</v>
      </c>
      <c r="E2" s="8">
        <v>64798.31</v>
      </c>
      <c r="F2" s="4"/>
      <c r="G2" s="8">
        <v>99590.14</v>
      </c>
      <c r="H2" s="8">
        <v>14765.26</v>
      </c>
      <c r="I2" s="8">
        <v>34000</v>
      </c>
      <c r="J2" s="8">
        <v>99990</v>
      </c>
      <c r="K2" s="18">
        <f>B2+E2+G2+H2+I2+J2</f>
        <v>428854.12</v>
      </c>
      <c r="L2" s="4" t="s">
        <v>38</v>
      </c>
      <c r="M2" s="4"/>
    </row>
    <row r="3" spans="1:15" x14ac:dyDescent="0.25">
      <c r="A3" s="2"/>
      <c r="N3" s="7">
        <f>B2+E2</f>
        <v>180508.72</v>
      </c>
    </row>
    <row r="4" spans="1:15" x14ac:dyDescent="0.25">
      <c r="A4" s="2"/>
      <c r="O4" s="7"/>
    </row>
    <row r="5" spans="1:15" x14ac:dyDescent="0.25">
      <c r="A5" s="7"/>
      <c r="O5" t="s">
        <v>24</v>
      </c>
    </row>
    <row r="6" spans="1:15" x14ac:dyDescent="0.25">
      <c r="A6" s="2"/>
      <c r="M6">
        <v>33589</v>
      </c>
      <c r="N6">
        <f>L6+M6</f>
        <v>33589</v>
      </c>
      <c r="O6" s="7">
        <f>(B3+C3)*1.53*4</f>
        <v>0</v>
      </c>
    </row>
    <row r="7" spans="1:15" x14ac:dyDescent="0.25">
      <c r="A7" s="2"/>
      <c r="L7" s="7"/>
      <c r="O7" t="s">
        <v>25</v>
      </c>
    </row>
    <row r="8" spans="1:15" x14ac:dyDescent="0.25">
      <c r="A8" s="2"/>
      <c r="L8" s="7"/>
      <c r="M8" t="s">
        <v>33</v>
      </c>
      <c r="O8" s="7">
        <f>N3-N6</f>
        <v>146919.72</v>
      </c>
    </row>
    <row r="9" spans="1:15" x14ac:dyDescent="0.25">
      <c r="A9" s="2"/>
      <c r="L9" s="7">
        <f>60413/12</f>
        <v>5034.416666666667</v>
      </c>
      <c r="M9" t="s">
        <v>26</v>
      </c>
      <c r="O9" s="7">
        <f>(O8+O6)/4</f>
        <v>36729.93</v>
      </c>
    </row>
    <row r="10" spans="1:15" x14ac:dyDescent="0.25">
      <c r="A10" s="15"/>
      <c r="B10" s="8"/>
      <c r="C10" s="8"/>
      <c r="D10" s="8"/>
      <c r="E10" s="8"/>
      <c r="F10" s="8"/>
      <c r="G10" s="8"/>
      <c r="L10" s="7">
        <v>5187.8999999999996</v>
      </c>
    </row>
    <row r="11" spans="1:15" s="3" customFormat="1" x14ac:dyDescent="0.25">
      <c r="A11" s="15"/>
      <c r="B11" s="8"/>
      <c r="C11" s="16"/>
      <c r="D11" s="8"/>
      <c r="E11" s="8"/>
      <c r="F11" s="8"/>
      <c r="G11" s="8"/>
      <c r="H11" s="8"/>
      <c r="I11" s="8"/>
      <c r="J11" s="8"/>
      <c r="K11" s="20"/>
      <c r="L11" s="7">
        <f>L10+0.02*L10</f>
        <v>5291.6579999999994</v>
      </c>
      <c r="M11" s="16"/>
      <c r="N11" s="16"/>
    </row>
    <row r="12" spans="1:15" x14ac:dyDescent="0.25">
      <c r="A12" s="15"/>
      <c r="B12" s="8"/>
      <c r="C12" s="8"/>
      <c r="D12" s="8"/>
      <c r="E12" s="8"/>
      <c r="F12" s="8"/>
      <c r="G12" s="8"/>
      <c r="H12" s="8"/>
      <c r="I12" s="8"/>
      <c r="J12" s="8"/>
      <c r="K12" s="20"/>
      <c r="L12" s="17"/>
      <c r="M12" s="16"/>
      <c r="N12" s="16">
        <f>134*365/261/12</f>
        <v>15.616219667943804</v>
      </c>
    </row>
    <row r="13" spans="1:15" x14ac:dyDescent="0.25">
      <c r="A13" s="15" t="s">
        <v>12</v>
      </c>
      <c r="B13" s="8"/>
      <c r="C13" s="8"/>
      <c r="D13" s="8"/>
      <c r="E13" s="8"/>
      <c r="F13" s="8"/>
      <c r="G13" s="8"/>
      <c r="H13" s="8"/>
      <c r="I13" s="8"/>
      <c r="J13" s="8"/>
      <c r="K13" s="20"/>
      <c r="L13" s="17"/>
      <c r="M13" s="16"/>
      <c r="N13" s="16"/>
    </row>
    <row r="14" spans="1:15" x14ac:dyDescent="0.25">
      <c r="A14" s="2" t="s">
        <v>13</v>
      </c>
      <c r="D14" s="8"/>
      <c r="L14" s="7"/>
    </row>
    <row r="15" spans="1:15" x14ac:dyDescent="0.25">
      <c r="A15" s="2"/>
      <c r="L15" s="7" t="s">
        <v>29</v>
      </c>
      <c r="M15">
        <v>33000</v>
      </c>
    </row>
    <row r="16" spans="1:15" x14ac:dyDescent="0.25">
      <c r="A16" s="5" t="s">
        <v>19</v>
      </c>
      <c r="B16" s="4">
        <f>SUM(B19:D30)+B2</f>
        <v>82740.691548387098</v>
      </c>
      <c r="C16" s="4"/>
      <c r="D16" s="4"/>
      <c r="E16" s="4">
        <f>SUM(E19:E30)+E2</f>
        <v>47324.359220645158</v>
      </c>
      <c r="F16" s="4">
        <f>SUM(F19:F30)</f>
        <v>4193.5483870967746</v>
      </c>
      <c r="G16" s="4">
        <f>SUM(G19:G30)+G2</f>
        <v>73863.868692206452</v>
      </c>
      <c r="H16" s="4">
        <f>SUM(H19:H30)+H2</f>
        <v>14765.26</v>
      </c>
      <c r="I16" s="4"/>
      <c r="J16" s="4">
        <f>SUM(J19:J22)+J2</f>
        <v>99990</v>
      </c>
      <c r="K16" s="18">
        <f>SUM(B16:J16)</f>
        <v>322877.72784833552</v>
      </c>
    </row>
    <row r="17" spans="1:15" x14ac:dyDescent="0.25">
      <c r="A17" s="5" t="s">
        <v>21</v>
      </c>
      <c r="O17">
        <f>N12*O18</f>
        <v>1245.910027792296</v>
      </c>
    </row>
    <row r="18" spans="1:15" x14ac:dyDescent="0.25">
      <c r="A18" s="6" t="s">
        <v>39</v>
      </c>
      <c r="D18" s="8"/>
      <c r="O18">
        <f>119119.41*365/262/2080</f>
        <v>79.783075179829709</v>
      </c>
    </row>
    <row r="19" spans="1:15" x14ac:dyDescent="0.25">
      <c r="A19" s="2" t="s">
        <v>3</v>
      </c>
      <c r="B19" s="1">
        <v>0</v>
      </c>
      <c r="C19" s="1">
        <v>0</v>
      </c>
      <c r="D19" s="8"/>
      <c r="E19" s="1">
        <f>SUM(B19:D19)*0.53</f>
        <v>0</v>
      </c>
      <c r="G19" s="1">
        <f>SUM(B19:E19)*0.51</f>
        <v>0</v>
      </c>
      <c r="K19" s="20">
        <f>SUM(B19:J19)</f>
        <v>0</v>
      </c>
      <c r="L19" s="7"/>
      <c r="M19" t="s">
        <v>30</v>
      </c>
    </row>
    <row r="20" spans="1:15" x14ac:dyDescent="0.25">
      <c r="A20" s="2" t="s">
        <v>4</v>
      </c>
      <c r="B20" s="1">
        <v>0</v>
      </c>
      <c r="C20" s="1">
        <v>0</v>
      </c>
      <c r="D20" s="8"/>
      <c r="E20" s="1">
        <f t="shared" ref="E20:E28" si="0">SUM(B20:D20)*0.53</f>
        <v>0</v>
      </c>
      <c r="G20" s="1">
        <f t="shared" ref="G20:G28" si="1">SUM(B20:E20)*0.51</f>
        <v>0</v>
      </c>
      <c r="K20" s="20">
        <f>SUM(B20:J20)</f>
        <v>0</v>
      </c>
      <c r="L20" s="7"/>
      <c r="M20" s="10">
        <v>16500</v>
      </c>
    </row>
    <row r="21" spans="1:15" x14ac:dyDescent="0.25">
      <c r="A21" s="2" t="s">
        <v>5</v>
      </c>
      <c r="B21" s="1">
        <v>0</v>
      </c>
      <c r="C21" s="1">
        <v>0</v>
      </c>
      <c r="D21" s="8"/>
      <c r="E21" s="1">
        <f t="shared" si="0"/>
        <v>0</v>
      </c>
      <c r="G21" s="1">
        <f t="shared" si="1"/>
        <v>0</v>
      </c>
      <c r="K21" s="20">
        <f>SUM(B21:J21)</f>
        <v>0</v>
      </c>
      <c r="L21" s="7"/>
    </row>
    <row r="22" spans="1:15" x14ac:dyDescent="0.25">
      <c r="A22" s="11" t="s">
        <v>6</v>
      </c>
      <c r="B22" s="12">
        <v>0</v>
      </c>
      <c r="C22" s="12">
        <v>0</v>
      </c>
      <c r="D22" s="8"/>
      <c r="E22" s="12">
        <f>SUM(B22:D22)*0.53</f>
        <v>0</v>
      </c>
      <c r="F22" s="12"/>
      <c r="G22" s="12">
        <f t="shared" si="1"/>
        <v>0</v>
      </c>
      <c r="H22" s="12"/>
      <c r="I22" s="12"/>
      <c r="J22" s="12"/>
      <c r="K22" s="20">
        <f t="shared" ref="K22:K28" si="2">SUM(B22:J22)</f>
        <v>0</v>
      </c>
      <c r="L22" s="7"/>
    </row>
    <row r="23" spans="1:15" x14ac:dyDescent="0.25">
      <c r="A23" s="2" t="s">
        <v>7</v>
      </c>
      <c r="B23" s="1">
        <v>0</v>
      </c>
      <c r="C23" s="1">
        <v>0</v>
      </c>
      <c r="D23" s="8"/>
      <c r="E23" s="1">
        <f t="shared" si="0"/>
        <v>0</v>
      </c>
      <c r="G23" s="1">
        <f t="shared" si="1"/>
        <v>0</v>
      </c>
      <c r="K23" s="20">
        <f t="shared" si="2"/>
        <v>0</v>
      </c>
      <c r="L23" s="7"/>
    </row>
    <row r="24" spans="1:15" s="14" customFormat="1" x14ac:dyDescent="0.25">
      <c r="A24" s="2" t="s">
        <v>8</v>
      </c>
      <c r="B24" s="1">
        <v>0</v>
      </c>
      <c r="C24" s="1">
        <v>0</v>
      </c>
      <c r="D24" s="8"/>
      <c r="E24" s="1">
        <f>SUM(B24:D24)*0.53</f>
        <v>0</v>
      </c>
      <c r="F24" s="1"/>
      <c r="G24" s="1">
        <f t="shared" si="1"/>
        <v>0</v>
      </c>
      <c r="H24" s="1"/>
      <c r="I24" s="1"/>
      <c r="J24" s="1"/>
      <c r="K24" s="20">
        <f t="shared" si="2"/>
        <v>0</v>
      </c>
      <c r="L24" s="13" t="s">
        <v>31</v>
      </c>
    </row>
    <row r="25" spans="1:15" x14ac:dyDescent="0.25">
      <c r="A25" s="2" t="s">
        <v>10</v>
      </c>
      <c r="D25" s="8"/>
      <c r="E25" s="1">
        <f>SUM(B25:D25)*0.53</f>
        <v>0</v>
      </c>
      <c r="G25" s="1">
        <f t="shared" si="1"/>
        <v>0</v>
      </c>
      <c r="K25" s="20">
        <f t="shared" si="2"/>
        <v>0</v>
      </c>
    </row>
    <row r="26" spans="1:15" ht="15.75" x14ac:dyDescent="0.25">
      <c r="A26" s="2" t="s">
        <v>11</v>
      </c>
      <c r="B26" s="1">
        <f>1.03*-5036.8*6/31</f>
        <v>-1004.1104516129033</v>
      </c>
      <c r="C26" s="1">
        <v>-1246</v>
      </c>
      <c r="D26" s="8"/>
      <c r="E26" s="1">
        <f t="shared" si="0"/>
        <v>-1192.558539354839</v>
      </c>
      <c r="F26" s="1">
        <f>1000*6/31</f>
        <v>193.54838709677421</v>
      </c>
      <c r="G26" s="1">
        <f t="shared" si="1"/>
        <v>-1755.7611853935487</v>
      </c>
      <c r="K26" s="20">
        <f t="shared" si="2"/>
        <v>-5004.8817892645166</v>
      </c>
      <c r="L26" s="9" t="s">
        <v>27</v>
      </c>
    </row>
    <row r="27" spans="1:15" x14ac:dyDescent="0.25">
      <c r="A27" s="2" t="s">
        <v>12</v>
      </c>
      <c r="B27" s="1">
        <f t="shared" ref="B27:B28" si="3">1.03*-5036.8</f>
        <v>-5187.9040000000005</v>
      </c>
      <c r="C27" s="1">
        <f>-1246*2</f>
        <v>-2492</v>
      </c>
      <c r="D27" s="8"/>
      <c r="E27" s="1">
        <f t="shared" si="0"/>
        <v>-4070.3491200000003</v>
      </c>
      <c r="F27" s="1">
        <v>1000</v>
      </c>
      <c r="G27" s="1">
        <f t="shared" si="1"/>
        <v>-5992.6290912000004</v>
      </c>
      <c r="I27" s="1">
        <f>(29772*0.08 +29772)*-1</f>
        <v>-32153.760000000002</v>
      </c>
      <c r="K27" s="20">
        <f t="shared" si="2"/>
        <v>-48896.6422112</v>
      </c>
    </row>
    <row r="28" spans="1:15" x14ac:dyDescent="0.25">
      <c r="A28" s="2" t="s">
        <v>13</v>
      </c>
      <c r="B28" s="1">
        <f t="shared" si="3"/>
        <v>-5187.9040000000005</v>
      </c>
      <c r="C28" s="1">
        <f>-1246*2</f>
        <v>-2492</v>
      </c>
      <c r="D28" s="8"/>
      <c r="E28" s="1">
        <f t="shared" si="0"/>
        <v>-4070.3491200000003</v>
      </c>
      <c r="F28" s="1">
        <v>1000</v>
      </c>
      <c r="G28" s="1">
        <f t="shared" si="1"/>
        <v>-5992.6290912000004</v>
      </c>
      <c r="K28" s="20">
        <f t="shared" si="2"/>
        <v>-16742.882211200002</v>
      </c>
    </row>
    <row r="29" spans="1:15" x14ac:dyDescent="0.25">
      <c r="A29" s="2" t="s">
        <v>1</v>
      </c>
      <c r="B29" s="1">
        <v>-5187.8999999999996</v>
      </c>
      <c r="C29" s="1">
        <f>-1246*2</f>
        <v>-2492</v>
      </c>
      <c r="D29" s="8"/>
      <c r="E29" s="1">
        <f>SUM(B29:D29)*0.53</f>
        <v>-4070.3470000000002</v>
      </c>
      <c r="F29" s="1">
        <v>1000</v>
      </c>
      <c r="G29" s="1">
        <f>SUM(B29:E29)*0.51</f>
        <v>-5992.6259700000001</v>
      </c>
      <c r="K29" s="20">
        <f>SUM(B29:J29)</f>
        <v>-16742.87297</v>
      </c>
    </row>
    <row r="30" spans="1:15" x14ac:dyDescent="0.25">
      <c r="A30" s="2" t="s">
        <v>2</v>
      </c>
      <c r="B30" s="1">
        <v>-5187.8999999999996</v>
      </c>
      <c r="C30" s="1">
        <f>-1246*2</f>
        <v>-2492</v>
      </c>
      <c r="D30" s="8"/>
      <c r="E30" s="1">
        <f>SUM(B30:D30)*0.53</f>
        <v>-4070.3470000000002</v>
      </c>
      <c r="F30" s="1">
        <v>1000</v>
      </c>
      <c r="G30" s="1">
        <f>SUM(B30:E30)*0.51</f>
        <v>-5992.6259700000001</v>
      </c>
      <c r="H30" s="8"/>
      <c r="I30" s="8"/>
      <c r="J30" s="1">
        <v>-1300</v>
      </c>
      <c r="K30" s="20">
        <f>SUM(B30:J30)</f>
        <v>-18042.87297</v>
      </c>
    </row>
    <row r="31" spans="1:15" x14ac:dyDescent="0.25">
      <c r="A31" s="2"/>
    </row>
    <row r="32" spans="1:15" x14ac:dyDescent="0.25">
      <c r="A32" s="16"/>
      <c r="B32" s="8">
        <f>SUM(B18:D30)</f>
        <v>-32969.718451612905</v>
      </c>
      <c r="C32" s="8"/>
      <c r="E32" s="1">
        <f>SUM(E19:E30)</f>
        <v>-17473.95077935484</v>
      </c>
      <c r="F32" s="8">
        <f>SUM(F19:F30)</f>
        <v>4193.5483870967746</v>
      </c>
      <c r="G32" s="1">
        <f>SUM(G19:G30)+G16</f>
        <v>48137.597384412904</v>
      </c>
      <c r="H32" s="1">
        <f>SUM(H19:H30)+H16</f>
        <v>14765.26</v>
      </c>
      <c r="I32" s="1">
        <f>SUM(I19:I30)</f>
        <v>-32153.760000000002</v>
      </c>
      <c r="J32" s="8">
        <f>SUM(J19:J28)+J16</f>
        <v>99990</v>
      </c>
      <c r="K32" s="18">
        <f>SUM(B32:J32)</f>
        <v>84488.976540541931</v>
      </c>
    </row>
    <row r="34" spans="1:14" x14ac:dyDescent="0.25">
      <c r="A34" s="3" t="s">
        <v>34</v>
      </c>
      <c r="B34" s="4" t="s">
        <v>9</v>
      </c>
      <c r="C34" s="4" t="s">
        <v>18</v>
      </c>
      <c r="D34" s="4" t="s">
        <v>14</v>
      </c>
      <c r="E34" s="4" t="s">
        <v>16</v>
      </c>
      <c r="F34" s="4" t="s">
        <v>17</v>
      </c>
      <c r="G34" s="4" t="s">
        <v>20</v>
      </c>
      <c r="H34" s="4" t="s">
        <v>15</v>
      </c>
      <c r="I34" s="4"/>
      <c r="J34" s="4" t="s">
        <v>0</v>
      </c>
      <c r="K34" s="19" t="s">
        <v>28</v>
      </c>
      <c r="L34" s="4"/>
    </row>
    <row r="35" spans="1:14" x14ac:dyDescent="0.25">
      <c r="A35" s="5" t="s">
        <v>35</v>
      </c>
      <c r="B35" s="8">
        <f>B16+105240</f>
        <v>187980.69154838711</v>
      </c>
      <c r="C35" s="4" t="s">
        <v>23</v>
      </c>
      <c r="D35" s="4" t="s">
        <v>22</v>
      </c>
      <c r="E35" s="8">
        <f>E16+ 58935</f>
        <v>106259.35922064516</v>
      </c>
      <c r="F35" s="4"/>
      <c r="G35" s="8">
        <f>G16+99189</f>
        <v>173052.86869220645</v>
      </c>
      <c r="H35" s="8">
        <f>H32+22450</f>
        <v>37215.26</v>
      </c>
      <c r="I35" s="8"/>
      <c r="J35" s="8">
        <f>J16+76823</f>
        <v>176813</v>
      </c>
      <c r="K35" s="18">
        <f>B35+E35+G35+H35+I35+J35</f>
        <v>681321.17946123867</v>
      </c>
      <c r="L35" s="4"/>
      <c r="M35" s="4"/>
    </row>
    <row r="36" spans="1:14" x14ac:dyDescent="0.25">
      <c r="A36" s="2" t="s">
        <v>46</v>
      </c>
      <c r="B36" s="1">
        <v>105240</v>
      </c>
      <c r="E36" s="1">
        <v>58935</v>
      </c>
      <c r="G36" s="1">
        <v>99189</v>
      </c>
      <c r="H36" s="1">
        <v>22450</v>
      </c>
      <c r="J36" s="1">
        <v>76823</v>
      </c>
      <c r="K36" s="18">
        <f>SUM(B36:J36)</f>
        <v>362637</v>
      </c>
      <c r="N36" s="7"/>
    </row>
    <row r="37" spans="1:14" x14ac:dyDescent="0.25">
      <c r="A37" s="2"/>
    </row>
    <row r="38" spans="1:14" x14ac:dyDescent="0.25">
      <c r="A38" s="7"/>
    </row>
    <row r="39" spans="1:14" x14ac:dyDescent="0.25">
      <c r="A39" s="2"/>
    </row>
    <row r="40" spans="1:14" x14ac:dyDescent="0.25">
      <c r="A40" s="2"/>
      <c r="L40" s="7"/>
    </row>
    <row r="41" spans="1:14" x14ac:dyDescent="0.25">
      <c r="A41" s="2"/>
      <c r="L41" s="7"/>
      <c r="M41" t="s">
        <v>33</v>
      </c>
    </row>
    <row r="42" spans="1:14" x14ac:dyDescent="0.25">
      <c r="A42" s="2"/>
      <c r="L42" s="7">
        <f>60413/12</f>
        <v>5034.416666666667</v>
      </c>
      <c r="M42" t="s">
        <v>26</v>
      </c>
    </row>
    <row r="43" spans="1:14" x14ac:dyDescent="0.25">
      <c r="A43" s="15"/>
      <c r="B43" s="8"/>
      <c r="C43" s="8"/>
      <c r="D43" s="8"/>
      <c r="E43" s="8"/>
      <c r="F43" s="8"/>
      <c r="G43" s="8"/>
      <c r="L43" s="7">
        <v>5187.8999999999996</v>
      </c>
    </row>
    <row r="44" spans="1:14" x14ac:dyDescent="0.25">
      <c r="A44" s="15"/>
      <c r="B44" s="8"/>
      <c r="C44" s="16"/>
      <c r="D44" s="8"/>
      <c r="E44" s="8"/>
      <c r="F44" s="8"/>
      <c r="G44" s="8"/>
      <c r="H44" s="8"/>
      <c r="I44" s="8"/>
      <c r="J44" s="8"/>
      <c r="K44" s="20"/>
      <c r="L44" s="7">
        <f>L43+0.02*L43</f>
        <v>5291.6579999999994</v>
      </c>
      <c r="M44" s="16"/>
      <c r="N44" s="16"/>
    </row>
    <row r="45" spans="1:14" x14ac:dyDescent="0.25">
      <c r="A45" s="15"/>
      <c r="B45" s="8"/>
      <c r="C45" s="8"/>
      <c r="D45" s="8"/>
      <c r="E45" s="8"/>
      <c r="F45" s="8"/>
      <c r="G45" s="8"/>
      <c r="H45" s="8"/>
      <c r="I45" s="8"/>
      <c r="J45" s="8"/>
      <c r="K45" s="20"/>
      <c r="L45" s="17"/>
      <c r="M45" s="16"/>
      <c r="N45" s="16"/>
    </row>
    <row r="46" spans="1:14" x14ac:dyDescent="0.25">
      <c r="A46" s="15" t="s">
        <v>12</v>
      </c>
      <c r="B46" s="8"/>
      <c r="C46" s="8"/>
      <c r="D46" s="8"/>
      <c r="E46" s="8"/>
      <c r="F46" s="8"/>
      <c r="G46" s="8"/>
      <c r="H46" s="8"/>
      <c r="I46" s="8"/>
      <c r="J46" s="8"/>
      <c r="K46" s="20"/>
      <c r="L46" s="17"/>
      <c r="M46" s="16"/>
      <c r="N46" s="16"/>
    </row>
    <row r="47" spans="1:14" x14ac:dyDescent="0.25">
      <c r="A47" s="2" t="s">
        <v>13</v>
      </c>
      <c r="D47" s="8"/>
      <c r="L47" s="7"/>
    </row>
    <row r="48" spans="1:14" x14ac:dyDescent="0.25">
      <c r="A48" s="2"/>
      <c r="L48" s="7"/>
    </row>
    <row r="49" spans="1:14" x14ac:dyDescent="0.25">
      <c r="A49" s="5" t="s">
        <v>19</v>
      </c>
      <c r="B49" s="4">
        <f>SUM(B52:D63)+B35</f>
        <v>65981.771548387085</v>
      </c>
      <c r="C49" s="4"/>
      <c r="D49" s="4"/>
      <c r="E49" s="4">
        <f>SUM(E52:E63)+E35</f>
        <v>45778.271420645171</v>
      </c>
      <c r="F49" s="4">
        <f>SUM(F52:F63)</f>
        <v>25500</v>
      </c>
      <c r="G49" s="4">
        <f>SUM(G52:G63)+G35</f>
        <v>79988.064714206441</v>
      </c>
      <c r="H49" s="19">
        <f>SUM(H52:H63)+H35</f>
        <v>-100532.73999999999</v>
      </c>
      <c r="I49" s="4"/>
      <c r="J49" s="4">
        <f>SUM(J52:J57)+J35</f>
        <v>127313</v>
      </c>
      <c r="K49" s="18">
        <f>SUM(B49:J49)</f>
        <v>244028.3676832387</v>
      </c>
    </row>
    <row r="50" spans="1:14" x14ac:dyDescent="0.25">
      <c r="A50" s="5" t="s">
        <v>21</v>
      </c>
    </row>
    <row r="51" spans="1:14" x14ac:dyDescent="0.25">
      <c r="A51" s="6">
        <v>2017</v>
      </c>
      <c r="D51" s="8"/>
    </row>
    <row r="52" spans="1:14" x14ac:dyDescent="0.25">
      <c r="A52" s="2" t="s">
        <v>1</v>
      </c>
      <c r="B52" s="7">
        <v>-5391.66</v>
      </c>
      <c r="C52" s="1">
        <f>-1246*2</f>
        <v>-2492</v>
      </c>
      <c r="D52" s="8"/>
      <c r="F52" s="1">
        <v>1000</v>
      </c>
      <c r="G52" s="1">
        <f>SUM(B52:E52)*0.51</f>
        <v>-4020.6666</v>
      </c>
      <c r="H52" s="18">
        <v>-10500</v>
      </c>
      <c r="I52" s="18"/>
      <c r="J52" s="1">
        <v>-33000</v>
      </c>
      <c r="K52" s="20"/>
      <c r="L52" s="7"/>
      <c r="M52" t="s">
        <v>30</v>
      </c>
    </row>
    <row r="53" spans="1:14" x14ac:dyDescent="0.25">
      <c r="A53" s="2" t="s">
        <v>2</v>
      </c>
      <c r="B53" s="7">
        <v>-5391.66</v>
      </c>
      <c r="C53" s="1">
        <f>-1246*2</f>
        <v>-2492</v>
      </c>
      <c r="D53" s="8"/>
      <c r="E53" s="1">
        <f>SUM(B53:D53)*0.53</f>
        <v>-4178.3397999999997</v>
      </c>
      <c r="F53" s="1">
        <v>1000</v>
      </c>
      <c r="G53" s="1">
        <f>SUM(B53:E53)*0.51</f>
        <v>-6151.6198979999999</v>
      </c>
      <c r="H53" s="18">
        <f>-4500+15250</f>
        <v>10750</v>
      </c>
      <c r="I53" s="18"/>
      <c r="K53" s="20">
        <f>SUM(B53:J53)</f>
        <v>-6463.6196979999986</v>
      </c>
      <c r="L53" s="7"/>
      <c r="M53" s="10">
        <v>16500</v>
      </c>
    </row>
    <row r="54" spans="1:14" x14ac:dyDescent="0.25">
      <c r="A54" s="2" t="s">
        <v>3</v>
      </c>
      <c r="B54" s="7">
        <v>-5391.66</v>
      </c>
      <c r="C54" s="1">
        <v>0</v>
      </c>
      <c r="D54" s="8">
        <v>-6840</v>
      </c>
      <c r="E54" s="1">
        <f>SUM(B54:D54)*0.53</f>
        <v>-6482.7798000000003</v>
      </c>
      <c r="F54" s="1">
        <v>1000</v>
      </c>
      <c r="G54" s="1">
        <f>SUM(B54:E54)*0.51</f>
        <v>-9544.3642980000004</v>
      </c>
      <c r="H54" s="1">
        <v>-1320</v>
      </c>
      <c r="K54" s="20">
        <f>SUM(B54:J54)</f>
        <v>-28578.804098000001</v>
      </c>
      <c r="L54" s="7"/>
    </row>
    <row r="55" spans="1:14" x14ac:dyDescent="0.25">
      <c r="A55" s="2" t="s">
        <v>4</v>
      </c>
      <c r="B55" s="7">
        <v>-5391.66</v>
      </c>
      <c r="C55" s="1">
        <v>0</v>
      </c>
      <c r="E55" s="1">
        <f t="shared" ref="E55:E56" si="4">SUM(B55:D55)*0.53</f>
        <v>-2857.5798</v>
      </c>
      <c r="F55" s="1">
        <v>1000</v>
      </c>
      <c r="G55" s="1">
        <f t="shared" ref="G55:G63" si="5">SUM(B55:E55)*0.51</f>
        <v>-4207.112298</v>
      </c>
      <c r="H55" s="1">
        <v>-1620</v>
      </c>
      <c r="K55" s="20">
        <f>SUM(B55:J55)</f>
        <v>-13076.352097999999</v>
      </c>
      <c r="L55" s="7"/>
    </row>
    <row r="56" spans="1:14" x14ac:dyDescent="0.25">
      <c r="A56" s="2" t="s">
        <v>5</v>
      </c>
      <c r="B56" s="7">
        <v>-5391.66</v>
      </c>
      <c r="C56" s="1">
        <v>0</v>
      </c>
      <c r="D56" s="8">
        <v>-9987</v>
      </c>
      <c r="E56" s="1">
        <f t="shared" si="4"/>
        <v>-8150.6898000000001</v>
      </c>
      <c r="F56" s="1">
        <v>1000</v>
      </c>
      <c r="G56" s="1">
        <f t="shared" si="5"/>
        <v>-11999.968398000001</v>
      </c>
      <c r="H56" s="1">
        <v>-1300</v>
      </c>
      <c r="K56" s="20">
        <f>SUM(B56:J56)</f>
        <v>-35829.318198000001</v>
      </c>
      <c r="L56" s="7"/>
    </row>
    <row r="57" spans="1:14" x14ac:dyDescent="0.25">
      <c r="A57" s="11" t="s">
        <v>6</v>
      </c>
      <c r="B57" s="7">
        <v>-5391.66</v>
      </c>
      <c r="C57" s="12">
        <v>0</v>
      </c>
      <c r="D57" s="8">
        <v>-27464</v>
      </c>
      <c r="E57" s="12">
        <f>SUM(B57:D57)*0.53</f>
        <v>-17413.499800000001</v>
      </c>
      <c r="F57" s="12">
        <v>2500</v>
      </c>
      <c r="G57" s="12">
        <f t="shared" si="5"/>
        <v>-25637.271498000006</v>
      </c>
      <c r="H57" s="12">
        <v>-16500</v>
      </c>
      <c r="I57" s="12"/>
      <c r="J57" s="12">
        <v>-16500</v>
      </c>
      <c r="K57" s="20">
        <f t="shared" ref="K57:K63" si="6">SUM(B57:J57)</f>
        <v>-106406.43129800001</v>
      </c>
      <c r="L57" s="13" t="s">
        <v>31</v>
      </c>
      <c r="M57" s="14"/>
      <c r="N57" s="14"/>
    </row>
    <row r="58" spans="1:14" x14ac:dyDescent="0.25">
      <c r="A58" s="2" t="s">
        <v>7</v>
      </c>
      <c r="B58" s="7">
        <v>-5391.66</v>
      </c>
      <c r="C58" s="1">
        <v>0</v>
      </c>
      <c r="D58" s="8">
        <v>-4470</v>
      </c>
      <c r="E58" s="1">
        <f t="shared" ref="E58" si="7">SUM(B58:D58)*0.53</f>
        <v>-5226.6797999999999</v>
      </c>
      <c r="F58" s="1">
        <v>3000</v>
      </c>
      <c r="G58" s="1">
        <f t="shared" si="5"/>
        <v>-7695.0532979999998</v>
      </c>
      <c r="H58" s="1">
        <v>-26008</v>
      </c>
      <c r="K58" s="20">
        <f t="shared" si="6"/>
        <v>-45791.393098</v>
      </c>
    </row>
    <row r="59" spans="1:14" ht="15.75" x14ac:dyDescent="0.25">
      <c r="A59" s="2" t="s">
        <v>8</v>
      </c>
      <c r="B59" s="7">
        <v>-5391.66</v>
      </c>
      <c r="C59" s="1">
        <v>0</v>
      </c>
      <c r="D59" s="8">
        <v>9987</v>
      </c>
      <c r="E59" s="1">
        <f>SUM(B59:D59)*0.53</f>
        <v>2435.5302000000001</v>
      </c>
      <c r="F59" s="1">
        <v>3000</v>
      </c>
      <c r="G59" s="1">
        <f t="shared" si="5"/>
        <v>3585.7438020000004</v>
      </c>
      <c r="H59" s="1">
        <v>-15000</v>
      </c>
      <c r="K59" s="20">
        <f t="shared" si="6"/>
        <v>-1383.3859979999979</v>
      </c>
      <c r="L59" s="9"/>
    </row>
    <row r="60" spans="1:14" x14ac:dyDescent="0.25">
      <c r="A60" s="2" t="s">
        <v>10</v>
      </c>
      <c r="B60" s="7">
        <v>-5391.66</v>
      </c>
      <c r="C60" s="1">
        <v>-1246</v>
      </c>
      <c r="D60" s="8"/>
      <c r="E60" s="1">
        <f>SUM(B60:D60)*0.53</f>
        <v>-3517.9598000000001</v>
      </c>
      <c r="F60" s="1">
        <v>3000</v>
      </c>
      <c r="G60" s="1">
        <f t="shared" si="5"/>
        <v>-5179.3660980000004</v>
      </c>
      <c r="H60" s="1">
        <v>-61000</v>
      </c>
      <c r="K60" s="20">
        <f t="shared" si="6"/>
        <v>-73334.985897999999</v>
      </c>
    </row>
    <row r="61" spans="1:14" x14ac:dyDescent="0.25">
      <c r="A61" s="2" t="s">
        <v>11</v>
      </c>
      <c r="B61" s="7">
        <v>-5391.66</v>
      </c>
      <c r="C61" s="1">
        <v>-1246</v>
      </c>
      <c r="D61" s="8"/>
      <c r="E61" s="1">
        <f t="shared" ref="E61:E63" si="8">SUM(B61:D61)*0.53</f>
        <v>-3517.9598000000001</v>
      </c>
      <c r="F61" s="1">
        <v>3000</v>
      </c>
      <c r="G61" s="1">
        <f t="shared" si="5"/>
        <v>-5179.3660980000004</v>
      </c>
      <c r="H61" s="1">
        <v>-15250</v>
      </c>
      <c r="K61" s="20">
        <f t="shared" si="6"/>
        <v>-27584.985897999999</v>
      </c>
    </row>
    <row r="62" spans="1:14" x14ac:dyDescent="0.25">
      <c r="A62" s="2" t="s">
        <v>12</v>
      </c>
      <c r="B62" s="7">
        <v>-5391.66</v>
      </c>
      <c r="C62" s="1">
        <f>-1246*2</f>
        <v>-2492</v>
      </c>
      <c r="D62" s="8">
        <v>-6065</v>
      </c>
      <c r="E62" s="1">
        <f>SUM(B62:D62)*0.53</f>
        <v>-7392.7898000000005</v>
      </c>
      <c r="F62" s="1">
        <v>3000</v>
      </c>
      <c r="G62" s="1">
        <f t="shared" si="5"/>
        <v>-10884.139398000001</v>
      </c>
      <c r="J62" s="1">
        <v>-16500</v>
      </c>
      <c r="K62" s="20">
        <f t="shared" si="6"/>
        <v>-45725.589198000001</v>
      </c>
    </row>
    <row r="63" spans="1:14" x14ac:dyDescent="0.25">
      <c r="A63" s="2" t="s">
        <v>13</v>
      </c>
      <c r="B63" s="7">
        <v>-5391.66</v>
      </c>
      <c r="C63" s="1">
        <f>-1246*2</f>
        <v>-2492</v>
      </c>
      <c r="D63" s="8"/>
      <c r="E63" s="1">
        <f t="shared" si="8"/>
        <v>-4178.3397999999997</v>
      </c>
      <c r="F63" s="1">
        <v>3000</v>
      </c>
      <c r="G63" s="1">
        <f t="shared" si="5"/>
        <v>-6151.6198979999999</v>
      </c>
      <c r="J63" s="1">
        <v>-1300</v>
      </c>
      <c r="K63" s="20">
        <f t="shared" si="6"/>
        <v>-16513.619697999999</v>
      </c>
    </row>
    <row r="64" spans="1:14" x14ac:dyDescent="0.25">
      <c r="A64" s="2"/>
      <c r="K64" s="18" t="s">
        <v>36</v>
      </c>
    </row>
    <row r="65" spans="1:11" x14ac:dyDescent="0.25">
      <c r="A65" s="15" t="s">
        <v>41</v>
      </c>
      <c r="B65" s="8">
        <f>SUM(B52:D63)</f>
        <v>-121998.92000000003</v>
      </c>
      <c r="C65" s="8"/>
      <c r="E65" s="1">
        <f>SUM(E52:E63)</f>
        <v>-60481.087799999987</v>
      </c>
      <c r="F65" s="8">
        <f>SUM(F52:F63)</f>
        <v>25500</v>
      </c>
      <c r="G65" s="1">
        <f>SUM(G52:G63)-G49</f>
        <v>-173052.86869220645</v>
      </c>
      <c r="H65" s="1">
        <f>SUM(H52:H63)-H49</f>
        <v>-37215.260000000009</v>
      </c>
      <c r="J65" s="8">
        <f>SUM(J52:J63)+J49</f>
        <v>60013</v>
      </c>
      <c r="K65" s="18">
        <f>SUM(B65:J65)</f>
        <v>-307235.13649220648</v>
      </c>
    </row>
    <row r="67" spans="1:11" x14ac:dyDescent="0.25">
      <c r="A67" s="3" t="s">
        <v>42</v>
      </c>
      <c r="B67" s="4" t="s">
        <v>9</v>
      </c>
      <c r="C67" s="4" t="s">
        <v>18</v>
      </c>
      <c r="D67" s="4" t="s">
        <v>14</v>
      </c>
      <c r="E67" s="4" t="s">
        <v>16</v>
      </c>
      <c r="F67" s="4" t="s">
        <v>17</v>
      </c>
      <c r="G67" s="4" t="s">
        <v>20</v>
      </c>
      <c r="H67" s="4" t="s">
        <v>15</v>
      </c>
      <c r="I67" s="4"/>
      <c r="J67" s="4" t="s">
        <v>0</v>
      </c>
      <c r="K67" s="19" t="s">
        <v>28</v>
      </c>
    </row>
    <row r="68" spans="1:11" x14ac:dyDescent="0.25">
      <c r="A68" s="5" t="s">
        <v>43</v>
      </c>
      <c r="B68" s="8">
        <f>B49+108397</f>
        <v>174378.77154838707</v>
      </c>
      <c r="C68" s="4" t="s">
        <v>23</v>
      </c>
      <c r="D68" s="4" t="s">
        <v>22</v>
      </c>
      <c r="E68" s="8">
        <f>E49+ 60703</f>
        <v>106481.27142064518</v>
      </c>
      <c r="F68" s="4"/>
      <c r="G68" s="8">
        <f>G49+94309</f>
        <v>174297.06471420644</v>
      </c>
      <c r="H68" s="8">
        <f>H65+24450</f>
        <v>-12765.260000000009</v>
      </c>
      <c r="I68" s="8"/>
      <c r="J68" s="8">
        <f>J49+43341</f>
        <v>170654</v>
      </c>
      <c r="K68" s="18">
        <f>B68+E68+G68+H68+I68+J68</f>
        <v>613045.84768323868</v>
      </c>
    </row>
    <row r="69" spans="1:11" x14ac:dyDescent="0.25">
      <c r="A69" s="2" t="s">
        <v>46</v>
      </c>
      <c r="B69" s="1">
        <v>108397</v>
      </c>
      <c r="E69" s="1">
        <v>60703</v>
      </c>
      <c r="G69" s="1">
        <v>94309</v>
      </c>
      <c r="H69" s="1">
        <v>24450</v>
      </c>
      <c r="J69" s="1">
        <v>43341</v>
      </c>
      <c r="K69" s="18">
        <f>SUM(B69:J69)</f>
        <v>331200</v>
      </c>
    </row>
    <row r="70" spans="1:11" x14ac:dyDescent="0.25">
      <c r="A70" s="2"/>
    </row>
    <row r="71" spans="1:11" x14ac:dyDescent="0.25">
      <c r="A71" s="7"/>
    </row>
    <row r="72" spans="1:11" x14ac:dyDescent="0.25">
      <c r="A72" s="2"/>
    </row>
    <row r="73" spans="1:11" x14ac:dyDescent="0.25">
      <c r="A73" s="2"/>
    </row>
    <row r="74" spans="1:11" x14ac:dyDescent="0.25">
      <c r="A74" s="2"/>
    </row>
    <row r="75" spans="1:11" x14ac:dyDescent="0.25">
      <c r="A75" s="2"/>
    </row>
    <row r="76" spans="1:11" x14ac:dyDescent="0.25">
      <c r="A76" s="15"/>
      <c r="B76" s="8"/>
      <c r="C76" s="8"/>
      <c r="D76" s="8"/>
      <c r="E76" s="8"/>
      <c r="F76" s="8"/>
      <c r="G76" s="8"/>
    </row>
    <row r="77" spans="1:11" x14ac:dyDescent="0.25">
      <c r="A77" s="15"/>
      <c r="B77" s="8"/>
      <c r="C77" s="16"/>
      <c r="D77" s="8"/>
      <c r="E77" s="8"/>
      <c r="F77" s="8"/>
      <c r="G77" s="8"/>
      <c r="H77" s="8"/>
      <c r="I77" s="8"/>
      <c r="J77" s="8"/>
      <c r="K77" s="20"/>
    </row>
    <row r="78" spans="1:11" x14ac:dyDescent="0.25">
      <c r="A78" s="15"/>
      <c r="B78" s="8"/>
      <c r="C78" s="8"/>
      <c r="D78" s="8"/>
      <c r="E78" s="8"/>
      <c r="F78" s="8"/>
      <c r="G78" s="8"/>
      <c r="H78" s="8"/>
      <c r="I78" s="8"/>
      <c r="J78" s="8"/>
      <c r="K78" s="20"/>
    </row>
    <row r="79" spans="1:11" x14ac:dyDescent="0.25">
      <c r="A79" s="15" t="s">
        <v>12</v>
      </c>
      <c r="B79" s="8"/>
      <c r="C79" s="8"/>
      <c r="D79" s="8"/>
      <c r="E79" s="8"/>
      <c r="F79" s="8"/>
      <c r="G79" s="8"/>
      <c r="H79" s="8"/>
      <c r="I79" s="8"/>
      <c r="J79" s="8"/>
      <c r="K79" s="20"/>
    </row>
    <row r="80" spans="1:11" x14ac:dyDescent="0.25">
      <c r="A80" s="2" t="s">
        <v>13</v>
      </c>
      <c r="D80" s="8"/>
    </row>
    <row r="81" spans="1:13" x14ac:dyDescent="0.25">
      <c r="A81" s="2"/>
      <c r="M81">
        <f>5391*0.03+5391</f>
        <v>5552.73</v>
      </c>
    </row>
    <row r="82" spans="1:13" x14ac:dyDescent="0.25">
      <c r="A82" s="5" t="s">
        <v>19</v>
      </c>
      <c r="B82" s="4">
        <f>SUM(B85:D96)+B68</f>
        <v>95286.01154838709</v>
      </c>
      <c r="C82" s="4"/>
      <c r="D82" s="4"/>
      <c r="E82" s="4">
        <f>SUM(E85:E96)+E68</f>
        <v>68825.815520645177</v>
      </c>
      <c r="F82" s="4">
        <f>SUM(F85:F96)</f>
        <v>0</v>
      </c>
      <c r="G82" s="4">
        <f>SUM(G85:G96)+G68</f>
        <v>114755.47460520644</v>
      </c>
      <c r="H82" s="19">
        <f>SUM(H85:H96)+H68</f>
        <v>-12765.260000000009</v>
      </c>
      <c r="I82" s="4"/>
      <c r="J82" s="4">
        <f>SUM(J85:J90)+J68</f>
        <v>119854</v>
      </c>
      <c r="K82" s="18">
        <f>SUM(B82:J82)</f>
        <v>385956.04167423869</v>
      </c>
    </row>
    <row r="83" spans="1:13" x14ac:dyDescent="0.25">
      <c r="A83" s="5" t="s">
        <v>21</v>
      </c>
    </row>
    <row r="84" spans="1:13" x14ac:dyDescent="0.25">
      <c r="A84" s="6">
        <v>2018</v>
      </c>
      <c r="D84" s="8"/>
    </row>
    <row r="85" spans="1:13" x14ac:dyDescent="0.25">
      <c r="A85" s="2" t="s">
        <v>1</v>
      </c>
      <c r="B85" s="7">
        <v>-5552.73</v>
      </c>
      <c r="C85" s="1">
        <f>-1246*2</f>
        <v>-2492</v>
      </c>
      <c r="D85" s="8"/>
      <c r="G85" s="1">
        <f>SUM(B85:E85)*0.51</f>
        <v>-4102.8122999999996</v>
      </c>
      <c r="H85" s="18"/>
      <c r="I85" s="18"/>
      <c r="J85" s="1">
        <v>-33000</v>
      </c>
      <c r="K85" s="20"/>
    </row>
    <row r="86" spans="1:13" x14ac:dyDescent="0.25">
      <c r="A86" s="2" t="s">
        <v>2</v>
      </c>
      <c r="B86" s="7">
        <v>-5552.73</v>
      </c>
      <c r="C86" s="1">
        <f>-1246*2</f>
        <v>-2492</v>
      </c>
      <c r="D86" s="8"/>
      <c r="E86" s="1">
        <f>SUM(B86:D86)*0.53</f>
        <v>-4263.7069000000001</v>
      </c>
      <c r="G86" s="1">
        <f>SUM(B86:E86)*0.51</f>
        <v>-6277.3028190000005</v>
      </c>
      <c r="H86" s="18"/>
      <c r="I86" s="18"/>
      <c r="J86" s="1">
        <v>-1300</v>
      </c>
      <c r="K86" s="20">
        <f>SUM(B86:J86)</f>
        <v>-19885.739719000001</v>
      </c>
    </row>
    <row r="87" spans="1:13" x14ac:dyDescent="0.25">
      <c r="A87" s="2" t="s">
        <v>3</v>
      </c>
      <c r="B87" s="7">
        <v>-5552.73</v>
      </c>
      <c r="C87" s="1">
        <v>0</v>
      </c>
      <c r="D87" s="8"/>
      <c r="E87" s="1">
        <f>SUM(B87:D87)*0.53</f>
        <v>-2942.9468999999999</v>
      </c>
      <c r="G87" s="1">
        <f>SUM(B87:E87)*0.51</f>
        <v>-4332.7952189999996</v>
      </c>
      <c r="K87" s="20">
        <f>SUM(B87:J87)</f>
        <v>-12828.472118999998</v>
      </c>
    </row>
    <row r="88" spans="1:13" x14ac:dyDescent="0.25">
      <c r="A88" s="2" t="s">
        <v>4</v>
      </c>
      <c r="B88" s="7">
        <v>-5552.73</v>
      </c>
      <c r="C88" s="1">
        <v>0</v>
      </c>
      <c r="E88" s="1">
        <f t="shared" ref="E88:E89" si="9">SUM(B88:D88)*0.53</f>
        <v>-2942.9468999999999</v>
      </c>
      <c r="G88" s="1">
        <f t="shared" ref="G88:G96" si="10">SUM(B88:E88)*0.51</f>
        <v>-4332.7952189999996</v>
      </c>
      <c r="K88" s="20">
        <f>SUM(B88:J88)</f>
        <v>-12828.472118999998</v>
      </c>
    </row>
    <row r="89" spans="1:13" x14ac:dyDescent="0.25">
      <c r="A89" s="2" t="s">
        <v>5</v>
      </c>
      <c r="B89" s="7">
        <v>-5552.73</v>
      </c>
      <c r="C89" s="1">
        <v>0</v>
      </c>
      <c r="D89" s="8"/>
      <c r="E89" s="1">
        <f t="shared" si="9"/>
        <v>-2942.9468999999999</v>
      </c>
      <c r="G89" s="1">
        <f t="shared" si="10"/>
        <v>-4332.7952189999996</v>
      </c>
      <c r="K89" s="20">
        <f>SUM(B89:J89)</f>
        <v>-12828.472118999998</v>
      </c>
    </row>
    <row r="90" spans="1:13" x14ac:dyDescent="0.25">
      <c r="A90" s="11" t="s">
        <v>6</v>
      </c>
      <c r="B90" s="7">
        <v>-5552.73</v>
      </c>
      <c r="C90" s="12">
        <v>0</v>
      </c>
      <c r="D90" s="8"/>
      <c r="E90" s="12">
        <f>SUM(B90:D90)*0.53</f>
        <v>-2942.9468999999999</v>
      </c>
      <c r="F90" s="12"/>
      <c r="G90" s="12">
        <f t="shared" si="10"/>
        <v>-4332.7952189999996</v>
      </c>
      <c r="H90" s="12"/>
      <c r="I90" s="12"/>
      <c r="J90" s="12">
        <v>-16500</v>
      </c>
      <c r="K90" s="20">
        <f t="shared" ref="K90:K96" si="11">SUM(B90:J90)</f>
        <v>-29328.472118999998</v>
      </c>
    </row>
    <row r="91" spans="1:13" x14ac:dyDescent="0.25">
      <c r="A91" s="2" t="s">
        <v>7</v>
      </c>
      <c r="B91" s="7">
        <v>-5552.73</v>
      </c>
      <c r="C91" s="1">
        <v>0</v>
      </c>
      <c r="D91" s="8"/>
      <c r="E91" s="1">
        <f t="shared" ref="E91" si="12">SUM(B91:D91)*0.53</f>
        <v>-2942.9468999999999</v>
      </c>
      <c r="G91" s="1">
        <f t="shared" si="10"/>
        <v>-4332.7952189999996</v>
      </c>
      <c r="K91" s="20">
        <f t="shared" si="11"/>
        <v>-12828.472118999998</v>
      </c>
    </row>
    <row r="92" spans="1:13" x14ac:dyDescent="0.25">
      <c r="A92" s="2" t="s">
        <v>8</v>
      </c>
      <c r="B92" s="7">
        <v>-5552.73</v>
      </c>
      <c r="C92" s="1">
        <v>0</v>
      </c>
      <c r="D92" s="8"/>
      <c r="E92" s="1">
        <f>SUM(B92:D92)*0.53</f>
        <v>-2942.9468999999999</v>
      </c>
      <c r="G92" s="1">
        <f t="shared" si="10"/>
        <v>-4332.7952189999996</v>
      </c>
      <c r="K92" s="20">
        <f t="shared" si="11"/>
        <v>-12828.472118999998</v>
      </c>
    </row>
    <row r="93" spans="1:13" x14ac:dyDescent="0.25">
      <c r="A93" s="2" t="s">
        <v>10</v>
      </c>
      <c r="B93" s="7">
        <v>-5552.73</v>
      </c>
      <c r="C93" s="1">
        <v>-1246</v>
      </c>
      <c r="D93" s="8"/>
      <c r="E93" s="1">
        <f>SUM(B93:D93)*0.53</f>
        <v>-3603.3269</v>
      </c>
      <c r="G93" s="1">
        <f t="shared" si="10"/>
        <v>-5305.049019</v>
      </c>
      <c r="K93" s="20">
        <f t="shared" si="11"/>
        <v>-15707.105919</v>
      </c>
    </row>
    <row r="94" spans="1:13" x14ac:dyDescent="0.25">
      <c r="A94" s="2" t="s">
        <v>11</v>
      </c>
      <c r="B94" s="7">
        <v>-5552.73</v>
      </c>
      <c r="C94" s="1">
        <v>-1246</v>
      </c>
      <c r="D94" s="8"/>
      <c r="E94" s="1">
        <f t="shared" ref="E94:E96" si="13">SUM(B94:D94)*0.53</f>
        <v>-3603.3269</v>
      </c>
      <c r="G94" s="1">
        <f t="shared" si="10"/>
        <v>-5305.049019</v>
      </c>
      <c r="K94" s="20">
        <f t="shared" si="11"/>
        <v>-15707.105919</v>
      </c>
    </row>
    <row r="95" spans="1:13" x14ac:dyDescent="0.25">
      <c r="A95" s="2" t="s">
        <v>12</v>
      </c>
      <c r="B95" s="7">
        <v>-5552.73</v>
      </c>
      <c r="C95" s="1">
        <f>-1246*2</f>
        <v>-2492</v>
      </c>
      <c r="D95" s="8"/>
      <c r="E95" s="1">
        <f>SUM(B95:D95)*0.53</f>
        <v>-4263.7069000000001</v>
      </c>
      <c r="G95" s="1">
        <f t="shared" si="10"/>
        <v>-6277.3028190000005</v>
      </c>
      <c r="J95" s="1">
        <v>-16500</v>
      </c>
      <c r="K95" s="20">
        <f t="shared" si="11"/>
        <v>-35085.739719000005</v>
      </c>
    </row>
    <row r="96" spans="1:13" x14ac:dyDescent="0.25">
      <c r="A96" s="2" t="s">
        <v>13</v>
      </c>
      <c r="B96" s="7">
        <v>-5552.73</v>
      </c>
      <c r="C96" s="1">
        <f>-1246*2</f>
        <v>-2492</v>
      </c>
      <c r="D96" s="8"/>
      <c r="E96" s="1">
        <f t="shared" ref="E96:E98" si="14">SUM(B96:D96)*0.53</f>
        <v>-4263.7069000000001</v>
      </c>
      <c r="G96" s="1">
        <f t="shared" si="10"/>
        <v>-6277.3028190000005</v>
      </c>
      <c r="K96" s="20">
        <f t="shared" si="11"/>
        <v>-18585.739719000001</v>
      </c>
    </row>
    <row r="97" spans="1:11" x14ac:dyDescent="0.25">
      <c r="A97" s="2"/>
    </row>
    <row r="98" spans="1:11" x14ac:dyDescent="0.25">
      <c r="A98" s="15" t="s">
        <v>41</v>
      </c>
      <c r="B98" s="8">
        <f>SUM(B85:D96)</f>
        <v>-79092.75999999998</v>
      </c>
      <c r="C98" s="8"/>
      <c r="E98" s="1">
        <f>SUM(E85:E96)</f>
        <v>-37655.455899999994</v>
      </c>
      <c r="F98" s="8">
        <f>SUM(F85:F96)</f>
        <v>0</v>
      </c>
      <c r="G98" s="1">
        <f>SUM(G85:G96)-G82</f>
        <v>-174297.06471420644</v>
      </c>
      <c r="H98" s="1">
        <f>SUM(H85:H96)-H82</f>
        <v>12765.260000000009</v>
      </c>
      <c r="J98" s="8">
        <f>SUM(J85:J96)+J82</f>
        <v>52554</v>
      </c>
      <c r="K98" s="18">
        <f>SUM(B98:J98)</f>
        <v>-225726.02061420644</v>
      </c>
    </row>
    <row r="100" spans="1:11" x14ac:dyDescent="0.25">
      <c r="A100" s="3" t="s">
        <v>44</v>
      </c>
      <c r="B100" s="4" t="s">
        <v>9</v>
      </c>
      <c r="C100" s="4" t="s">
        <v>18</v>
      </c>
      <c r="D100" s="4" t="s">
        <v>14</v>
      </c>
      <c r="E100" s="4" t="s">
        <v>16</v>
      </c>
      <c r="F100" s="4" t="s">
        <v>17</v>
      </c>
      <c r="G100" s="4" t="s">
        <v>20</v>
      </c>
      <c r="H100" s="4" t="s">
        <v>15</v>
      </c>
      <c r="I100" s="4"/>
      <c r="J100" s="4" t="s">
        <v>0</v>
      </c>
      <c r="K100" s="19" t="s">
        <v>28</v>
      </c>
    </row>
    <row r="101" spans="1:11" x14ac:dyDescent="0.25">
      <c r="A101" s="5" t="s">
        <v>45</v>
      </c>
      <c r="B101" s="8">
        <f>B82+127102</f>
        <v>222388.01154838709</v>
      </c>
      <c r="C101" s="4" t="s">
        <v>23</v>
      </c>
      <c r="D101" s="4" t="s">
        <v>22</v>
      </c>
      <c r="E101" s="8">
        <f>E82+ 71177</f>
        <v>140002.81552064518</v>
      </c>
      <c r="F101" s="4"/>
      <c r="G101" s="8">
        <f>G82+120911</f>
        <v>235666.47460520646</v>
      </c>
      <c r="H101" s="8">
        <f>H98+8450</f>
        <v>21215.260000000009</v>
      </c>
      <c r="I101" s="8"/>
      <c r="J101" s="8">
        <f>J82+267119</f>
        <v>386973</v>
      </c>
      <c r="K101" s="18">
        <f>B101+E101+G101+H101+I101+J101</f>
        <v>1006245.5616742386</v>
      </c>
    </row>
    <row r="102" spans="1:11" x14ac:dyDescent="0.25">
      <c r="A102" s="2" t="s">
        <v>46</v>
      </c>
      <c r="B102" s="1">
        <v>127102</v>
      </c>
      <c r="E102" s="1">
        <v>71177</v>
      </c>
      <c r="G102" s="1">
        <v>120911</v>
      </c>
      <c r="H102" s="1">
        <v>8450</v>
      </c>
      <c r="J102" s="1">
        <v>267119</v>
      </c>
      <c r="K102" s="18">
        <f>SUM(B102:J102)</f>
        <v>594759</v>
      </c>
    </row>
    <row r="103" spans="1:11" x14ac:dyDescent="0.25">
      <c r="A103" s="2"/>
    </row>
    <row r="104" spans="1:11" x14ac:dyDescent="0.25">
      <c r="A104" s="7"/>
    </row>
    <row r="105" spans="1:11" x14ac:dyDescent="0.25">
      <c r="A105" s="2"/>
    </row>
    <row r="106" spans="1:11" x14ac:dyDescent="0.25">
      <c r="A106" s="2"/>
    </row>
    <row r="107" spans="1:11" x14ac:dyDescent="0.25">
      <c r="A107" s="2"/>
    </row>
    <row r="108" spans="1:11" x14ac:dyDescent="0.25">
      <c r="A108" s="2"/>
    </row>
    <row r="109" spans="1:11" x14ac:dyDescent="0.25">
      <c r="A109" s="15"/>
      <c r="B109" s="8"/>
      <c r="C109" s="8"/>
      <c r="D109" s="8"/>
      <c r="E109" s="8"/>
      <c r="F109" s="8"/>
      <c r="G109" s="8"/>
    </row>
    <row r="110" spans="1:11" x14ac:dyDescent="0.25">
      <c r="A110" s="15"/>
      <c r="B110" s="8"/>
      <c r="C110" s="16"/>
      <c r="D110" s="8"/>
      <c r="E110" s="8"/>
      <c r="F110" s="8"/>
      <c r="G110" s="8"/>
      <c r="H110" s="8"/>
      <c r="I110" s="8"/>
      <c r="J110" s="8"/>
      <c r="K110" s="20"/>
    </row>
    <row r="111" spans="1:11" x14ac:dyDescent="0.25">
      <c r="A111" s="15"/>
      <c r="B111" s="8"/>
      <c r="C111" s="8"/>
      <c r="D111" s="8"/>
      <c r="E111" s="8"/>
      <c r="F111" s="8"/>
      <c r="G111" s="8"/>
      <c r="H111" s="8"/>
      <c r="I111" s="8"/>
      <c r="J111" s="8"/>
      <c r="K111" s="20"/>
    </row>
    <row r="112" spans="1:11" x14ac:dyDescent="0.25">
      <c r="A112" s="15" t="s">
        <v>12</v>
      </c>
      <c r="B112" s="8"/>
      <c r="C112" s="8"/>
      <c r="D112" s="8"/>
      <c r="E112" s="8"/>
      <c r="F112" s="8"/>
      <c r="G112" s="8"/>
      <c r="H112" s="8"/>
      <c r="I112" s="8"/>
      <c r="J112" s="8"/>
      <c r="K112" s="20"/>
    </row>
    <row r="113" spans="1:11" x14ac:dyDescent="0.25">
      <c r="A113" s="2" t="s">
        <v>13</v>
      </c>
      <c r="D113" s="8"/>
    </row>
    <row r="114" spans="1:11" x14ac:dyDescent="0.25">
      <c r="A114" s="2"/>
    </row>
    <row r="115" spans="1:11" x14ac:dyDescent="0.25">
      <c r="A115" s="5" t="s">
        <v>19</v>
      </c>
      <c r="B115" s="4">
        <f>SUM(B118:D129)+B101</f>
        <v>143295.25154838711</v>
      </c>
      <c r="C115" s="4"/>
      <c r="D115" s="4"/>
      <c r="E115" s="4">
        <f>SUM(E118:E129)+E101</f>
        <v>102347.35962064518</v>
      </c>
      <c r="F115" s="4">
        <f>SUM(F118:F129)</f>
        <v>0</v>
      </c>
      <c r="G115" s="4">
        <f>SUM(G118:G129)+G101</f>
        <v>176124.88449620648</v>
      </c>
      <c r="H115" s="19">
        <f>SUM(H118:H129)+H101</f>
        <v>21215.260000000009</v>
      </c>
      <c r="I115" s="4"/>
      <c r="J115" s="4">
        <f>SUM(J118:J123)+J101</f>
        <v>186393</v>
      </c>
      <c r="K115" s="18">
        <f>SUM(B115:J115)</f>
        <v>629375.75566523871</v>
      </c>
    </row>
    <row r="116" spans="1:11" x14ac:dyDescent="0.25">
      <c r="A116" s="5" t="s">
        <v>21</v>
      </c>
    </row>
    <row r="117" spans="1:11" x14ac:dyDescent="0.25">
      <c r="A117" s="6">
        <v>2019</v>
      </c>
      <c r="D117" s="8"/>
    </row>
    <row r="118" spans="1:11" x14ac:dyDescent="0.25">
      <c r="A118" s="2" t="s">
        <v>1</v>
      </c>
      <c r="B118" s="7">
        <v>-5552.73</v>
      </c>
      <c r="C118" s="1">
        <f>-1246*2</f>
        <v>-2492</v>
      </c>
      <c r="D118" s="8"/>
      <c r="G118" s="1">
        <f>SUM(B118:E118)*0.51</f>
        <v>-4102.8122999999996</v>
      </c>
      <c r="H118" s="18"/>
      <c r="I118" s="18"/>
      <c r="J118" s="1">
        <v>-33000</v>
      </c>
      <c r="K118" s="20"/>
    </row>
    <row r="119" spans="1:11" x14ac:dyDescent="0.25">
      <c r="A119" s="2" t="s">
        <v>2</v>
      </c>
      <c r="B119" s="7">
        <v>-5552.73</v>
      </c>
      <c r="C119" s="1">
        <f>-1246*2</f>
        <v>-2492</v>
      </c>
      <c r="D119" s="8"/>
      <c r="E119" s="1">
        <f>SUM(B119:D119)*0.53</f>
        <v>-4263.7069000000001</v>
      </c>
      <c r="G119" s="1">
        <f>SUM(B119:E119)*0.51</f>
        <v>-6277.3028190000005</v>
      </c>
      <c r="H119" s="18"/>
      <c r="I119" s="18"/>
      <c r="J119" s="1">
        <v>-33000</v>
      </c>
      <c r="K119" s="20">
        <f>SUM(B119:J119)</f>
        <v>-51585.739719000005</v>
      </c>
    </row>
    <row r="120" spans="1:11" x14ac:dyDescent="0.25">
      <c r="A120" s="2" t="s">
        <v>3</v>
      </c>
      <c r="B120" s="7">
        <v>-5552.73</v>
      </c>
      <c r="C120" s="1">
        <v>0</v>
      </c>
      <c r="D120" s="8"/>
      <c r="E120" s="1">
        <f>SUM(B120:D120)*0.53</f>
        <v>-2942.9468999999999</v>
      </c>
      <c r="G120" s="1">
        <f>SUM(B120:E120)*0.51</f>
        <v>-4332.7952189999996</v>
      </c>
      <c r="J120" s="1">
        <f>4*28100*-1</f>
        <v>-112400</v>
      </c>
      <c r="K120" s="20">
        <f>SUM(B120:J120)</f>
        <v>-125228.472119</v>
      </c>
    </row>
    <row r="121" spans="1:11" x14ac:dyDescent="0.25">
      <c r="A121" s="2" t="s">
        <v>4</v>
      </c>
      <c r="B121" s="7">
        <v>-5552.73</v>
      </c>
      <c r="C121" s="1">
        <v>0</v>
      </c>
      <c r="E121" s="1">
        <f t="shared" ref="E121:E122" si="15">SUM(B121:D121)*0.53</f>
        <v>-2942.9468999999999</v>
      </c>
      <c r="G121" s="1">
        <f t="shared" ref="G121:G129" si="16">SUM(B121:E121)*0.51</f>
        <v>-4332.7952189999996</v>
      </c>
      <c r="J121" s="1">
        <v>-1300</v>
      </c>
      <c r="K121" s="20">
        <f>SUM(B121:J121)</f>
        <v>-14128.472118999998</v>
      </c>
    </row>
    <row r="122" spans="1:11" x14ac:dyDescent="0.25">
      <c r="A122" s="2" t="s">
        <v>5</v>
      </c>
      <c r="B122" s="7">
        <v>-5552.73</v>
      </c>
      <c r="C122" s="1">
        <v>0</v>
      </c>
      <c r="D122" s="8"/>
      <c r="E122" s="1">
        <f t="shared" si="15"/>
        <v>-2942.9468999999999</v>
      </c>
      <c r="G122" s="1">
        <f t="shared" si="16"/>
        <v>-4332.7952189999996</v>
      </c>
      <c r="J122" s="1">
        <v>-4380</v>
      </c>
      <c r="K122" s="20">
        <f>SUM(B122:J122)</f>
        <v>-17208.472118999998</v>
      </c>
    </row>
    <row r="123" spans="1:11" x14ac:dyDescent="0.25">
      <c r="A123" s="11" t="s">
        <v>6</v>
      </c>
      <c r="B123" s="7">
        <v>-5552.73</v>
      </c>
      <c r="C123" s="12">
        <v>0</v>
      </c>
      <c r="D123" s="8"/>
      <c r="E123" s="12">
        <f>SUM(B123:D123)*0.53</f>
        <v>-2942.9468999999999</v>
      </c>
      <c r="F123" s="12"/>
      <c r="G123" s="12">
        <f t="shared" si="16"/>
        <v>-4332.7952189999996</v>
      </c>
      <c r="H123" s="12"/>
      <c r="I123" s="12"/>
      <c r="J123" s="12">
        <v>-16500</v>
      </c>
      <c r="K123" s="20">
        <f t="shared" ref="K123:K129" si="17">SUM(B123:J123)</f>
        <v>-29328.472118999998</v>
      </c>
    </row>
    <row r="124" spans="1:11" x14ac:dyDescent="0.25">
      <c r="A124" s="2" t="s">
        <v>7</v>
      </c>
      <c r="B124" s="7">
        <v>-5552.73</v>
      </c>
      <c r="C124" s="1">
        <v>0</v>
      </c>
      <c r="D124" s="8"/>
      <c r="E124" s="1">
        <f t="shared" ref="E124" si="18">SUM(B124:D124)*0.53</f>
        <v>-2942.9468999999999</v>
      </c>
      <c r="G124" s="1">
        <f t="shared" si="16"/>
        <v>-4332.7952189999996</v>
      </c>
      <c r="J124" s="1">
        <v>-22980</v>
      </c>
      <c r="K124" s="20">
        <f t="shared" si="17"/>
        <v>-35808.472118999998</v>
      </c>
    </row>
    <row r="125" spans="1:11" x14ac:dyDescent="0.25">
      <c r="A125" s="2" t="s">
        <v>8</v>
      </c>
      <c r="B125" s="7">
        <v>-5552.73</v>
      </c>
      <c r="C125" s="1">
        <v>0</v>
      </c>
      <c r="D125" s="8"/>
      <c r="E125" s="1">
        <f>SUM(B125:D125)*0.53</f>
        <v>-2942.9468999999999</v>
      </c>
      <c r="G125" s="1">
        <f t="shared" si="16"/>
        <v>-4332.7952189999996</v>
      </c>
      <c r="K125" s="20">
        <f t="shared" si="17"/>
        <v>-12828.472118999998</v>
      </c>
    </row>
    <row r="126" spans="1:11" x14ac:dyDescent="0.25">
      <c r="A126" s="2" t="s">
        <v>10</v>
      </c>
      <c r="B126" s="7">
        <v>-5552.73</v>
      </c>
      <c r="C126" s="1">
        <v>-1246</v>
      </c>
      <c r="D126" s="8"/>
      <c r="E126" s="1">
        <f>SUM(B126:D126)*0.53</f>
        <v>-3603.3269</v>
      </c>
      <c r="G126" s="1">
        <f t="shared" si="16"/>
        <v>-5305.049019</v>
      </c>
      <c r="K126" s="20">
        <f t="shared" si="17"/>
        <v>-15707.105919</v>
      </c>
    </row>
    <row r="127" spans="1:11" x14ac:dyDescent="0.25">
      <c r="A127" s="2" t="s">
        <v>11</v>
      </c>
      <c r="B127" s="7">
        <v>-5552.73</v>
      </c>
      <c r="C127" s="1">
        <v>-1246</v>
      </c>
      <c r="D127" s="8"/>
      <c r="E127" s="1">
        <f t="shared" ref="E127:E129" si="19">SUM(B127:D127)*0.53</f>
        <v>-3603.3269</v>
      </c>
      <c r="G127" s="1">
        <f t="shared" si="16"/>
        <v>-5305.049019</v>
      </c>
      <c r="K127" s="20">
        <f t="shared" si="17"/>
        <v>-15707.105919</v>
      </c>
    </row>
    <row r="128" spans="1:11" x14ac:dyDescent="0.25">
      <c r="A128" s="2" t="s">
        <v>12</v>
      </c>
      <c r="B128" s="7">
        <v>-5552.73</v>
      </c>
      <c r="C128" s="1">
        <f>-1246*2</f>
        <v>-2492</v>
      </c>
      <c r="D128" s="8"/>
      <c r="E128" s="1">
        <f>SUM(B128:D128)*0.53</f>
        <v>-4263.7069000000001</v>
      </c>
      <c r="G128" s="1">
        <f t="shared" si="16"/>
        <v>-6277.3028190000005</v>
      </c>
      <c r="J128" s="1">
        <v>-16500</v>
      </c>
      <c r="K128" s="20">
        <f t="shared" si="17"/>
        <v>-35085.739719000005</v>
      </c>
    </row>
    <row r="129" spans="1:11" x14ac:dyDescent="0.25">
      <c r="A129" s="2" t="s">
        <v>13</v>
      </c>
      <c r="B129" s="7">
        <v>-5552.73</v>
      </c>
      <c r="C129" s="1">
        <f>-1246*2</f>
        <v>-2492</v>
      </c>
      <c r="D129" s="8"/>
      <c r="E129" s="1">
        <f t="shared" ref="E129:E131" si="20">SUM(B129:D129)*0.53</f>
        <v>-4263.7069000000001</v>
      </c>
      <c r="G129" s="1">
        <f t="shared" si="16"/>
        <v>-6277.3028190000005</v>
      </c>
      <c r="K129" s="20">
        <f t="shared" si="17"/>
        <v>-18585.739719000001</v>
      </c>
    </row>
    <row r="130" spans="1:11" x14ac:dyDescent="0.25">
      <c r="A130" s="2"/>
    </row>
    <row r="131" spans="1:11" x14ac:dyDescent="0.25">
      <c r="A131" s="15" t="s">
        <v>41</v>
      </c>
      <c r="B131" s="8">
        <f>SUM(B118:D129)</f>
        <v>-79092.75999999998</v>
      </c>
      <c r="C131" s="8"/>
      <c r="E131" s="1">
        <f>SUM(E118:E129)</f>
        <v>-37655.455899999994</v>
      </c>
      <c r="F131" s="8">
        <f>SUM(F118:F129)</f>
        <v>0</v>
      </c>
      <c r="G131" s="1">
        <f>SUM(G118:G129)-G115</f>
        <v>-235666.47460520646</v>
      </c>
      <c r="H131" s="1">
        <f>SUM(H118:H129)-H115</f>
        <v>-21215.260000000009</v>
      </c>
      <c r="J131" s="8">
        <f>SUM(J118:J129)+J115</f>
        <v>-53667</v>
      </c>
      <c r="K131" s="18">
        <f>SUM(B131:J131)</f>
        <v>-427296.95050520648</v>
      </c>
    </row>
  </sheetData>
  <pageMargins left="0.7" right="0.7" top="0.75" bottom="0.75" header="0.3" footer="0.3"/>
  <pageSetup paperSize="17" scale="37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MBARI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Steve Etchemendy</dc:creator>
  <cp:lastModifiedBy>Craig Dawe</cp:lastModifiedBy>
  <cp:lastPrinted>2016-10-26T22:26:43Z</cp:lastPrinted>
  <dcterms:created xsi:type="dcterms:W3CDTF">2014-01-03T17:18:40Z</dcterms:created>
  <dcterms:modified xsi:type="dcterms:W3CDTF">2016-10-31T22:57:59Z</dcterms:modified>
</cp:coreProperties>
</file>