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30" yWindow="15" windowWidth="30330" windowHeight="208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52" i="1" l="1"/>
  <c r="H53" i="1"/>
  <c r="I49" i="1"/>
  <c r="B49" i="1"/>
  <c r="I35" i="1"/>
  <c r="H35" i="1"/>
  <c r="H49" i="1" s="1"/>
  <c r="H65" i="1" s="1"/>
  <c r="G35" i="1"/>
  <c r="E35" i="1"/>
  <c r="B35" i="1"/>
  <c r="F65" i="1"/>
  <c r="C63" i="1"/>
  <c r="C62" i="1"/>
  <c r="E59" i="1"/>
  <c r="G59" i="1" s="1"/>
  <c r="E58" i="1"/>
  <c r="G57" i="1"/>
  <c r="E57" i="1"/>
  <c r="E56" i="1"/>
  <c r="E55" i="1"/>
  <c r="G55" i="1" s="1"/>
  <c r="E54" i="1"/>
  <c r="C53" i="1"/>
  <c r="C52" i="1"/>
  <c r="F49" i="1"/>
  <c r="K44" i="1"/>
  <c r="K42" i="1"/>
  <c r="K11" i="1"/>
  <c r="C30" i="1"/>
  <c r="C29" i="1"/>
  <c r="C20" i="1"/>
  <c r="C19" i="1"/>
  <c r="I65" i="1" l="1"/>
  <c r="J57" i="1"/>
  <c r="J55" i="1"/>
  <c r="B65" i="1"/>
  <c r="J35" i="1"/>
  <c r="G52" i="1"/>
  <c r="E53" i="1"/>
  <c r="G53" i="1" s="1"/>
  <c r="J53" i="1" s="1"/>
  <c r="G54" i="1"/>
  <c r="J54" i="1" s="1"/>
  <c r="G56" i="1"/>
  <c r="J56" i="1" s="1"/>
  <c r="G58" i="1"/>
  <c r="J58" i="1" s="1"/>
  <c r="J59" i="1"/>
  <c r="E60" i="1"/>
  <c r="G60" i="1" s="1"/>
  <c r="J60" i="1" s="1"/>
  <c r="E61" i="1"/>
  <c r="G61" i="1" s="1"/>
  <c r="J61" i="1" s="1"/>
  <c r="E63" i="1"/>
  <c r="G63" i="1" s="1"/>
  <c r="E62" i="1"/>
  <c r="G62" i="1" s="1"/>
  <c r="F16" i="1"/>
  <c r="B32" i="1"/>
  <c r="B16" i="1"/>
  <c r="N17" i="1"/>
  <c r="N18" i="1"/>
  <c r="B27" i="1"/>
  <c r="G49" i="1" l="1"/>
  <c r="G65" i="1" s="1"/>
  <c r="J62" i="1"/>
  <c r="E49" i="1"/>
  <c r="E65" i="1"/>
  <c r="J63" i="1"/>
  <c r="I16" i="1"/>
  <c r="H16" i="1"/>
  <c r="J49" i="1" l="1"/>
  <c r="J65" i="1"/>
  <c r="J2" i="1"/>
  <c r="E20" i="1"/>
  <c r="G20" i="1" l="1"/>
  <c r="F32" i="1"/>
  <c r="E21" i="1"/>
  <c r="J20" i="1" l="1"/>
  <c r="G21" i="1"/>
  <c r="J21" i="1" l="1"/>
  <c r="I32" i="1"/>
  <c r="H32" i="1" l="1"/>
  <c r="B28" i="1" l="1"/>
  <c r="B29" i="1"/>
  <c r="B30" i="1"/>
  <c r="K9" i="1" l="1"/>
  <c r="N6" i="1" l="1"/>
  <c r="N8" i="1" l="1"/>
  <c r="N9" i="1" s="1"/>
  <c r="E22" i="1" l="1"/>
  <c r="E23" i="1"/>
  <c r="E24" i="1"/>
  <c r="E25" i="1"/>
  <c r="E26" i="1"/>
  <c r="E27" i="1"/>
  <c r="E28" i="1"/>
  <c r="E29" i="1"/>
  <c r="E30" i="1"/>
  <c r="G19" i="1"/>
  <c r="E16" i="1" l="1"/>
  <c r="E32" i="1"/>
  <c r="G24" i="1"/>
  <c r="J24" i="1"/>
  <c r="G23" i="1"/>
  <c r="J23" i="1" s="1"/>
  <c r="G30" i="1"/>
  <c r="J30" i="1" s="1"/>
  <c r="G22" i="1"/>
  <c r="G28" i="1"/>
  <c r="J28" i="1" s="1"/>
  <c r="G27" i="1"/>
  <c r="J27" i="1" s="1"/>
  <c r="G26" i="1"/>
  <c r="J26" i="1" s="1"/>
  <c r="G29" i="1"/>
  <c r="J29" i="1" s="1"/>
  <c r="G25" i="1"/>
  <c r="J25" i="1" s="1"/>
  <c r="G16" i="1" l="1"/>
  <c r="G32" i="1" s="1"/>
  <c r="J22" i="1"/>
  <c r="J16" i="1"/>
  <c r="J32" i="1" l="1"/>
</calcChain>
</file>

<file path=xl/sharedStrings.xml><?xml version="1.0" encoding="utf-8"?>
<sst xmlns="http://schemas.openxmlformats.org/spreadsheetml/2006/main" count="67" uniqueCount="37">
  <si>
    <t>ship time</t>
  </si>
  <si>
    <t>jan</t>
  </si>
  <si>
    <t>feb</t>
  </si>
  <si>
    <t>mar</t>
  </si>
  <si>
    <t>apr</t>
  </si>
  <si>
    <t>may</t>
  </si>
  <si>
    <t>jun</t>
  </si>
  <si>
    <t>jul</t>
  </si>
  <si>
    <t>aug</t>
  </si>
  <si>
    <t>labor MARS Technician</t>
  </si>
  <si>
    <t>sep</t>
  </si>
  <si>
    <t>oct</t>
  </si>
  <si>
    <t>nov</t>
  </si>
  <si>
    <t>dec</t>
  </si>
  <si>
    <t>Science (Survey techs)</t>
  </si>
  <si>
    <t>expenses</t>
  </si>
  <si>
    <t>fringe 53%</t>
  </si>
  <si>
    <t>income</t>
  </si>
  <si>
    <t>labor MARS Manager</t>
  </si>
  <si>
    <t>sum of income -labor</t>
  </si>
  <si>
    <t>indirect</t>
  </si>
  <si>
    <t>End of year projection</t>
  </si>
  <si>
    <t>labor for biological survery</t>
  </si>
  <si>
    <t>Costs for 2015</t>
  </si>
  <si>
    <t>and Engineering suport</t>
  </si>
  <si>
    <t>Calculated</t>
  </si>
  <si>
    <t>used</t>
  </si>
  <si>
    <t>heller</t>
  </si>
  <si>
    <t>Total</t>
  </si>
  <si>
    <t>Broke July 1st</t>
  </si>
  <si>
    <t>Current status 2016</t>
  </si>
  <si>
    <t>Dawe</t>
  </si>
  <si>
    <t>Feb 28,2016</t>
  </si>
  <si>
    <t>03012017- 02282018</t>
  </si>
  <si>
    <t>Costs for Year 3</t>
  </si>
  <si>
    <t>Yr 3 Award + 2016 LO</t>
  </si>
  <si>
    <t>Remainder at Yr3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</si>
</sst>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14" fontId="0" fillId="0" borderId="0" xfId="0" applyNumberFormat="1"/>
    <xf numFmtId="0" fontId="0" fillId="2" borderId="0" xfId="0" applyFill="1"/>
    <xf numFmtId="44" fontId="0" fillId="2" borderId="0" xfId="1" applyFont="1" applyFill="1"/>
    <xf numFmtId="14" fontId="0" fillId="2" borderId="0" xfId="0" applyNumberFormat="1" applyFill="1"/>
    <xf numFmtId="1" fontId="0" fillId="0" borderId="0" xfId="0" applyNumberFormat="1"/>
    <xf numFmtId="44" fontId="0" fillId="0" borderId="0" xfId="0" applyNumberFormat="1"/>
    <xf numFmtId="44" fontId="0" fillId="0" borderId="0" xfId="1" applyFont="1" applyFill="1"/>
    <xf numFmtId="0" fontId="2" fillId="0" borderId="0" xfId="0" applyFont="1"/>
    <xf numFmtId="6" fontId="0" fillId="0" borderId="0" xfId="0" applyNumberFormat="1"/>
    <xf numFmtId="14" fontId="0" fillId="3" borderId="0" xfId="0" applyNumberFormat="1" applyFill="1"/>
    <xf numFmtId="44" fontId="0" fillId="3" borderId="0" xfId="1" applyFont="1" applyFill="1"/>
    <xf numFmtId="0" fontId="3" fillId="3" borderId="0" xfId="0" applyFont="1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  <xf numFmtId="44" fontId="0" fillId="0" borderId="0" xfId="0" applyNumberFormat="1" applyFill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topLeftCell="A16" zoomScaleNormal="100" workbookViewId="0">
      <selection activeCell="K49" sqref="K49"/>
    </sheetView>
  </sheetViews>
  <sheetFormatPr defaultRowHeight="15" x14ac:dyDescent="0.25"/>
  <cols>
    <col min="1" max="1" width="21.140625" customWidth="1"/>
    <col min="2" max="3" width="21.140625" style="1" customWidth="1"/>
    <col min="4" max="4" width="25.85546875" style="1" customWidth="1"/>
    <col min="5" max="9" width="21.140625" style="1" customWidth="1"/>
    <col min="10" max="26" width="21.140625" customWidth="1"/>
  </cols>
  <sheetData>
    <row r="1" spans="1:14" x14ac:dyDescent="0.25">
      <c r="A1" s="3" t="s">
        <v>30</v>
      </c>
      <c r="B1" s="4" t="s">
        <v>9</v>
      </c>
      <c r="C1" s="4" t="s">
        <v>18</v>
      </c>
      <c r="D1" s="4" t="s">
        <v>14</v>
      </c>
      <c r="E1" s="4" t="s">
        <v>16</v>
      </c>
      <c r="F1" s="4" t="s">
        <v>17</v>
      </c>
      <c r="G1" s="4" t="s">
        <v>20</v>
      </c>
      <c r="H1" s="4" t="s">
        <v>15</v>
      </c>
      <c r="I1" s="4" t="s">
        <v>0</v>
      </c>
      <c r="J1" s="4" t="s">
        <v>28</v>
      </c>
      <c r="K1" s="4"/>
    </row>
    <row r="2" spans="1:14" x14ac:dyDescent="0.25">
      <c r="A2" s="5">
        <v>42635</v>
      </c>
      <c r="B2" s="8">
        <v>123095.25</v>
      </c>
      <c r="C2" s="4" t="s">
        <v>24</v>
      </c>
      <c r="D2" s="4" t="s">
        <v>22</v>
      </c>
      <c r="E2" s="8">
        <v>105212.36</v>
      </c>
      <c r="F2" s="4"/>
      <c r="G2" s="8">
        <v>105212.36</v>
      </c>
      <c r="H2" s="8">
        <v>14268.88</v>
      </c>
      <c r="I2" s="8">
        <v>99990</v>
      </c>
      <c r="J2" s="7">
        <f>B2+E2+G2+H2+I2</f>
        <v>447778.85</v>
      </c>
      <c r="K2" s="4"/>
      <c r="L2" s="4"/>
    </row>
    <row r="3" spans="1:14" x14ac:dyDescent="0.25">
      <c r="A3" s="2"/>
      <c r="M3" s="7"/>
    </row>
    <row r="4" spans="1:14" x14ac:dyDescent="0.25">
      <c r="A4" s="2"/>
      <c r="N4" s="7"/>
    </row>
    <row r="5" spans="1:14" x14ac:dyDescent="0.25">
      <c r="A5" s="7"/>
      <c r="N5" t="s">
        <v>25</v>
      </c>
    </row>
    <row r="6" spans="1:14" x14ac:dyDescent="0.25">
      <c r="A6" s="2"/>
      <c r="N6" s="7">
        <f>(B3+C3)*1.53*4</f>
        <v>0</v>
      </c>
    </row>
    <row r="7" spans="1:14" x14ac:dyDescent="0.25">
      <c r="A7" s="2"/>
      <c r="K7" s="7"/>
      <c r="N7" t="s">
        <v>26</v>
      </c>
    </row>
    <row r="8" spans="1:14" x14ac:dyDescent="0.25">
      <c r="A8" s="2"/>
      <c r="K8" s="7"/>
      <c r="L8" t="s">
        <v>31</v>
      </c>
      <c r="N8" s="7">
        <f>M3-M6</f>
        <v>0</v>
      </c>
    </row>
    <row r="9" spans="1:14" x14ac:dyDescent="0.25">
      <c r="A9" s="2"/>
      <c r="K9" s="7">
        <f>60413/12</f>
        <v>5034.416666666667</v>
      </c>
      <c r="L9" t="s">
        <v>27</v>
      </c>
      <c r="N9" s="7">
        <f>(N8+N6)/4</f>
        <v>0</v>
      </c>
    </row>
    <row r="10" spans="1:14" x14ac:dyDescent="0.25">
      <c r="A10" s="15"/>
      <c r="B10" s="8"/>
      <c r="C10" s="8"/>
      <c r="D10" s="8"/>
      <c r="E10" s="8"/>
      <c r="F10" s="8"/>
      <c r="G10" s="8"/>
      <c r="J10" s="6"/>
      <c r="K10" s="7">
        <v>5187.8999999999996</v>
      </c>
    </row>
    <row r="11" spans="1:14" s="3" customFormat="1" x14ac:dyDescent="0.25">
      <c r="A11" s="15"/>
      <c r="B11" s="8"/>
      <c r="C11" s="16"/>
      <c r="D11" s="8"/>
      <c r="E11" s="8"/>
      <c r="F11" s="8"/>
      <c r="G11" s="8"/>
      <c r="H11" s="8"/>
      <c r="I11" s="8"/>
      <c r="J11" s="16"/>
      <c r="K11" s="7">
        <f>K10+0.02*K10</f>
        <v>5291.6579999999994</v>
      </c>
      <c r="L11" s="16"/>
      <c r="M11" s="16"/>
    </row>
    <row r="12" spans="1:14" x14ac:dyDescent="0.25">
      <c r="A12" s="15"/>
      <c r="B12" s="8"/>
      <c r="C12" s="8"/>
      <c r="D12" s="8"/>
      <c r="E12" s="8"/>
      <c r="F12" s="8"/>
      <c r="G12" s="8"/>
      <c r="H12" s="8"/>
      <c r="I12" s="8"/>
      <c r="J12" s="16"/>
      <c r="K12" s="17"/>
      <c r="L12" s="16"/>
      <c r="M12" s="16"/>
    </row>
    <row r="13" spans="1:14" x14ac:dyDescent="0.25">
      <c r="A13" s="15"/>
      <c r="B13" s="8"/>
      <c r="C13" s="8"/>
      <c r="D13" s="8"/>
      <c r="E13" s="8"/>
      <c r="F13" s="8"/>
      <c r="G13" s="8"/>
      <c r="H13" s="8"/>
      <c r="I13" s="8"/>
      <c r="J13" s="16"/>
      <c r="K13" s="17"/>
      <c r="L13" s="16"/>
      <c r="M13" s="16"/>
    </row>
    <row r="14" spans="1:14" x14ac:dyDescent="0.25">
      <c r="A14" s="2"/>
      <c r="D14" s="8"/>
      <c r="K14" s="7"/>
    </row>
    <row r="15" spans="1:14" x14ac:dyDescent="0.25">
      <c r="A15" s="2"/>
      <c r="K15" s="7"/>
    </row>
    <row r="16" spans="1:14" x14ac:dyDescent="0.25">
      <c r="A16" s="5" t="s">
        <v>19</v>
      </c>
      <c r="B16" s="4">
        <f>SUM(B19:D30)+B2</f>
        <v>83092.676899999991</v>
      </c>
      <c r="C16" s="4"/>
      <c r="D16" s="4"/>
      <c r="E16" s="4">
        <f>SUM(E19:E30)+E2</f>
        <v>88081.343257</v>
      </c>
      <c r="F16" s="4">
        <f>SUM(F19:F30)</f>
        <v>4000</v>
      </c>
      <c r="G16" s="4">
        <f>SUM(G19:G30)+G2</f>
        <v>76074.22918006999</v>
      </c>
      <c r="H16" s="4">
        <f>SUM(H20:H24)+H2</f>
        <v>14268.88</v>
      </c>
      <c r="I16" s="4">
        <f>SUM(I20:I24)+I2</f>
        <v>99990</v>
      </c>
      <c r="J16" s="7">
        <f>SUM(B16:I16)</f>
        <v>365507.12933706999</v>
      </c>
    </row>
    <row r="17" spans="1:14" x14ac:dyDescent="0.25">
      <c r="A17" s="5" t="s">
        <v>21</v>
      </c>
      <c r="N17">
        <f>M12*N18</f>
        <v>0</v>
      </c>
    </row>
    <row r="18" spans="1:14" x14ac:dyDescent="0.25">
      <c r="A18" s="6" t="s">
        <v>32</v>
      </c>
      <c r="D18" s="8"/>
      <c r="N18">
        <f>119119.41*365/262/2080</f>
        <v>79.783075179829709</v>
      </c>
    </row>
    <row r="19" spans="1:14" x14ac:dyDescent="0.25">
      <c r="A19" s="2" t="s">
        <v>1</v>
      </c>
      <c r="B19" s="1">
        <v>-5187.8999999999996</v>
      </c>
      <c r="C19" s="1">
        <f>-1246*2</f>
        <v>-2492</v>
      </c>
      <c r="D19" s="8"/>
      <c r="G19" s="1">
        <f>SUM(B19:E19)*0.51</f>
        <v>-3916.7489999999998</v>
      </c>
      <c r="J19" s="17"/>
      <c r="K19" s="7"/>
    </row>
    <row r="20" spans="1:14" x14ac:dyDescent="0.25">
      <c r="A20" s="2" t="s">
        <v>2</v>
      </c>
      <c r="B20" s="1">
        <v>-5187.8999999999996</v>
      </c>
      <c r="C20" s="1">
        <f>-1246*2</f>
        <v>-2492</v>
      </c>
      <c r="D20" s="8"/>
      <c r="E20" s="1">
        <f>SUM(B20:D20)*0.53</f>
        <v>-4070.3470000000002</v>
      </c>
      <c r="G20" s="1">
        <f>SUM(B20:E20)*0.51</f>
        <v>-5992.6259700000001</v>
      </c>
      <c r="H20" s="8"/>
      <c r="J20" s="17">
        <f>SUM(B20:I20)</f>
        <v>-17742.87297</v>
      </c>
      <c r="K20" s="7"/>
      <c r="L20" s="10"/>
    </row>
    <row r="21" spans="1:14" x14ac:dyDescent="0.25">
      <c r="A21" s="2" t="s">
        <v>3</v>
      </c>
      <c r="B21" s="1">
        <v>0</v>
      </c>
      <c r="C21" s="1">
        <v>0</v>
      </c>
      <c r="D21" s="8"/>
      <c r="E21" s="1">
        <f>SUM(B21:D21)*0.53</f>
        <v>0</v>
      </c>
      <c r="G21" s="1">
        <f>SUM(B21:E21)*0.51</f>
        <v>0</v>
      </c>
      <c r="J21" s="17">
        <f>SUM(B21:I21)</f>
        <v>0</v>
      </c>
      <c r="K21" s="7"/>
    </row>
    <row r="22" spans="1:14" x14ac:dyDescent="0.25">
      <c r="A22" s="2" t="s">
        <v>4</v>
      </c>
      <c r="B22" s="1">
        <v>0</v>
      </c>
      <c r="C22" s="1">
        <v>0</v>
      </c>
      <c r="D22" s="8"/>
      <c r="E22" s="1">
        <f t="shared" ref="E22:E30" si="0">SUM(B22:D22)*0.53</f>
        <v>0</v>
      </c>
      <c r="G22" s="1">
        <f t="shared" ref="G22:G30" si="1">SUM(B22:E22)*0.51</f>
        <v>0</v>
      </c>
      <c r="J22" s="17">
        <f>SUM(B22:I22)</f>
        <v>0</v>
      </c>
      <c r="K22" s="7"/>
    </row>
    <row r="23" spans="1:14" x14ac:dyDescent="0.25">
      <c r="A23" s="2" t="s">
        <v>5</v>
      </c>
      <c r="B23" s="1">
        <v>0</v>
      </c>
      <c r="C23" s="1">
        <v>0</v>
      </c>
      <c r="D23" s="8"/>
      <c r="E23" s="1">
        <f t="shared" si="0"/>
        <v>0</v>
      </c>
      <c r="G23" s="1">
        <f t="shared" si="1"/>
        <v>0</v>
      </c>
      <c r="J23" s="17">
        <f>SUM(B23:I23)</f>
        <v>0</v>
      </c>
      <c r="K23" s="7"/>
    </row>
    <row r="24" spans="1:14" s="14" customFormat="1" x14ac:dyDescent="0.25">
      <c r="A24" s="11" t="s">
        <v>6</v>
      </c>
      <c r="B24" s="12">
        <v>0</v>
      </c>
      <c r="C24" s="12">
        <v>0</v>
      </c>
      <c r="D24" s="8"/>
      <c r="E24" s="12">
        <f>SUM(B24:D24)*0.53</f>
        <v>0</v>
      </c>
      <c r="F24" s="12"/>
      <c r="G24" s="12">
        <f t="shared" si="1"/>
        <v>0</v>
      </c>
      <c r="H24" s="12"/>
      <c r="I24" s="12"/>
      <c r="J24" s="17">
        <f t="shared" ref="J24:J30" si="2">SUM(B24:I24)</f>
        <v>0</v>
      </c>
      <c r="K24" s="13" t="s">
        <v>29</v>
      </c>
    </row>
    <row r="25" spans="1:14" x14ac:dyDescent="0.25">
      <c r="A25" s="2" t="s">
        <v>7</v>
      </c>
      <c r="B25" s="1">
        <v>0</v>
      </c>
      <c r="C25" s="1">
        <v>0</v>
      </c>
      <c r="D25" s="8"/>
      <c r="E25" s="1">
        <f t="shared" si="0"/>
        <v>0</v>
      </c>
      <c r="G25" s="1">
        <f t="shared" si="1"/>
        <v>0</v>
      </c>
      <c r="J25" s="17">
        <f t="shared" si="2"/>
        <v>0</v>
      </c>
    </row>
    <row r="26" spans="1:14" ht="15.75" x14ac:dyDescent="0.25">
      <c r="A26" s="2" t="s">
        <v>8</v>
      </c>
      <c r="B26" s="1">
        <v>0</v>
      </c>
      <c r="C26" s="1">
        <v>0</v>
      </c>
      <c r="D26" s="8"/>
      <c r="E26" s="1">
        <f>SUM(B26:D26)*0.53</f>
        <v>0</v>
      </c>
      <c r="G26" s="1">
        <f t="shared" si="1"/>
        <v>0</v>
      </c>
      <c r="J26" s="17">
        <f t="shared" si="2"/>
        <v>0</v>
      </c>
      <c r="K26" s="9"/>
    </row>
    <row r="27" spans="1:14" x14ac:dyDescent="0.25">
      <c r="A27" s="2" t="s">
        <v>10</v>
      </c>
      <c r="B27" s="1">
        <f>1.03*-5187.9*0.3</f>
        <v>-1603.0610999999997</v>
      </c>
      <c r="C27" s="1">
        <v>-1246</v>
      </c>
      <c r="D27" s="8"/>
      <c r="E27" s="1">
        <f>SUM(B27:D27)*0.53</f>
        <v>-1510.002383</v>
      </c>
      <c r="F27" s="1">
        <v>1000</v>
      </c>
      <c r="G27" s="1">
        <f t="shared" si="1"/>
        <v>-2223.12237633</v>
      </c>
      <c r="J27" s="17">
        <f t="shared" si="2"/>
        <v>-5582.1858593300003</v>
      </c>
    </row>
    <row r="28" spans="1:14" x14ac:dyDescent="0.25">
      <c r="A28" s="2" t="s">
        <v>11</v>
      </c>
      <c r="B28" s="1">
        <f t="shared" ref="B21:B30" si="3">1.03*-5036.8</f>
        <v>-5187.9040000000005</v>
      </c>
      <c r="C28" s="1">
        <v>-1246</v>
      </c>
      <c r="D28" s="8"/>
      <c r="E28" s="1">
        <f t="shared" si="0"/>
        <v>-3409.9691200000002</v>
      </c>
      <c r="F28" s="1">
        <v>1000</v>
      </c>
      <c r="G28" s="1">
        <f t="shared" si="1"/>
        <v>-5020.3752912</v>
      </c>
      <c r="J28" s="17">
        <f t="shared" si="2"/>
        <v>-13864.2484112</v>
      </c>
    </row>
    <row r="29" spans="1:14" x14ac:dyDescent="0.25">
      <c r="A29" s="2" t="s">
        <v>12</v>
      </c>
      <c r="B29" s="1">
        <f t="shared" si="3"/>
        <v>-5187.9040000000005</v>
      </c>
      <c r="C29" s="1">
        <f>-1246*2</f>
        <v>-2492</v>
      </c>
      <c r="D29" s="8"/>
      <c r="E29" s="1">
        <f t="shared" si="0"/>
        <v>-4070.3491200000003</v>
      </c>
      <c r="F29" s="1">
        <v>1000</v>
      </c>
      <c r="G29" s="1">
        <f t="shared" si="1"/>
        <v>-5992.6290912000004</v>
      </c>
      <c r="J29" s="17">
        <f t="shared" si="2"/>
        <v>-16742.882211200002</v>
      </c>
    </row>
    <row r="30" spans="1:14" x14ac:dyDescent="0.25">
      <c r="A30" s="2" t="s">
        <v>13</v>
      </c>
      <c r="B30" s="1">
        <f t="shared" si="3"/>
        <v>-5187.9040000000005</v>
      </c>
      <c r="C30" s="1">
        <f>-1246*2</f>
        <v>-2492</v>
      </c>
      <c r="D30" s="8"/>
      <c r="E30" s="1">
        <f t="shared" si="0"/>
        <v>-4070.3491200000003</v>
      </c>
      <c r="F30" s="1">
        <v>1000</v>
      </c>
      <c r="G30" s="1">
        <f t="shared" si="1"/>
        <v>-5992.6290912000004</v>
      </c>
      <c r="J30" s="17">
        <f t="shared" si="2"/>
        <v>-16742.882211200002</v>
      </c>
    </row>
    <row r="31" spans="1:14" x14ac:dyDescent="0.25">
      <c r="A31" s="2"/>
      <c r="J31" t="s">
        <v>23</v>
      </c>
    </row>
    <row r="32" spans="1:14" x14ac:dyDescent="0.25">
      <c r="A32" s="16"/>
      <c r="B32" s="8">
        <f>SUM(B18:D30)</f>
        <v>-40002.573100000001</v>
      </c>
      <c r="C32" s="8"/>
      <c r="E32" s="1">
        <f>SUM(E19:E30)</f>
        <v>-17131.016743</v>
      </c>
      <c r="F32" s="8">
        <f>SUM(F19:F30)</f>
        <v>4000</v>
      </c>
      <c r="G32" s="1">
        <f>SUM(G19:G30)-G16</f>
        <v>-105212.35999999999</v>
      </c>
      <c r="H32" s="1">
        <f>SUM(H19:H30)-H16</f>
        <v>-14268.88</v>
      </c>
      <c r="I32" s="8">
        <f>SUM(I19:I30)+I16</f>
        <v>99990</v>
      </c>
      <c r="J32" s="7">
        <f>SUM(B32:I32)</f>
        <v>-72624.829842999985</v>
      </c>
    </row>
    <row r="34" spans="1:13" x14ac:dyDescent="0.25">
      <c r="A34" s="3" t="s">
        <v>35</v>
      </c>
      <c r="B34" s="4" t="s">
        <v>9</v>
      </c>
      <c r="C34" s="4" t="s">
        <v>18</v>
      </c>
      <c r="D34" s="4" t="s">
        <v>14</v>
      </c>
      <c r="E34" s="4" t="s">
        <v>16</v>
      </c>
      <c r="F34" s="4" t="s">
        <v>17</v>
      </c>
      <c r="G34" s="4" t="s">
        <v>20</v>
      </c>
      <c r="H34" s="4" t="s">
        <v>15</v>
      </c>
      <c r="I34" s="4" t="s">
        <v>0</v>
      </c>
      <c r="J34" s="4" t="s">
        <v>28</v>
      </c>
      <c r="K34" s="4"/>
    </row>
    <row r="35" spans="1:13" x14ac:dyDescent="0.25">
      <c r="A35" s="5" t="s">
        <v>33</v>
      </c>
      <c r="B35" s="8">
        <f>B16+105240</f>
        <v>188332.67689999999</v>
      </c>
      <c r="C35" s="4" t="s">
        <v>24</v>
      </c>
      <c r="D35" s="4" t="s">
        <v>22</v>
      </c>
      <c r="E35" s="8">
        <f>E16+ 58935</f>
        <v>147016.343257</v>
      </c>
      <c r="F35" s="4"/>
      <c r="G35" s="8">
        <f>G16+99189</f>
        <v>175263.22918006999</v>
      </c>
      <c r="H35" s="8">
        <f>H16+22450</f>
        <v>36718.879999999997</v>
      </c>
      <c r="I35" s="8">
        <f>I16+76823</f>
        <v>176813</v>
      </c>
      <c r="J35" s="7">
        <f>B35+E35+G35+H35+I35</f>
        <v>724144.12933706993</v>
      </c>
      <c r="K35" s="4"/>
      <c r="L35" s="4"/>
    </row>
    <row r="36" spans="1:13" x14ac:dyDescent="0.25">
      <c r="A36" s="2"/>
      <c r="M36" s="7"/>
    </row>
    <row r="37" spans="1:13" x14ac:dyDescent="0.25">
      <c r="A37" s="2"/>
    </row>
    <row r="38" spans="1:13" x14ac:dyDescent="0.25">
      <c r="A38" s="7"/>
    </row>
    <row r="39" spans="1:13" x14ac:dyDescent="0.25">
      <c r="A39" s="2"/>
    </row>
    <row r="40" spans="1:13" x14ac:dyDescent="0.25">
      <c r="A40" s="2"/>
      <c r="K40" s="7"/>
    </row>
    <row r="41" spans="1:13" x14ac:dyDescent="0.25">
      <c r="A41" s="2"/>
      <c r="K41" s="7"/>
      <c r="L41" t="s">
        <v>31</v>
      </c>
    </row>
    <row r="42" spans="1:13" x14ac:dyDescent="0.25">
      <c r="A42" s="2"/>
      <c r="K42" s="7">
        <f>60413/12</f>
        <v>5034.416666666667</v>
      </c>
      <c r="L42" t="s">
        <v>27</v>
      </c>
    </row>
    <row r="43" spans="1:13" x14ac:dyDescent="0.25">
      <c r="A43" s="15"/>
      <c r="B43" s="8"/>
      <c r="C43" s="8"/>
      <c r="D43" s="8"/>
      <c r="E43" s="8"/>
      <c r="F43" s="8"/>
      <c r="G43" s="8"/>
      <c r="J43" s="6"/>
      <c r="K43" s="7">
        <v>5187.8999999999996</v>
      </c>
    </row>
    <row r="44" spans="1:13" x14ac:dyDescent="0.25">
      <c r="A44" s="15"/>
      <c r="B44" s="8"/>
      <c r="C44" s="16"/>
      <c r="D44" s="8"/>
      <c r="E44" s="8"/>
      <c r="F44" s="8"/>
      <c r="G44" s="8"/>
      <c r="H44" s="8"/>
      <c r="I44" s="8"/>
      <c r="J44" s="16"/>
      <c r="K44" s="7">
        <f>K43+0.02*K43</f>
        <v>5291.6579999999994</v>
      </c>
      <c r="L44" s="16"/>
      <c r="M44" s="16"/>
    </row>
    <row r="45" spans="1:13" x14ac:dyDescent="0.25">
      <c r="A45" s="15"/>
      <c r="B45" s="8"/>
      <c r="C45" s="8"/>
      <c r="D45" s="8"/>
      <c r="E45" s="8"/>
      <c r="F45" s="8"/>
      <c r="G45" s="8"/>
      <c r="H45" s="8"/>
      <c r="I45" s="8"/>
      <c r="J45" s="16"/>
      <c r="K45" s="17"/>
      <c r="L45" s="16"/>
      <c r="M45" s="16"/>
    </row>
    <row r="46" spans="1:13" x14ac:dyDescent="0.25">
      <c r="A46" s="15" t="s">
        <v>12</v>
      </c>
      <c r="B46" s="8"/>
      <c r="C46" s="8"/>
      <c r="D46" s="8"/>
      <c r="E46" s="8"/>
      <c r="F46" s="8"/>
      <c r="G46" s="8"/>
      <c r="H46" s="8"/>
      <c r="I46" s="8"/>
      <c r="J46" s="16"/>
      <c r="K46" s="17"/>
      <c r="L46" s="16"/>
      <c r="M46" s="16"/>
    </row>
    <row r="47" spans="1:13" x14ac:dyDescent="0.25">
      <c r="A47" s="2" t="s">
        <v>13</v>
      </c>
      <c r="D47" s="8"/>
      <c r="K47" s="7"/>
    </row>
    <row r="48" spans="1:13" x14ac:dyDescent="0.25">
      <c r="A48" s="2"/>
      <c r="K48" s="7"/>
    </row>
    <row r="49" spans="1:13" x14ac:dyDescent="0.25">
      <c r="A49" s="5" t="s">
        <v>19</v>
      </c>
      <c r="B49" s="4">
        <f>SUM(B52:D63)+B35</f>
        <v>58838.756899999964</v>
      </c>
      <c r="C49" s="4"/>
      <c r="D49" s="4"/>
      <c r="E49" s="4">
        <f>SUM(E52:E63)+E35</f>
        <v>78384.565657000014</v>
      </c>
      <c r="F49" s="4">
        <f>SUM(F52:F63)</f>
        <v>12000</v>
      </c>
      <c r="G49" s="4">
        <f>SUM(G52:G63)+G35</f>
        <v>74219.123404069978</v>
      </c>
      <c r="H49" s="4">
        <f>SUM(H53:H57)+H35</f>
        <v>-3771.1200000000026</v>
      </c>
      <c r="I49" s="4">
        <f>SUM(I52:I57)+I35</f>
        <v>127313</v>
      </c>
      <c r="J49" s="7">
        <f>SUM(B49:I49)</f>
        <v>346984.32596106996</v>
      </c>
      <c r="K49" t="s">
        <v>36</v>
      </c>
    </row>
    <row r="50" spans="1:13" x14ac:dyDescent="0.25">
      <c r="A50" s="5" t="s">
        <v>21</v>
      </c>
    </row>
    <row r="51" spans="1:13" x14ac:dyDescent="0.25">
      <c r="A51" s="6">
        <v>2015</v>
      </c>
      <c r="D51" s="8"/>
    </row>
    <row r="52" spans="1:13" x14ac:dyDescent="0.25">
      <c r="A52" s="2" t="s">
        <v>1</v>
      </c>
      <c r="B52" s="7">
        <v>-5391.66</v>
      </c>
      <c r="C52" s="1">
        <f>-1246*2</f>
        <v>-2492</v>
      </c>
      <c r="D52" s="8"/>
      <c r="E52" s="1">
        <f>SUM(B52:D52)*0.53</f>
        <v>-4178.3397999999997</v>
      </c>
      <c r="F52" s="1">
        <v>1000</v>
      </c>
      <c r="G52" s="1">
        <f>SUM(B52:E52)*0.51</f>
        <v>-6151.6198979999999</v>
      </c>
      <c r="H52" s="18">
        <v>-10500</v>
      </c>
      <c r="I52" s="1">
        <v>-33000</v>
      </c>
      <c r="J52" s="17"/>
      <c r="K52" s="7"/>
    </row>
    <row r="53" spans="1:13" x14ac:dyDescent="0.25">
      <c r="A53" s="2" t="s">
        <v>2</v>
      </c>
      <c r="B53" s="7">
        <v>-5391.66</v>
      </c>
      <c r="C53" s="1">
        <f>-1246*2</f>
        <v>-2492</v>
      </c>
      <c r="D53" s="8"/>
      <c r="E53" s="1">
        <f>SUM(B53:D53)*0.53</f>
        <v>-4178.3397999999997</v>
      </c>
      <c r="F53" s="1">
        <v>1000</v>
      </c>
      <c r="G53" s="1">
        <f>SUM(B53:E53)*0.51</f>
        <v>-6151.6198979999999</v>
      </c>
      <c r="H53" s="18">
        <f>-4500-15250</f>
        <v>-19750</v>
      </c>
      <c r="J53" s="17">
        <f>SUM(B53:I53)</f>
        <v>-36963.619697999995</v>
      </c>
      <c r="K53" s="7"/>
      <c r="L53" s="10"/>
    </row>
    <row r="54" spans="1:13" x14ac:dyDescent="0.25">
      <c r="A54" s="2" t="s">
        <v>3</v>
      </c>
      <c r="B54" s="7">
        <v>-5391.66</v>
      </c>
      <c r="C54" s="1">
        <v>0</v>
      </c>
      <c r="D54" s="8">
        <v>-6840</v>
      </c>
      <c r="E54" s="1">
        <f>SUM(B54:D54)*0.53</f>
        <v>-6482.7798000000003</v>
      </c>
      <c r="F54" s="1">
        <v>1000</v>
      </c>
      <c r="G54" s="1">
        <f>SUM(B54:E54)*0.51</f>
        <v>-9544.3642980000004</v>
      </c>
      <c r="H54" s="1">
        <v>-1320</v>
      </c>
      <c r="J54" s="17">
        <f>SUM(B54:I54)</f>
        <v>-28578.804098000001</v>
      </c>
      <c r="K54" s="7"/>
    </row>
    <row r="55" spans="1:13" x14ac:dyDescent="0.25">
      <c r="A55" s="2" t="s">
        <v>4</v>
      </c>
      <c r="B55" s="7">
        <v>-5391.66</v>
      </c>
      <c r="C55" s="1">
        <v>0</v>
      </c>
      <c r="D55" s="8">
        <v>-6065</v>
      </c>
      <c r="E55" s="1">
        <f t="shared" ref="E55:E63" si="4">SUM(B55:D55)*0.53</f>
        <v>-6072.0298000000003</v>
      </c>
      <c r="F55" s="1">
        <v>1000</v>
      </c>
      <c r="G55" s="1">
        <f t="shared" ref="G55:G63" si="5">SUM(B55:E55)*0.51</f>
        <v>-8939.6317980000003</v>
      </c>
      <c r="H55" s="1">
        <v>-1620</v>
      </c>
      <c r="J55" s="17">
        <f>SUM(B55:I55)</f>
        <v>-27088.321598000002</v>
      </c>
      <c r="K55" s="7"/>
    </row>
    <row r="56" spans="1:13" x14ac:dyDescent="0.25">
      <c r="A56" s="2" t="s">
        <v>5</v>
      </c>
      <c r="B56" s="7">
        <v>-5391.66</v>
      </c>
      <c r="C56" s="1">
        <v>2492</v>
      </c>
      <c r="D56" s="8">
        <v>-9987</v>
      </c>
      <c r="E56" s="1">
        <f t="shared" si="4"/>
        <v>-6829.9297999999999</v>
      </c>
      <c r="F56" s="1">
        <v>1000</v>
      </c>
      <c r="G56" s="1">
        <f t="shared" si="5"/>
        <v>-10055.460798</v>
      </c>
      <c r="H56" s="1">
        <v>-1300</v>
      </c>
      <c r="J56" s="17">
        <f>SUM(B56:I56)</f>
        <v>-30072.050598000002</v>
      </c>
      <c r="K56" s="7"/>
    </row>
    <row r="57" spans="1:13" x14ac:dyDescent="0.25">
      <c r="A57" s="11" t="s">
        <v>6</v>
      </c>
      <c r="B57" s="7">
        <v>-5391.66</v>
      </c>
      <c r="C57" s="12">
        <v>0</v>
      </c>
      <c r="D57" s="8">
        <v>-27464</v>
      </c>
      <c r="E57" s="12">
        <f>SUM(B57:D57)*0.53</f>
        <v>-17413.499800000001</v>
      </c>
      <c r="F57" s="1">
        <v>1000</v>
      </c>
      <c r="G57" s="12">
        <f t="shared" si="5"/>
        <v>-25637.271498000006</v>
      </c>
      <c r="H57" s="12">
        <v>-16500</v>
      </c>
      <c r="I57" s="12">
        <v>-16500</v>
      </c>
      <c r="J57" s="17">
        <f t="shared" ref="J57:J63" si="6">SUM(B57:I57)</f>
        <v>-107906.43129800001</v>
      </c>
      <c r="K57" s="13" t="s">
        <v>29</v>
      </c>
      <c r="L57" s="14"/>
      <c r="M57" s="14"/>
    </row>
    <row r="58" spans="1:13" x14ac:dyDescent="0.25">
      <c r="A58" s="2" t="s">
        <v>7</v>
      </c>
      <c r="B58" s="7">
        <v>-5391.66</v>
      </c>
      <c r="C58" s="1">
        <v>0</v>
      </c>
      <c r="D58" s="8">
        <v>-4470</v>
      </c>
      <c r="E58" s="1">
        <f t="shared" ref="E58:E66" si="7">SUM(B58:D58)*0.53</f>
        <v>-5226.6797999999999</v>
      </c>
      <c r="F58" s="1">
        <v>1000</v>
      </c>
      <c r="G58" s="1">
        <f t="shared" si="5"/>
        <v>-7695.0532979999998</v>
      </c>
      <c r="H58" s="1">
        <v>-26008</v>
      </c>
      <c r="J58" s="17">
        <f t="shared" si="6"/>
        <v>-47791.393098</v>
      </c>
    </row>
    <row r="59" spans="1:13" ht="15.75" x14ac:dyDescent="0.25">
      <c r="A59" s="2" t="s">
        <v>8</v>
      </c>
      <c r="B59" s="7">
        <v>-5391.66</v>
      </c>
      <c r="C59" s="1">
        <v>0</v>
      </c>
      <c r="D59" s="8"/>
      <c r="E59" s="1">
        <f>SUM(B59:D59)*0.53</f>
        <v>-2857.5798</v>
      </c>
      <c r="F59" s="1">
        <v>1000</v>
      </c>
      <c r="G59" s="1">
        <f t="shared" si="5"/>
        <v>-4207.112298</v>
      </c>
      <c r="H59" s="1">
        <v>-15000</v>
      </c>
      <c r="J59" s="17">
        <f t="shared" si="6"/>
        <v>-26456.352097999999</v>
      </c>
      <c r="K59" s="9"/>
    </row>
    <row r="60" spans="1:13" x14ac:dyDescent="0.25">
      <c r="A60" s="2" t="s">
        <v>10</v>
      </c>
      <c r="B60" s="7">
        <v>-5391.66</v>
      </c>
      <c r="C60" s="1">
        <v>-1246</v>
      </c>
      <c r="D60" s="8"/>
      <c r="E60" s="1">
        <f>SUM(B60:D60)*0.53</f>
        <v>-3517.9598000000001</v>
      </c>
      <c r="F60" s="1">
        <v>1000</v>
      </c>
      <c r="G60" s="1">
        <f t="shared" si="5"/>
        <v>-5179.3660980000004</v>
      </c>
      <c r="H60" s="1">
        <v>-61000</v>
      </c>
      <c r="J60" s="17">
        <f t="shared" si="6"/>
        <v>-75334.985897999999</v>
      </c>
    </row>
    <row r="61" spans="1:13" x14ac:dyDescent="0.25">
      <c r="A61" s="2" t="s">
        <v>11</v>
      </c>
      <c r="B61" s="7">
        <v>-5391.66</v>
      </c>
      <c r="C61" s="1">
        <v>-1246</v>
      </c>
      <c r="D61" s="8"/>
      <c r="E61" s="1">
        <f t="shared" ref="E61:E66" si="8">SUM(B61:D61)*0.53</f>
        <v>-3517.9598000000001</v>
      </c>
      <c r="F61" s="1">
        <v>1000</v>
      </c>
      <c r="G61" s="1">
        <f t="shared" si="5"/>
        <v>-5179.3660980000004</v>
      </c>
      <c r="H61" s="1">
        <v>-15250</v>
      </c>
      <c r="J61" s="17">
        <f t="shared" si="6"/>
        <v>-29584.985897999999</v>
      </c>
    </row>
    <row r="62" spans="1:13" x14ac:dyDescent="0.25">
      <c r="A62" s="2" t="s">
        <v>12</v>
      </c>
      <c r="B62" s="7">
        <v>-5391.66</v>
      </c>
      <c r="C62" s="1">
        <f>-1246*2</f>
        <v>-2492</v>
      </c>
      <c r="D62" s="8"/>
      <c r="E62" s="1">
        <f t="shared" si="8"/>
        <v>-4178.3397999999997</v>
      </c>
      <c r="F62" s="1">
        <v>1000</v>
      </c>
      <c r="G62" s="1">
        <f t="shared" si="5"/>
        <v>-6151.6198979999999</v>
      </c>
      <c r="I62" s="1">
        <v>-16500</v>
      </c>
      <c r="J62" s="17">
        <f t="shared" si="6"/>
        <v>-33713.619697999995</v>
      </c>
    </row>
    <row r="63" spans="1:13" x14ac:dyDescent="0.25">
      <c r="A63" s="2" t="s">
        <v>13</v>
      </c>
      <c r="B63" s="7">
        <v>-5391.66</v>
      </c>
      <c r="C63" s="1">
        <f>-1246*2</f>
        <v>-2492</v>
      </c>
      <c r="D63" s="8"/>
      <c r="E63" s="1">
        <f t="shared" si="8"/>
        <v>-4178.3397999999997</v>
      </c>
      <c r="F63" s="1">
        <v>1000</v>
      </c>
      <c r="G63" s="1">
        <f t="shared" si="5"/>
        <v>-6151.6198979999999</v>
      </c>
      <c r="J63" s="17">
        <f t="shared" si="6"/>
        <v>-17213.619697999999</v>
      </c>
    </row>
    <row r="64" spans="1:13" x14ac:dyDescent="0.25">
      <c r="A64" s="2"/>
      <c r="J64" t="s">
        <v>34</v>
      </c>
    </row>
    <row r="65" spans="1:10" x14ac:dyDescent="0.25">
      <c r="A65" s="16"/>
      <c r="B65" s="8">
        <f>SUM(B51:D63)</f>
        <v>-129493.92000000003</v>
      </c>
      <c r="C65" s="8"/>
      <c r="E65" s="1">
        <f>SUM(E52:E63)</f>
        <v>-68631.777599999987</v>
      </c>
      <c r="F65" s="8">
        <f>SUM(F52:F63)</f>
        <v>12000</v>
      </c>
      <c r="G65" s="1">
        <f>SUM(G52:G63)-G49</f>
        <v>-175263.22918006999</v>
      </c>
      <c r="H65" s="1">
        <f>SUM(H52:H63)-H49</f>
        <v>-164476.88</v>
      </c>
      <c r="I65" s="8">
        <f>SUM(I52:I63)+I49</f>
        <v>61313</v>
      </c>
      <c r="J65" s="7">
        <f>SUM(B65:I65)</f>
        <v>-464552.80678007007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Etchemendy</dc:creator>
  <cp:lastModifiedBy>Craig Dawe</cp:lastModifiedBy>
  <dcterms:created xsi:type="dcterms:W3CDTF">2014-01-03T17:18:40Z</dcterms:created>
  <dcterms:modified xsi:type="dcterms:W3CDTF">2016-09-23T01:45:35Z</dcterms:modified>
</cp:coreProperties>
</file>