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"/>
    </mc:Choice>
  </mc:AlternateContent>
  <bookViews>
    <workbookView xWindow="-12" yWindow="9960" windowWidth="19212" windowHeight="1536"/>
  </bookViews>
  <sheets>
    <sheet name="Sheet1" sheetId="1" r:id="rId1"/>
    <sheet name="Sheet2" sheetId="2" r:id="rId2"/>
    <sheet name="Sheet3" sheetId="3" r:id="rId3"/>
  </sheets>
  <calcPr calcId="162913" concurrentCalc="0"/>
</workbook>
</file>

<file path=xl/calcChain.xml><?xml version="1.0" encoding="utf-8"?>
<calcChain xmlns="http://schemas.openxmlformats.org/spreadsheetml/2006/main">
  <c r="H135" i="1" l="1"/>
  <c r="K138" i="1"/>
  <c r="F135" i="1"/>
  <c r="E135" i="1"/>
  <c r="B139" i="1"/>
  <c r="C139" i="1"/>
  <c r="B140" i="1"/>
  <c r="C140" i="1"/>
  <c r="B141" i="1"/>
  <c r="C141" i="1"/>
  <c r="B142" i="1"/>
  <c r="C142" i="1"/>
  <c r="D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35" i="1"/>
  <c r="E139" i="1"/>
  <c r="E140" i="1"/>
  <c r="E141" i="1"/>
  <c r="E142" i="1"/>
  <c r="E143" i="1"/>
  <c r="E144" i="1"/>
  <c r="E145" i="1"/>
  <c r="E146" i="1"/>
  <c r="E147" i="1"/>
  <c r="E148" i="1"/>
  <c r="E149" i="1"/>
  <c r="G139" i="1"/>
  <c r="G140" i="1"/>
  <c r="G141" i="1"/>
  <c r="G142" i="1"/>
  <c r="G143" i="1"/>
  <c r="G144" i="1"/>
  <c r="G145" i="1"/>
  <c r="G146" i="1"/>
  <c r="G147" i="1"/>
  <c r="G148" i="1"/>
  <c r="G149" i="1"/>
  <c r="G118" i="1"/>
  <c r="G135" i="1"/>
  <c r="J139" i="1"/>
  <c r="J140" i="1"/>
  <c r="J141" i="1"/>
  <c r="J135" i="1"/>
  <c r="K135" i="1"/>
  <c r="B150" i="1"/>
  <c r="C150" i="1"/>
  <c r="E150" i="1"/>
  <c r="G150" i="1"/>
  <c r="D129" i="1"/>
  <c r="C129" i="1"/>
  <c r="B129" i="1"/>
  <c r="M92" i="1"/>
  <c r="J126" i="1"/>
  <c r="J119" i="1"/>
  <c r="F115" i="1"/>
  <c r="J4" i="1"/>
  <c r="J94" i="1"/>
  <c r="J82" i="1"/>
  <c r="J83" i="1"/>
  <c r="J101" i="1"/>
  <c r="H4" i="1"/>
  <c r="H82" i="1"/>
  <c r="H83" i="1"/>
  <c r="H101" i="1"/>
  <c r="G4" i="1"/>
  <c r="G85" i="1"/>
  <c r="E86" i="1"/>
  <c r="G86" i="1"/>
  <c r="E87" i="1"/>
  <c r="G87" i="1"/>
  <c r="E88" i="1"/>
  <c r="G88" i="1"/>
  <c r="E89" i="1"/>
  <c r="G89" i="1"/>
  <c r="E90" i="1"/>
  <c r="G90" i="1"/>
  <c r="E91" i="1"/>
  <c r="G91" i="1"/>
  <c r="B92" i="1"/>
  <c r="C92" i="1"/>
  <c r="E92" i="1"/>
  <c r="G92" i="1"/>
  <c r="B93" i="1"/>
  <c r="C93" i="1"/>
  <c r="E93" i="1"/>
  <c r="G93" i="1"/>
  <c r="B94" i="1"/>
  <c r="C94" i="1"/>
  <c r="E94" i="1"/>
  <c r="G94" i="1"/>
  <c r="B95" i="1"/>
  <c r="C95" i="1"/>
  <c r="E95" i="1"/>
  <c r="G95" i="1"/>
  <c r="B96" i="1"/>
  <c r="C96" i="1"/>
  <c r="E96" i="1"/>
  <c r="G96" i="1"/>
  <c r="G82" i="1"/>
  <c r="G83" i="1"/>
  <c r="G101" i="1"/>
  <c r="E4" i="1"/>
  <c r="E82" i="1"/>
  <c r="E83" i="1"/>
  <c r="E101" i="1"/>
  <c r="B4" i="1"/>
  <c r="B82" i="1"/>
  <c r="B83" i="1"/>
  <c r="B101" i="1"/>
  <c r="F82" i="1"/>
  <c r="F83" i="1"/>
  <c r="I2" i="1"/>
  <c r="K2" i="1"/>
  <c r="K3" i="1"/>
  <c r="K4" i="1"/>
  <c r="I4" i="1"/>
  <c r="J129" i="1"/>
  <c r="J128" i="1"/>
  <c r="K36" i="1"/>
  <c r="K102" i="1"/>
  <c r="K69" i="1"/>
  <c r="F131" i="1"/>
  <c r="E127" i="1"/>
  <c r="G127" i="1"/>
  <c r="E126" i="1"/>
  <c r="G126" i="1"/>
  <c r="E125" i="1"/>
  <c r="E124" i="1"/>
  <c r="G124" i="1"/>
  <c r="E123" i="1"/>
  <c r="E122" i="1"/>
  <c r="G122" i="1"/>
  <c r="E121" i="1"/>
  <c r="E120" i="1"/>
  <c r="G120" i="1"/>
  <c r="F98" i="1"/>
  <c r="B98" i="1"/>
  <c r="G125" i="1"/>
  <c r="K125" i="1"/>
  <c r="G121" i="1"/>
  <c r="K121" i="1"/>
  <c r="K127" i="1"/>
  <c r="G123" i="1"/>
  <c r="K123" i="1"/>
  <c r="K120" i="1"/>
  <c r="K122" i="1"/>
  <c r="K124" i="1"/>
  <c r="K126" i="1"/>
  <c r="B131" i="1"/>
  <c r="E119" i="1"/>
  <c r="E128" i="1"/>
  <c r="E129" i="1"/>
  <c r="K86" i="1"/>
  <c r="K87" i="1"/>
  <c r="K88" i="1"/>
  <c r="K89" i="1"/>
  <c r="K90" i="1"/>
  <c r="K91" i="1"/>
  <c r="K92" i="1"/>
  <c r="K93" i="1"/>
  <c r="K94" i="1"/>
  <c r="E98" i="1"/>
  <c r="E131" i="1"/>
  <c r="G129" i="1"/>
  <c r="K129" i="1"/>
  <c r="G119" i="1"/>
  <c r="G128" i="1"/>
  <c r="K128" i="1"/>
  <c r="K95" i="1"/>
  <c r="K96" i="1"/>
  <c r="K119" i="1"/>
  <c r="H16" i="1"/>
  <c r="H32" i="1"/>
  <c r="L2" i="1"/>
  <c r="I32" i="1"/>
  <c r="F16" i="1"/>
  <c r="F32" i="1"/>
  <c r="H49" i="1"/>
  <c r="H65" i="1"/>
  <c r="F65" i="1"/>
  <c r="E59" i="1"/>
  <c r="G59" i="1"/>
  <c r="E58" i="1"/>
  <c r="E57" i="1"/>
  <c r="G57" i="1"/>
  <c r="E56" i="1"/>
  <c r="E55" i="1"/>
  <c r="G55" i="1"/>
  <c r="E54" i="1"/>
  <c r="F49" i="1"/>
  <c r="E29" i="1"/>
  <c r="B65" i="1"/>
  <c r="K57" i="1"/>
  <c r="K55" i="1"/>
  <c r="G52" i="1"/>
  <c r="E53" i="1"/>
  <c r="G53" i="1"/>
  <c r="K53" i="1"/>
  <c r="G54" i="1"/>
  <c r="K54" i="1"/>
  <c r="G56" i="1"/>
  <c r="K56" i="1"/>
  <c r="G58" i="1"/>
  <c r="K58" i="1"/>
  <c r="K59" i="1"/>
  <c r="E60" i="1"/>
  <c r="G60" i="1"/>
  <c r="K60" i="1"/>
  <c r="E61" i="1"/>
  <c r="G61" i="1"/>
  <c r="K61" i="1"/>
  <c r="E63" i="1"/>
  <c r="G63" i="1"/>
  <c r="E62" i="1"/>
  <c r="G62" i="1"/>
  <c r="K62" i="1"/>
  <c r="E65" i="1"/>
  <c r="K63" i="1"/>
  <c r="J16" i="1"/>
  <c r="H98" i="1"/>
  <c r="H115" i="1"/>
  <c r="H131" i="1"/>
  <c r="J65" i="1"/>
  <c r="E30" i="1"/>
  <c r="J115" i="1"/>
  <c r="J131" i="1"/>
  <c r="G30" i="1"/>
  <c r="E19" i="1"/>
  <c r="K30" i="1"/>
  <c r="G19" i="1"/>
  <c r="K19" i="1"/>
  <c r="J32" i="1"/>
  <c r="B16" i="1"/>
  <c r="B32" i="1"/>
  <c r="B49" i="1"/>
  <c r="O3" i="1"/>
  <c r="P6" i="1"/>
  <c r="O6" i="1"/>
  <c r="P8" i="1"/>
  <c r="P9" i="1"/>
  <c r="E20" i="1"/>
  <c r="E21" i="1"/>
  <c r="E22" i="1"/>
  <c r="E23" i="1"/>
  <c r="E24" i="1"/>
  <c r="E25" i="1"/>
  <c r="E26" i="1"/>
  <c r="E27" i="1"/>
  <c r="E28" i="1"/>
  <c r="G29" i="1"/>
  <c r="K29" i="1"/>
  <c r="E32" i="1"/>
  <c r="E16" i="1"/>
  <c r="B115" i="1"/>
  <c r="G22" i="1"/>
  <c r="K22" i="1"/>
  <c r="G21" i="1"/>
  <c r="K21" i="1"/>
  <c r="G28" i="1"/>
  <c r="K28" i="1"/>
  <c r="G20" i="1"/>
  <c r="G26" i="1"/>
  <c r="K26" i="1"/>
  <c r="G25" i="1"/>
  <c r="K25" i="1"/>
  <c r="G24" i="1"/>
  <c r="K24" i="1"/>
  <c r="G27" i="1"/>
  <c r="K27" i="1"/>
  <c r="G23" i="1"/>
  <c r="K23" i="1"/>
  <c r="G16" i="1"/>
  <c r="G32" i="1"/>
  <c r="E49" i="1"/>
  <c r="K20" i="1"/>
  <c r="K16" i="1"/>
  <c r="K35" i="1"/>
  <c r="K32" i="1"/>
  <c r="G49" i="1"/>
  <c r="G65" i="1"/>
  <c r="K65" i="1"/>
  <c r="E115" i="1"/>
  <c r="K49" i="1"/>
  <c r="K68" i="1"/>
  <c r="G98" i="1"/>
  <c r="K98" i="1"/>
  <c r="K82" i="1"/>
  <c r="K83" i="1"/>
  <c r="G115" i="1"/>
  <c r="K101" i="1"/>
  <c r="G131" i="1"/>
  <c r="K131" i="1"/>
  <c r="K115" i="1"/>
</calcChain>
</file>

<file path=xl/comments1.xml><?xml version="1.0" encoding="utf-8"?>
<comments xmlns="http://schemas.openxmlformats.org/spreadsheetml/2006/main">
  <authors>
    <author>Craig Dawe</author>
  </authors>
  <commentList>
    <comment ref="I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Routers $16,000
ODI connectors $18,000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B9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Thompson 25% time</t>
        </r>
      </text>
    </comment>
    <comment ref="C9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53 + McGill 40</t>
        </r>
      </text>
    </comment>
    <comment ref="F9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 LOM, Soundscape, Quest</t>
        </r>
      </text>
    </comment>
    <comment ref="C93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Machine shop + Dawe
</t>
        </r>
      </text>
    </comment>
    <comment ref="C9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25% Risi 80hrs</t>
        </r>
      </text>
    </comment>
    <comment ref="C95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53 Rosal 40
</t>
        </r>
      </text>
    </comment>
    <comment ref="F9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 LOM, Soundscape, Quest, Deep Sea Connect</t>
        </r>
      </text>
    </comment>
    <comment ref="C96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Dawe53 Schramm 23
</t>
        </r>
      </text>
    </comment>
    <comment ref="F98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J10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Increase in ship time for 5yr survey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MARS node Recovery 12hr RC</t>
        </r>
      </text>
    </comment>
    <comment ref="B120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+ 3% merrit increase</t>
        </r>
      </text>
    </comment>
    <comment ref="F120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UW,Soundscape, Quest,RyanNPS, Diemos
</t>
        </r>
      </text>
    </comment>
    <comment ref="J12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5yr HP support</t>
        </r>
      </text>
    </comment>
    <comment ref="F1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 Soundscape, Diemos, RyanNPS</t>
        </r>
      </text>
    </comment>
    <comment ref="F12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port fees UW, Soundscape, Diemos, RyanNPS,Quest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MARS node Recovery 12hr RC</t>
        </r>
      </text>
    </comment>
    <comment ref="F127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port fees UW, Soundscape, Diemos, RyanNPS, Quest failed
</t>
        </r>
      </text>
    </comment>
    <comment ref="D12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40%/2
</t>
        </r>
      </text>
    </comment>
    <comment ref="H12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Sample supplies</t>
        </r>
      </text>
    </comment>
    <comment ref="B129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DRT,DF 2019
</t>
        </r>
      </text>
    </comment>
    <comment ref="C129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Dawe,Mcgilll,Schram,Schnitger</t>
        </r>
      </text>
    </comment>
    <comment ref="D129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Survey Hrs
</t>
        </r>
      </text>
    </comment>
    <comment ref="F129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port fees UW recovered Dec15, Soundscape, Diemos, RyanNPS,DSC deployed Dec15</t>
        </r>
      </text>
    </comment>
    <comment ref="F13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F139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F140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F14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H14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Linda K Outside services contract
</t>
        </r>
      </text>
    </comment>
    <comment ref="F14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F14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RyanNPS,DSC, Smith SES 33%</t>
        </r>
      </text>
    </comment>
    <comment ref="F14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RyanNPS,DSC, Smith SE 50%</t>
        </r>
      </text>
    </comment>
  </commentList>
</comments>
</file>

<file path=xl/sharedStrings.xml><?xml version="1.0" encoding="utf-8"?>
<sst xmlns="http://schemas.openxmlformats.org/spreadsheetml/2006/main" count="172" uniqueCount="73">
  <si>
    <t>ship time</t>
  </si>
  <si>
    <t>jan</t>
  </si>
  <si>
    <t>feb</t>
  </si>
  <si>
    <t>mar</t>
  </si>
  <si>
    <t>apr</t>
  </si>
  <si>
    <t>may</t>
  </si>
  <si>
    <t>jun</t>
  </si>
  <si>
    <t>jul</t>
  </si>
  <si>
    <t>aug</t>
  </si>
  <si>
    <t>labor MARS Technician</t>
  </si>
  <si>
    <t>sep</t>
  </si>
  <si>
    <t>oct</t>
  </si>
  <si>
    <t>nov</t>
  </si>
  <si>
    <t>dec</t>
  </si>
  <si>
    <t>Science (Survey techs)</t>
  </si>
  <si>
    <t>expenses</t>
  </si>
  <si>
    <t>fringe 53%</t>
  </si>
  <si>
    <t>income</t>
  </si>
  <si>
    <t>labor MARS Manager</t>
  </si>
  <si>
    <t>sum of income -labor</t>
  </si>
  <si>
    <t>indirect</t>
  </si>
  <si>
    <t>End of year projection</t>
  </si>
  <si>
    <t>labor for biological survery</t>
  </si>
  <si>
    <t>and Engineering suport</t>
  </si>
  <si>
    <t>Calculated</t>
  </si>
  <si>
    <t>used</t>
  </si>
  <si>
    <t>Data Analysis and Report Writing</t>
  </si>
  <si>
    <t>Total</t>
  </si>
  <si>
    <t>flyer</t>
  </si>
  <si>
    <t>Broke July 1st</t>
  </si>
  <si>
    <t>Yr 3 Award</t>
  </si>
  <si>
    <t>03012017- 02282018</t>
  </si>
  <si>
    <t>Costs for 2017</t>
  </si>
  <si>
    <t>fringe 56%</t>
  </si>
  <si>
    <t>remaining</t>
  </si>
  <si>
    <t>Feb 28,2017</t>
  </si>
  <si>
    <t>Capitol</t>
  </si>
  <si>
    <t>annual total</t>
  </si>
  <si>
    <t>Yr 4 Award</t>
  </si>
  <si>
    <t>03012018- 02282019</t>
  </si>
  <si>
    <t>Yr 5 Award</t>
  </si>
  <si>
    <t>03012019- 02282020</t>
  </si>
  <si>
    <t>Project award income</t>
  </si>
  <si>
    <t>Award</t>
  </si>
  <si>
    <t>Craig Dawe</t>
  </si>
  <si>
    <t>Duane Thompson</t>
  </si>
  <si>
    <t>Rich Schramm</t>
  </si>
  <si>
    <t>Michael Risi</t>
  </si>
  <si>
    <t>Paul McGill</t>
  </si>
  <si>
    <t>Peter Walz</t>
  </si>
  <si>
    <t>Ray Thompson</t>
  </si>
  <si>
    <t>Doug Pargett</t>
  </si>
  <si>
    <t xml:space="preserve">Jose Rosal </t>
  </si>
  <si>
    <t>Ed Mellinger</t>
  </si>
  <si>
    <t>WF /DR</t>
  </si>
  <si>
    <t>Carson Ventana 2018</t>
  </si>
  <si>
    <t>Current status 2018</t>
  </si>
  <si>
    <t>project award income</t>
  </si>
  <si>
    <t>Linda Khunz</t>
  </si>
  <si>
    <t>5 yr survey, increase in ship time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</si>
  <si>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</si>
  <si>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</si>
  <si>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</si>
  <si>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</si>
  <si>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</si>
  <si>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</si>
  <si>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</si>
  <si>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</si>
  <si>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</si>
  <si>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</si>
  <si>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</si>
  <si>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</si>
  <si>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01-02-2019 - 02-28-2019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</si>
</sst>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35">
    <xf numFmtId="0" fontId="0" fillId="0" borderId="0" xfId="0"/>
    <xf numFmtId="44" fontId="0" fillId="0" borderId="0" xfId="1" applyFont="1"/>
    <xf numFmtId="14" fontId="0" fillId="0" borderId="0" xfId="0" applyNumberFormat="1"/>
    <xf numFmtId="0" fontId="0" fillId="2" borderId="0" xfId="0" applyFill="1"/>
    <xf numFmtId="44" fontId="0" fillId="2" borderId="0" xfId="1" applyFont="1" applyFill="1"/>
    <xf numFmtId="14" fontId="0" fillId="2" borderId="0" xfId="0" applyNumberFormat="1" applyFill="1"/>
    <xf numFmtId="1" fontId="0" fillId="0" borderId="0" xfId="0" applyNumberFormat="1"/>
    <xf numFmtId="44" fontId="0" fillId="0" borderId="0" xfId="0" applyNumberFormat="1"/>
    <xf numFmtId="44" fontId="0" fillId="0" borderId="0" xfId="1" applyFont="1" applyFill="1"/>
    <xf numFmtId="0" fontId="2" fillId="0" borderId="0" xfId="0" applyFont="1"/>
    <xf numFmtId="6" fontId="0" fillId="0" borderId="0" xfId="0" applyNumberFormat="1"/>
    <xf numFmtId="14" fontId="0" fillId="3" borderId="0" xfId="0" applyNumberFormat="1" applyFill="1"/>
    <xf numFmtId="44" fontId="0" fillId="3" borderId="0" xfId="1" applyFont="1" applyFill="1"/>
    <xf numFmtId="0" fontId="3" fillId="3" borderId="0" xfId="0" applyFont="1" applyFill="1"/>
    <xf numFmtId="0" fontId="0" fillId="3" borderId="0" xfId="0" applyFill="1"/>
    <xf numFmtId="14" fontId="0" fillId="0" borderId="0" xfId="0" applyNumberFormat="1" applyFill="1"/>
    <xf numFmtId="0" fontId="0" fillId="0" borderId="0" xfId="0" applyFill="1"/>
    <xf numFmtId="44" fontId="0" fillId="0" borderId="0" xfId="0" applyNumberFormat="1" applyFill="1"/>
    <xf numFmtId="164" fontId="0" fillId="0" borderId="0" xfId="0" applyNumberFormat="1"/>
    <xf numFmtId="164" fontId="0" fillId="2" borderId="0" xfId="1" applyNumberFormat="1" applyFont="1" applyFill="1"/>
    <xf numFmtId="164" fontId="0" fillId="0" borderId="0" xfId="1" applyNumberFormat="1" applyFont="1"/>
    <xf numFmtId="0" fontId="0" fillId="4" borderId="0" xfId="2" applyFont="1" applyProtection="1">
      <protection locked="0"/>
    </xf>
    <xf numFmtId="164" fontId="1" fillId="4" borderId="0" xfId="2" applyNumberFormat="1" applyProtection="1">
      <protection locked="0"/>
    </xf>
    <xf numFmtId="164" fontId="0" fillId="5" borderId="0" xfId="0" applyNumberFormat="1" applyFill="1"/>
    <xf numFmtId="17" fontId="0" fillId="0" borderId="0" xfId="0" applyNumberFormat="1"/>
    <xf numFmtId="0" fontId="6" fillId="0" borderId="0" xfId="0" applyFont="1"/>
    <xf numFmtId="39" fontId="0" fillId="0" borderId="0" xfId="0" applyNumberFormat="1"/>
    <xf numFmtId="39" fontId="0" fillId="0" borderId="0" xfId="1" applyNumberFormat="1" applyFont="1"/>
    <xf numFmtId="39" fontId="0" fillId="3" borderId="0" xfId="1" applyNumberFormat="1" applyFont="1" applyFill="1"/>
    <xf numFmtId="39" fontId="0" fillId="0" borderId="0" xfId="1" applyNumberFormat="1" applyFont="1" applyFill="1"/>
    <xf numFmtId="39" fontId="0" fillId="2" borderId="0" xfId="1" applyNumberFormat="1" applyFont="1" applyFill="1"/>
    <xf numFmtId="39" fontId="0" fillId="0" borderId="0" xfId="0" applyNumberFormat="1" applyFill="1"/>
    <xf numFmtId="16" fontId="0" fillId="0" borderId="0" xfId="0" applyNumberFormat="1"/>
    <xf numFmtId="39" fontId="9" fillId="0" borderId="0" xfId="1" applyNumberFormat="1" applyFont="1"/>
    <xf numFmtId="7" fontId="0" fillId="2" borderId="0" xfId="1" applyNumberFormat="1" applyFont="1" applyFill="1"/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tabSelected="1" topLeftCell="A120" zoomScaleNormal="100" workbookViewId="0">
      <selection activeCell="H135" sqref="H135"/>
    </sheetView>
  </sheetViews>
  <sheetFormatPr defaultRowHeight="14.4" x14ac:dyDescent="0.3"/>
  <cols>
    <col min="1" max="1" width="21.109375" customWidth="1"/>
    <col min="2" max="2" width="21.109375" style="1" customWidth="1"/>
    <col min="3" max="3" width="17.5546875" style="1" customWidth="1"/>
    <col min="4" max="4" width="16.33203125" style="1" customWidth="1"/>
    <col min="5" max="5" width="15.33203125" style="1" customWidth="1"/>
    <col min="6" max="6" width="11.88671875" style="1" customWidth="1"/>
    <col min="7" max="7" width="15.5546875" style="1" customWidth="1"/>
    <col min="8" max="8" width="13.109375" style="1" customWidth="1"/>
    <col min="9" max="9" width="14.44140625" style="1" customWidth="1"/>
    <col min="10" max="10" width="13" style="27" customWidth="1"/>
    <col min="11" max="11" width="14" style="26" customWidth="1"/>
    <col min="12" max="28" width="21.109375" customWidth="1"/>
  </cols>
  <sheetData>
    <row r="1" spans="1:16" x14ac:dyDescent="0.3">
      <c r="A1" s="3" t="s">
        <v>56</v>
      </c>
      <c r="B1" s="4" t="s">
        <v>9</v>
      </c>
      <c r="C1" s="4" t="s">
        <v>18</v>
      </c>
      <c r="D1" s="4" t="s">
        <v>14</v>
      </c>
      <c r="E1" s="4" t="s">
        <v>33</v>
      </c>
      <c r="F1" s="4" t="s">
        <v>17</v>
      </c>
      <c r="G1" s="4" t="s">
        <v>20</v>
      </c>
      <c r="H1" s="4" t="s">
        <v>15</v>
      </c>
      <c r="I1" s="4" t="s">
        <v>36</v>
      </c>
      <c r="J1" s="30" t="s">
        <v>0</v>
      </c>
      <c r="K1" s="30" t="s">
        <v>27</v>
      </c>
      <c r="L1" s="4" t="s">
        <v>34</v>
      </c>
      <c r="M1" s="4" t="s">
        <v>43</v>
      </c>
    </row>
    <row r="2" spans="1:16" x14ac:dyDescent="0.3">
      <c r="A2" s="5">
        <v>43299</v>
      </c>
      <c r="B2" s="8">
        <v>286050.13</v>
      </c>
      <c r="C2" s="4" t="s">
        <v>23</v>
      </c>
      <c r="D2" s="4" t="s">
        <v>22</v>
      </c>
      <c r="E2" s="8">
        <v>160188.07</v>
      </c>
      <c r="F2" s="4"/>
      <c r="G2" s="8">
        <v>291969.59999999998</v>
      </c>
      <c r="H2" s="8">
        <v>126251.21</v>
      </c>
      <c r="I2" s="8">
        <f>32319+9141</f>
        <v>41460</v>
      </c>
      <c r="J2" s="29">
        <v>58350</v>
      </c>
      <c r="K2" s="26">
        <f>B2+E2+G2+H2+I2+J2</f>
        <v>964269.01</v>
      </c>
      <c r="L2" s="4">
        <f>SUM(M2,-K2)</f>
        <v>585390.99</v>
      </c>
      <c r="M2" s="4">
        <v>1549660</v>
      </c>
    </row>
    <row r="3" spans="1:16" x14ac:dyDescent="0.3">
      <c r="A3" s="2" t="s">
        <v>57</v>
      </c>
      <c r="B3" s="1">
        <v>462504</v>
      </c>
      <c r="E3" s="1">
        <v>259004</v>
      </c>
      <c r="G3" s="1">
        <v>425672</v>
      </c>
      <c r="H3" s="1">
        <v>113141</v>
      </c>
      <c r="I3" s="1">
        <v>50419</v>
      </c>
      <c r="J3" s="27">
        <v>238920</v>
      </c>
      <c r="K3" s="26">
        <f>SUM(B3:J3)</f>
        <v>1549660</v>
      </c>
      <c r="O3" s="7">
        <f>B2+E2</f>
        <v>446238.2</v>
      </c>
    </row>
    <row r="4" spans="1:16" x14ac:dyDescent="0.3">
      <c r="A4" s="2" t="s">
        <v>34</v>
      </c>
      <c r="B4" s="1">
        <f>B3-B2</f>
        <v>176453.87</v>
      </c>
      <c r="E4" s="1">
        <f>E3-E2</f>
        <v>98815.93</v>
      </c>
      <c r="G4" s="1">
        <f>G3-G2</f>
        <v>133702.40000000002</v>
      </c>
      <c r="H4" s="1">
        <f>H3-H2</f>
        <v>-13110.210000000006</v>
      </c>
      <c r="I4" s="1">
        <f>I3-I2</f>
        <v>8959</v>
      </c>
      <c r="J4" s="27">
        <f>J3-J2</f>
        <v>180570</v>
      </c>
      <c r="K4" s="27">
        <f>SUM(K3,-K2)</f>
        <v>585390.99</v>
      </c>
      <c r="P4" s="7"/>
    </row>
    <row r="5" spans="1:16" x14ac:dyDescent="0.3">
      <c r="A5" s="7"/>
      <c r="P5" t="s">
        <v>24</v>
      </c>
    </row>
    <row r="6" spans="1:16" x14ac:dyDescent="0.3">
      <c r="A6" s="2"/>
      <c r="N6">
        <v>33589</v>
      </c>
      <c r="O6">
        <f>L6+N6</f>
        <v>33589</v>
      </c>
      <c r="P6" s="7">
        <f>(B3+C3)*1.53*4</f>
        <v>2830524.48</v>
      </c>
    </row>
    <row r="7" spans="1:16" x14ac:dyDescent="0.3">
      <c r="A7" s="2"/>
      <c r="L7" s="7"/>
      <c r="M7" s="7"/>
      <c r="P7" t="s">
        <v>25</v>
      </c>
    </row>
    <row r="8" spans="1:16" x14ac:dyDescent="0.3">
      <c r="A8" s="2"/>
      <c r="L8" s="7"/>
      <c r="M8" s="7"/>
      <c r="N8" s="21" t="s">
        <v>44</v>
      </c>
      <c r="O8" s="22">
        <v>82.640799999999999</v>
      </c>
      <c r="P8" s="7">
        <f>O3-O6</f>
        <v>412649.2</v>
      </c>
    </row>
    <row r="9" spans="1:16" x14ac:dyDescent="0.3">
      <c r="A9" s="2"/>
      <c r="L9" s="7"/>
      <c r="M9" s="7"/>
      <c r="N9" s="21" t="s">
        <v>45</v>
      </c>
      <c r="O9" s="23">
        <v>60.37</v>
      </c>
      <c r="P9" s="7">
        <f>(P8+P6)/4</f>
        <v>810793.42</v>
      </c>
    </row>
    <row r="10" spans="1:16" x14ac:dyDescent="0.3">
      <c r="A10" s="15"/>
      <c r="B10" s="8"/>
      <c r="C10" s="8"/>
      <c r="D10" s="8"/>
      <c r="E10" s="8"/>
      <c r="F10" s="8"/>
      <c r="G10" s="8"/>
      <c r="L10" s="7"/>
      <c r="M10" s="7"/>
      <c r="N10" s="21" t="s">
        <v>46</v>
      </c>
      <c r="O10" s="22">
        <v>75.445899999999995</v>
      </c>
    </row>
    <row r="11" spans="1:16" s="3" customFormat="1" x14ac:dyDescent="0.3">
      <c r="A11" s="15"/>
      <c r="B11" s="8"/>
      <c r="C11" s="16"/>
      <c r="D11" s="8"/>
      <c r="E11" s="8"/>
      <c r="F11" s="8"/>
      <c r="G11" s="8"/>
      <c r="H11" s="8"/>
      <c r="I11" s="8"/>
      <c r="J11" s="29"/>
      <c r="K11" s="31"/>
      <c r="L11" s="7"/>
      <c r="M11" s="7"/>
      <c r="N11" s="21" t="s">
        <v>47</v>
      </c>
      <c r="O11" s="22">
        <v>85.39</v>
      </c>
    </row>
    <row r="12" spans="1:16" x14ac:dyDescent="0.3">
      <c r="A12" s="15"/>
      <c r="B12" s="8"/>
      <c r="C12" s="8"/>
      <c r="D12" s="8"/>
      <c r="E12" s="8"/>
      <c r="F12" s="8"/>
      <c r="G12" s="8"/>
      <c r="H12" s="8"/>
      <c r="I12" s="8"/>
      <c r="J12" s="29"/>
      <c r="K12" s="31"/>
      <c r="L12" s="17"/>
      <c r="M12" s="17"/>
      <c r="N12" s="21" t="s">
        <v>48</v>
      </c>
      <c r="O12" s="22">
        <v>85.393199999999993</v>
      </c>
    </row>
    <row r="13" spans="1:16" x14ac:dyDescent="0.3">
      <c r="A13" s="15"/>
      <c r="B13" s="8"/>
      <c r="C13" s="8"/>
      <c r="D13" s="8"/>
      <c r="E13" s="8"/>
      <c r="F13" s="8"/>
      <c r="G13" s="8"/>
      <c r="H13" s="8"/>
      <c r="I13" s="8"/>
      <c r="J13" s="29"/>
      <c r="K13" s="31"/>
      <c r="L13" s="17"/>
      <c r="M13" s="17"/>
      <c r="N13" s="21" t="s">
        <v>49</v>
      </c>
      <c r="O13" s="22">
        <v>48.8</v>
      </c>
    </row>
    <row r="14" spans="1:16" x14ac:dyDescent="0.3">
      <c r="A14" s="2"/>
      <c r="D14" s="8"/>
      <c r="L14" s="7"/>
      <c r="M14" s="7"/>
      <c r="N14" s="21" t="s">
        <v>50</v>
      </c>
      <c r="O14" s="22">
        <v>52.941699999999997</v>
      </c>
    </row>
    <row r="15" spans="1:16" x14ac:dyDescent="0.3">
      <c r="A15" s="2"/>
      <c r="L15" s="7" t="s">
        <v>28</v>
      </c>
      <c r="M15" s="7"/>
      <c r="N15" s="21" t="s">
        <v>51</v>
      </c>
      <c r="O15" s="22">
        <v>75.900000000000006</v>
      </c>
    </row>
    <row r="16" spans="1:16" x14ac:dyDescent="0.3">
      <c r="A16" s="5" t="s">
        <v>19</v>
      </c>
      <c r="B16" s="4">
        <f>SUM(B19:D30)+B2</f>
        <v>286050.13</v>
      </c>
      <c r="C16" s="4"/>
      <c r="D16" s="4"/>
      <c r="E16" s="4">
        <f>SUM(E19:E30)+E2</f>
        <v>160188.07</v>
      </c>
      <c r="F16" s="4">
        <f>SUM(F19:F30)</f>
        <v>0</v>
      </c>
      <c r="G16" s="4">
        <f>SUM(G19:G30)+G2</f>
        <v>291969.59999999998</v>
      </c>
      <c r="H16" s="4">
        <f>SUM(H19:H30)+H2</f>
        <v>126251.21</v>
      </c>
      <c r="I16" s="4">
        <v>41460</v>
      </c>
      <c r="J16" s="30">
        <f>SUM(J19:J22)+J2</f>
        <v>58350</v>
      </c>
      <c r="K16" s="26">
        <f>SUM(B16:J16)</f>
        <v>964269.01</v>
      </c>
      <c r="N16" s="21" t="s">
        <v>52</v>
      </c>
      <c r="O16" s="22">
        <v>55.99</v>
      </c>
    </row>
    <row r="17" spans="1:15" x14ac:dyDescent="0.3">
      <c r="A17" s="5" t="s">
        <v>21</v>
      </c>
      <c r="N17" s="21" t="s">
        <v>53</v>
      </c>
      <c r="O17" s="22">
        <v>78.63</v>
      </c>
    </row>
    <row r="18" spans="1:15" x14ac:dyDescent="0.3">
      <c r="A18" s="6" t="s">
        <v>35</v>
      </c>
      <c r="D18" s="8"/>
      <c r="N18" s="21" t="s">
        <v>58</v>
      </c>
      <c r="O18" s="22">
        <v>44.13</v>
      </c>
    </row>
    <row r="19" spans="1:15" x14ac:dyDescent="0.3">
      <c r="A19" s="2" t="s">
        <v>3</v>
      </c>
      <c r="B19" s="1">
        <v>0</v>
      </c>
      <c r="C19" s="1">
        <v>0</v>
      </c>
      <c r="D19" s="8"/>
      <c r="E19" s="1">
        <f>SUM(B19:D19)*0.53</f>
        <v>0</v>
      </c>
      <c r="G19" s="1">
        <f>SUM(B19:E19)*0.51</f>
        <v>0</v>
      </c>
      <c r="K19" s="31">
        <f>SUM(B19:J19)</f>
        <v>0</v>
      </c>
      <c r="L19" s="7"/>
      <c r="M19" s="7"/>
      <c r="N19" t="s">
        <v>55</v>
      </c>
      <c r="O19" s="10">
        <v>18980</v>
      </c>
    </row>
    <row r="20" spans="1:15" x14ac:dyDescent="0.3">
      <c r="A20" s="2" t="s">
        <v>4</v>
      </c>
      <c r="B20" s="1">
        <v>0</v>
      </c>
      <c r="C20" s="1">
        <v>0</v>
      </c>
      <c r="D20" s="8"/>
      <c r="E20" s="1">
        <f t="shared" ref="E20:E28" si="0">SUM(B20:D20)*0.53</f>
        <v>0</v>
      </c>
      <c r="G20" s="1">
        <f t="shared" ref="G20:G28" si="1">SUM(B20:E20)*0.51</f>
        <v>0</v>
      </c>
      <c r="K20" s="31">
        <f>SUM(B20:J20)</f>
        <v>0</v>
      </c>
      <c r="L20" s="7"/>
      <c r="M20" s="7"/>
      <c r="N20" s="10" t="s">
        <v>54</v>
      </c>
      <c r="O20" s="22">
        <v>31100</v>
      </c>
    </row>
    <row r="21" spans="1:15" x14ac:dyDescent="0.3">
      <c r="A21" s="2" t="s">
        <v>5</v>
      </c>
      <c r="B21" s="1">
        <v>0</v>
      </c>
      <c r="C21" s="1">
        <v>0</v>
      </c>
      <c r="D21" s="8"/>
      <c r="E21" s="1">
        <f t="shared" si="0"/>
        <v>0</v>
      </c>
      <c r="G21" s="1">
        <f t="shared" si="1"/>
        <v>0</v>
      </c>
      <c r="K21" s="31">
        <f>SUM(B21:J21)</f>
        <v>0</v>
      </c>
      <c r="L21" s="7"/>
      <c r="M21" s="7"/>
    </row>
    <row r="22" spans="1:15" x14ac:dyDescent="0.3">
      <c r="A22" s="11" t="s">
        <v>6</v>
      </c>
      <c r="B22" s="12">
        <v>0</v>
      </c>
      <c r="C22" s="12">
        <v>0</v>
      </c>
      <c r="D22" s="8"/>
      <c r="E22" s="12">
        <f>SUM(B22:D22)*0.53</f>
        <v>0</v>
      </c>
      <c r="F22" s="12"/>
      <c r="G22" s="12">
        <f t="shared" si="1"/>
        <v>0</v>
      </c>
      <c r="H22" s="12"/>
      <c r="I22" s="12"/>
      <c r="J22" s="28"/>
      <c r="K22" s="31">
        <f t="shared" ref="K22:K28" si="2">SUM(B22:J22)</f>
        <v>0</v>
      </c>
      <c r="L22" s="7"/>
      <c r="M22" s="7"/>
    </row>
    <row r="23" spans="1:15" x14ac:dyDescent="0.3">
      <c r="A23" s="2" t="s">
        <v>7</v>
      </c>
      <c r="B23" s="1">
        <v>0</v>
      </c>
      <c r="C23" s="1">
        <v>0</v>
      </c>
      <c r="D23" s="8"/>
      <c r="E23" s="1">
        <f t="shared" si="0"/>
        <v>0</v>
      </c>
      <c r="G23" s="1">
        <f t="shared" si="1"/>
        <v>0</v>
      </c>
      <c r="K23" s="31">
        <f t="shared" si="2"/>
        <v>0</v>
      </c>
      <c r="L23" s="7"/>
      <c r="M23" s="7"/>
    </row>
    <row r="24" spans="1:15" s="14" customFormat="1" x14ac:dyDescent="0.3">
      <c r="A24" s="2" t="s">
        <v>8</v>
      </c>
      <c r="B24" s="1">
        <v>0</v>
      </c>
      <c r="C24" s="1">
        <v>0</v>
      </c>
      <c r="D24" s="8"/>
      <c r="E24" s="1">
        <f>SUM(B24:D24)*0.53</f>
        <v>0</v>
      </c>
      <c r="F24" s="1"/>
      <c r="G24" s="1">
        <f t="shared" si="1"/>
        <v>0</v>
      </c>
      <c r="H24" s="1"/>
      <c r="I24" s="1"/>
      <c r="J24" s="27"/>
      <c r="K24" s="31">
        <f t="shared" si="2"/>
        <v>0</v>
      </c>
      <c r="L24" s="13" t="s">
        <v>29</v>
      </c>
      <c r="M24" s="13"/>
    </row>
    <row r="25" spans="1:15" x14ac:dyDescent="0.3">
      <c r="A25" s="2" t="s">
        <v>10</v>
      </c>
      <c r="D25" s="8"/>
      <c r="E25" s="1">
        <f>SUM(B25:D25)*0.53</f>
        <v>0</v>
      </c>
      <c r="G25" s="1">
        <f t="shared" si="1"/>
        <v>0</v>
      </c>
      <c r="K25" s="31">
        <f t="shared" si="2"/>
        <v>0</v>
      </c>
    </row>
    <row r="26" spans="1:15" ht="15.6" x14ac:dyDescent="0.3">
      <c r="A26" s="2" t="s">
        <v>11</v>
      </c>
      <c r="D26" s="8"/>
      <c r="E26" s="1">
        <f t="shared" si="0"/>
        <v>0</v>
      </c>
      <c r="G26" s="1">
        <f t="shared" si="1"/>
        <v>0</v>
      </c>
      <c r="K26" s="31">
        <f t="shared" si="2"/>
        <v>0</v>
      </c>
      <c r="L26" s="25"/>
      <c r="M26" s="9"/>
    </row>
    <row r="27" spans="1:15" x14ac:dyDescent="0.3">
      <c r="A27" s="2" t="s">
        <v>12</v>
      </c>
      <c r="D27" s="8"/>
      <c r="E27" s="1">
        <f t="shared" si="0"/>
        <v>0</v>
      </c>
      <c r="G27" s="1">
        <f t="shared" si="1"/>
        <v>0</v>
      </c>
      <c r="K27" s="31">
        <f t="shared" si="2"/>
        <v>0</v>
      </c>
    </row>
    <row r="28" spans="1:15" x14ac:dyDescent="0.3">
      <c r="A28" s="2" t="s">
        <v>13</v>
      </c>
      <c r="D28" s="8"/>
      <c r="E28" s="1">
        <f t="shared" si="0"/>
        <v>0</v>
      </c>
      <c r="G28" s="1">
        <f t="shared" si="1"/>
        <v>0</v>
      </c>
      <c r="K28" s="31">
        <f t="shared" si="2"/>
        <v>0</v>
      </c>
    </row>
    <row r="29" spans="1:15" x14ac:dyDescent="0.3">
      <c r="A29" s="2" t="s">
        <v>1</v>
      </c>
      <c r="D29" s="8"/>
      <c r="E29" s="1">
        <f>SUM(B29:D29)*0.53</f>
        <v>0</v>
      </c>
      <c r="G29" s="1">
        <f>SUM(B29:E29)*0.51</f>
        <v>0</v>
      </c>
      <c r="K29" s="31">
        <f>SUM(B29:J29)</f>
        <v>0</v>
      </c>
    </row>
    <row r="30" spans="1:15" x14ac:dyDescent="0.3">
      <c r="A30" s="2" t="s">
        <v>2</v>
      </c>
      <c r="D30" s="8"/>
      <c r="E30" s="1">
        <f>SUM(B30:D30)*0.53</f>
        <v>0</v>
      </c>
      <c r="G30" s="1">
        <f>SUM(B30:E30)*0.51</f>
        <v>0</v>
      </c>
      <c r="H30" s="8"/>
      <c r="I30" s="8"/>
      <c r="K30" s="31">
        <f>SUM(B30:J30)</f>
        <v>0</v>
      </c>
    </row>
    <row r="31" spans="1:15" x14ac:dyDescent="0.3">
      <c r="A31" s="2"/>
    </row>
    <row r="32" spans="1:15" x14ac:dyDescent="0.3">
      <c r="A32" s="16"/>
      <c r="B32" s="8">
        <f>SUM(B18:D30)</f>
        <v>0</v>
      </c>
      <c r="C32" s="8"/>
      <c r="E32" s="1">
        <f>SUM(E19:E30)</f>
        <v>0</v>
      </c>
      <c r="F32" s="8">
        <f>SUM(F19:F30)</f>
        <v>0</v>
      </c>
      <c r="G32" s="1">
        <f>SUM(G19:G30)+G16</f>
        <v>291969.59999999998</v>
      </c>
      <c r="H32" s="1">
        <f>SUM(H19:H30)+H16</f>
        <v>126251.21</v>
      </c>
      <c r="I32" s="1">
        <f>SUM(I19:I30)</f>
        <v>0</v>
      </c>
      <c r="J32" s="29">
        <f>SUM(J19:J28)+J16</f>
        <v>58350</v>
      </c>
      <c r="K32" s="26">
        <f>SUM(B32:J32)</f>
        <v>476570.81</v>
      </c>
    </row>
    <row r="34" spans="1:15" x14ac:dyDescent="0.3">
      <c r="A34" s="3" t="s">
        <v>30</v>
      </c>
      <c r="B34" s="4" t="s">
        <v>9</v>
      </c>
      <c r="C34" s="4" t="s">
        <v>18</v>
      </c>
      <c r="D34" s="4" t="s">
        <v>14</v>
      </c>
      <c r="E34" s="4" t="s">
        <v>16</v>
      </c>
      <c r="F34" s="4" t="s">
        <v>17</v>
      </c>
      <c r="G34" s="4" t="s">
        <v>20</v>
      </c>
      <c r="H34" s="4" t="s">
        <v>15</v>
      </c>
      <c r="I34" s="4"/>
      <c r="J34" s="30" t="s">
        <v>0</v>
      </c>
      <c r="K34" s="30" t="s">
        <v>27</v>
      </c>
      <c r="L34" s="4"/>
      <c r="M34" s="4"/>
    </row>
    <row r="35" spans="1:15" x14ac:dyDescent="0.3">
      <c r="A35" s="5" t="s">
        <v>31</v>
      </c>
      <c r="B35" s="8"/>
      <c r="C35" s="4" t="s">
        <v>23</v>
      </c>
      <c r="D35" s="4" t="s">
        <v>22</v>
      </c>
      <c r="E35" s="8"/>
      <c r="F35" s="4"/>
      <c r="G35" s="8"/>
      <c r="H35" s="8"/>
      <c r="I35" s="8"/>
      <c r="J35" s="29"/>
      <c r="K35" s="26">
        <f>B35+E35+G35+H35+I35+J35</f>
        <v>0</v>
      </c>
      <c r="L35" s="4"/>
      <c r="M35" s="4"/>
      <c r="N35" s="4"/>
    </row>
    <row r="36" spans="1:15" x14ac:dyDescent="0.3">
      <c r="A36" s="2" t="s">
        <v>42</v>
      </c>
      <c r="B36" s="1">
        <v>105240</v>
      </c>
      <c r="E36" s="1">
        <v>58935</v>
      </c>
      <c r="G36" s="1">
        <v>99189</v>
      </c>
      <c r="H36" s="1">
        <v>22450</v>
      </c>
      <c r="J36" s="27">
        <v>76823</v>
      </c>
      <c r="K36" s="26">
        <f>SUM(B36:J36)</f>
        <v>362637</v>
      </c>
      <c r="O36" s="7"/>
    </row>
    <row r="37" spans="1:15" x14ac:dyDescent="0.3">
      <c r="A37" s="2"/>
    </row>
    <row r="38" spans="1:15" x14ac:dyDescent="0.3">
      <c r="A38" s="7"/>
    </row>
    <row r="39" spans="1:15" x14ac:dyDescent="0.3">
      <c r="A39" s="2"/>
    </row>
    <row r="40" spans="1:15" x14ac:dyDescent="0.3">
      <c r="A40" s="2"/>
      <c r="L40" s="7"/>
      <c r="M40" s="7"/>
    </row>
    <row r="41" spans="1:15" x14ac:dyDescent="0.3">
      <c r="A41" s="2"/>
      <c r="L41" s="7"/>
      <c r="M41" s="7"/>
    </row>
    <row r="42" spans="1:15" x14ac:dyDescent="0.3">
      <c r="A42" s="2"/>
      <c r="L42" s="7"/>
      <c r="M42" s="7"/>
    </row>
    <row r="43" spans="1:15" x14ac:dyDescent="0.3">
      <c r="A43" s="15"/>
      <c r="B43" s="8"/>
      <c r="C43" s="8"/>
      <c r="D43" s="8"/>
      <c r="E43" s="8"/>
      <c r="F43" s="8"/>
      <c r="G43" s="8"/>
      <c r="L43" s="7"/>
      <c r="M43" s="7"/>
    </row>
    <row r="44" spans="1:15" x14ac:dyDescent="0.3">
      <c r="A44" s="15"/>
      <c r="B44" s="8"/>
      <c r="C44" s="16"/>
      <c r="D44" s="8"/>
      <c r="E44" s="8"/>
      <c r="F44" s="8"/>
      <c r="G44" s="8"/>
      <c r="H44" s="8"/>
      <c r="I44" s="8"/>
      <c r="J44" s="29"/>
      <c r="K44" s="31"/>
      <c r="L44" s="7"/>
      <c r="M44" s="7"/>
      <c r="N44" s="16"/>
      <c r="O44" s="16"/>
    </row>
    <row r="45" spans="1:15" x14ac:dyDescent="0.3">
      <c r="A45" s="15"/>
      <c r="B45" s="8"/>
      <c r="C45" s="8"/>
      <c r="D45" s="8"/>
      <c r="E45" s="8"/>
      <c r="F45" s="8"/>
      <c r="G45" s="8"/>
      <c r="H45" s="8"/>
      <c r="I45" s="8"/>
      <c r="J45" s="29"/>
      <c r="K45" s="31"/>
      <c r="L45" s="17"/>
      <c r="M45" s="17"/>
      <c r="N45" s="16"/>
      <c r="O45" s="16"/>
    </row>
    <row r="46" spans="1:15" x14ac:dyDescent="0.3">
      <c r="A46" s="15" t="s">
        <v>12</v>
      </c>
      <c r="B46" s="8"/>
      <c r="C46" s="8"/>
      <c r="D46" s="8"/>
      <c r="E46" s="8"/>
      <c r="F46" s="8"/>
      <c r="G46" s="8"/>
      <c r="H46" s="8"/>
      <c r="I46" s="8"/>
      <c r="J46" s="29"/>
      <c r="K46" s="31"/>
      <c r="L46" s="17"/>
      <c r="M46" s="17"/>
      <c r="N46" s="16"/>
      <c r="O46" s="16"/>
    </row>
    <row r="47" spans="1:15" x14ac:dyDescent="0.3">
      <c r="A47" s="2" t="s">
        <v>13</v>
      </c>
      <c r="D47" s="8"/>
      <c r="L47" s="7"/>
      <c r="M47" s="7"/>
    </row>
    <row r="48" spans="1:15" x14ac:dyDescent="0.3">
      <c r="A48" s="2"/>
      <c r="L48" s="7"/>
      <c r="M48" s="7"/>
    </row>
    <row r="49" spans="1:15" x14ac:dyDescent="0.3">
      <c r="A49" s="5" t="s">
        <v>19</v>
      </c>
      <c r="B49" s="4">
        <f>SUM(B52:D63)+B35</f>
        <v>0</v>
      </c>
      <c r="C49" s="4"/>
      <c r="D49" s="4"/>
      <c r="E49" s="4">
        <f>SUM(E52:E63)+E35</f>
        <v>0</v>
      </c>
      <c r="F49" s="4">
        <f>SUM(F52:F63)</f>
        <v>0</v>
      </c>
      <c r="G49" s="4">
        <f>SUM(G52:G63)+G35</f>
        <v>0</v>
      </c>
      <c r="H49" s="19">
        <f>SUM(H52:H63)+H35</f>
        <v>0</v>
      </c>
      <c r="I49" s="4"/>
      <c r="J49" s="30"/>
      <c r="K49" s="26">
        <f>SUM(B49:J49)</f>
        <v>0</v>
      </c>
    </row>
    <row r="50" spans="1:15" x14ac:dyDescent="0.3">
      <c r="A50" s="5" t="s">
        <v>21</v>
      </c>
    </row>
    <row r="51" spans="1:15" x14ac:dyDescent="0.3">
      <c r="A51" s="6">
        <v>2017</v>
      </c>
      <c r="D51" s="8"/>
    </row>
    <row r="52" spans="1:15" x14ac:dyDescent="0.3">
      <c r="A52" s="2" t="s">
        <v>1</v>
      </c>
      <c r="B52" s="7"/>
      <c r="D52" s="8"/>
      <c r="G52" s="1">
        <f>SUM(B52:E52)*0.51</f>
        <v>0</v>
      </c>
      <c r="H52" s="18"/>
      <c r="I52" s="18"/>
      <c r="K52" s="31"/>
      <c r="L52" s="7"/>
      <c r="M52" s="7"/>
    </row>
    <row r="53" spans="1:15" x14ac:dyDescent="0.3">
      <c r="A53" s="2" t="s">
        <v>2</v>
      </c>
      <c r="B53" s="7"/>
      <c r="D53" s="8"/>
      <c r="E53" s="1">
        <f>SUM(B53:D53)*0.53</f>
        <v>0</v>
      </c>
      <c r="G53" s="1">
        <f>SUM(B53:E53)*0.51</f>
        <v>0</v>
      </c>
      <c r="H53" s="18"/>
      <c r="I53" s="18"/>
      <c r="K53" s="31">
        <f>SUM(B53:J53)</f>
        <v>0</v>
      </c>
      <c r="L53" s="7"/>
      <c r="M53" s="7"/>
      <c r="N53" s="10"/>
    </row>
    <row r="54" spans="1:15" x14ac:dyDescent="0.3">
      <c r="A54" s="2" t="s">
        <v>3</v>
      </c>
      <c r="B54" s="7"/>
      <c r="C54" s="1">
        <v>0</v>
      </c>
      <c r="D54" s="8"/>
      <c r="E54" s="1">
        <f>SUM(B54:D54)*0.53</f>
        <v>0</v>
      </c>
      <c r="G54" s="1">
        <f>SUM(B54:E54)*0.51</f>
        <v>0</v>
      </c>
      <c r="K54" s="31">
        <f>SUM(B54:J54)</f>
        <v>0</v>
      </c>
      <c r="L54" s="7"/>
      <c r="M54" s="7"/>
    </row>
    <row r="55" spans="1:15" x14ac:dyDescent="0.3">
      <c r="A55" s="2" t="s">
        <v>4</v>
      </c>
      <c r="B55" s="7"/>
      <c r="C55" s="1">
        <v>0</v>
      </c>
      <c r="E55" s="1">
        <f t="shared" ref="E55:E56" si="3">SUM(B55:D55)*0.53</f>
        <v>0</v>
      </c>
      <c r="G55" s="1">
        <f t="shared" ref="G55:G63" si="4">SUM(B55:E55)*0.51</f>
        <v>0</v>
      </c>
      <c r="K55" s="31">
        <f>SUM(B55:J55)</f>
        <v>0</v>
      </c>
      <c r="L55" s="7"/>
      <c r="M55" s="7"/>
    </row>
    <row r="56" spans="1:15" x14ac:dyDescent="0.3">
      <c r="A56" s="2" t="s">
        <v>5</v>
      </c>
      <c r="B56" s="7"/>
      <c r="C56" s="1">
        <v>0</v>
      </c>
      <c r="D56" s="8"/>
      <c r="E56" s="1">
        <f t="shared" si="3"/>
        <v>0</v>
      </c>
      <c r="G56" s="1">
        <f t="shared" si="4"/>
        <v>0</v>
      </c>
      <c r="K56" s="31">
        <f>SUM(B56:J56)</f>
        <v>0</v>
      </c>
      <c r="L56" s="7"/>
      <c r="M56" s="7"/>
    </row>
    <row r="57" spans="1:15" x14ac:dyDescent="0.3">
      <c r="A57" s="11" t="s">
        <v>6</v>
      </c>
      <c r="B57" s="7"/>
      <c r="C57" s="12">
        <v>0</v>
      </c>
      <c r="D57" s="8"/>
      <c r="E57" s="12">
        <f>SUM(B57:D57)*0.53</f>
        <v>0</v>
      </c>
      <c r="F57" s="12"/>
      <c r="G57" s="12">
        <f t="shared" si="4"/>
        <v>0</v>
      </c>
      <c r="H57" s="12"/>
      <c r="I57" s="12"/>
      <c r="J57" s="28"/>
      <c r="K57" s="31">
        <f t="shared" ref="K57:K63" si="5">SUM(B57:J57)</f>
        <v>0</v>
      </c>
      <c r="L57" s="13" t="s">
        <v>29</v>
      </c>
      <c r="M57" s="13"/>
      <c r="N57" s="14"/>
      <c r="O57" s="14"/>
    </row>
    <row r="58" spans="1:15" x14ac:dyDescent="0.3">
      <c r="A58" s="2" t="s">
        <v>7</v>
      </c>
      <c r="B58" s="7"/>
      <c r="C58" s="1">
        <v>0</v>
      </c>
      <c r="D58" s="8"/>
      <c r="E58" s="1">
        <f t="shared" ref="E58" si="6">SUM(B58:D58)*0.53</f>
        <v>0</v>
      </c>
      <c r="G58" s="1">
        <f t="shared" si="4"/>
        <v>0</v>
      </c>
      <c r="K58" s="31">
        <f t="shared" si="5"/>
        <v>0</v>
      </c>
    </row>
    <row r="59" spans="1:15" ht="15.6" x14ac:dyDescent="0.3">
      <c r="A59" s="2" t="s">
        <v>8</v>
      </c>
      <c r="B59" s="7"/>
      <c r="C59" s="1">
        <v>0</v>
      </c>
      <c r="D59" s="8"/>
      <c r="E59" s="1">
        <f>SUM(B59:D59)*0.53</f>
        <v>0</v>
      </c>
      <c r="G59" s="1">
        <f t="shared" si="4"/>
        <v>0</v>
      </c>
      <c r="K59" s="31">
        <f t="shared" si="5"/>
        <v>0</v>
      </c>
      <c r="L59" s="9"/>
      <c r="M59" s="9"/>
    </row>
    <row r="60" spans="1:15" x14ac:dyDescent="0.3">
      <c r="A60" s="2" t="s">
        <v>10</v>
      </c>
      <c r="B60" s="7"/>
      <c r="D60" s="8"/>
      <c r="E60" s="1">
        <f>SUM(B60:D60)*0.53</f>
        <v>0</v>
      </c>
      <c r="G60" s="1">
        <f t="shared" si="4"/>
        <v>0</v>
      </c>
      <c r="K60" s="31">
        <f t="shared" si="5"/>
        <v>0</v>
      </c>
    </row>
    <row r="61" spans="1:15" x14ac:dyDescent="0.3">
      <c r="A61" s="2" t="s">
        <v>11</v>
      </c>
      <c r="B61" s="7"/>
      <c r="D61" s="8"/>
      <c r="E61" s="1">
        <f t="shared" ref="E61:E63" si="7">SUM(B61:D61)*0.53</f>
        <v>0</v>
      </c>
      <c r="G61" s="1">
        <f t="shared" si="4"/>
        <v>0</v>
      </c>
      <c r="K61" s="31">
        <f t="shared" si="5"/>
        <v>0</v>
      </c>
    </row>
    <row r="62" spans="1:15" x14ac:dyDescent="0.3">
      <c r="A62" s="2" t="s">
        <v>12</v>
      </c>
      <c r="B62" s="7"/>
      <c r="D62" s="8"/>
      <c r="E62" s="1">
        <f>SUM(B62:D62)*0.53</f>
        <v>0</v>
      </c>
      <c r="G62" s="1">
        <f t="shared" si="4"/>
        <v>0</v>
      </c>
      <c r="K62" s="31">
        <f t="shared" si="5"/>
        <v>0</v>
      </c>
    </row>
    <row r="63" spans="1:15" x14ac:dyDescent="0.3">
      <c r="A63" s="2" t="s">
        <v>13</v>
      </c>
      <c r="B63" s="7"/>
      <c r="D63" s="8"/>
      <c r="E63" s="1">
        <f t="shared" si="7"/>
        <v>0</v>
      </c>
      <c r="G63" s="1">
        <f t="shared" si="4"/>
        <v>0</v>
      </c>
      <c r="K63" s="31">
        <f t="shared" si="5"/>
        <v>0</v>
      </c>
    </row>
    <row r="64" spans="1:15" x14ac:dyDescent="0.3">
      <c r="A64" s="2"/>
      <c r="K64" s="26" t="s">
        <v>32</v>
      </c>
    </row>
    <row r="65" spans="1:11" x14ac:dyDescent="0.3">
      <c r="A65" s="15" t="s">
        <v>37</v>
      </c>
      <c r="B65" s="8">
        <f>SUM(B52:D63)</f>
        <v>0</v>
      </c>
      <c r="C65" s="8"/>
      <c r="E65" s="1">
        <f>SUM(E52:E63)</f>
        <v>0</v>
      </c>
      <c r="F65" s="8">
        <f>SUM(F52:F63)</f>
        <v>0</v>
      </c>
      <c r="G65" s="1">
        <f>SUM(G52:G63)+G49</f>
        <v>0</v>
      </c>
      <c r="H65" s="20">
        <f>SUM(H52:H63)+H49</f>
        <v>0</v>
      </c>
      <c r="J65" s="29">
        <f>SUM(J52:J63)+J49</f>
        <v>0</v>
      </c>
      <c r="K65" s="26">
        <f>SUM(B65:J65)</f>
        <v>0</v>
      </c>
    </row>
    <row r="67" spans="1:11" x14ac:dyDescent="0.3">
      <c r="A67" s="3" t="s">
        <v>38</v>
      </c>
      <c r="B67" s="4" t="s">
        <v>9</v>
      </c>
      <c r="C67" s="4" t="s">
        <v>18</v>
      </c>
      <c r="D67" s="4" t="s">
        <v>14</v>
      </c>
      <c r="E67" s="4" t="s">
        <v>16</v>
      </c>
      <c r="F67" s="4" t="s">
        <v>17</v>
      </c>
      <c r="G67" s="4" t="s">
        <v>20</v>
      </c>
      <c r="H67" s="4" t="s">
        <v>15</v>
      </c>
      <c r="I67" s="4"/>
      <c r="J67" s="30" t="s">
        <v>0</v>
      </c>
      <c r="K67" s="30" t="s">
        <v>27</v>
      </c>
    </row>
    <row r="68" spans="1:11" x14ac:dyDescent="0.3">
      <c r="A68" s="5" t="s">
        <v>39</v>
      </c>
      <c r="B68" s="8"/>
      <c r="C68" s="4" t="s">
        <v>23</v>
      </c>
      <c r="D68" s="4" t="s">
        <v>22</v>
      </c>
      <c r="E68" s="8"/>
      <c r="F68" s="4"/>
      <c r="G68" s="8"/>
      <c r="H68" s="8"/>
      <c r="I68" s="8"/>
      <c r="J68" s="29"/>
      <c r="K68" s="26">
        <f>B68+E68+G68+H68+I68+J68</f>
        <v>0</v>
      </c>
    </row>
    <row r="69" spans="1:11" x14ac:dyDescent="0.3">
      <c r="A69" s="2" t="s">
        <v>42</v>
      </c>
      <c r="B69" s="1">
        <v>108397</v>
      </c>
      <c r="E69" s="1">
        <v>60703</v>
      </c>
      <c r="G69" s="1">
        <v>94309</v>
      </c>
      <c r="H69" s="1">
        <v>24450</v>
      </c>
      <c r="J69" s="27">
        <v>43341</v>
      </c>
      <c r="K69" s="26">
        <f>SUM(B69:J69)</f>
        <v>331200</v>
      </c>
    </row>
    <row r="70" spans="1:11" x14ac:dyDescent="0.3">
      <c r="A70" s="2"/>
    </row>
    <row r="71" spans="1:11" x14ac:dyDescent="0.3">
      <c r="A71" s="7"/>
    </row>
    <row r="72" spans="1:11" x14ac:dyDescent="0.3">
      <c r="A72" s="2"/>
    </row>
    <row r="73" spans="1:11" x14ac:dyDescent="0.3">
      <c r="A73" s="2"/>
    </row>
    <row r="74" spans="1:11" x14ac:dyDescent="0.3">
      <c r="A74" s="2"/>
    </row>
    <row r="75" spans="1:11" x14ac:dyDescent="0.3">
      <c r="A75" s="2"/>
    </row>
    <row r="76" spans="1:11" x14ac:dyDescent="0.3">
      <c r="A76" s="15"/>
      <c r="B76" s="8"/>
      <c r="C76" s="8"/>
      <c r="D76" s="8"/>
      <c r="E76" s="8"/>
      <c r="F76" s="8"/>
      <c r="G76" s="8"/>
    </row>
    <row r="77" spans="1:11" x14ac:dyDescent="0.3">
      <c r="A77" s="15"/>
      <c r="B77" s="8"/>
      <c r="C77" s="16"/>
      <c r="D77" s="8"/>
      <c r="E77" s="8"/>
      <c r="F77" s="8"/>
      <c r="G77" s="8"/>
      <c r="H77" s="8"/>
      <c r="I77" s="8"/>
      <c r="J77" s="29"/>
      <c r="K77" s="31"/>
    </row>
    <row r="78" spans="1:11" x14ac:dyDescent="0.3">
      <c r="A78" s="15"/>
      <c r="B78" s="8"/>
      <c r="C78" s="8"/>
      <c r="D78" s="8"/>
      <c r="E78" s="8"/>
      <c r="F78" s="8"/>
      <c r="G78" s="8"/>
      <c r="H78" s="8"/>
      <c r="I78" s="8"/>
      <c r="J78" s="29"/>
      <c r="K78" s="31"/>
    </row>
    <row r="79" spans="1:11" x14ac:dyDescent="0.3">
      <c r="A79" s="15"/>
      <c r="B79" s="8"/>
      <c r="C79" s="8"/>
      <c r="D79" s="8"/>
      <c r="E79" s="8"/>
      <c r="F79" s="8"/>
      <c r="G79" s="8"/>
      <c r="H79" s="8"/>
      <c r="I79" s="8"/>
      <c r="J79" s="29"/>
      <c r="K79" s="31"/>
    </row>
    <row r="80" spans="1:11" x14ac:dyDescent="0.3">
      <c r="A80" s="2"/>
      <c r="D80" s="8"/>
    </row>
    <row r="81" spans="1:13" x14ac:dyDescent="0.3">
      <c r="A81" s="2"/>
    </row>
    <row r="82" spans="1:13" x14ac:dyDescent="0.3">
      <c r="A82" s="5" t="s">
        <v>19</v>
      </c>
      <c r="B82" s="4">
        <f>SUM(B85:D96)+B68</f>
        <v>-54237.185700000002</v>
      </c>
      <c r="C82" s="4"/>
      <c r="D82" s="4"/>
      <c r="E82" s="4">
        <f>SUM(E85:E96)+E68</f>
        <v>-28745.708420999999</v>
      </c>
      <c r="F82" s="4">
        <f>SUM(F85:F96)</f>
        <v>24548</v>
      </c>
      <c r="G82" s="4">
        <f>SUM(G85:G96)+G68</f>
        <v>-42321.276001710001</v>
      </c>
      <c r="H82" s="19">
        <f>SUM(H85:H96)</f>
        <v>-3000</v>
      </c>
      <c r="I82" s="4"/>
      <c r="J82" s="30">
        <f>SUM(J85:J96)</f>
        <v>-18980</v>
      </c>
      <c r="K82" s="26">
        <f>SUM(B82:J82)</f>
        <v>-122736.17012271</v>
      </c>
    </row>
    <row r="83" spans="1:13" x14ac:dyDescent="0.3">
      <c r="A83" s="5" t="s">
        <v>21</v>
      </c>
      <c r="B83" s="1">
        <f>SUM(B4+B82)</f>
        <v>122216.68429999999</v>
      </c>
      <c r="E83" s="1">
        <f>E4+E82</f>
        <v>70070.22157899999</v>
      </c>
      <c r="F83" s="1">
        <f>+F4+F82</f>
        <v>24548</v>
      </c>
      <c r="G83" s="1">
        <f>G4+G82</f>
        <v>91381.123998290015</v>
      </c>
      <c r="H83" s="1">
        <f>SUM(H4-H82)</f>
        <v>-10110.210000000006</v>
      </c>
      <c r="J83" s="27">
        <f>SUM(J4+J82)</f>
        <v>161590</v>
      </c>
      <c r="K83" s="26">
        <f>SUM(K82+K4)</f>
        <v>462654.81987728999</v>
      </c>
    </row>
    <row r="84" spans="1:13" x14ac:dyDescent="0.3">
      <c r="A84" s="6">
        <v>2018</v>
      </c>
      <c r="D84" s="8"/>
    </row>
    <row r="85" spans="1:13" x14ac:dyDescent="0.3">
      <c r="A85" s="2" t="s">
        <v>1</v>
      </c>
      <c r="B85" s="7"/>
      <c r="D85" s="8"/>
      <c r="G85" s="1">
        <f>SUM(B85:E85)*0.51</f>
        <v>0</v>
      </c>
      <c r="H85" s="18"/>
      <c r="I85" s="18"/>
      <c r="K85" s="31"/>
    </row>
    <row r="86" spans="1:13" x14ac:dyDescent="0.3">
      <c r="A86" s="2" t="s">
        <v>2</v>
      </c>
      <c r="B86" s="7"/>
      <c r="D86" s="8"/>
      <c r="E86" s="1">
        <f>SUM(B86:D86)*0.53</f>
        <v>0</v>
      </c>
      <c r="G86" s="1">
        <f>SUM(B86:E86)*0.51</f>
        <v>0</v>
      </c>
      <c r="H86" s="18"/>
      <c r="I86" s="18"/>
      <c r="K86" s="31">
        <f>SUM(B86:J86)</f>
        <v>0</v>
      </c>
    </row>
    <row r="87" spans="1:13" x14ac:dyDescent="0.3">
      <c r="A87" s="2" t="s">
        <v>3</v>
      </c>
      <c r="B87" s="7"/>
      <c r="D87" s="8"/>
      <c r="E87" s="1">
        <f>SUM(B87:D87)*0.53</f>
        <v>0</v>
      </c>
      <c r="G87" s="1">
        <f>SUM(B87:E87)*0.51</f>
        <v>0</v>
      </c>
      <c r="K87" s="31">
        <f>SUM(B87:J87)</f>
        <v>0</v>
      </c>
    </row>
    <row r="88" spans="1:13" x14ac:dyDescent="0.3">
      <c r="A88" s="2" t="s">
        <v>4</v>
      </c>
      <c r="B88" s="7"/>
      <c r="E88" s="1">
        <f t="shared" ref="E88:E89" si="8">SUM(B88:D88)*0.53</f>
        <v>0</v>
      </c>
      <c r="G88" s="1">
        <f t="shared" ref="G88:G96" si="9">SUM(B88:E88)*0.51</f>
        <v>0</v>
      </c>
      <c r="K88" s="31">
        <f>SUM(B88:J88)</f>
        <v>0</v>
      </c>
    </row>
    <row r="89" spans="1:13" x14ac:dyDescent="0.3">
      <c r="A89" s="2" t="s">
        <v>5</v>
      </c>
      <c r="B89" s="7"/>
      <c r="D89" s="8"/>
      <c r="E89" s="1">
        <f t="shared" si="8"/>
        <v>0</v>
      </c>
      <c r="G89" s="1">
        <f t="shared" si="9"/>
        <v>0</v>
      </c>
      <c r="K89" s="31">
        <f>SUM(B89:J89)</f>
        <v>0</v>
      </c>
    </row>
    <row r="90" spans="1:13" x14ac:dyDescent="0.3">
      <c r="A90" s="11" t="s">
        <v>6</v>
      </c>
      <c r="B90" s="7"/>
      <c r="C90" s="12"/>
      <c r="D90" s="8"/>
      <c r="E90" s="12">
        <f>SUM(B90:D90)*0.53</f>
        <v>0</v>
      </c>
      <c r="F90" s="12"/>
      <c r="G90" s="12">
        <f t="shared" si="9"/>
        <v>0</v>
      </c>
      <c r="H90" s="12"/>
      <c r="I90" s="12"/>
      <c r="J90" s="28"/>
      <c r="K90" s="31">
        <f t="shared" ref="K90:K96" si="10">SUM(B90:J90)</f>
        <v>0</v>
      </c>
    </row>
    <row r="91" spans="1:13" x14ac:dyDescent="0.3">
      <c r="A91" s="2" t="s">
        <v>7</v>
      </c>
      <c r="B91" s="7"/>
      <c r="D91" s="8"/>
      <c r="E91" s="1">
        <f t="shared" ref="E91" si="11">SUM(B91:D91)*0.53</f>
        <v>0</v>
      </c>
      <c r="G91" s="1">
        <f t="shared" si="9"/>
        <v>0</v>
      </c>
      <c r="K91" s="31">
        <f t="shared" si="10"/>
        <v>0</v>
      </c>
    </row>
    <row r="92" spans="1:13" x14ac:dyDescent="0.3">
      <c r="A92" s="2" t="s">
        <v>8</v>
      </c>
      <c r="B92" s="7">
        <f>-53 *O9</f>
        <v>-3199.6099999999997</v>
      </c>
      <c r="C92" s="1">
        <f>-53*O8 + -40*O11</f>
        <v>-7795.5624000000007</v>
      </c>
      <c r="D92" s="8"/>
      <c r="E92" s="1">
        <f>SUM(B92:D92)*0.53</f>
        <v>-5827.4413720000002</v>
      </c>
      <c r="F92" s="1">
        <v>3548</v>
      </c>
      <c r="G92" s="1">
        <f t="shared" si="9"/>
        <v>-8579.5330237199996</v>
      </c>
      <c r="H92" s="1">
        <v>-1000</v>
      </c>
      <c r="K92" s="31">
        <f t="shared" si="10"/>
        <v>-22854.14679572</v>
      </c>
      <c r="M92">
        <f>3199.61*0.03 +3199.61</f>
        <v>3295.5983000000001</v>
      </c>
    </row>
    <row r="93" spans="1:13" x14ac:dyDescent="0.3">
      <c r="A93" s="2" t="s">
        <v>10</v>
      </c>
      <c r="B93" s="7">
        <f>-53 *O9</f>
        <v>-3199.6099999999997</v>
      </c>
      <c r="C93" s="1">
        <f>-53*O8+ -40*O14</f>
        <v>-6497.6304</v>
      </c>
      <c r="D93" s="8"/>
      <c r="E93" s="1">
        <f>SUM(B93:D93)*0.53</f>
        <v>-5139.5374119999997</v>
      </c>
      <c r="F93" s="1">
        <v>4000</v>
      </c>
      <c r="G93" s="1">
        <f t="shared" si="9"/>
        <v>-7566.7566841199996</v>
      </c>
      <c r="H93" s="1">
        <v>-1000</v>
      </c>
      <c r="K93" s="31">
        <f t="shared" si="10"/>
        <v>-19403.534496119999</v>
      </c>
    </row>
    <row r="94" spans="1:13" x14ac:dyDescent="0.3">
      <c r="A94" s="2" t="s">
        <v>11</v>
      </c>
      <c r="B94" s="7">
        <f>-53 *O9</f>
        <v>-3199.6099999999997</v>
      </c>
      <c r="C94" s="1">
        <f>-53*O8 + (-80*O11)</f>
        <v>-11211.162400000001</v>
      </c>
      <c r="D94" s="8"/>
      <c r="E94" s="1">
        <f t="shared" ref="E94" si="12">SUM(B94:D94)*0.53</f>
        <v>-7637.7093720000012</v>
      </c>
      <c r="F94" s="1">
        <v>5000</v>
      </c>
      <c r="G94" s="1">
        <f t="shared" si="9"/>
        <v>-11244.725703720002</v>
      </c>
      <c r="H94" s="1">
        <v>-1000</v>
      </c>
      <c r="J94" s="33">
        <f>-O19</f>
        <v>-18980</v>
      </c>
      <c r="K94" s="31">
        <f t="shared" si="10"/>
        <v>-48273.207475720003</v>
      </c>
    </row>
    <row r="95" spans="1:13" x14ac:dyDescent="0.3">
      <c r="A95" s="2" t="s">
        <v>12</v>
      </c>
      <c r="B95" s="7">
        <f>-53 *O9</f>
        <v>-3199.6099999999997</v>
      </c>
      <c r="C95" s="1">
        <f>-53*O8 + -40*O16</f>
        <v>-6619.5624000000007</v>
      </c>
      <c r="D95" s="8"/>
      <c r="E95" s="1">
        <f>SUM(B95:D95)*0.53</f>
        <v>-5204.1613719999996</v>
      </c>
      <c r="F95" s="1">
        <v>6000</v>
      </c>
      <c r="G95" s="1">
        <f t="shared" si="9"/>
        <v>-7661.9002237199993</v>
      </c>
      <c r="K95" s="31">
        <f t="shared" si="10"/>
        <v>-16685.233995719998</v>
      </c>
    </row>
    <row r="96" spans="1:13" x14ac:dyDescent="0.3">
      <c r="A96" s="2" t="s">
        <v>13</v>
      </c>
      <c r="B96" s="7">
        <f>-53 *O9</f>
        <v>-3199.6099999999997</v>
      </c>
      <c r="C96" s="1">
        <f>-53*O8 + -23* O10</f>
        <v>-6115.2181</v>
      </c>
      <c r="D96" s="8"/>
      <c r="E96" s="1">
        <f t="shared" ref="E96" si="13">SUM(B96:D96)*0.53</f>
        <v>-4936.8588929999996</v>
      </c>
      <c r="F96" s="1">
        <v>6000</v>
      </c>
      <c r="G96" s="1">
        <f t="shared" si="9"/>
        <v>-7268.3603664299999</v>
      </c>
      <c r="K96" s="31">
        <f t="shared" si="10"/>
        <v>-15520.047359429998</v>
      </c>
    </row>
    <row r="97" spans="1:12" x14ac:dyDescent="0.3">
      <c r="A97" s="2"/>
    </row>
    <row r="98" spans="1:12" x14ac:dyDescent="0.3">
      <c r="A98" s="15" t="s">
        <v>37</v>
      </c>
      <c r="B98" s="8">
        <f>SUM(B85:D96)</f>
        <v>-54237.185700000002</v>
      </c>
      <c r="C98" s="8"/>
      <c r="E98" s="1">
        <f>SUM(E85:E96)</f>
        <v>-28745.708420999999</v>
      </c>
      <c r="F98" s="8">
        <f>SUM(F85:F96)</f>
        <v>24548</v>
      </c>
      <c r="G98" s="1">
        <f>SUM(G85:G96)-G82</f>
        <v>0</v>
      </c>
      <c r="H98" s="1">
        <f>SUM(H85:H96)-H82</f>
        <v>0</v>
      </c>
      <c r="J98" s="29"/>
      <c r="K98" s="26">
        <f>SUM(B98:J98)</f>
        <v>-58434.894121000005</v>
      </c>
    </row>
    <row r="100" spans="1:12" x14ac:dyDescent="0.3">
      <c r="A100" s="3" t="s">
        <v>40</v>
      </c>
      <c r="B100" s="4" t="s">
        <v>9</v>
      </c>
      <c r="C100" s="4" t="s">
        <v>18</v>
      </c>
      <c r="D100" s="4" t="s">
        <v>14</v>
      </c>
      <c r="E100" s="4" t="s">
        <v>16</v>
      </c>
      <c r="F100" s="4" t="s">
        <v>17</v>
      </c>
      <c r="G100" s="4" t="s">
        <v>20</v>
      </c>
      <c r="H100" s="4" t="s">
        <v>15</v>
      </c>
      <c r="I100" s="4"/>
      <c r="J100" s="30" t="s">
        <v>0</v>
      </c>
      <c r="K100" s="30" t="s">
        <v>27</v>
      </c>
    </row>
    <row r="101" spans="1:12" x14ac:dyDescent="0.3">
      <c r="A101" s="5" t="s">
        <v>41</v>
      </c>
      <c r="B101" s="8">
        <f>SUM(B83,B102)</f>
        <v>249318.68429999999</v>
      </c>
      <c r="C101" s="4" t="s">
        <v>23</v>
      </c>
      <c r="D101" s="4" t="s">
        <v>22</v>
      </c>
      <c r="E101" s="8">
        <f>SUM(E83,E102)</f>
        <v>141247.221579</v>
      </c>
      <c r="F101" s="4"/>
      <c r="G101" s="8">
        <f>SUM(G83,G102)</f>
        <v>212292.12399829002</v>
      </c>
      <c r="H101" s="8">
        <f>SUM(H83,H102)</f>
        <v>-1660.2100000000064</v>
      </c>
      <c r="I101" s="8"/>
      <c r="J101" s="29">
        <f>SUM(J83,J102)</f>
        <v>428709</v>
      </c>
      <c r="K101" s="26">
        <f>B101+E101+G101+H101+I101+J101</f>
        <v>1029906.8198772901</v>
      </c>
    </row>
    <row r="102" spans="1:12" x14ac:dyDescent="0.3">
      <c r="A102" s="2" t="s">
        <v>42</v>
      </c>
      <c r="B102" s="1">
        <v>127102</v>
      </c>
      <c r="E102" s="1">
        <v>71177</v>
      </c>
      <c r="G102" s="1">
        <v>120911</v>
      </c>
      <c r="H102" s="1">
        <v>8450</v>
      </c>
      <c r="J102" s="27">
        <v>267119</v>
      </c>
      <c r="K102" s="26">
        <f>SUM(B102:J102)</f>
        <v>594759</v>
      </c>
      <c r="L102" t="s">
        <v>59</v>
      </c>
    </row>
    <row r="103" spans="1:12" x14ac:dyDescent="0.3">
      <c r="A103" s="2"/>
    </row>
    <row r="104" spans="1:12" x14ac:dyDescent="0.3">
      <c r="A104" s="7"/>
    </row>
    <row r="105" spans="1:12" x14ac:dyDescent="0.3">
      <c r="A105" s="2"/>
    </row>
    <row r="106" spans="1:12" x14ac:dyDescent="0.3">
      <c r="A106" s="2"/>
    </row>
    <row r="107" spans="1:12" x14ac:dyDescent="0.3">
      <c r="A107" s="2"/>
    </row>
    <row r="108" spans="1:12" x14ac:dyDescent="0.3">
      <c r="A108" s="2"/>
    </row>
    <row r="109" spans="1:12" x14ac:dyDescent="0.3">
      <c r="A109" s="15"/>
      <c r="B109" s="8"/>
      <c r="C109" s="8"/>
      <c r="D109" s="8"/>
      <c r="E109" s="8"/>
      <c r="F109" s="8"/>
      <c r="G109" s="8"/>
    </row>
    <row r="110" spans="1:12" x14ac:dyDescent="0.3">
      <c r="A110" s="15"/>
      <c r="B110" s="8"/>
      <c r="C110" s="16"/>
      <c r="D110" s="8"/>
      <c r="E110" s="8"/>
      <c r="F110" s="8"/>
      <c r="G110" s="8"/>
      <c r="H110" s="8"/>
      <c r="I110" s="8"/>
      <c r="J110" s="29"/>
      <c r="K110" s="31"/>
    </row>
    <row r="111" spans="1:12" x14ac:dyDescent="0.3">
      <c r="A111" s="15"/>
      <c r="B111" s="8"/>
      <c r="C111" s="8"/>
      <c r="D111" s="8"/>
      <c r="E111" s="8"/>
      <c r="F111" s="8"/>
      <c r="G111" s="8"/>
      <c r="H111" s="8"/>
      <c r="I111" s="8"/>
      <c r="J111" s="29"/>
      <c r="K111" s="31"/>
    </row>
    <row r="112" spans="1:12" x14ac:dyDescent="0.3">
      <c r="A112" s="15" t="s">
        <v>12</v>
      </c>
      <c r="B112" s="8"/>
      <c r="C112" s="8"/>
      <c r="D112" s="8"/>
      <c r="E112" s="8"/>
      <c r="F112" s="8"/>
      <c r="G112" s="8"/>
      <c r="H112" s="8"/>
      <c r="I112" s="8"/>
      <c r="J112" s="29"/>
      <c r="K112" s="31"/>
    </row>
    <row r="113" spans="1:12" x14ac:dyDescent="0.3">
      <c r="A113" s="2" t="s">
        <v>13</v>
      </c>
      <c r="D113" s="8"/>
    </row>
    <row r="114" spans="1:12" x14ac:dyDescent="0.3">
      <c r="A114" s="2"/>
    </row>
    <row r="115" spans="1:12" x14ac:dyDescent="0.3">
      <c r="A115" s="5" t="s">
        <v>19</v>
      </c>
      <c r="B115" s="4">
        <f>SUM(B118:D129)+B101</f>
        <v>182340.39645</v>
      </c>
      <c r="C115" s="4"/>
      <c r="D115" s="4"/>
      <c r="E115" s="4">
        <f>SUM(E118:E129)+E101</f>
        <v>105748.7290185</v>
      </c>
      <c r="F115" s="4">
        <f>SUM(F118:F129)+F101</f>
        <v>51000</v>
      </c>
      <c r="G115" s="4">
        <f>SUM(G118:G129)+G101</f>
        <v>160028.965988935</v>
      </c>
      <c r="H115" s="19">
        <f>SUM(H118:H129)+H101</f>
        <v>-7360.2100000000064</v>
      </c>
      <c r="I115" s="4"/>
      <c r="J115" s="30">
        <f>SUM(J118:J123)+J101</f>
        <v>408429</v>
      </c>
      <c r="K115" s="26">
        <f>SUM(B115:J115)</f>
        <v>900186.88145743497</v>
      </c>
    </row>
    <row r="116" spans="1:12" x14ac:dyDescent="0.3">
      <c r="A116" s="5" t="s">
        <v>21</v>
      </c>
    </row>
    <row r="117" spans="1:12" x14ac:dyDescent="0.3">
      <c r="A117" s="6">
        <v>2019</v>
      </c>
      <c r="D117" s="8"/>
    </row>
    <row r="118" spans="1:12" x14ac:dyDescent="0.3">
      <c r="A118" s="2" t="s">
        <v>1</v>
      </c>
      <c r="B118" s="7"/>
      <c r="D118" s="8"/>
      <c r="F118" s="1">
        <v>4000</v>
      </c>
      <c r="G118" s="1">
        <f>SUM(B118:E118)*0.51</f>
        <v>0</v>
      </c>
      <c r="H118" s="26"/>
      <c r="I118" s="18"/>
      <c r="K118" s="31"/>
    </row>
    <row r="119" spans="1:12" x14ac:dyDescent="0.3">
      <c r="A119" s="2" t="s">
        <v>2</v>
      </c>
      <c r="B119" s="7"/>
      <c r="D119" s="8"/>
      <c r="E119" s="1">
        <f>SUM(B119:D119)*0.53</f>
        <v>0</v>
      </c>
      <c r="F119" s="1">
        <v>4000</v>
      </c>
      <c r="G119" s="1">
        <f>SUM(B119:E119)*0.51</f>
        <v>0</v>
      </c>
      <c r="H119" s="26">
        <v>-1000</v>
      </c>
      <c r="I119" s="18"/>
      <c r="J119" s="27">
        <f>-O19</f>
        <v>-18980</v>
      </c>
      <c r="K119" s="31">
        <f>SUM(B119:J119)</f>
        <v>-15980</v>
      </c>
    </row>
    <row r="120" spans="1:12" x14ac:dyDescent="0.3">
      <c r="A120" s="2" t="s">
        <v>3</v>
      </c>
      <c r="B120" s="7"/>
      <c r="D120" s="8"/>
      <c r="E120" s="1">
        <f>SUM(B120:D120)*0.53</f>
        <v>0</v>
      </c>
      <c r="F120" s="1">
        <v>4000</v>
      </c>
      <c r="G120" s="1">
        <f>SUM(B120:E120)*0.51</f>
        <v>0</v>
      </c>
      <c r="H120" s="27">
        <v>-1000</v>
      </c>
      <c r="K120" s="31">
        <f>SUM(B120:J120)</f>
        <v>3000</v>
      </c>
    </row>
    <row r="121" spans="1:12" x14ac:dyDescent="0.3">
      <c r="A121" s="2" t="s">
        <v>4</v>
      </c>
      <c r="B121" s="7"/>
      <c r="E121" s="1">
        <f t="shared" ref="E121:E122" si="14">SUM(B121:D121)*0.53</f>
        <v>0</v>
      </c>
      <c r="F121" s="1">
        <v>4000</v>
      </c>
      <c r="G121" s="1">
        <f t="shared" ref="G121:G129" si="15">SUM(B121:E121)*0.51</f>
        <v>0</v>
      </c>
      <c r="H121" s="27"/>
      <c r="J121" s="27">
        <v>-1300</v>
      </c>
      <c r="K121" s="31">
        <f>SUM(B121:J121)</f>
        <v>2700</v>
      </c>
    </row>
    <row r="122" spans="1:12" x14ac:dyDescent="0.3">
      <c r="A122" s="2" t="s">
        <v>5</v>
      </c>
      <c r="B122" s="7"/>
      <c r="D122" s="8"/>
      <c r="E122" s="1">
        <f t="shared" si="14"/>
        <v>0</v>
      </c>
      <c r="F122" s="1">
        <v>4000</v>
      </c>
      <c r="G122" s="1">
        <f t="shared" si="15"/>
        <v>0</v>
      </c>
      <c r="H122" s="27"/>
      <c r="K122" s="31">
        <f>SUM(B122:J122)</f>
        <v>4000</v>
      </c>
    </row>
    <row r="123" spans="1:12" x14ac:dyDescent="0.3">
      <c r="A123" s="11" t="s">
        <v>6</v>
      </c>
      <c r="B123" s="7"/>
      <c r="C123" s="12"/>
      <c r="D123" s="8"/>
      <c r="E123" s="12">
        <f>SUM(B123:D123)*0.53</f>
        <v>0</v>
      </c>
      <c r="F123" s="12">
        <v>4000</v>
      </c>
      <c r="G123" s="12">
        <f t="shared" si="15"/>
        <v>0</v>
      </c>
      <c r="H123" s="28"/>
      <c r="I123" s="12"/>
      <c r="J123" s="28"/>
      <c r="K123" s="31">
        <f t="shared" ref="K123:K129" si="16">SUM(B123:J123)</f>
        <v>4000</v>
      </c>
    </row>
    <row r="124" spans="1:12" x14ac:dyDescent="0.3">
      <c r="A124" s="2" t="s">
        <v>7</v>
      </c>
      <c r="B124" s="7"/>
      <c r="D124" s="8"/>
      <c r="E124" s="1">
        <f t="shared" ref="E124" si="17">SUM(B124:D124)*0.53</f>
        <v>0</v>
      </c>
      <c r="F124" s="1">
        <v>5000</v>
      </c>
      <c r="G124" s="1">
        <f t="shared" si="15"/>
        <v>0</v>
      </c>
      <c r="H124" s="27"/>
      <c r="K124" s="31">
        <f t="shared" si="16"/>
        <v>5000</v>
      </c>
    </row>
    <row r="125" spans="1:12" x14ac:dyDescent="0.3">
      <c r="A125" s="2" t="s">
        <v>8</v>
      </c>
      <c r="B125" s="7"/>
      <c r="D125" s="8"/>
      <c r="E125" s="1">
        <f>SUM(B125:D125)*0.53</f>
        <v>0</v>
      </c>
      <c r="F125" s="1">
        <v>5000</v>
      </c>
      <c r="G125" s="1">
        <f t="shared" si="15"/>
        <v>0</v>
      </c>
      <c r="H125" s="27"/>
      <c r="K125" s="31">
        <f t="shared" si="16"/>
        <v>5000</v>
      </c>
    </row>
    <row r="126" spans="1:12" x14ac:dyDescent="0.3">
      <c r="A126" s="2" t="s">
        <v>10</v>
      </c>
      <c r="B126" s="7"/>
      <c r="D126" s="8"/>
      <c r="E126" s="1">
        <f>SUM(B126:D126)*0.53</f>
        <v>0</v>
      </c>
      <c r="F126" s="1">
        <v>5000</v>
      </c>
      <c r="G126" s="1">
        <f t="shared" si="15"/>
        <v>0</v>
      </c>
      <c r="H126" s="27"/>
      <c r="J126" s="27">
        <f>-O19</f>
        <v>-18980</v>
      </c>
      <c r="K126" s="31">
        <f t="shared" si="16"/>
        <v>-13980</v>
      </c>
    </row>
    <row r="127" spans="1:12" x14ac:dyDescent="0.3">
      <c r="A127" s="2" t="s">
        <v>11</v>
      </c>
      <c r="B127" s="7"/>
      <c r="D127" s="8"/>
      <c r="E127" s="1">
        <f t="shared" ref="E127" si="18">SUM(B127:D127)*0.53</f>
        <v>0</v>
      </c>
      <c r="F127" s="1">
        <v>4000</v>
      </c>
      <c r="G127" s="1">
        <f t="shared" si="15"/>
        <v>0</v>
      </c>
      <c r="H127" s="27"/>
      <c r="K127" s="31">
        <f t="shared" si="16"/>
        <v>4000</v>
      </c>
    </row>
    <row r="128" spans="1:12" x14ac:dyDescent="0.3">
      <c r="A128" s="2" t="s">
        <v>12</v>
      </c>
      <c r="B128" s="7"/>
      <c r="D128" s="8"/>
      <c r="E128" s="1">
        <f>SUM(B128:D128)*0.53</f>
        <v>0</v>
      </c>
      <c r="F128" s="1">
        <v>4000</v>
      </c>
      <c r="G128" s="1">
        <f t="shared" si="15"/>
        <v>0</v>
      </c>
      <c r="H128" s="27">
        <v>-3700</v>
      </c>
      <c r="J128" s="27">
        <f>O19*4</f>
        <v>75920</v>
      </c>
      <c r="K128" s="31">
        <f t="shared" si="16"/>
        <v>76220</v>
      </c>
      <c r="L128" t="s">
        <v>26</v>
      </c>
    </row>
    <row r="129" spans="1:12" x14ac:dyDescent="0.3">
      <c r="A129" s="2" t="s">
        <v>13</v>
      </c>
      <c r="B129" s="7">
        <f>-467*O9</f>
        <v>-28192.789999999997</v>
      </c>
      <c r="C129" s="1">
        <f>-430*O8</f>
        <v>-35535.544000000002</v>
      </c>
      <c r="D129" s="8">
        <f>-71.5* O18 +(-71.5*0.03 *O18)</f>
        <v>-3249.9538499999999</v>
      </c>
      <c r="E129" s="1">
        <f t="shared" ref="E129" si="19">SUM(B129:D129)*0.53</f>
        <v>-35498.492560500003</v>
      </c>
      <c r="F129" s="1">
        <v>4000</v>
      </c>
      <c r="G129" s="1">
        <f t="shared" si="15"/>
        <v>-52263.158009355007</v>
      </c>
      <c r="H129" s="27"/>
      <c r="J129" s="27">
        <f>O19*3</f>
        <v>56940</v>
      </c>
      <c r="K129" s="31">
        <f t="shared" si="16"/>
        <v>-93799.938419855025</v>
      </c>
      <c r="L129" t="s">
        <v>26</v>
      </c>
    </row>
    <row r="130" spans="1:12" x14ac:dyDescent="0.3">
      <c r="A130" s="2"/>
    </row>
    <row r="131" spans="1:12" x14ac:dyDescent="0.3">
      <c r="A131" s="15" t="s">
        <v>37</v>
      </c>
      <c r="B131" s="8">
        <f>SUM(B118:D129)</f>
        <v>-66978.287850000008</v>
      </c>
      <c r="C131" s="8"/>
      <c r="E131" s="1">
        <f>SUM(E118:E129)</f>
        <v>-35498.492560500003</v>
      </c>
      <c r="F131" s="8">
        <f>SUM(F118:F129)</f>
        <v>51000</v>
      </c>
      <c r="G131" s="1">
        <f>SUM(G118:G129)-G115</f>
        <v>-212292.12399829002</v>
      </c>
      <c r="H131" s="20">
        <f>SUM(H118:H129)-H115</f>
        <v>1660.2100000000064</v>
      </c>
      <c r="J131" s="29">
        <f>SUM(J118:J129)+J115</f>
        <v>502029</v>
      </c>
      <c r="K131" s="26">
        <f>SUM(B131:J131)</f>
        <v>239920.30559120997</v>
      </c>
    </row>
    <row r="132" spans="1:12" x14ac:dyDescent="0.3">
      <c r="A132" s="15"/>
      <c r="B132" s="8"/>
      <c r="C132" s="8"/>
      <c r="F132" s="8"/>
      <c r="H132" s="20"/>
      <c r="J132" s="29"/>
    </row>
    <row r="133" spans="1:12" x14ac:dyDescent="0.3">
      <c r="A133">
        <v>2020</v>
      </c>
      <c r="B133" s="8"/>
      <c r="C133" s="8"/>
      <c r="F133" s="8"/>
      <c r="H133" s="20"/>
      <c r="J133" s="29"/>
    </row>
    <row r="134" spans="1:12" x14ac:dyDescent="0.3">
      <c r="B134" s="8"/>
      <c r="C134" s="8"/>
      <c r="F134" s="8"/>
      <c r="H134" s="20"/>
      <c r="J134" s="29"/>
    </row>
    <row r="135" spans="1:12" x14ac:dyDescent="0.3">
      <c r="A135" s="5" t="s">
        <v>19</v>
      </c>
      <c r="B135" s="4">
        <f>SUM(B139:D149)+B118</f>
        <v>-77944.745678799984</v>
      </c>
      <c r="C135" s="4"/>
      <c r="D135" s="4"/>
      <c r="E135" s="4">
        <f>SUM(E139:E150)</f>
        <v>-45077.138927084015</v>
      </c>
      <c r="F135" s="4">
        <f>SUM(F139:F149)</f>
        <v>45833</v>
      </c>
      <c r="G135" s="4">
        <f>SUM(G139:G149)+G118</f>
        <v>-60820.285053167645</v>
      </c>
      <c r="H135" s="34">
        <f>SUM(H139:H149)+H118</f>
        <v>-24840</v>
      </c>
      <c r="I135" s="4"/>
      <c r="J135" s="30">
        <f>SUM(J139:J143)+J118</f>
        <v>-147420</v>
      </c>
      <c r="K135" s="26">
        <f>SUM(B135:J135)</f>
        <v>-310269.16965905164</v>
      </c>
    </row>
    <row r="136" spans="1:12" x14ac:dyDescent="0.3">
      <c r="A136" s="5" t="s">
        <v>21</v>
      </c>
    </row>
    <row r="137" spans="1:12" x14ac:dyDescent="0.3">
      <c r="A137" s="3" t="s">
        <v>40</v>
      </c>
      <c r="B137" s="4" t="s">
        <v>9</v>
      </c>
      <c r="C137" s="4" t="s">
        <v>18</v>
      </c>
      <c r="D137" s="4" t="s">
        <v>14</v>
      </c>
      <c r="E137" s="4" t="s">
        <v>16</v>
      </c>
      <c r="F137" s="4" t="s">
        <v>17</v>
      </c>
      <c r="G137" s="4" t="s">
        <v>20</v>
      </c>
      <c r="H137" s="4" t="s">
        <v>15</v>
      </c>
      <c r="I137" s="4"/>
      <c r="J137" s="30" t="s">
        <v>0</v>
      </c>
      <c r="K137" s="30" t="s">
        <v>27</v>
      </c>
    </row>
    <row r="138" spans="1:12" x14ac:dyDescent="0.3">
      <c r="A138" s="3" t="s">
        <v>72</v>
      </c>
      <c r="B138" s="4">
        <v>47382</v>
      </c>
      <c r="C138" s="4"/>
      <c r="D138" s="4"/>
      <c r="E138" s="4">
        <v>25587</v>
      </c>
      <c r="F138" s="4"/>
      <c r="G138" s="4">
        <v>35254</v>
      </c>
      <c r="H138" s="4"/>
      <c r="I138" s="4"/>
      <c r="J138" s="30">
        <v>383678</v>
      </c>
      <c r="K138" s="30">
        <f>SUM(B138:J138)</f>
        <v>491901</v>
      </c>
    </row>
    <row r="139" spans="1:12" x14ac:dyDescent="0.3">
      <c r="A139" s="24" t="s">
        <v>60</v>
      </c>
      <c r="B139" s="1">
        <f>-38.5 *O9 + (-0.03*38.5*O9)</f>
        <v>-2393.97235</v>
      </c>
      <c r="C139" s="1">
        <f>-53*O8+ (-0.03*53*O8)</f>
        <v>-4511.3612720000001</v>
      </c>
      <c r="D139" s="8"/>
      <c r="E139" s="1">
        <f t="shared" ref="E139:E150" si="20">SUM(B139:D139)*0.53</f>
        <v>-3659.8268196600002</v>
      </c>
      <c r="F139" s="1">
        <v>4000</v>
      </c>
      <c r="G139" s="1">
        <f t="shared" ref="G139:G150" si="21">SUM(B139:E139)*0.51</f>
        <v>-5388.2318252466002</v>
      </c>
      <c r="J139" s="27">
        <f>-21060 *3</f>
        <v>-63180</v>
      </c>
      <c r="L139" t="s">
        <v>26</v>
      </c>
    </row>
    <row r="140" spans="1:12" x14ac:dyDescent="0.3">
      <c r="A140" s="24" t="s">
        <v>61</v>
      </c>
      <c r="B140" s="1">
        <f>-38.5 *O9 + (-0.03*38.5*O9)</f>
        <v>-2393.97235</v>
      </c>
      <c r="C140" s="1">
        <f>-53*O8+ (-0.03*53*O8)</f>
        <v>-4511.3612720000001</v>
      </c>
      <c r="D140" s="8"/>
      <c r="E140" s="1">
        <f t="shared" si="20"/>
        <v>-3659.8268196600002</v>
      </c>
      <c r="F140" s="1">
        <v>4000</v>
      </c>
      <c r="G140" s="1">
        <f t="shared" si="21"/>
        <v>-5388.2318252466002</v>
      </c>
      <c r="J140" s="27">
        <f>-21060 *3</f>
        <v>-63180</v>
      </c>
      <c r="L140" t="s">
        <v>26</v>
      </c>
    </row>
    <row r="141" spans="1:12" x14ac:dyDescent="0.3">
      <c r="A141" s="32" t="s">
        <v>62</v>
      </c>
      <c r="B141" s="1">
        <f>-38.5 *O9 + (-0.06*38.5*O9)</f>
        <v>-2463.6997000000001</v>
      </c>
      <c r="C141" s="1">
        <f>-53*O8+ (-0.06*53*O8)</f>
        <v>-4642.7601439999999</v>
      </c>
      <c r="E141" s="1">
        <f>SUM(B141:D141)*0.53</f>
        <v>-3766.4237173200004</v>
      </c>
      <c r="F141" s="1">
        <v>4000</v>
      </c>
      <c r="G141" s="1">
        <f t="shared" si="21"/>
        <v>-5545.1706162732007</v>
      </c>
      <c r="H141" s="1">
        <v>-24840</v>
      </c>
      <c r="J141" s="27">
        <f>-21060</f>
        <v>-21060</v>
      </c>
    </row>
    <row r="142" spans="1:12" x14ac:dyDescent="0.3">
      <c r="A142" s="32" t="s">
        <v>63</v>
      </c>
      <c r="B142" s="1">
        <f>-38.5 *O9 + (-0.06*38.5*O9)</f>
        <v>-2463.6997000000001</v>
      </c>
      <c r="C142" s="1">
        <f>-53*O8+ (-0.06*53*O8)</f>
        <v>-4642.7601439999999</v>
      </c>
      <c r="D142" s="1">
        <f>-2.2*O10+ (-0.06 * 2.2*O10)</f>
        <v>-175.93983879999999</v>
      </c>
      <c r="E142" s="1">
        <f t="shared" si="20"/>
        <v>-3859.6718318840003</v>
      </c>
      <c r="F142" s="1">
        <v>4000</v>
      </c>
      <c r="G142" s="1">
        <f t="shared" si="21"/>
        <v>-5682.4564724888405</v>
      </c>
    </row>
    <row r="143" spans="1:12" x14ac:dyDescent="0.3">
      <c r="A143" t="s">
        <v>64</v>
      </c>
      <c r="B143" s="1">
        <f>-38.5 *O9 + (-0.06*38.5*O9)</f>
        <v>-2463.6997000000001</v>
      </c>
      <c r="C143" s="1">
        <f>-53*O8+ (-0.06*53*O8)</f>
        <v>-4642.7601439999999</v>
      </c>
      <c r="E143" s="1">
        <f t="shared" si="20"/>
        <v>-3766.4237173200004</v>
      </c>
      <c r="F143" s="1">
        <v>4333</v>
      </c>
      <c r="G143" s="1">
        <f t="shared" si="21"/>
        <v>-5545.1706162732007</v>
      </c>
    </row>
    <row r="144" spans="1:12" x14ac:dyDescent="0.3">
      <c r="A144" t="s">
        <v>65</v>
      </c>
      <c r="B144" s="1">
        <f>-38.5 *O9 + (-0.06*38.5*O9)</f>
        <v>-2463.6997000000001</v>
      </c>
      <c r="C144" s="1">
        <f>-53*O8+ (-0.06*53*O8)</f>
        <v>-4642.7601439999999</v>
      </c>
      <c r="E144" s="1">
        <f t="shared" si="20"/>
        <v>-3766.4237173200004</v>
      </c>
      <c r="F144" s="1">
        <v>5000</v>
      </c>
      <c r="G144" s="1">
        <f t="shared" si="21"/>
        <v>-5545.1706162732007</v>
      </c>
    </row>
    <row r="145" spans="1:10" x14ac:dyDescent="0.3">
      <c r="A145" t="s">
        <v>66</v>
      </c>
      <c r="B145" s="1">
        <f>-38.5 *O9 + (-0.06*38.5*O9)</f>
        <v>-2463.6997000000001</v>
      </c>
      <c r="C145" s="1">
        <f>-53*O8+ (-0.06*53*O8)</f>
        <v>-4642.7601439999999</v>
      </c>
      <c r="E145" s="1">
        <f t="shared" si="20"/>
        <v>-3766.4237173200004</v>
      </c>
      <c r="F145" s="1">
        <v>4500</v>
      </c>
      <c r="G145" s="1">
        <f t="shared" si="21"/>
        <v>-5545.1706162732007</v>
      </c>
    </row>
    <row r="146" spans="1:10" x14ac:dyDescent="0.3">
      <c r="A146" t="s">
        <v>67</v>
      </c>
      <c r="B146" s="1">
        <f>-38.5 *O9 + (-0.06*38.5*O9)</f>
        <v>-2463.6997000000001</v>
      </c>
      <c r="C146" s="1">
        <f>-53*O8+ (-0.06*53*O8)</f>
        <v>-4642.7601439999999</v>
      </c>
      <c r="E146" s="1">
        <f t="shared" si="20"/>
        <v>-3766.4237173200004</v>
      </c>
      <c r="F146" s="1">
        <v>4000</v>
      </c>
      <c r="G146" s="1">
        <f t="shared" si="21"/>
        <v>-5545.1706162732007</v>
      </c>
    </row>
    <row r="147" spans="1:10" x14ac:dyDescent="0.3">
      <c r="A147" t="s">
        <v>68</v>
      </c>
      <c r="B147" s="1">
        <f>-38.5 *O9 + (-0.06*38.5*O9)</f>
        <v>-2463.6997000000001</v>
      </c>
      <c r="C147" s="1">
        <f>-53*O8+ (-0.06*53*O8)</f>
        <v>-4642.7601439999999</v>
      </c>
      <c r="E147" s="1">
        <f t="shared" si="20"/>
        <v>-3766.4237173200004</v>
      </c>
      <c r="F147" s="1">
        <v>4000</v>
      </c>
      <c r="G147" s="1">
        <f t="shared" si="21"/>
        <v>-5545.1706162732007</v>
      </c>
      <c r="J147" s="27">
        <v>-21060</v>
      </c>
    </row>
    <row r="148" spans="1:10" x14ac:dyDescent="0.3">
      <c r="A148" t="s">
        <v>69</v>
      </c>
      <c r="B148" s="1">
        <f>-38.5 *O9 + (-0.06*38.5*O9)</f>
        <v>-2463.6997000000001</v>
      </c>
      <c r="C148" s="1">
        <f>-53*O8+ (-0.06*53*O8)</f>
        <v>-4642.7601439999999</v>
      </c>
      <c r="E148" s="1">
        <f t="shared" si="20"/>
        <v>-3766.4237173200004</v>
      </c>
      <c r="F148" s="1">
        <v>4000</v>
      </c>
      <c r="G148" s="1">
        <f t="shared" si="21"/>
        <v>-5545.1706162732007</v>
      </c>
    </row>
    <row r="149" spans="1:10" x14ac:dyDescent="0.3">
      <c r="A149" t="s">
        <v>70</v>
      </c>
      <c r="B149" s="1">
        <f>-38.5 *O9 + (-0.06*38.5*O9)</f>
        <v>-2463.6997000000001</v>
      </c>
      <c r="C149" s="1">
        <f>-53*O8+ (-0.06*53*O8)</f>
        <v>-4642.7601439999999</v>
      </c>
      <c r="E149" s="1">
        <f t="shared" si="20"/>
        <v>-3766.4237173200004</v>
      </c>
      <c r="F149" s="1">
        <v>4000</v>
      </c>
      <c r="G149" s="1">
        <f t="shared" si="21"/>
        <v>-5545.1706162732007</v>
      </c>
    </row>
    <row r="150" spans="1:10" x14ac:dyDescent="0.3">
      <c r="A150" t="s">
        <v>71</v>
      </c>
      <c r="B150" s="1">
        <f>-38.5 *O9 + (-0.06*38.5*O9)</f>
        <v>-2463.6997000000001</v>
      </c>
      <c r="C150" s="1">
        <f>-53*O8+ (-0.06*53*O8)</f>
        <v>-4642.7601439999999</v>
      </c>
      <c r="E150" s="1">
        <f t="shared" si="20"/>
        <v>-3766.4237173200004</v>
      </c>
      <c r="F150" s="1">
        <v>4000</v>
      </c>
      <c r="G150" s="1">
        <f t="shared" si="21"/>
        <v>-5545.1706162732007</v>
      </c>
      <c r="J150" s="27">
        <v>-21060</v>
      </c>
    </row>
  </sheetData>
  <pageMargins left="0.7" right="0.7" top="0.75" bottom="0.75" header="0.3" footer="0.3"/>
  <pageSetup paperSize="17" scale="4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8" ma:contentTypeDescription="Create a new document." ma:contentTypeScope="" ma:versionID="6089939b5a67b3956cf835ceed87c5f5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75f902c9f62bfe4e6cccaae98c75aa5a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74CC39-D4D5-4DD7-B2F8-61817127F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DDE777-5772-4097-AAB2-B6E85006BF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A2786-33FF-4BAD-8436-ED15217DA999}">
  <ds:schemaRefs>
    <ds:schemaRef ds:uri="http://purl.org/dc/dcmitype/"/>
    <ds:schemaRef ds:uri="f5c130c8-187c-4e9f-bcf5-7c797d18df11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Etchemendy</dc:creator>
  <cp:lastModifiedBy>Craig Dawe</cp:lastModifiedBy>
  <cp:lastPrinted>2018-07-19T17:13:10Z</cp:lastPrinted>
  <dcterms:created xsi:type="dcterms:W3CDTF">2014-01-03T17:18:40Z</dcterms:created>
  <dcterms:modified xsi:type="dcterms:W3CDTF">2020-01-02T19:30:08Z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