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"/>
    </mc:Choice>
  </mc:AlternateContent>
  <bookViews>
    <workbookView xWindow="-12" yWindow="9960" windowWidth="19212" windowHeight="1536"/>
  </bookViews>
  <sheets>
    <sheet name="Sheet1" sheetId="1" r:id="rId1"/>
    <sheet name="Sheet2" sheetId="2" r:id="rId2"/>
    <sheet name="Sheet3" sheetId="3" r:id="rId3"/>
  </sheets>
  <calcPr calcId="162913" concurrentCalc="0"/>
</workbook>
</file>

<file path=xl/calcChain.xml><?xml version="1.0" encoding="utf-8"?>
<calcChain xmlns="http://schemas.openxmlformats.org/spreadsheetml/2006/main">
  <c r="J24" i="1" l="1"/>
  <c r="H24" i="1"/>
  <c r="J12" i="1"/>
  <c r="J13" i="1"/>
  <c r="J14" i="1"/>
  <c r="B12" i="1"/>
  <c r="C12" i="1"/>
  <c r="B13" i="1"/>
  <c r="C13" i="1"/>
  <c r="B14" i="1"/>
  <c r="C14" i="1"/>
  <c r="B15" i="1"/>
  <c r="C15" i="1"/>
  <c r="D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24" i="1"/>
  <c r="K24" i="1"/>
  <c r="K25" i="1"/>
  <c r="K26" i="1"/>
  <c r="K11" i="1"/>
  <c r="E27" i="1"/>
  <c r="E28" i="1"/>
  <c r="E29" i="1"/>
  <c r="E30" i="1"/>
</calcChain>
</file>

<file path=xl/comments1.xml><?xml version="1.0" encoding="utf-8"?>
<comments xmlns="http://schemas.openxmlformats.org/spreadsheetml/2006/main">
  <authors>
    <author>Craig Dawe</author>
  </authors>
  <commentList>
    <comment ref="D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40%/2
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Sample supplies</t>
        </r>
      </text>
    </comment>
    <comment ref="B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DRT,DF 2019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Dawe,Mcgilll,Schram,Schnitger</t>
        </r>
      </text>
    </comment>
    <comment ref="D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Linda Khunz Survey Hrs
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port fees UW recovered Dec15, Soundscape, Diemos, RyanNPS,DSC deployed Dec15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B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DRT 640 hrs 2020
</t>
        </r>
      </text>
    </comment>
    <comment ref="C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640 hrs 2020
</t>
        </r>
      </text>
    </comment>
    <comment ref="F12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3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4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Linda K Outside services contract
</t>
        </r>
      </text>
    </comment>
    <comment ref="D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James Barry
</t>
        </r>
      </text>
    </comment>
    <comment ref="F15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 d</t>
        </r>
      </text>
    </comment>
    <comment ref="F16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RyanNPS,DSC, Smith SES 33%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Dawe + Peltzer, McGill, Mellinger
80, 40, 80</t>
        </r>
      </text>
    </comment>
    <comment ref="F18" authorId="0" shape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port fees  Soundscape, Diemos, RyanNPS,DSC, Smith SE 50%</t>
        </r>
      </text>
    </comment>
  </commentList>
</comments>
</file>

<file path=xl/sharedStrings.xml><?xml version="1.0" encoding="utf-8"?>
<sst xmlns="http://schemas.openxmlformats.org/spreadsheetml/2006/main" count="54" uniqueCount="51">
  <si>
    <t>ship time</t>
  </si>
  <si>
    <t>labor MARS Technician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</si>
  <si>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</si>
  <si>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</si>
  <si>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</si>
  <si>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</si>
  <si>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</si>
  <si>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</si>
  <si>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</si>
  <si>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</si>
  <si>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Data Analysis and Report Writing</t>
  </si>
  <si>
    <t>Total</t>
  </si>
  <si>
    <t>remaining</t>
  </si>
  <si>
    <t>Yr 5 Award</t>
  </si>
  <si>
    <t>Craig Dawe</t>
  </si>
  <si>
    <t>Duane Thompson</t>
  </si>
  <si>
    <t>Rich Schramm</t>
  </si>
  <si>
    <t>Michael Risi</t>
  </si>
  <si>
    <t>Paul McGill</t>
  </si>
  <si>
    <t>Peter Walz</t>
  </si>
  <si>
    <t>Ray Thompson</t>
  </si>
  <si>
    <t>Doug Pargett</t>
  </si>
  <si>
    <t xml:space="preserve">Jose Rosal </t>
  </si>
  <si>
    <t>Ed Mellinger</t>
  </si>
  <si>
    <t>WF /DR</t>
  </si>
  <si>
    <t>Carson Ventana 2018</t>
  </si>
  <si>
    <t>Linda Khunz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</si>
  <si>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</si>
  <si>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</si>
  <si>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</si>
  <si>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</si>
  <si>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</si>
  <si>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</si>
  <si>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</si>
  <si>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</si>
  <si>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</si>
  <si>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</si>
  <si>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</si>
  <si>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</si>
  <si>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01-02-2019 - 02-28-2019</t>
  </si>
  <si>
    <t>Open Capital Projects</t>
  </si>
  <si>
    <t>MARS AC</t>
  </si>
  <si>
    <t>Budget</t>
  </si>
  <si>
    <t>Paid</t>
  </si>
  <si>
    <t>commited</t>
  </si>
  <si>
    <t>MARS Generator</t>
  </si>
  <si>
    <t>MARS Node</t>
  </si>
  <si>
    <t>Time Distribution System</t>
  </si>
  <si>
    <t>Remaing Funds including Cap</t>
  </si>
  <si>
    <t>and engineering support</t>
  </si>
  <si>
    <t>2018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</si>
</sst>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44" fontId="0" fillId="0" borderId="0" xfId="0" applyNumberFormat="1"/>
    <xf numFmtId="44" fontId="0" fillId="0" borderId="0" xfId="1" applyFont="1" applyFill="1"/>
    <xf numFmtId="6" fontId="0" fillId="0" borderId="0" xfId="0" applyNumberFormat="1"/>
    <xf numFmtId="14" fontId="0" fillId="0" borderId="0" xfId="0" applyNumberFormat="1" applyFill="1"/>
    <xf numFmtId="164" fontId="0" fillId="0" borderId="0" xfId="1" applyNumberFormat="1" applyFont="1"/>
    <xf numFmtId="0" fontId="0" fillId="3" borderId="0" xfId="2" applyFont="1" applyProtection="1">
      <protection locked="0"/>
    </xf>
    <xf numFmtId="164" fontId="1" fillId="3" borderId="0" xfId="2" applyNumberFormat="1" applyProtection="1">
      <protection locked="0"/>
    </xf>
    <xf numFmtId="164" fontId="0" fillId="4" borderId="0" xfId="0" applyNumberFormat="1" applyFill="1"/>
    <xf numFmtId="17" fontId="0" fillId="0" borderId="0" xfId="0" applyNumberFormat="1"/>
    <xf numFmtId="39" fontId="0" fillId="0" borderId="0" xfId="0" applyNumberFormat="1"/>
    <xf numFmtId="39" fontId="0" fillId="0" borderId="0" xfId="1" applyNumberFormat="1" applyFont="1"/>
    <xf numFmtId="39" fontId="0" fillId="0" borderId="0" xfId="1" applyNumberFormat="1" applyFont="1" applyFill="1"/>
    <xf numFmtId="39" fontId="0" fillId="2" borderId="0" xfId="1" applyNumberFormat="1" applyFont="1" applyFill="1"/>
    <xf numFmtId="39" fontId="0" fillId="0" borderId="0" xfId="0" applyNumberFormat="1" applyFill="1"/>
    <xf numFmtId="16" fontId="0" fillId="0" borderId="0" xfId="0" applyNumberFormat="1"/>
    <xf numFmtId="12" fontId="0" fillId="0" borderId="0" xfId="1" applyNumberFormat="1" applyFont="1"/>
    <xf numFmtId="44" fontId="0" fillId="2" borderId="0" xfId="1" applyNumberFormat="1" applyFont="1" applyFill="1"/>
  </cellXfs>
  <cellStyles count="3">
    <cellStyle name="20% - Accent1" xfId="2" builtinId="3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Normal="100" workbookViewId="0">
      <selection activeCell="J25" sqref="J25"/>
    </sheetView>
  </sheetViews>
  <sheetFormatPr defaultRowHeight="14.4" x14ac:dyDescent="0.3"/>
  <cols>
    <col min="1" max="1" width="21.109375" customWidth="1"/>
    <col min="2" max="2" width="21.109375" style="1" customWidth="1"/>
    <col min="3" max="3" width="17.5546875" style="1" customWidth="1"/>
    <col min="4" max="4" width="16.33203125" style="1" customWidth="1"/>
    <col min="5" max="5" width="15.33203125" style="1" customWidth="1"/>
    <col min="6" max="6" width="11.88671875" style="1" customWidth="1"/>
    <col min="7" max="7" width="15.5546875" style="1" customWidth="1"/>
    <col min="8" max="8" width="13.109375" style="1" customWidth="1"/>
    <col min="9" max="9" width="14.44140625" style="1" customWidth="1"/>
    <col min="10" max="10" width="13" style="16" customWidth="1"/>
    <col min="11" max="11" width="14" style="15" customWidth="1"/>
    <col min="12" max="28" width="21.109375" customWidth="1"/>
  </cols>
  <sheetData>
    <row r="1" spans="1:15" x14ac:dyDescent="0.3">
      <c r="A1" s="2"/>
      <c r="B1" s="6"/>
      <c r="D1" s="7"/>
      <c r="H1" s="16"/>
      <c r="K1" s="19"/>
      <c r="L1" t="s">
        <v>10</v>
      </c>
      <c r="N1" t="s">
        <v>50</v>
      </c>
    </row>
    <row r="2" spans="1:15" x14ac:dyDescent="0.3">
      <c r="A2" s="2"/>
      <c r="B2" s="6"/>
      <c r="D2" s="7"/>
      <c r="H2" s="16"/>
      <c r="K2" s="19"/>
      <c r="L2" t="s">
        <v>10</v>
      </c>
      <c r="N2" s="11" t="s">
        <v>14</v>
      </c>
      <c r="O2" s="12">
        <v>82.640799999999999</v>
      </c>
    </row>
    <row r="3" spans="1:15" x14ac:dyDescent="0.3">
      <c r="A3" s="2"/>
      <c r="N3" s="11" t="s">
        <v>15</v>
      </c>
      <c r="O3" s="13">
        <v>60.37</v>
      </c>
    </row>
    <row r="4" spans="1:15" x14ac:dyDescent="0.3">
      <c r="A4" s="9"/>
      <c r="B4" s="7"/>
      <c r="C4" s="7"/>
      <c r="F4" s="7"/>
      <c r="H4" s="10"/>
      <c r="J4" s="17"/>
      <c r="N4" s="11" t="s">
        <v>16</v>
      </c>
      <c r="O4" s="12">
        <v>75.445899999999995</v>
      </c>
    </row>
    <row r="5" spans="1:15" x14ac:dyDescent="0.3">
      <c r="A5" s="9"/>
      <c r="B5" s="7"/>
      <c r="C5" s="7"/>
      <c r="F5" s="7"/>
      <c r="H5" s="10"/>
      <c r="J5" s="17"/>
      <c r="N5" s="11" t="s">
        <v>17</v>
      </c>
      <c r="O5" s="12">
        <v>85.39</v>
      </c>
    </row>
    <row r="6" spans="1:15" x14ac:dyDescent="0.3">
      <c r="B6" s="7"/>
      <c r="C6" s="7"/>
      <c r="F6" s="7"/>
      <c r="H6" s="10"/>
      <c r="J6" s="17"/>
      <c r="N6" s="11" t="s">
        <v>18</v>
      </c>
      <c r="O6" s="12">
        <v>85.393199999999993</v>
      </c>
    </row>
    <row r="7" spans="1:15" x14ac:dyDescent="0.3">
      <c r="B7" s="7"/>
      <c r="C7" s="7"/>
      <c r="F7" s="7"/>
      <c r="H7" s="10"/>
      <c r="J7" s="17"/>
      <c r="N7" s="11" t="s">
        <v>19</v>
      </c>
      <c r="O7" s="12">
        <v>48.8</v>
      </c>
    </row>
    <row r="8" spans="1:15" x14ac:dyDescent="0.3">
      <c r="N8" s="11" t="s">
        <v>20</v>
      </c>
      <c r="O8" s="12">
        <v>52.941699999999997</v>
      </c>
    </row>
    <row r="9" spans="1:15" x14ac:dyDescent="0.3">
      <c r="N9" s="11" t="s">
        <v>21</v>
      </c>
      <c r="O9" s="12">
        <v>75.900000000000006</v>
      </c>
    </row>
    <row r="10" spans="1:15" x14ac:dyDescent="0.3">
      <c r="A10" s="3" t="s">
        <v>13</v>
      </c>
      <c r="B10" s="4" t="s">
        <v>1</v>
      </c>
      <c r="C10" s="4" t="s">
        <v>6</v>
      </c>
      <c r="D10" s="4" t="s">
        <v>2</v>
      </c>
      <c r="E10" s="4" t="s">
        <v>4</v>
      </c>
      <c r="F10" s="4" t="s">
        <v>5</v>
      </c>
      <c r="G10" s="4" t="s">
        <v>8</v>
      </c>
      <c r="H10" s="4" t="s">
        <v>3</v>
      </c>
      <c r="I10" s="4"/>
      <c r="J10" s="18" t="s">
        <v>0</v>
      </c>
      <c r="K10" s="18" t="s">
        <v>11</v>
      </c>
      <c r="N10" s="11" t="s">
        <v>22</v>
      </c>
      <c r="O10" s="12">
        <v>55.99</v>
      </c>
    </row>
    <row r="11" spans="1:15" x14ac:dyDescent="0.3">
      <c r="A11" s="3" t="s">
        <v>39</v>
      </c>
      <c r="B11" s="4">
        <v>47382</v>
      </c>
      <c r="C11" s="4" t="s">
        <v>49</v>
      </c>
      <c r="D11" s="4"/>
      <c r="E11" s="4">
        <v>25587</v>
      </c>
      <c r="F11" s="4"/>
      <c r="G11" s="4">
        <v>35254</v>
      </c>
      <c r="H11" s="4"/>
      <c r="I11" s="4"/>
      <c r="J11" s="18">
        <v>383678</v>
      </c>
      <c r="K11" s="18">
        <f>SUM(B11:J11)</f>
        <v>491901</v>
      </c>
      <c r="N11" s="11" t="s">
        <v>23</v>
      </c>
      <c r="O11" s="12">
        <v>78.63</v>
      </c>
    </row>
    <row r="12" spans="1:15" x14ac:dyDescent="0.3">
      <c r="A12" s="14" t="s">
        <v>27</v>
      </c>
      <c r="B12" s="1">
        <f>-640/12 *O3 + (-0.03*640/12*O3)</f>
        <v>-3316.3253333333332</v>
      </c>
      <c r="C12" s="1">
        <f>-53*O2+ (-0.03*53*O2)</f>
        <v>-4511.3612720000001</v>
      </c>
      <c r="D12" s="7"/>
      <c r="E12" s="1">
        <f t="shared" ref="E12:E23" si="0">SUM(B12:D12)*0.53</f>
        <v>-4148.6739008266668</v>
      </c>
      <c r="F12" s="1">
        <v>4000</v>
      </c>
      <c r="G12" s="1">
        <f t="shared" ref="G12:G23" si="1">SUM(B12:E12)*0.51</f>
        <v>-6107.9438581415998</v>
      </c>
      <c r="J12" s="16">
        <f>-21060 *3</f>
        <v>-63180</v>
      </c>
      <c r="L12" t="s">
        <v>10</v>
      </c>
      <c r="N12" s="11" t="s">
        <v>26</v>
      </c>
      <c r="O12" s="12">
        <v>44.13</v>
      </c>
    </row>
    <row r="13" spans="1:15" x14ac:dyDescent="0.3">
      <c r="A13" s="14" t="s">
        <v>28</v>
      </c>
      <c r="B13" s="1">
        <f>-640/12 *O3 + (-0.03*640/12*O3)</f>
        <v>-3316.3253333333332</v>
      </c>
      <c r="C13" s="1">
        <f>-53*O2+ (-0.03*53*O2)</f>
        <v>-4511.3612720000001</v>
      </c>
      <c r="D13" s="7"/>
      <c r="E13" s="1">
        <f t="shared" si="0"/>
        <v>-4148.6739008266668</v>
      </c>
      <c r="F13" s="1">
        <v>4000</v>
      </c>
      <c r="G13" s="1">
        <f t="shared" si="1"/>
        <v>-6107.9438581415998</v>
      </c>
      <c r="J13" s="16">
        <f>-21060 *3</f>
        <v>-63180</v>
      </c>
      <c r="L13" t="s">
        <v>10</v>
      </c>
      <c r="N13" t="s">
        <v>25</v>
      </c>
      <c r="O13" s="8">
        <v>18980</v>
      </c>
    </row>
    <row r="14" spans="1:15" x14ac:dyDescent="0.3">
      <c r="A14" s="20" t="s">
        <v>29</v>
      </c>
      <c r="B14" s="1">
        <f>-640/12 *O3 + (-0.06*640/12*O3)</f>
        <v>-3412.9173333333329</v>
      </c>
      <c r="C14" s="1">
        <f>-53*O2+ (-0.06*53*O2)</f>
        <v>-4642.7601439999999</v>
      </c>
      <c r="E14" s="1">
        <f>SUM(B14:D14)*0.53</f>
        <v>-4269.5090629866663</v>
      </c>
      <c r="F14" s="1">
        <v>4000</v>
      </c>
      <c r="G14" s="1">
        <f t="shared" si="1"/>
        <v>-6285.8451355631996</v>
      </c>
      <c r="H14" s="1">
        <v>-24840</v>
      </c>
      <c r="J14" s="16">
        <f>-21060</f>
        <v>-21060</v>
      </c>
      <c r="N14" s="8" t="s">
        <v>24</v>
      </c>
      <c r="O14" s="12">
        <v>31100</v>
      </c>
    </row>
    <row r="15" spans="1:15" x14ac:dyDescent="0.3">
      <c r="A15" s="20" t="s">
        <v>30</v>
      </c>
      <c r="B15" s="1">
        <f>-640/12 *O3 + (-0.06*640/12*O3)</f>
        <v>-3412.9173333333329</v>
      </c>
      <c r="C15" s="1">
        <f>-53*O2+ (-0.06*53*O2)</f>
        <v>-4642.7601439999999</v>
      </c>
      <c r="D15" s="1">
        <f>-2.2*O4+ (-0.06 * 2.2*O4)</f>
        <v>-175.93983879999999</v>
      </c>
      <c r="E15" s="1">
        <f t="shared" si="0"/>
        <v>-4362.7571775506667</v>
      </c>
      <c r="F15" s="1">
        <v>4000</v>
      </c>
      <c r="G15" s="1">
        <f t="shared" si="1"/>
        <v>-6423.1309917788403</v>
      </c>
    </row>
    <row r="16" spans="1:15" x14ac:dyDescent="0.3">
      <c r="A16" t="s">
        <v>31</v>
      </c>
      <c r="B16" s="1">
        <f>-640/12 *O3 + (-0.06*640/12*O3)</f>
        <v>-3412.9173333333329</v>
      </c>
      <c r="C16" s="1">
        <f>-53*O2+ (-0.06*53*O2)</f>
        <v>-4642.7601439999999</v>
      </c>
      <c r="E16" s="1">
        <f t="shared" si="0"/>
        <v>-4269.5090629866663</v>
      </c>
      <c r="F16" s="1">
        <v>4333</v>
      </c>
      <c r="G16" s="1">
        <f t="shared" si="1"/>
        <v>-6285.8451355631996</v>
      </c>
    </row>
    <row r="17" spans="1:11" x14ac:dyDescent="0.3">
      <c r="A17" t="s">
        <v>32</v>
      </c>
      <c r="B17" s="1">
        <f>-640/12 *O3 + (-0.06*640/12*O3)</f>
        <v>-3412.9173333333329</v>
      </c>
      <c r="C17" s="1">
        <f>-53*O2+ (-0.06*53*O2)-4525</f>
        <v>-9167.7601439999999</v>
      </c>
      <c r="D17" s="21"/>
      <c r="E17" s="1">
        <f t="shared" si="0"/>
        <v>-6667.7590629866663</v>
      </c>
      <c r="F17" s="1">
        <v>5000</v>
      </c>
      <c r="G17" s="1">
        <f t="shared" si="1"/>
        <v>-9816.7026355631988</v>
      </c>
    </row>
    <row r="18" spans="1:11" x14ac:dyDescent="0.3">
      <c r="A18" t="s">
        <v>33</v>
      </c>
      <c r="B18" s="1">
        <f>-640/12 *O3 + (-0.06*640/12*O3)</f>
        <v>-3412.9173333333329</v>
      </c>
      <c r="C18" s="1">
        <f>-53*O2+ (-0.06*53*O2)-4525</f>
        <v>-9167.7601439999999</v>
      </c>
      <c r="E18" s="1">
        <f t="shared" si="0"/>
        <v>-6667.7590629866663</v>
      </c>
      <c r="F18" s="1">
        <v>4500</v>
      </c>
      <c r="G18" s="1">
        <f t="shared" si="1"/>
        <v>-9816.7026355631988</v>
      </c>
    </row>
    <row r="19" spans="1:11" x14ac:dyDescent="0.3">
      <c r="A19" t="s">
        <v>34</v>
      </c>
      <c r="B19" s="1">
        <f>-640/12 *O3 + (-0.06*640/12*O3)</f>
        <v>-3412.9173333333329</v>
      </c>
      <c r="C19" s="1">
        <f>-53*O2+ (-0.06*53*O2)-4525</f>
        <v>-9167.7601439999999</v>
      </c>
      <c r="E19" s="1">
        <f t="shared" si="0"/>
        <v>-6667.7590629866663</v>
      </c>
      <c r="F19" s="1">
        <v>4000</v>
      </c>
      <c r="G19" s="1">
        <f t="shared" si="1"/>
        <v>-9816.7026355631988</v>
      </c>
    </row>
    <row r="20" spans="1:11" x14ac:dyDescent="0.3">
      <c r="A20" t="s">
        <v>35</v>
      </c>
      <c r="B20" s="1">
        <f>-640/12 *O3 + (-0.06*640/12*O3)</f>
        <v>-3412.9173333333329</v>
      </c>
      <c r="C20" s="1">
        <f>-53*O2+ (-0.06*53*O2)-4525</f>
        <v>-9167.7601439999999</v>
      </c>
      <c r="E20" s="1">
        <f t="shared" si="0"/>
        <v>-6667.7590629866663</v>
      </c>
      <c r="F20" s="1">
        <v>4000</v>
      </c>
      <c r="G20" s="1">
        <f t="shared" si="1"/>
        <v>-9816.7026355631988</v>
      </c>
      <c r="J20" s="16">
        <v>-21060</v>
      </c>
    </row>
    <row r="21" spans="1:11" x14ac:dyDescent="0.3">
      <c r="A21" t="s">
        <v>36</v>
      </c>
      <c r="B21" s="1">
        <f>-640/12 *O3 + (-0.06*640/12*O3)</f>
        <v>-3412.9173333333329</v>
      </c>
      <c r="C21" s="1">
        <f>-53*O2+ (-0.06*53*O2)-4525</f>
        <v>-9167.7601439999999</v>
      </c>
      <c r="E21" s="1">
        <f t="shared" si="0"/>
        <v>-6667.7590629866663</v>
      </c>
      <c r="F21" s="1">
        <v>4000</v>
      </c>
      <c r="G21" s="1">
        <f t="shared" si="1"/>
        <v>-9816.7026355631988</v>
      </c>
    </row>
    <row r="22" spans="1:11" x14ac:dyDescent="0.3">
      <c r="A22" t="s">
        <v>37</v>
      </c>
      <c r="B22" s="1">
        <f>-640/12 *O3 + (-0.06*640/12*O3)</f>
        <v>-3412.9173333333329</v>
      </c>
      <c r="C22" s="1">
        <f>-53*O2+ (-0.06*53*O2)</f>
        <v>-4642.7601439999999</v>
      </c>
      <c r="E22" s="1">
        <f t="shared" si="0"/>
        <v>-4269.5090629866663</v>
      </c>
      <c r="F22" s="1">
        <v>4000</v>
      </c>
      <c r="G22" s="1">
        <f t="shared" si="1"/>
        <v>-6285.8451355631996</v>
      </c>
    </row>
    <row r="23" spans="1:11" x14ac:dyDescent="0.3">
      <c r="A23" t="s">
        <v>38</v>
      </c>
      <c r="B23" s="1">
        <f>-640/12 *O3 + (-0.06*640/12*O3)</f>
        <v>-3412.9173333333329</v>
      </c>
      <c r="C23" s="1">
        <f>-53*O2+ (-0.06*53*O2)</f>
        <v>-4642.7601439999999</v>
      </c>
      <c r="E23" s="1">
        <f t="shared" si="0"/>
        <v>-4269.5090629866663</v>
      </c>
      <c r="F23" s="1">
        <v>4000</v>
      </c>
      <c r="G23" s="1">
        <f t="shared" si="1"/>
        <v>-6285.8451355631996</v>
      </c>
      <c r="J23" s="16">
        <v>-21060</v>
      </c>
    </row>
    <row r="24" spans="1:11" x14ac:dyDescent="0.3">
      <c r="A24" s="5" t="s">
        <v>7</v>
      </c>
      <c r="B24" s="4">
        <f>SUM(B12:D23)</f>
        <v>-119013.08782279999</v>
      </c>
      <c r="C24" s="4"/>
      <c r="D24" s="4"/>
      <c r="E24" s="4">
        <f>SUM(E12:E23)</f>
        <v>-63076.936546084013</v>
      </c>
      <c r="F24" s="4">
        <f>SUM(F12:F22)</f>
        <v>45833</v>
      </c>
      <c r="G24" s="4">
        <f>SUM(G12:G23)</f>
        <v>-92865.912428130818</v>
      </c>
      <c r="H24" s="22">
        <f>SUM(H12:H22)</f>
        <v>-24840</v>
      </c>
      <c r="I24" s="4"/>
      <c r="J24" s="18">
        <f>SUM(J12:J16)</f>
        <v>-147420</v>
      </c>
      <c r="K24" s="15">
        <f>SUM(B24:J24)</f>
        <v>-401382.93679701485</v>
      </c>
    </row>
    <row r="25" spans="1:11" x14ac:dyDescent="0.3">
      <c r="A25" s="5" t="s">
        <v>9</v>
      </c>
      <c r="K25" s="15">
        <f>SUM(K24,K11)</f>
        <v>90518.063202985155</v>
      </c>
    </row>
    <row r="26" spans="1:11" x14ac:dyDescent="0.3">
      <c r="A26" t="s">
        <v>40</v>
      </c>
      <c r="B26" s="1" t="s">
        <v>42</v>
      </c>
      <c r="C26" s="1" t="s">
        <v>43</v>
      </c>
      <c r="D26" s="1" t="s">
        <v>44</v>
      </c>
      <c r="E26" s="1" t="s">
        <v>12</v>
      </c>
      <c r="I26" s="1" t="s">
        <v>48</v>
      </c>
      <c r="K26" s="15">
        <f>SUM(K25,E27:E30)</f>
        <v>166396.06320298515</v>
      </c>
    </row>
    <row r="27" spans="1:11" x14ac:dyDescent="0.3">
      <c r="A27" t="s">
        <v>41</v>
      </c>
      <c r="B27" s="1">
        <v>18500</v>
      </c>
      <c r="C27" s="1">
        <v>-18019</v>
      </c>
      <c r="D27" s="1">
        <v>-346</v>
      </c>
      <c r="E27" s="1">
        <f>SUM(B27:D27)</f>
        <v>135</v>
      </c>
    </row>
    <row r="28" spans="1:11" x14ac:dyDescent="0.3">
      <c r="A28" t="s">
        <v>45</v>
      </c>
      <c r="B28" s="1">
        <v>27809</v>
      </c>
      <c r="C28" s="1">
        <v>-31062</v>
      </c>
      <c r="E28" s="1">
        <f>SUM(B28:D28)</f>
        <v>-3253</v>
      </c>
    </row>
    <row r="29" spans="1:11" x14ac:dyDescent="0.3">
      <c r="A29" t="s">
        <v>46</v>
      </c>
      <c r="B29" s="1">
        <v>339600</v>
      </c>
      <c r="C29" s="1">
        <v>-632</v>
      </c>
      <c r="D29" s="1">
        <v>-259931</v>
      </c>
      <c r="E29" s="1">
        <f>SUM(B29:D29)</f>
        <v>79037</v>
      </c>
    </row>
    <row r="30" spans="1:11" x14ac:dyDescent="0.3">
      <c r="A30" t="s">
        <v>47</v>
      </c>
      <c r="B30" s="1">
        <v>9100</v>
      </c>
      <c r="C30" s="1">
        <v>-9141</v>
      </c>
      <c r="E30" s="1">
        <f>SUM(B30:D30)</f>
        <v>-41</v>
      </c>
    </row>
  </sheetData>
  <pageMargins left="0.7" right="0.7" top="0.75" bottom="0.75" header="0.3" footer="0.3"/>
  <pageSetup paperSize="17" scale="4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74CC39-D4D5-4DD7-B2F8-61817127F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DDE777-5772-4097-AAB2-B6E85006BF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A2786-33FF-4BAD-8436-ED15217DA999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f5c130c8-187c-4e9f-bcf5-7c797d18df11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cp:lastPrinted>2020-01-02T22:30:46Z</cp:lastPrinted>
  <dcterms:created xsi:type="dcterms:W3CDTF">2014-01-03T17:18:40Z</dcterms:created>
  <dcterms:modified xsi:type="dcterms:W3CDTF">2020-01-02T22:32:19Z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