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cr\OneDrive - MBARI\MARS\"/>
    </mc:Choice>
  </mc:AlternateContent>
  <bookViews>
    <workbookView xWindow="0" yWindow="0" windowWidth="28800" windowHeight="141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H25" i="1"/>
  <c r="H24" i="1"/>
  <c r="H23" i="1"/>
  <c r="H22" i="1"/>
  <c r="H21" i="1"/>
  <c r="H20" i="1"/>
  <c r="H19" i="1"/>
  <c r="H18" i="1"/>
  <c r="B26" i="1"/>
  <c r="F26" i="1"/>
  <c r="I18" i="1"/>
  <c r="K11" i="1"/>
  <c r="B18" i="1"/>
  <c r="D18" i="1"/>
  <c r="B19" i="1"/>
  <c r="D19" i="1"/>
  <c r="B20" i="1"/>
  <c r="D20" i="1"/>
  <c r="B21" i="1"/>
  <c r="D21" i="1"/>
  <c r="B22" i="1"/>
  <c r="D22" i="1"/>
  <c r="B23" i="1"/>
  <c r="D23" i="1"/>
  <c r="F18" i="1"/>
  <c r="F19" i="1"/>
  <c r="F20" i="1"/>
  <c r="F21" i="1"/>
  <c r="F22" i="1"/>
  <c r="F23" i="1"/>
  <c r="B24" i="1"/>
  <c r="D24" i="1"/>
  <c r="E24" i="1"/>
  <c r="F24" i="1"/>
  <c r="B25" i="1"/>
  <c r="D25" i="1"/>
  <c r="F25" i="1"/>
  <c r="H26" i="1"/>
  <c r="I26" i="1"/>
  <c r="J23" i="1"/>
  <c r="J26" i="1"/>
  <c r="K26" i="1"/>
  <c r="K27" i="1"/>
  <c r="G27" i="1"/>
  <c r="F33" i="1"/>
</calcChain>
</file>

<file path=xl/comments1.xml><?xml version="1.0" encoding="utf-8"?>
<comments xmlns="http://schemas.openxmlformats.org/spreadsheetml/2006/main">
  <authors>
    <author>Craig Dawe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DRT,DF 2019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Dawe,Mcgilll,Schram,Schnitger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Survey Hrs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 recovered Dec15, Soundscape, Diemos, RyanNPS,DSC deployed Dec15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 640 hrs 2020
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640 hrs 2020
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Linda K Outside services contract
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James Barry
</t>
        </r>
      </text>
    </comment>
    <comment ref="G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D17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+ Peltzer, McGill, Mellinger
80, 40, 80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hr*.66</t>
        </r>
      </text>
    </comment>
    <comment ref="G1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
</t>
        </r>
      </text>
    </comment>
    <comment ref="G19" authorId="0" shapeId="0">
      <text>
        <r>
          <rPr>
            <b/>
            <sz val="9"/>
            <color indexed="81"/>
            <rFont val="Tahoma"/>
            <charset val="1"/>
          </rPr>
          <t>Craig Dawe:
port fees  Soundscape, Diemos, RyanNPS, 50% SES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G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Recovery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Ed Peltzer 80hrs</t>
        </r>
      </text>
    </comment>
    <comment ref="G2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G2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Projected Income total based on planned projects and current
</t>
        </r>
      </text>
    </comment>
  </commentList>
</comments>
</file>

<file path=xl/sharedStrings.xml><?xml version="1.0" encoding="utf-8"?>
<sst xmlns="http://schemas.openxmlformats.org/spreadsheetml/2006/main" count="55" uniqueCount="53">
  <si>
    <t>Yr 5 Award</t>
  </si>
  <si>
    <t>labor MARS Technician</t>
  </si>
  <si>
    <t>labor MARS Manager</t>
  </si>
  <si>
    <t>Science (Survey techs)</t>
  </si>
  <si>
    <t>fringe 53%</t>
  </si>
  <si>
    <t>income</t>
  </si>
  <si>
    <t>indirect</t>
  </si>
  <si>
    <t>expenses</t>
  </si>
  <si>
    <t>ship time</t>
  </si>
  <si>
    <t>Total</t>
  </si>
  <si>
    <t>01-02-2020 - 02-28-2021</t>
  </si>
  <si>
    <t>and engineering support</t>
  </si>
  <si>
    <t>Jan</t>
  </si>
  <si>
    <t>Data Analysis and Report Writing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</si>
  <si>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</si>
  <si>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</si>
  <si>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</si>
  <si>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</si>
  <si>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</si>
  <si>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</si>
  <si>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</si>
  <si>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</si>
  <si>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</si>
  <si>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</si>
  <si>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sum of income -labor</t>
  </si>
  <si>
    <t>Open Capital Projects</t>
  </si>
  <si>
    <t>Budget</t>
  </si>
  <si>
    <t>Paid</t>
  </si>
  <si>
    <t>commited</t>
  </si>
  <si>
    <t>remaining</t>
  </si>
  <si>
    <t>MARS Node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</si>
  <si>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</si>
  <si>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</si>
  <si>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</si>
  <si>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</si>
  <si>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</si>
  <si>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</si>
  <si>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</si>
  <si>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</si>
  <si>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</si>
  <si>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</si>
  <si>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Linda Khunz</t>
  </si>
  <si>
    <t>Carson Ventana 2018</t>
  </si>
  <si>
    <t>WF /DR</t>
  </si>
  <si>
    <t>Notes</t>
  </si>
  <si>
    <t>Expenses are estimated</t>
  </si>
  <si>
    <t>Eng Support</t>
  </si>
  <si>
    <t>PSR Date July 8 2020</t>
  </si>
  <si>
    <t>Income from port fees As of June 10 2020</t>
  </si>
  <si>
    <t>Project end of year projection</t>
  </si>
  <si>
    <t>Balance for Node upgrade</t>
  </si>
  <si>
    <t>Income from port fees from last Lash PSR June 10 2020</t>
  </si>
  <si>
    <t>Labor is 640hrs/yr Dawe D. Thompson, E Peltzer is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</si>
</sst>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3" borderId="0" xfId="0" applyFill="1"/>
    <xf numFmtId="44" fontId="0" fillId="3" borderId="0" xfId="1" applyFont="1" applyFill="1"/>
    <xf numFmtId="39" fontId="0" fillId="3" borderId="0" xfId="1" applyNumberFormat="1" applyFont="1" applyFill="1"/>
    <xf numFmtId="17" fontId="0" fillId="0" borderId="0" xfId="0" applyNumberFormat="1"/>
    <xf numFmtId="44" fontId="0" fillId="0" borderId="0" xfId="1" applyFont="1"/>
    <xf numFmtId="44" fontId="0" fillId="0" borderId="0" xfId="1" applyFont="1" applyFill="1"/>
    <xf numFmtId="39" fontId="0" fillId="0" borderId="0" xfId="1" applyNumberFormat="1" applyFont="1"/>
    <xf numFmtId="39" fontId="0" fillId="0" borderId="0" xfId="0" applyNumberFormat="1"/>
    <xf numFmtId="16" fontId="0" fillId="0" borderId="0" xfId="0" applyNumberFormat="1"/>
    <xf numFmtId="12" fontId="0" fillId="0" borderId="0" xfId="1" applyNumberFormat="1" applyFont="1"/>
    <xf numFmtId="14" fontId="0" fillId="3" borderId="0" xfId="0" applyNumberFormat="1" applyFill="1"/>
    <xf numFmtId="14" fontId="0" fillId="0" borderId="0" xfId="0" applyNumberFormat="1"/>
    <xf numFmtId="44" fontId="0" fillId="0" borderId="0" xfId="0" applyNumberFormat="1"/>
    <xf numFmtId="39" fontId="0" fillId="0" borderId="0" xfId="0" applyNumberFormat="1" applyFill="1"/>
    <xf numFmtId="0" fontId="0" fillId="2" borderId="0" xfId="2" applyFont="1" applyProtection="1">
      <protection locked="0"/>
    </xf>
    <xf numFmtId="164" fontId="1" fillId="2" borderId="0" xfId="2" applyNumberFormat="1" applyProtection="1">
      <protection locked="0"/>
    </xf>
    <xf numFmtId="164" fontId="0" fillId="4" borderId="0" xfId="0" applyNumberFormat="1" applyFill="1"/>
    <xf numFmtId="14" fontId="0" fillId="0" borderId="0" xfId="0" applyNumberFormat="1" applyFill="1"/>
    <xf numFmtId="164" fontId="0" fillId="0" borderId="0" xfId="1" applyNumberFormat="1" applyFont="1"/>
    <xf numFmtId="39" fontId="0" fillId="0" borderId="0" xfId="1" applyNumberFormat="1" applyFont="1" applyFill="1"/>
    <xf numFmtId="6" fontId="0" fillId="0" borderId="0" xfId="0" applyNumberFormat="1"/>
    <xf numFmtId="7" fontId="0" fillId="0" borderId="0" xfId="1" applyNumberFormat="1" applyFont="1"/>
    <xf numFmtId="4" fontId="6" fillId="0" borderId="0" xfId="0" applyNumberFormat="1" applyFont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6"/>
  <sheetViews>
    <sheetView tabSelected="1" topLeftCell="A4" workbookViewId="0">
      <selection activeCell="K30" sqref="K30"/>
    </sheetView>
  </sheetViews>
  <sheetFormatPr defaultRowHeight="15" x14ac:dyDescent="0.25"/>
  <cols>
    <col min="1" max="1" width="22.7109375" customWidth="1"/>
    <col min="2" max="2" width="12.85546875" customWidth="1"/>
    <col min="3" max="3" width="20" customWidth="1"/>
    <col min="4" max="4" width="13.42578125" customWidth="1"/>
    <col min="5" max="5" width="15.140625" customWidth="1"/>
    <col min="6" max="6" width="15.7109375" customWidth="1"/>
    <col min="7" max="7" width="15.28515625" customWidth="1"/>
    <col min="8" max="8" width="13.5703125" customWidth="1"/>
    <col min="9" max="9" width="14.28515625" customWidth="1"/>
    <col min="10" max="10" width="17" customWidth="1"/>
    <col min="11" max="11" width="15" customWidth="1"/>
    <col min="12" max="12" width="25.5703125" customWidth="1"/>
    <col min="15" max="15" width="15.85546875" customWidth="1"/>
  </cols>
  <sheetData>
    <row r="1" spans="1:15" x14ac:dyDescent="0.25">
      <c r="A1" s="12"/>
      <c r="B1" s="13"/>
      <c r="C1" s="13"/>
      <c r="D1" s="5"/>
      <c r="E1" s="6"/>
      <c r="F1" s="5"/>
      <c r="G1" s="5"/>
      <c r="H1" s="5"/>
      <c r="I1" s="7"/>
      <c r="J1" s="7"/>
      <c r="K1" s="14"/>
      <c r="L1" t="s">
        <v>13</v>
      </c>
      <c r="N1" s="15" t="s">
        <v>31</v>
      </c>
      <c r="O1" s="16">
        <v>82.640799999999999</v>
      </c>
    </row>
    <row r="2" spans="1:15" x14ac:dyDescent="0.25">
      <c r="A2" s="12" t="s">
        <v>44</v>
      </c>
      <c r="B2" s="5"/>
      <c r="C2" s="5"/>
      <c r="D2" s="5"/>
      <c r="E2" s="5"/>
      <c r="F2" s="5"/>
      <c r="G2" s="5"/>
      <c r="H2" s="5"/>
      <c r="I2" s="5"/>
      <c r="J2" s="7"/>
      <c r="K2" s="8"/>
      <c r="N2" s="15" t="s">
        <v>32</v>
      </c>
      <c r="O2" s="17">
        <v>60.37</v>
      </c>
    </row>
    <row r="3" spans="1:15" x14ac:dyDescent="0.25">
      <c r="A3" s="18" t="s">
        <v>52</v>
      </c>
      <c r="B3" s="6"/>
      <c r="C3" s="6"/>
      <c r="D3" s="6"/>
      <c r="E3" s="5"/>
      <c r="F3" s="5"/>
      <c r="G3" s="6"/>
      <c r="H3" s="5"/>
      <c r="I3" s="19"/>
      <c r="J3" s="20"/>
      <c r="K3" s="8"/>
      <c r="N3" s="15" t="s">
        <v>33</v>
      </c>
      <c r="O3" s="16">
        <v>75.445899999999995</v>
      </c>
    </row>
    <row r="4" spans="1:15" x14ac:dyDescent="0.25">
      <c r="A4" s="18" t="s">
        <v>45</v>
      </c>
      <c r="B4" s="6"/>
      <c r="C4" s="6"/>
      <c r="D4" s="6"/>
      <c r="E4" s="5"/>
      <c r="F4" s="5"/>
      <c r="G4" s="6"/>
      <c r="H4" s="5"/>
      <c r="I4" s="19"/>
      <c r="J4" s="20"/>
      <c r="K4" s="8"/>
      <c r="N4" s="15" t="s">
        <v>34</v>
      </c>
      <c r="O4" s="16">
        <v>85.39</v>
      </c>
    </row>
    <row r="5" spans="1:15" x14ac:dyDescent="0.25">
      <c r="A5" s="18" t="s">
        <v>51</v>
      </c>
      <c r="B5" s="6"/>
      <c r="C5" s="6"/>
      <c r="D5" s="6"/>
      <c r="E5" s="5"/>
      <c r="F5" s="5"/>
      <c r="G5" s="6"/>
      <c r="H5" s="5"/>
      <c r="I5" s="19"/>
      <c r="J5" s="20"/>
      <c r="K5" s="8"/>
      <c r="N5" s="15" t="s">
        <v>35</v>
      </c>
      <c r="O5" s="16">
        <v>85.393199999999993</v>
      </c>
    </row>
    <row r="6" spans="1:15" x14ac:dyDescent="0.25">
      <c r="A6" s="18" t="s">
        <v>47</v>
      </c>
      <c r="B6" s="6"/>
      <c r="C6" s="6"/>
      <c r="D6" s="6"/>
      <c r="E6" s="5"/>
      <c r="F6" s="5"/>
      <c r="G6" s="6"/>
      <c r="H6" s="5"/>
      <c r="I6" s="19"/>
      <c r="J6" s="20"/>
      <c r="K6" s="8"/>
      <c r="N6" s="15" t="s">
        <v>36</v>
      </c>
      <c r="O6" s="16">
        <v>48.8</v>
      </c>
    </row>
    <row r="7" spans="1:15" x14ac:dyDescent="0.25">
      <c r="B7" s="5"/>
      <c r="C7" s="5"/>
      <c r="D7" s="5"/>
      <c r="E7" s="5"/>
      <c r="F7" s="5"/>
      <c r="G7" s="5"/>
      <c r="H7" s="5"/>
      <c r="I7" s="5"/>
      <c r="J7" s="7"/>
      <c r="K7" s="8"/>
      <c r="N7" s="15" t="s">
        <v>37</v>
      </c>
      <c r="O7" s="16">
        <v>52.941699999999997</v>
      </c>
    </row>
    <row r="8" spans="1:15" x14ac:dyDescent="0.25">
      <c r="B8" s="5"/>
      <c r="C8" s="5"/>
      <c r="D8" s="5"/>
      <c r="E8" s="5"/>
      <c r="F8" s="5"/>
      <c r="G8" s="5"/>
      <c r="H8" s="5"/>
      <c r="I8" s="5"/>
      <c r="J8" s="7"/>
      <c r="K8" s="8"/>
      <c r="N8" s="15" t="s">
        <v>38</v>
      </c>
      <c r="O8" s="16">
        <v>75.900000000000006</v>
      </c>
    </row>
    <row r="9" spans="1:15" x14ac:dyDescent="0.25">
      <c r="A9" s="1" t="s">
        <v>0</v>
      </c>
      <c r="B9" s="2" t="s">
        <v>1</v>
      </c>
      <c r="C9" s="2" t="s">
        <v>46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3" t="s">
        <v>8</v>
      </c>
      <c r="K9" s="3" t="s">
        <v>9</v>
      </c>
      <c r="N9" s="15" t="s">
        <v>39</v>
      </c>
      <c r="O9" s="16">
        <v>55.99</v>
      </c>
    </row>
    <row r="10" spans="1:15" x14ac:dyDescent="0.25">
      <c r="A10" s="1"/>
      <c r="B10" s="2"/>
      <c r="C10" s="2"/>
      <c r="D10" s="2" t="s">
        <v>11</v>
      </c>
      <c r="E10" s="2"/>
      <c r="F10" s="2"/>
      <c r="G10" s="2"/>
      <c r="H10" s="2"/>
      <c r="I10" s="2"/>
      <c r="J10" s="3"/>
      <c r="K10" s="3"/>
      <c r="N10" s="15"/>
      <c r="O10" s="16"/>
    </row>
    <row r="11" spans="1:15" x14ac:dyDescent="0.25">
      <c r="A11" s="1" t="s">
        <v>10</v>
      </c>
      <c r="B11" s="2">
        <v>23007.4</v>
      </c>
      <c r="C11" s="2"/>
      <c r="E11" s="2"/>
      <c r="F11" s="2">
        <v>11856.25</v>
      </c>
      <c r="G11" s="2"/>
      <c r="H11" s="2">
        <v>-14294.8</v>
      </c>
      <c r="I11" s="2">
        <v>-56702.41</v>
      </c>
      <c r="J11" s="3">
        <v>235178.85</v>
      </c>
      <c r="K11" s="3">
        <f>SUM(B11:J11)</f>
        <v>199045.29</v>
      </c>
      <c r="N11" s="15" t="s">
        <v>40</v>
      </c>
      <c r="O11" s="16">
        <v>78.63</v>
      </c>
    </row>
    <row r="12" spans="1:15" x14ac:dyDescent="0.25">
      <c r="A12" s="4" t="s">
        <v>12</v>
      </c>
      <c r="B12" s="5"/>
      <c r="C12" s="5"/>
      <c r="D12" s="5"/>
      <c r="E12" s="6"/>
      <c r="F12" s="5"/>
      <c r="G12" s="5"/>
      <c r="H12" s="5"/>
      <c r="I12" s="22"/>
      <c r="J12" s="7"/>
      <c r="K12" s="8"/>
      <c r="L12" t="s">
        <v>13</v>
      </c>
      <c r="N12" s="15" t="s">
        <v>41</v>
      </c>
      <c r="O12" s="16">
        <v>44.13</v>
      </c>
    </row>
    <row r="13" spans="1:15" x14ac:dyDescent="0.25">
      <c r="A13" s="4" t="s">
        <v>14</v>
      </c>
      <c r="B13" s="5"/>
      <c r="C13" s="5"/>
      <c r="D13" s="5"/>
      <c r="E13" s="6"/>
      <c r="F13" s="5"/>
      <c r="G13" s="5"/>
      <c r="H13" s="5"/>
      <c r="I13" s="22"/>
      <c r="J13" s="7"/>
      <c r="K13" s="8"/>
      <c r="L13" t="s">
        <v>13</v>
      </c>
      <c r="N13" t="s">
        <v>42</v>
      </c>
      <c r="O13" s="21">
        <v>21800</v>
      </c>
    </row>
    <row r="14" spans="1:15" x14ac:dyDescent="0.25">
      <c r="A14" s="9" t="s">
        <v>15</v>
      </c>
      <c r="B14" s="5"/>
      <c r="C14" s="5"/>
      <c r="D14" s="5"/>
      <c r="E14" s="5"/>
      <c r="F14" s="5"/>
      <c r="G14" s="5"/>
      <c r="H14" s="5"/>
      <c r="I14" s="22"/>
      <c r="J14" s="7"/>
      <c r="K14" s="8"/>
      <c r="N14" s="21" t="s">
        <v>43</v>
      </c>
      <c r="O14" s="16">
        <v>31100</v>
      </c>
    </row>
    <row r="15" spans="1:15" x14ac:dyDescent="0.25">
      <c r="A15" s="9" t="s">
        <v>16</v>
      </c>
      <c r="B15" s="5"/>
      <c r="C15" s="5"/>
      <c r="D15" s="5"/>
      <c r="E15" s="5"/>
      <c r="F15" s="5"/>
      <c r="G15" s="5"/>
      <c r="H15" s="5"/>
      <c r="I15" s="22"/>
      <c r="J15" s="7"/>
      <c r="K15" s="8"/>
    </row>
    <row r="16" spans="1:15" x14ac:dyDescent="0.25">
      <c r="A16" t="s">
        <v>17</v>
      </c>
      <c r="B16" s="5"/>
      <c r="C16" s="5"/>
      <c r="D16" s="5"/>
      <c r="E16" s="5"/>
      <c r="F16" s="5"/>
      <c r="G16" s="5"/>
      <c r="H16" s="5"/>
      <c r="I16" s="22"/>
      <c r="J16" s="7"/>
      <c r="K16" s="8"/>
    </row>
    <row r="17" spans="1:11" x14ac:dyDescent="0.25">
      <c r="A17" t="s">
        <v>18</v>
      </c>
      <c r="B17" s="5"/>
      <c r="C17" s="5"/>
      <c r="D17" s="5"/>
      <c r="E17" s="10"/>
      <c r="F17" s="5"/>
      <c r="G17" s="5"/>
      <c r="H17" s="5"/>
      <c r="I17" s="22"/>
      <c r="J17" s="7"/>
      <c r="K17" s="8"/>
    </row>
    <row r="18" spans="1:11" x14ac:dyDescent="0.25">
      <c r="A18" t="s">
        <v>19</v>
      </c>
      <c r="B18" s="5">
        <f>(-640/12 *O2 + (-0.06*640/12*O2))*0.66</f>
        <v>-2252.5254399999999</v>
      </c>
      <c r="C18" s="5"/>
      <c r="D18" s="5">
        <f>(-53*O1+ (-0.06*53*O1))*0.66</f>
        <v>-3064.2216950400002</v>
      </c>
      <c r="E18" s="5"/>
      <c r="F18" s="5">
        <f t="shared" ref="F18:F25" si="0">SUM(B18:E18)*0.53</f>
        <v>-2817.8759815712001</v>
      </c>
      <c r="G18" s="5">
        <v>3000</v>
      </c>
      <c r="H18" s="5">
        <f t="shared" ref="H18:H25" si="1">SUM(B18:F18,I18)*0.51</f>
        <v>-7718.6577894717129</v>
      </c>
      <c r="I18" s="22">
        <f>-2500-4500</f>
        <v>-7000</v>
      </c>
      <c r="J18" s="7"/>
      <c r="K18" s="8"/>
    </row>
    <row r="19" spans="1:11" x14ac:dyDescent="0.25">
      <c r="A19" t="s">
        <v>20</v>
      </c>
      <c r="B19" s="5">
        <f>-640/12 *O2 + (-0.06*640/12*O2)</f>
        <v>-3412.9173333333329</v>
      </c>
      <c r="C19" s="5"/>
      <c r="D19" s="5">
        <f>-53*O1+ (-0.06*53*O1)</f>
        <v>-4642.7601439999999</v>
      </c>
      <c r="E19" s="5"/>
      <c r="F19" s="5">
        <f t="shared" si="0"/>
        <v>-4269.5090629866663</v>
      </c>
      <c r="G19" s="5">
        <v>3500</v>
      </c>
      <c r="H19" s="5">
        <f t="shared" si="1"/>
        <v>-7560.8451355631996</v>
      </c>
      <c r="I19" s="22">
        <v>-2500</v>
      </c>
      <c r="J19" s="7"/>
      <c r="K19" s="8"/>
    </row>
    <row r="20" spans="1:11" x14ac:dyDescent="0.25">
      <c r="A20" t="s">
        <v>21</v>
      </c>
      <c r="B20" s="5">
        <f>-640/12 *O2 + (-0.06*640/12*O2)</f>
        <v>-3412.9173333333329</v>
      </c>
      <c r="C20" s="5"/>
      <c r="D20" s="5">
        <f>-53*O1+ (-0.06*53*O1)</f>
        <v>-4642.7601439999999</v>
      </c>
      <c r="E20" s="5"/>
      <c r="F20" s="5">
        <f t="shared" si="0"/>
        <v>-4269.5090629866663</v>
      </c>
      <c r="G20" s="5">
        <v>4000</v>
      </c>
      <c r="H20" s="5">
        <f t="shared" si="1"/>
        <v>-7560.8451355631996</v>
      </c>
      <c r="I20" s="22">
        <v>-2500</v>
      </c>
      <c r="J20" s="7"/>
      <c r="K20" s="8"/>
    </row>
    <row r="21" spans="1:11" x14ac:dyDescent="0.25">
      <c r="A21" t="s">
        <v>22</v>
      </c>
      <c r="B21" s="5">
        <f>-640/12 *O2 + (-0.06*640/12*O2)</f>
        <v>-3412.9173333333329</v>
      </c>
      <c r="C21" s="5"/>
      <c r="D21" s="5">
        <f>-53*O1+ (-0.06*53*O1)</f>
        <v>-4642.7601439999999</v>
      </c>
      <c r="E21" s="5"/>
      <c r="F21" s="5">
        <f t="shared" si="0"/>
        <v>-4269.5090629866663</v>
      </c>
      <c r="G21" s="5">
        <v>4000</v>
      </c>
      <c r="H21" s="5">
        <f t="shared" si="1"/>
        <v>-7560.8451355631996</v>
      </c>
      <c r="I21" s="22">
        <v>-2500</v>
      </c>
      <c r="J21" s="7"/>
      <c r="K21" s="8"/>
    </row>
    <row r="22" spans="1:11" x14ac:dyDescent="0.25">
      <c r="A22" t="s">
        <v>23</v>
      </c>
      <c r="B22" s="5">
        <f>-640/12 *O2 + (-0.06*640/12*O2)</f>
        <v>-3412.9173333333329</v>
      </c>
      <c r="C22" s="5"/>
      <c r="D22" s="5">
        <f>-53*O1+ (-0.06*53*O1)</f>
        <v>-4642.7601439999999</v>
      </c>
      <c r="E22" s="5"/>
      <c r="F22" s="5">
        <f t="shared" si="0"/>
        <v>-4269.5090629866663</v>
      </c>
      <c r="G22" s="5">
        <v>4000</v>
      </c>
      <c r="H22" s="5">
        <f t="shared" si="1"/>
        <v>-7560.8451355631996</v>
      </c>
      <c r="I22" s="22">
        <v>-2500</v>
      </c>
      <c r="J22" s="7"/>
      <c r="K22" s="8"/>
    </row>
    <row r="23" spans="1:11" x14ac:dyDescent="0.25">
      <c r="A23" s="4">
        <v>44166</v>
      </c>
      <c r="B23" s="5">
        <f>-640/12 *O2 + (-0.06*640/12*O2)</f>
        <v>-3412.9173333333329</v>
      </c>
      <c r="C23" s="5"/>
      <c r="D23" s="5">
        <f>-53*O1+ (-0.06*53*O1)</f>
        <v>-4642.7601439999999</v>
      </c>
      <c r="E23" s="5"/>
      <c r="F23" s="5">
        <f t="shared" si="0"/>
        <v>-4269.5090629866663</v>
      </c>
      <c r="G23" s="5">
        <v>4000</v>
      </c>
      <c r="H23" s="5">
        <f t="shared" si="1"/>
        <v>-7560.8451355631996</v>
      </c>
      <c r="I23" s="22">
        <v>-2500</v>
      </c>
      <c r="J23" s="7">
        <f>SUM(O13)*(-1)</f>
        <v>-21800</v>
      </c>
      <c r="K23" s="8"/>
    </row>
    <row r="24" spans="1:11" x14ac:dyDescent="0.25">
      <c r="A24" s="4">
        <v>44197</v>
      </c>
      <c r="B24" s="5">
        <f>-640/12 *O2 + (-0.06*640/12*O2)</f>
        <v>-3412.9173333333329</v>
      </c>
      <c r="C24" s="5"/>
      <c r="D24" s="5">
        <f>-53*O1+ (-0.06*53*O1)</f>
        <v>-4642.7601439999999</v>
      </c>
      <c r="E24" s="5">
        <f>-80*O5+ (-0.06*53*O5)</f>
        <v>-7103.0063759999994</v>
      </c>
      <c r="F24" s="5">
        <f t="shared" si="0"/>
        <v>-8034.102442266666</v>
      </c>
      <c r="G24" s="5">
        <v>4000</v>
      </c>
      <c r="H24" s="5">
        <f t="shared" si="1"/>
        <v>-13103.321010755999</v>
      </c>
      <c r="I24" s="22">
        <v>-2500</v>
      </c>
      <c r="J24" s="7"/>
      <c r="K24" s="8"/>
    </row>
    <row r="25" spans="1:11" x14ac:dyDescent="0.25">
      <c r="A25" s="4">
        <v>44228</v>
      </c>
      <c r="B25" s="5">
        <f>-640/12 *O2 + (-0.06*640/12*O2)</f>
        <v>-3412.9173333333329</v>
      </c>
      <c r="C25" s="5"/>
      <c r="D25" s="5">
        <f>-53*O1+ (-0.06*53*O1)</f>
        <v>-4642.7601439999999</v>
      </c>
      <c r="E25" s="5"/>
      <c r="F25" s="5">
        <f t="shared" si="0"/>
        <v>-4269.5090629866663</v>
      </c>
      <c r="G25" s="5">
        <v>4000</v>
      </c>
      <c r="H25" s="5">
        <f t="shared" si="1"/>
        <v>-7560.8451355631996</v>
      </c>
      <c r="I25" s="22">
        <v>-2500</v>
      </c>
      <c r="J25" s="7"/>
      <c r="K25" s="8"/>
    </row>
    <row r="26" spans="1:11" x14ac:dyDescent="0.25">
      <c r="A26" s="11" t="s">
        <v>24</v>
      </c>
      <c r="B26" s="2">
        <f>SUM(B12:E25)</f>
        <v>-68809.495852373308</v>
      </c>
      <c r="C26" s="2"/>
      <c r="D26" s="2"/>
      <c r="E26" s="2"/>
      <c r="F26" s="2">
        <f>SUM(F12:F25)</f>
        <v>-36469.032801757865</v>
      </c>
      <c r="H26" s="2">
        <f>SUM(H12:H25)</f>
        <v>-66187.049613606912</v>
      </c>
      <c r="I26" s="22">
        <f>SUM(I12:I25)</f>
        <v>-24500</v>
      </c>
      <c r="J26" s="3">
        <f>SUM(J12:J23)</f>
        <v>-21800</v>
      </c>
      <c r="K26" s="8">
        <f>SUM(B26:J26)</f>
        <v>-217765.57826773808</v>
      </c>
    </row>
    <row r="27" spans="1:11" x14ac:dyDescent="0.25">
      <c r="A27" s="11" t="s">
        <v>49</v>
      </c>
      <c r="B27" s="5"/>
      <c r="C27" s="5"/>
      <c r="D27" s="5"/>
      <c r="E27" s="5"/>
      <c r="F27" s="5"/>
      <c r="G27" s="2">
        <f>SUM(G12:G25)</f>
        <v>30500</v>
      </c>
      <c r="H27" s="5"/>
      <c r="I27" s="5"/>
      <c r="J27" s="7"/>
      <c r="K27" s="8">
        <f>SUM(K26,K11)</f>
        <v>-18720.288267738069</v>
      </c>
    </row>
    <row r="28" spans="1:11" x14ac:dyDescent="0.25">
      <c r="A28" s="11" t="s">
        <v>48</v>
      </c>
      <c r="B28" s="5"/>
      <c r="C28" s="5"/>
      <c r="D28" s="5"/>
      <c r="E28" s="5"/>
      <c r="F28" s="5"/>
      <c r="G28" s="23">
        <v>150886.34</v>
      </c>
      <c r="H28" s="5"/>
      <c r="I28" s="5"/>
      <c r="J28" s="7"/>
      <c r="K28" s="8"/>
    </row>
    <row r="29" spans="1:11" x14ac:dyDescent="0.25">
      <c r="A29" s="11" t="s">
        <v>50</v>
      </c>
      <c r="B29" s="5"/>
      <c r="C29" s="5"/>
      <c r="D29" s="5"/>
      <c r="E29" s="5"/>
      <c r="F29" s="5"/>
      <c r="G29" s="23"/>
      <c r="H29" s="5"/>
      <c r="I29" s="5"/>
      <c r="J29" s="7"/>
      <c r="K29" s="8">
        <f>SUM(K27,G28,G27)</f>
        <v>162666.05173226193</v>
      </c>
    </row>
    <row r="30" spans="1:11" x14ac:dyDescent="0.25">
      <c r="A30" t="s">
        <v>25</v>
      </c>
      <c r="B30" s="5" t="s">
        <v>26</v>
      </c>
      <c r="C30" s="5"/>
      <c r="D30" s="5" t="s">
        <v>27</v>
      </c>
      <c r="E30" s="5" t="s">
        <v>28</v>
      </c>
      <c r="F30" s="5" t="s">
        <v>29</v>
      </c>
      <c r="G30" s="5"/>
      <c r="H30" s="5"/>
      <c r="I30" s="5"/>
      <c r="J30" s="7"/>
    </row>
    <row r="31" spans="1:11" x14ac:dyDescent="0.25">
      <c r="B31" s="5"/>
      <c r="C31" s="5"/>
      <c r="D31" s="5"/>
      <c r="E31" s="5"/>
      <c r="F31" s="5"/>
      <c r="G31" s="5"/>
      <c r="H31" s="5"/>
      <c r="I31" s="5"/>
      <c r="J31" s="7"/>
      <c r="K31" s="8"/>
    </row>
    <row r="32" spans="1:11" x14ac:dyDescent="0.25">
      <c r="B32" s="5"/>
      <c r="C32" s="5"/>
      <c r="D32" s="5"/>
      <c r="E32" s="5"/>
      <c r="F32" s="5"/>
      <c r="G32" s="5"/>
      <c r="H32" s="5"/>
      <c r="I32" s="5"/>
      <c r="J32" s="7"/>
      <c r="K32" s="8"/>
    </row>
    <row r="33" spans="1:11" x14ac:dyDescent="0.25">
      <c r="A33" t="s">
        <v>30</v>
      </c>
      <c r="B33" s="5">
        <v>339600</v>
      </c>
      <c r="C33" s="5"/>
      <c r="D33" s="5">
        <v>-45005.38</v>
      </c>
      <c r="E33" s="5">
        <v>-297257.13</v>
      </c>
      <c r="F33" s="5">
        <f>SUM(B33:E33)</f>
        <v>-2662.5100000000093</v>
      </c>
      <c r="G33" s="5"/>
      <c r="H33" s="5"/>
      <c r="I33" s="5"/>
      <c r="J33" s="7"/>
      <c r="K33" s="8"/>
    </row>
    <row r="34" spans="1:11" x14ac:dyDescent="0.25">
      <c r="B34" s="5"/>
      <c r="C34" s="5"/>
      <c r="D34" s="5"/>
      <c r="E34" s="5"/>
      <c r="F34" s="5"/>
      <c r="G34" s="5"/>
      <c r="H34" s="5"/>
      <c r="I34" s="5"/>
      <c r="J34" s="7"/>
      <c r="K34" s="8"/>
    </row>
    <row r="35" spans="1:11" x14ac:dyDescent="0.25">
      <c r="B35" s="5"/>
      <c r="C35" s="5"/>
      <c r="D35" s="5"/>
      <c r="E35" s="5"/>
      <c r="F35" s="5"/>
      <c r="G35" s="5"/>
      <c r="H35" s="5"/>
      <c r="I35" s="5"/>
      <c r="J35" s="7"/>
      <c r="K35" s="8"/>
    </row>
    <row r="36" spans="1:11" x14ac:dyDescent="0.25">
      <c r="B36" s="5"/>
      <c r="C36" s="5"/>
      <c r="D36" s="5"/>
      <c r="E36" s="5"/>
      <c r="F36" s="5"/>
      <c r="G36" s="5"/>
      <c r="H36" s="5"/>
      <c r="I36" s="5"/>
      <c r="J36" s="7"/>
      <c r="K36" s="8"/>
    </row>
  </sheetData>
  <pageMargins left="0.7" right="0.7" top="0.75" bottom="0.75" header="0.3" footer="0.3"/>
  <pageSetup paperSize="17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233570-CB07-4F5B-9665-F0DBBE3CD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72C7AF-E68D-48F2-BDDE-D08E83367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3C700-B0CF-4592-BEB7-D0F240592903}">
  <ds:schemaRefs>
    <ds:schemaRef ds:uri="http://schemas.microsoft.com/office/infopath/2007/PartnerControls"/>
    <ds:schemaRef ds:uri="http://www.w3.org/XML/1998/namespace"/>
    <ds:schemaRef ds:uri="f5c130c8-187c-4e9f-bcf5-7c797d18df1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2020-07-08T15:23:26Z</cp:lastPrinted>
  <dcterms:created xsi:type="dcterms:W3CDTF">2020-07-07T20:22:41Z</dcterms:created>
  <dcterms:modified xsi:type="dcterms:W3CDTF">2020-07-28T20:07:02Z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