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mbari-my.sharepoint.com/personal/dacr_mbari_org/Documents/MARS/"/>
    </mc:Choice>
  </mc:AlternateContent>
  <bookViews>
    <workbookView xWindow="0" yWindow="0" windowWidth="28800" windowHeight="14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9" i="1" l="1"/>
  <c r="C39" i="1"/>
  <c r="C38" i="1"/>
  <c r="C37" i="1"/>
  <c r="C36" i="1"/>
  <c r="C35" i="1"/>
  <c r="C34" i="1"/>
  <c r="C33" i="1"/>
  <c r="C32" i="1"/>
  <c r="C31" i="1"/>
  <c r="C28" i="1"/>
  <c r="C30" i="1"/>
  <c r="C29" i="1"/>
  <c r="O25" i="1"/>
  <c r="O24" i="1"/>
  <c r="B40" i="1"/>
  <c r="F28" i="1"/>
  <c r="H28" i="1" s="1"/>
  <c r="F29" i="1"/>
  <c r="F30" i="1"/>
  <c r="F31" i="1"/>
  <c r="F32" i="1"/>
  <c r="F33" i="1"/>
  <c r="F34" i="1"/>
  <c r="F35" i="1"/>
  <c r="F36" i="1"/>
  <c r="H36" i="1" s="1"/>
  <c r="F37" i="1"/>
  <c r="H37" i="1" s="1"/>
  <c r="F38" i="1"/>
  <c r="F39" i="1"/>
  <c r="H29" i="1"/>
  <c r="H30" i="1"/>
  <c r="H31" i="1"/>
  <c r="H32" i="1"/>
  <c r="H33" i="1"/>
  <c r="H34" i="1"/>
  <c r="H35" i="1"/>
  <c r="H38" i="1"/>
  <c r="H39" i="1"/>
  <c r="I40" i="1"/>
  <c r="O21" i="1"/>
  <c r="Q11" i="1"/>
  <c r="Q9" i="1"/>
  <c r="Q7" i="1"/>
  <c r="Q8" i="1"/>
  <c r="Q6" i="1"/>
  <c r="Q4" i="1"/>
  <c r="Q5" i="1"/>
  <c r="Q3" i="1"/>
  <c r="Q2" i="1"/>
  <c r="Q1" i="1"/>
  <c r="G40" i="1"/>
  <c r="D39" i="1"/>
  <c r="D38" i="1"/>
  <c r="D37" i="1"/>
  <c r="D36" i="1"/>
  <c r="D35" i="1"/>
  <c r="D34" i="1"/>
  <c r="B39" i="1"/>
  <c r="B38" i="1"/>
  <c r="B37" i="1"/>
  <c r="B36" i="1"/>
  <c r="B35" i="1"/>
  <c r="B34" i="1"/>
  <c r="B28" i="1"/>
  <c r="B26" i="1"/>
  <c r="I26" i="1"/>
  <c r="G26" i="1"/>
  <c r="B33" i="1"/>
  <c r="D33" i="1"/>
  <c r="J32" i="1"/>
  <c r="D32" i="1"/>
  <c r="D31" i="1"/>
  <c r="D30" i="1"/>
  <c r="D29" i="1"/>
  <c r="D28" i="1"/>
  <c r="H25" i="1"/>
  <c r="H23" i="1"/>
  <c r="H22" i="1"/>
  <c r="I32" i="1"/>
  <c r="B32" i="1"/>
  <c r="B31" i="1"/>
  <c r="B30" i="1"/>
  <c r="B29" i="1"/>
  <c r="J40" i="1"/>
  <c r="K11" i="1"/>
  <c r="B21" i="1"/>
  <c r="D21" i="1"/>
  <c r="B22" i="1"/>
  <c r="D22" i="1"/>
  <c r="B23" i="1"/>
  <c r="D23" i="1"/>
  <c r="F18" i="1"/>
  <c r="F19" i="1"/>
  <c r="F20" i="1"/>
  <c r="F21" i="1"/>
  <c r="H21" i="1" s="1"/>
  <c r="F22" i="1"/>
  <c r="F23" i="1"/>
  <c r="B24" i="1"/>
  <c r="D24" i="1"/>
  <c r="E32" i="1"/>
  <c r="F24" i="1"/>
  <c r="H24" i="1" s="1"/>
  <c r="B25" i="1"/>
  <c r="D25" i="1"/>
  <c r="F25" i="1"/>
  <c r="H40" i="1" l="1"/>
  <c r="F40" i="1"/>
  <c r="K40" i="1" s="1"/>
  <c r="L40" i="1" s="1"/>
  <c r="F26" i="1"/>
  <c r="H26" i="1"/>
  <c r="K26" i="1" s="1"/>
  <c r="K27" i="1" s="1"/>
  <c r="K28" i="1" s="1"/>
  <c r="K41" i="1" l="1"/>
</calcChain>
</file>

<file path=xl/comments1.xml><?xml version="1.0" encoding="utf-8"?>
<comments xmlns="http://schemas.openxmlformats.org/spreadsheetml/2006/main">
  <authors>
    <author>Craig Dawe</author>
  </authors>
  <commentList>
    <comment ref="B1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DRT,DF 2019
</t>
        </r>
      </text>
    </comment>
    <comment ref="D1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Dawe,Mcgilll,Schram,Schnitger</t>
        </r>
      </text>
    </comment>
    <comment ref="E1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Linda Khunz Survey Hrs
</t>
        </r>
      </text>
    </comment>
    <comment ref="G1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port fees UW recovered Dec15, Soundscape, Diemos, RyanNPS,DSC deployed Dec15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expected income from UW APL, Ryan PAM, Haddock/Martini</t>
        </r>
      </text>
    </comment>
    <comment ref="B12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DRT 640 hrs 2020
</t>
        </r>
      </text>
    </comment>
    <comment ref="D12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Dawe 640 hrs 2020
</t>
        </r>
      </text>
    </comment>
    <comment ref="G12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RyanNPS,DSC d</t>
        </r>
      </text>
    </comment>
    <comment ref="G13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RyanNPS,DSC d</t>
        </r>
      </text>
    </comment>
    <comment ref="G14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</t>
        </r>
      </text>
    </comment>
    <comment ref="I14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Linda K Outside services contract
</t>
        </r>
      </text>
    </comment>
    <comment ref="E15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James Barry
</t>
        </r>
      </text>
    </comment>
    <comment ref="G15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</t>
        </r>
      </text>
    </comment>
    <comment ref="G16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</t>
        </r>
      </text>
    </comment>
    <comment ref="D17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Dawe + Peltzer, McGill, Mellinger
80, 40, 80</t>
        </r>
      </text>
    </comment>
    <comment ref="D18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dawe 53 hr*.66</t>
        </r>
      </text>
    </comment>
    <comment ref="G18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
</t>
        </r>
      </text>
    </comment>
    <comment ref="G19" authorId="0" shapeId="0">
      <text>
        <r>
          <rPr>
            <b/>
            <sz val="9"/>
            <color indexed="81"/>
            <rFont val="Tahoma"/>
            <charset val="1"/>
          </rPr>
          <t>Craig Dawe:
port fees  Soundscape, Diemos, RyanNPS, 50% SES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1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 50% SES, 50% Quest
</t>
        </r>
      </text>
    </comment>
    <comment ref="G22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RyanNPS, Quest
</t>
        </r>
      </text>
    </comment>
    <comment ref="G23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RyanNPS, Quest
</t>
        </r>
      </text>
    </comment>
    <comment ref="J23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Sonardyne recovery not a mars charge
</t>
        </r>
      </text>
    </comment>
    <comment ref="G24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RyanNPS, Quest
</t>
        </r>
      </text>
    </comment>
    <comment ref="G25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RyanNPS, Quest
</t>
        </r>
      </text>
    </comment>
    <comment ref="J25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Node maintenance ship day</t>
        </r>
      </text>
    </comment>
    <comment ref="G28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 50% SES, 50% Quest
</t>
        </r>
      </text>
    </comment>
    <comment ref="G29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 50% SES, 50% Quest
</t>
        </r>
      </text>
    </comment>
    <comment ref="G30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 50% SES, 50% Quest
</t>
        </r>
      </text>
    </comment>
    <comment ref="C31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Mellinger 40/Peltzer 40</t>
        </r>
      </text>
    </comment>
    <comment ref="G31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 50% SES, 50% Quest
</t>
        </r>
      </text>
    </comment>
    <comment ref="C32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Schramm 80
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Ed Peltzer 80hrs</t>
        </r>
      </text>
    </comment>
    <comment ref="G32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 50% SES, 50% Quest
</t>
        </r>
      </text>
    </comment>
    <comment ref="J32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Node Recovery</t>
        </r>
      </text>
    </comment>
    <comment ref="D34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Dawe @20hrs, out of money</t>
        </r>
      </text>
    </comment>
    <comment ref="J36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Node Redeployment</t>
        </r>
      </text>
    </comment>
    <comment ref="J38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Node maintenance ship day</t>
        </r>
      </text>
    </comment>
    <comment ref="K42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Projected Income total based on planned projects and current
</t>
        </r>
      </text>
    </comment>
  </commentList>
</comments>
</file>

<file path=xl/sharedStrings.xml><?xml version="1.0" encoding="utf-8"?>
<sst xmlns="http://schemas.openxmlformats.org/spreadsheetml/2006/main" count="52" uniqueCount="51">
  <si>
    <t>labor MARS Technician</t>
  </si>
  <si>
    <t>labor MARS Manager</t>
  </si>
  <si>
    <t>Science (Survey techs)</t>
  </si>
  <si>
    <t>fringe 53%</t>
  </si>
  <si>
    <t>income</t>
  </si>
  <si>
    <t>indirect</t>
  </si>
  <si>
    <t>expenses</t>
  </si>
  <si>
    <t>ship time</t>
  </si>
  <si>
    <t>Total</t>
  </si>
  <si>
    <t>01-02-2020 - 02-28-2021</t>
  </si>
  <si>
    <t>and engineering support</t>
  </si>
  <si>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</si>
  <si>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</si>
  <si>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</si>
  <si>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</si>
  <si>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</si>
  <si>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</si>
  <si>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</si>
  <si>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</si>
  <si>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</si>
  <si>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</si>
  <si>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</si>
  <si>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Craig Dawe</t>
  </si>
  <si>
    <t>Duane Thompson</t>
  </si>
  <si>
    <t>Rich Schramm</t>
  </si>
  <si>
    <t>Michael Risi</t>
  </si>
  <si>
    <t>Paul McGill</t>
  </si>
  <si>
    <t>Peter Walz</t>
  </si>
  <si>
    <t>Ray Thompson</t>
  </si>
  <si>
    <t>Doug Pargett</t>
  </si>
  <si>
    <t xml:space="preserve">Jose Rosal </t>
  </si>
  <si>
    <t>Ed Mellinger</t>
  </si>
  <si>
    <t>Linda Khunz</t>
  </si>
  <si>
    <t>Carson Ventana 2018</t>
  </si>
  <si>
    <t>WF /DR</t>
  </si>
  <si>
    <t>Notes</t>
  </si>
  <si>
    <t>Expenses are estimated</t>
  </si>
  <si>
    <t>Eng Support</t>
  </si>
  <si>
    <t>Labor is 640/yr Dawe D. Thompson, E Peltzer is estimated</t>
  </si>
  <si>
    <t>Income from port fees As of June 10 2020</t>
  </si>
  <si>
    <t>Yr 6 No Cost Extension</t>
  </si>
  <si>
    <t>Yr 7 Extension</t>
  </si>
  <si>
    <t>Project  projection</t>
  </si>
  <si>
    <t>Extension beyond 02/2021</t>
  </si>
  <si>
    <t>total</t>
  </si>
  <si>
    <t>Remaining Feb 28 2021</t>
  </si>
  <si>
    <t>With Income</t>
  </si>
  <si>
    <t>Balance required to operate through yr 7</t>
  </si>
  <si>
    <t>Income from port fees from last Lash PSR Sept 10 2020</t>
  </si>
  <si>
    <t>PSR Date Sept 28 2020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</si>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</sst>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24">
    <xf numFmtId="0" fontId="0" fillId="0" borderId="0" xfId="0"/>
    <xf numFmtId="0" fontId="0" fillId="3" borderId="0" xfId="0" applyFill="1"/>
    <xf numFmtId="44" fontId="0" fillId="3" borderId="0" xfId="1" applyFont="1" applyFill="1"/>
    <xf numFmtId="39" fontId="0" fillId="3" borderId="0" xfId="1" applyNumberFormat="1" applyFont="1" applyFill="1"/>
    <xf numFmtId="17" fontId="0" fillId="0" borderId="0" xfId="0" applyNumberFormat="1"/>
    <xf numFmtId="44" fontId="0" fillId="0" borderId="0" xfId="1" applyFont="1"/>
    <xf numFmtId="44" fontId="0" fillId="0" borderId="0" xfId="1" applyFont="1" applyFill="1"/>
    <xf numFmtId="39" fontId="0" fillId="0" borderId="0" xfId="1" applyNumberFormat="1" applyFont="1"/>
    <xf numFmtId="39" fontId="0" fillId="0" borderId="0" xfId="0" applyNumberFormat="1"/>
    <xf numFmtId="16" fontId="0" fillId="0" borderId="0" xfId="0" applyNumberFormat="1"/>
    <xf numFmtId="12" fontId="0" fillId="0" borderId="0" xfId="1" applyNumberFormat="1" applyFont="1"/>
    <xf numFmtId="14" fontId="0" fillId="3" borderId="0" xfId="0" applyNumberFormat="1" applyFill="1"/>
    <xf numFmtId="14" fontId="0" fillId="0" borderId="0" xfId="0" applyNumberFormat="1"/>
    <xf numFmtId="44" fontId="0" fillId="0" borderId="0" xfId="0" applyNumberFormat="1"/>
    <xf numFmtId="39" fontId="0" fillId="0" borderId="0" xfId="0" applyNumberFormat="1" applyFill="1"/>
    <xf numFmtId="0" fontId="0" fillId="2" borderId="0" xfId="2" applyFont="1" applyProtection="1">
      <protection locked="0"/>
    </xf>
    <xf numFmtId="164" fontId="1" fillId="2" borderId="0" xfId="2" applyNumberFormat="1" applyProtection="1">
      <protection locked="0"/>
    </xf>
    <xf numFmtId="164" fontId="0" fillId="4" borderId="0" xfId="0" applyNumberFormat="1" applyFill="1"/>
    <xf numFmtId="14" fontId="0" fillId="0" borderId="0" xfId="0" applyNumberFormat="1" applyFill="1"/>
    <xf numFmtId="164" fontId="0" fillId="0" borderId="0" xfId="1" applyNumberFormat="1" applyFont="1"/>
    <xf numFmtId="39" fontId="0" fillId="0" borderId="0" xfId="1" applyNumberFormat="1" applyFont="1" applyFill="1"/>
    <xf numFmtId="6" fontId="0" fillId="0" borderId="0" xfId="0" applyNumberFormat="1"/>
    <xf numFmtId="7" fontId="0" fillId="0" borderId="0" xfId="1" applyNumberFormat="1" applyFont="1"/>
    <xf numFmtId="4" fontId="6" fillId="0" borderId="0" xfId="0" applyNumberFormat="1" applyFont="1"/>
  </cellXfs>
  <cellStyles count="3">
    <cellStyle name="20% - Accent1" xfId="2" builtinId="30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50"/>
  <sheetViews>
    <sheetView tabSelected="1" workbookViewId="0">
      <selection activeCell="Q2" sqref="Q2"/>
    </sheetView>
  </sheetViews>
  <sheetFormatPr defaultRowHeight="15" x14ac:dyDescent="0.25"/>
  <cols>
    <col min="1" max="1" width="22.7109375" customWidth="1"/>
    <col min="2" max="2" width="16.5703125" customWidth="1"/>
    <col min="3" max="3" width="20" customWidth="1"/>
    <col min="4" max="4" width="17.140625" customWidth="1"/>
    <col min="5" max="5" width="15.140625" customWidth="1"/>
    <col min="6" max="6" width="15.7109375" customWidth="1"/>
    <col min="7" max="7" width="15.28515625" customWidth="1"/>
    <col min="8" max="8" width="13.5703125" customWidth="1"/>
    <col min="9" max="9" width="14.28515625" customWidth="1"/>
    <col min="10" max="10" width="17" customWidth="1"/>
    <col min="11" max="11" width="15" customWidth="1"/>
    <col min="12" max="12" width="25.5703125" customWidth="1"/>
    <col min="15" max="15" width="15.85546875" customWidth="1"/>
  </cols>
  <sheetData>
    <row r="1" spans="1:17" x14ac:dyDescent="0.25">
      <c r="A1" s="12"/>
      <c r="B1" s="13"/>
      <c r="C1" s="13"/>
      <c r="D1" s="5"/>
      <c r="E1" s="6"/>
      <c r="F1" s="5"/>
      <c r="G1" s="5"/>
      <c r="H1" s="5"/>
      <c r="I1" s="7"/>
      <c r="J1" s="7"/>
      <c r="K1" s="14"/>
      <c r="N1" s="15" t="s">
        <v>22</v>
      </c>
      <c r="O1" s="16">
        <v>82.640799999999999</v>
      </c>
      <c r="Q1" s="16">
        <f t="shared" ref="Q1:Q9" si="0">O1+ O1*0.09</f>
        <v>90.078472000000005</v>
      </c>
    </row>
    <row r="2" spans="1:17" x14ac:dyDescent="0.25">
      <c r="A2" s="12" t="s">
        <v>35</v>
      </c>
      <c r="B2" s="5"/>
      <c r="C2" s="5"/>
      <c r="D2" s="5"/>
      <c r="E2" s="5"/>
      <c r="F2" s="5"/>
      <c r="G2" s="5"/>
      <c r="H2" s="5"/>
      <c r="I2" s="5"/>
      <c r="J2" s="7"/>
      <c r="K2" s="8"/>
      <c r="N2" s="15" t="s">
        <v>23</v>
      </c>
      <c r="O2" s="17">
        <v>60.37</v>
      </c>
      <c r="Q2" s="16">
        <f t="shared" si="0"/>
        <v>65.803299999999993</v>
      </c>
    </row>
    <row r="3" spans="1:17" x14ac:dyDescent="0.25">
      <c r="A3" s="18" t="s">
        <v>38</v>
      </c>
      <c r="B3" s="6"/>
      <c r="C3" s="6"/>
      <c r="D3" s="6"/>
      <c r="E3" s="5"/>
      <c r="F3" s="5"/>
      <c r="G3" s="6"/>
      <c r="H3" s="5"/>
      <c r="I3" s="19"/>
      <c r="J3" s="20"/>
      <c r="K3" s="8"/>
      <c r="N3" s="15" t="s">
        <v>24</v>
      </c>
      <c r="O3" s="16">
        <v>75.445899999999995</v>
      </c>
      <c r="Q3" s="16">
        <f t="shared" si="0"/>
        <v>82.236030999999997</v>
      </c>
    </row>
    <row r="4" spans="1:17" x14ac:dyDescent="0.25">
      <c r="A4" s="18" t="s">
        <v>36</v>
      </c>
      <c r="B4" s="6"/>
      <c r="C4" s="6"/>
      <c r="D4" s="6"/>
      <c r="E4" s="5"/>
      <c r="F4" s="5"/>
      <c r="G4" s="6"/>
      <c r="H4" s="5"/>
      <c r="I4" s="19"/>
      <c r="J4" s="20"/>
      <c r="K4" s="8"/>
      <c r="N4" s="15" t="s">
        <v>25</v>
      </c>
      <c r="O4" s="16">
        <v>85.39</v>
      </c>
      <c r="Q4" s="16">
        <f t="shared" si="0"/>
        <v>93.075100000000006</v>
      </c>
    </row>
    <row r="5" spans="1:17" x14ac:dyDescent="0.25">
      <c r="A5" s="18" t="s">
        <v>48</v>
      </c>
      <c r="B5" s="6"/>
      <c r="C5" s="6"/>
      <c r="D5" s="6"/>
      <c r="E5" s="5"/>
      <c r="F5" s="5"/>
      <c r="G5" s="6"/>
      <c r="H5" s="5"/>
      <c r="I5" s="19"/>
      <c r="J5" s="20"/>
      <c r="K5" s="8"/>
      <c r="N5" s="15" t="s">
        <v>26</v>
      </c>
      <c r="O5" s="16">
        <v>85.393199999999993</v>
      </c>
      <c r="Q5" s="16">
        <f t="shared" si="0"/>
        <v>93.078587999999996</v>
      </c>
    </row>
    <row r="6" spans="1:17" x14ac:dyDescent="0.25">
      <c r="A6" s="18" t="s">
        <v>49</v>
      </c>
      <c r="B6" s="6"/>
      <c r="C6" s="6"/>
      <c r="D6" s="6"/>
      <c r="E6" s="5"/>
      <c r="F6" s="5"/>
      <c r="G6" s="6"/>
      <c r="H6" s="5"/>
      <c r="I6" s="19"/>
      <c r="J6" s="20"/>
      <c r="K6" s="8"/>
      <c r="N6" s="15" t="s">
        <v>27</v>
      </c>
      <c r="O6" s="16">
        <v>48.8</v>
      </c>
      <c r="Q6" s="16">
        <f t="shared" si="0"/>
        <v>53.191999999999993</v>
      </c>
    </row>
    <row r="7" spans="1:17" x14ac:dyDescent="0.25">
      <c r="A7" s="18" t="s">
        <v>43</v>
      </c>
      <c r="B7" s="5"/>
      <c r="C7" s="5"/>
      <c r="D7" s="5"/>
      <c r="E7" s="5"/>
      <c r="F7" s="5"/>
      <c r="G7" s="5"/>
      <c r="H7" s="5"/>
      <c r="I7" s="5"/>
      <c r="J7" s="7"/>
      <c r="K7" s="8"/>
      <c r="N7" s="15" t="s">
        <v>28</v>
      </c>
      <c r="O7" s="16">
        <v>52.941699999999997</v>
      </c>
      <c r="Q7" s="16">
        <f t="shared" si="0"/>
        <v>57.706452999999996</v>
      </c>
    </row>
    <row r="8" spans="1:17" x14ac:dyDescent="0.25">
      <c r="B8" s="5"/>
      <c r="C8" s="5"/>
      <c r="D8" s="5"/>
      <c r="E8" s="5"/>
      <c r="F8" s="5"/>
      <c r="G8" s="5"/>
      <c r="H8" s="5"/>
      <c r="I8" s="5"/>
      <c r="J8" s="7"/>
      <c r="K8" s="8"/>
      <c r="N8" s="15" t="s">
        <v>29</v>
      </c>
      <c r="O8" s="16">
        <v>75.900000000000006</v>
      </c>
      <c r="Q8" s="16">
        <f t="shared" si="0"/>
        <v>82.731000000000009</v>
      </c>
    </row>
    <row r="9" spans="1:17" x14ac:dyDescent="0.25">
      <c r="A9" s="1" t="s">
        <v>40</v>
      </c>
      <c r="B9" s="2" t="s">
        <v>0</v>
      </c>
      <c r="C9" s="2" t="s">
        <v>37</v>
      </c>
      <c r="D9" s="2" t="s">
        <v>1</v>
      </c>
      <c r="E9" s="2" t="s">
        <v>2</v>
      </c>
      <c r="F9" s="2" t="s">
        <v>3</v>
      </c>
      <c r="G9" s="2" t="s">
        <v>4</v>
      </c>
      <c r="H9" s="2" t="s">
        <v>5</v>
      </c>
      <c r="I9" s="2" t="s">
        <v>6</v>
      </c>
      <c r="J9" s="3" t="s">
        <v>7</v>
      </c>
      <c r="K9" s="3" t="s">
        <v>8</v>
      </c>
      <c r="N9" s="15" t="s">
        <v>30</v>
      </c>
      <c r="O9" s="16">
        <v>55.99</v>
      </c>
      <c r="Q9" s="16">
        <f t="shared" si="0"/>
        <v>61.0291</v>
      </c>
    </row>
    <row r="10" spans="1:17" x14ac:dyDescent="0.25">
      <c r="A10" s="1"/>
      <c r="B10" s="2"/>
      <c r="C10" s="2"/>
      <c r="D10" s="2" t="s">
        <v>10</v>
      </c>
      <c r="E10" s="2"/>
      <c r="F10" s="2"/>
      <c r="G10" s="2"/>
      <c r="H10" s="2"/>
      <c r="I10" s="2"/>
      <c r="J10" s="3"/>
      <c r="K10" s="3"/>
      <c r="N10" s="15"/>
      <c r="O10" s="16"/>
    </row>
    <row r="11" spans="1:17" x14ac:dyDescent="0.25">
      <c r="A11" s="1" t="s">
        <v>9</v>
      </c>
      <c r="B11" s="2">
        <v>-2279.44</v>
      </c>
      <c r="C11" s="2"/>
      <c r="E11" s="2"/>
      <c r="F11" s="2">
        <v>-2595.1799999999998</v>
      </c>
      <c r="G11" s="2"/>
      <c r="H11" s="2">
        <v>-38282</v>
      </c>
      <c r="I11" s="2">
        <v>-62655.199999999997</v>
      </c>
      <c r="J11" s="3">
        <v>235178.85</v>
      </c>
      <c r="K11" s="3">
        <f>SUM(B11:J11)</f>
        <v>129367.03</v>
      </c>
      <c r="N11" s="15" t="s">
        <v>31</v>
      </c>
      <c r="O11" s="16">
        <v>78.63</v>
      </c>
      <c r="Q11" s="16">
        <f>O11+ O11*0.09</f>
        <v>85.706699999999998</v>
      </c>
    </row>
    <row r="12" spans="1:17" x14ac:dyDescent="0.25">
      <c r="A12" s="4" t="s">
        <v>11</v>
      </c>
      <c r="B12" s="5"/>
      <c r="C12" s="5"/>
      <c r="D12" s="5"/>
      <c r="E12" s="6"/>
      <c r="F12" s="5"/>
      <c r="G12" s="5"/>
      <c r="H12" s="5"/>
      <c r="I12" s="22"/>
      <c r="J12" s="7"/>
      <c r="K12" s="8"/>
      <c r="N12" s="15" t="s">
        <v>32</v>
      </c>
      <c r="O12" s="16">
        <v>44.13</v>
      </c>
    </row>
    <row r="13" spans="1:17" x14ac:dyDescent="0.25">
      <c r="A13" s="4" t="s">
        <v>12</v>
      </c>
      <c r="B13" s="5"/>
      <c r="C13" s="5"/>
      <c r="D13" s="5"/>
      <c r="E13" s="6"/>
      <c r="F13" s="5"/>
      <c r="G13" s="5"/>
      <c r="H13" s="5"/>
      <c r="I13" s="22"/>
      <c r="J13" s="7"/>
      <c r="K13" s="8"/>
      <c r="N13" t="s">
        <v>33</v>
      </c>
      <c r="O13" s="21">
        <v>21800</v>
      </c>
    </row>
    <row r="14" spans="1:17" x14ac:dyDescent="0.25">
      <c r="A14" s="9" t="s">
        <v>13</v>
      </c>
      <c r="B14" s="5"/>
      <c r="C14" s="5"/>
      <c r="D14" s="5"/>
      <c r="E14" s="5"/>
      <c r="F14" s="5"/>
      <c r="G14" s="5"/>
      <c r="H14" s="5"/>
      <c r="I14" s="22"/>
      <c r="J14" s="7"/>
      <c r="K14" s="8"/>
      <c r="N14" s="21" t="s">
        <v>34</v>
      </c>
      <c r="O14" s="16">
        <v>31100</v>
      </c>
    </row>
    <row r="15" spans="1:17" x14ac:dyDescent="0.25">
      <c r="A15" s="9" t="s">
        <v>14</v>
      </c>
      <c r="B15" s="5"/>
      <c r="C15" s="5"/>
      <c r="D15" s="5"/>
      <c r="E15" s="5"/>
      <c r="F15" s="5"/>
      <c r="G15" s="5"/>
      <c r="H15" s="5"/>
      <c r="I15" s="22"/>
      <c r="J15" s="7"/>
      <c r="K15" s="8"/>
    </row>
    <row r="16" spans="1:17" x14ac:dyDescent="0.25">
      <c r="A16" t="s">
        <v>15</v>
      </c>
      <c r="B16" s="5"/>
      <c r="C16" s="5"/>
      <c r="D16" s="5"/>
      <c r="E16" s="5"/>
      <c r="F16" s="5"/>
      <c r="G16" s="5"/>
      <c r="H16" s="5"/>
      <c r="I16" s="22"/>
      <c r="J16" s="7"/>
      <c r="K16" s="8"/>
    </row>
    <row r="17" spans="1:15" x14ac:dyDescent="0.25">
      <c r="A17" t="s">
        <v>16</v>
      </c>
      <c r="B17" s="5"/>
      <c r="C17" s="5"/>
      <c r="D17" s="5"/>
      <c r="E17" s="10"/>
      <c r="F17" s="5"/>
      <c r="G17" s="5"/>
      <c r="H17" s="5"/>
      <c r="I17" s="22"/>
      <c r="J17" s="7"/>
      <c r="K17" s="8"/>
    </row>
    <row r="18" spans="1:15" x14ac:dyDescent="0.25">
      <c r="A18" t="s">
        <v>17</v>
      </c>
      <c r="B18" s="5">
        <v>0</v>
      </c>
      <c r="C18" s="5"/>
      <c r="D18" s="5">
        <v>0</v>
      </c>
      <c r="E18" s="5"/>
      <c r="F18" s="5">
        <f t="shared" ref="F18:F25" si="1">SUM(B18:E18)*0.53</f>
        <v>0</v>
      </c>
      <c r="G18" s="5">
        <v>0</v>
      </c>
      <c r="H18" s="5">
        <v>0</v>
      </c>
      <c r="I18" s="22">
        <v>0</v>
      </c>
      <c r="J18" s="7"/>
      <c r="K18" s="8"/>
    </row>
    <row r="19" spans="1:15" x14ac:dyDescent="0.25">
      <c r="A19" t="s">
        <v>18</v>
      </c>
      <c r="B19" s="5">
        <v>0</v>
      </c>
      <c r="C19" s="5"/>
      <c r="D19" s="5">
        <v>0</v>
      </c>
      <c r="E19" s="5"/>
      <c r="F19" s="5">
        <f t="shared" si="1"/>
        <v>0</v>
      </c>
      <c r="G19" s="5">
        <v>0</v>
      </c>
      <c r="H19" s="5">
        <v>0</v>
      </c>
      <c r="I19" s="22">
        <v>0</v>
      </c>
      <c r="J19" s="7"/>
      <c r="K19" s="8"/>
    </row>
    <row r="20" spans="1:15" x14ac:dyDescent="0.25">
      <c r="A20" t="s">
        <v>19</v>
      </c>
      <c r="B20" s="5">
        <v>0</v>
      </c>
      <c r="C20" s="5"/>
      <c r="D20" s="5">
        <v>0</v>
      </c>
      <c r="E20" s="5"/>
      <c r="F20" s="5">
        <f t="shared" si="1"/>
        <v>0</v>
      </c>
      <c r="G20" s="5">
        <v>0</v>
      </c>
      <c r="H20" s="5">
        <v>0</v>
      </c>
      <c r="I20" s="22">
        <v>0</v>
      </c>
      <c r="J20" s="7"/>
      <c r="K20" s="8"/>
    </row>
    <row r="21" spans="1:15" x14ac:dyDescent="0.25">
      <c r="A21" t="s">
        <v>20</v>
      </c>
      <c r="B21" s="5">
        <f>-640/12 *O2 + (-0.06*640/12*O2)</f>
        <v>-3412.9173333333329</v>
      </c>
      <c r="C21" s="5"/>
      <c r="D21" s="5">
        <f>-53*O1+ (-0.06*53*O1)</f>
        <v>-4642.7601439999999</v>
      </c>
      <c r="E21" s="5"/>
      <c r="F21" s="5">
        <f t="shared" si="1"/>
        <v>-4269.5090629866663</v>
      </c>
      <c r="G21" s="5">
        <v>3000</v>
      </c>
      <c r="H21" s="5">
        <f t="shared" ref="H18:H25" si="2">SUM(B21:F21,I21)*0.51</f>
        <v>-7560.8451355631996</v>
      </c>
      <c r="I21" s="22">
        <v>-2500</v>
      </c>
      <c r="J21" s="7"/>
      <c r="K21" s="8"/>
      <c r="O21">
        <f>640+640+80+80</f>
        <v>1440</v>
      </c>
    </row>
    <row r="22" spans="1:15" x14ac:dyDescent="0.25">
      <c r="A22" t="s">
        <v>21</v>
      </c>
      <c r="B22" s="5">
        <f>-640/12 *O2 + (-0.06*640/12*O2)</f>
        <v>-3412.9173333333329</v>
      </c>
      <c r="C22" s="5"/>
      <c r="D22" s="5">
        <f>-53*O1+ (-0.06*53*O1)</f>
        <v>-4642.7601439999999</v>
      </c>
      <c r="E22" s="5"/>
      <c r="F22" s="5">
        <f t="shared" si="1"/>
        <v>-4269.5090629866663</v>
      </c>
      <c r="G22" s="5">
        <v>3000</v>
      </c>
      <c r="H22" s="5">
        <f t="shared" si="2"/>
        <v>-7560.8451355631996</v>
      </c>
      <c r="I22" s="22">
        <v>-2500</v>
      </c>
      <c r="J22" s="7"/>
      <c r="K22" s="8"/>
    </row>
    <row r="23" spans="1:15" x14ac:dyDescent="0.25">
      <c r="A23" s="4" t="s">
        <v>50</v>
      </c>
      <c r="B23" s="5">
        <f>-640/12 *O2 + (-0.06*640/12*O2)</f>
        <v>-3412.9173333333329</v>
      </c>
      <c r="C23" s="5"/>
      <c r="D23" s="5">
        <f>-53*O1+ (-0.06*53*O1)</f>
        <v>-4642.7601439999999</v>
      </c>
      <c r="E23" s="5"/>
      <c r="F23" s="5">
        <f t="shared" si="1"/>
        <v>-4269.5090629866663</v>
      </c>
      <c r="G23" s="5">
        <v>3000</v>
      </c>
      <c r="H23" s="5">
        <f t="shared" si="2"/>
        <v>-7560.8451355631996</v>
      </c>
      <c r="I23" s="22">
        <v>-2500</v>
      </c>
      <c r="J23" s="7">
        <v>-1</v>
      </c>
      <c r="K23" s="8"/>
    </row>
    <row r="24" spans="1:15" x14ac:dyDescent="0.25">
      <c r="A24" s="4">
        <v>44197</v>
      </c>
      <c r="B24" s="5">
        <f>-640/12 *O2 + (-0.06*640/12*O2)</f>
        <v>-3412.9173333333329</v>
      </c>
      <c r="C24" s="5"/>
      <c r="D24" s="5">
        <f>-53*O1+ (-0.06*53*O1)</f>
        <v>-4642.7601439999999</v>
      </c>
      <c r="F24" s="5">
        <f t="shared" si="1"/>
        <v>-4269.5090629866663</v>
      </c>
      <c r="G24" s="5">
        <v>3000</v>
      </c>
      <c r="H24" s="5">
        <f t="shared" si="2"/>
        <v>-7560.8451355631996</v>
      </c>
      <c r="I24" s="22">
        <v>-2500</v>
      </c>
      <c r="J24" s="7"/>
      <c r="K24" s="8"/>
      <c r="O24">
        <f>2080-10*8-6*40</f>
        <v>1760</v>
      </c>
    </row>
    <row r="25" spans="1:15" x14ac:dyDescent="0.25">
      <c r="A25" s="4">
        <v>44228</v>
      </c>
      <c r="B25" s="5">
        <f>-640/12 *O2 + (-0.06*640/12*O2)</f>
        <v>-3412.9173333333329</v>
      </c>
      <c r="C25" s="5"/>
      <c r="D25" s="5">
        <f>-53*O1+ (-0.06*53*O1)</f>
        <v>-4642.7601439999999</v>
      </c>
      <c r="E25" s="5"/>
      <c r="F25" s="5">
        <f t="shared" si="1"/>
        <v>-4269.5090629866663</v>
      </c>
      <c r="G25" s="5">
        <v>3000</v>
      </c>
      <c r="H25" s="5">
        <f t="shared" si="2"/>
        <v>-7560.8451355631996</v>
      </c>
      <c r="I25" s="22">
        <v>-2500</v>
      </c>
      <c r="J25" s="7">
        <v>-21800</v>
      </c>
      <c r="K25" s="8"/>
      <c r="O25">
        <f>(O24-O21)/12</f>
        <v>26.666666666666668</v>
      </c>
    </row>
    <row r="26" spans="1:15" x14ac:dyDescent="0.25">
      <c r="A26" s="4" t="s">
        <v>44</v>
      </c>
      <c r="B26" s="5">
        <f>SUM(B12:E25)</f>
        <v>-40278.387386666662</v>
      </c>
      <c r="C26" s="5"/>
      <c r="D26" s="5"/>
      <c r="E26" s="5"/>
      <c r="F26" s="5">
        <f>SUM(F12:F25)</f>
        <v>-21347.545314933333</v>
      </c>
      <c r="G26" s="5">
        <f>SUM(G12:G25)</f>
        <v>15000</v>
      </c>
      <c r="H26" s="5">
        <f>SUM(H12:H25)</f>
        <v>-37804.225677816001</v>
      </c>
      <c r="I26" s="22">
        <f>SUM(I12:I25)</f>
        <v>-12500</v>
      </c>
      <c r="J26" s="7"/>
      <c r="K26" s="8">
        <f>SUM(B26:F26,H26,I26, J12:J26)</f>
        <v>-133731.15837941598</v>
      </c>
    </row>
    <row r="27" spans="1:15" x14ac:dyDescent="0.25">
      <c r="A27" s="4" t="s">
        <v>41</v>
      </c>
      <c r="B27" s="5"/>
      <c r="C27" s="5"/>
      <c r="D27" s="5"/>
      <c r="E27" s="5"/>
      <c r="F27" s="5"/>
      <c r="G27" s="5"/>
      <c r="H27" s="5"/>
      <c r="I27" s="22"/>
      <c r="J27" s="7"/>
      <c r="K27" s="8">
        <f>SUM(K11,K26)</f>
        <v>-4364.1283794159826</v>
      </c>
      <c r="L27" t="s">
        <v>45</v>
      </c>
    </row>
    <row r="28" spans="1:15" x14ac:dyDescent="0.25">
      <c r="A28" s="4">
        <v>44256</v>
      </c>
      <c r="B28" s="5">
        <f>-640/12 *O2 + (-0.09*640/12*O2)</f>
        <v>-3509.509333333333</v>
      </c>
      <c r="C28" s="5">
        <f>-Q2*27</f>
        <v>-1776.6890999999998</v>
      </c>
      <c r="D28" s="5">
        <f>-53*O1+ (-0.09*53*O1)</f>
        <v>-4774.1590160000005</v>
      </c>
      <c r="E28" s="5"/>
      <c r="F28" s="5">
        <f t="shared" ref="F28:F39" si="3">SUM(B28:E28)*0.53</f>
        <v>-5331.9894481466663</v>
      </c>
      <c r="G28" s="5">
        <v>4000</v>
      </c>
      <c r="H28" s="5">
        <f t="shared" ref="H28:H39" si="4">SUM(B28:F28,I28)*0.51</f>
        <v>-9125.0969177147999</v>
      </c>
      <c r="I28" s="22">
        <v>-2500</v>
      </c>
      <c r="J28" s="7"/>
      <c r="K28" s="8">
        <f>SUM(G26,K27,G42)</f>
        <v>161522.21162058401</v>
      </c>
      <c r="L28" t="s">
        <v>46</v>
      </c>
    </row>
    <row r="29" spans="1:15" x14ac:dyDescent="0.25">
      <c r="A29" s="4">
        <v>44287</v>
      </c>
      <c r="B29" s="5">
        <f>-640/12 *O2 + (-0.09*640/12*O2)</f>
        <v>-3509.509333333333</v>
      </c>
      <c r="C29" s="5">
        <f>-Q2*27</f>
        <v>-1776.6890999999998</v>
      </c>
      <c r="D29" s="5">
        <f>-53*O1+ (-0.09*53*O1)</f>
        <v>-4774.1590160000005</v>
      </c>
      <c r="E29" s="5"/>
      <c r="F29" s="5">
        <f t="shared" si="3"/>
        <v>-5331.9894481466663</v>
      </c>
      <c r="G29" s="5">
        <v>4000</v>
      </c>
      <c r="H29" s="5">
        <f t="shared" si="4"/>
        <v>-9125.0969177147999</v>
      </c>
      <c r="I29" s="22">
        <v>-2500</v>
      </c>
      <c r="J29" s="7"/>
      <c r="K29" s="8"/>
      <c r="O29">
        <f>523490 +230800</f>
        <v>754290</v>
      </c>
    </row>
    <row r="30" spans="1:15" x14ac:dyDescent="0.25">
      <c r="A30" s="4">
        <v>44317</v>
      </c>
      <c r="B30" s="5">
        <f>-640/12 *O2 + (-0.09*640/12*O2)</f>
        <v>-3509.509333333333</v>
      </c>
      <c r="C30" s="5">
        <f>-Q2*27</f>
        <v>-1776.6890999999998</v>
      </c>
      <c r="D30" s="5">
        <f>-53*O1+ (-0.09*53*O1)</f>
        <v>-4774.1590160000005</v>
      </c>
      <c r="E30" s="5"/>
      <c r="F30" s="5">
        <f t="shared" si="3"/>
        <v>-5331.9894481466663</v>
      </c>
      <c r="G30" s="5">
        <v>4000</v>
      </c>
      <c r="H30" s="5">
        <f t="shared" si="4"/>
        <v>-9125.0969177147999</v>
      </c>
      <c r="I30" s="22">
        <v>-2500</v>
      </c>
      <c r="K30" s="8"/>
    </row>
    <row r="31" spans="1:15" x14ac:dyDescent="0.25">
      <c r="A31" s="4">
        <v>44348</v>
      </c>
      <c r="B31" s="5">
        <f>-640/12 *O2 + (-0.09*640/12*O2)</f>
        <v>-3509.509333333333</v>
      </c>
      <c r="C31" s="5">
        <f>Q11*40 +Q4*40+Q2*27</f>
        <v>8927.9611000000004</v>
      </c>
      <c r="D31" s="5">
        <f>-53*O1+ (-0.09*53*O1)</f>
        <v>-4774.1590160000005</v>
      </c>
      <c r="E31" s="5"/>
      <c r="F31" s="5">
        <f t="shared" si="3"/>
        <v>341.47515785333326</v>
      </c>
      <c r="G31" s="5">
        <v>4000</v>
      </c>
      <c r="H31" s="5">
        <f t="shared" si="4"/>
        <v>-772.25836665480017</v>
      </c>
      <c r="I31" s="22">
        <v>-2500</v>
      </c>
      <c r="J31" s="7"/>
      <c r="K31" s="8"/>
    </row>
    <row r="32" spans="1:15" x14ac:dyDescent="0.25">
      <c r="A32" s="4">
        <v>44378</v>
      </c>
      <c r="B32" s="5">
        <f>-640/12 *O2 + (-0.09*640/12*O2)</f>
        <v>-3509.509333333333</v>
      </c>
      <c r="C32" s="5">
        <f>Q3*80+Q2*27</f>
        <v>8355.5715799999998</v>
      </c>
      <c r="D32" s="5">
        <f>-53*O1+ (-0.09*53*O1)</f>
        <v>-4774.1590160000005</v>
      </c>
      <c r="E32" s="5">
        <f>-80*O5+ (-0.06*53*O5)</f>
        <v>-7103.0063759999994</v>
      </c>
      <c r="F32" s="5">
        <f>SUM(B32:E32)*0.53</f>
        <v>-3726.484667026667</v>
      </c>
      <c r="G32" s="5">
        <v>4000</v>
      </c>
      <c r="H32" s="5">
        <f t="shared" si="4"/>
        <v>-9056.3697843036007</v>
      </c>
      <c r="I32" s="22">
        <f>-2500-4500</f>
        <v>-7000</v>
      </c>
      <c r="J32" s="7">
        <f>SUM(O13)*(-1)*2</f>
        <v>-43600</v>
      </c>
      <c r="K32" s="8"/>
    </row>
    <row r="33" spans="1:12" x14ac:dyDescent="0.25">
      <c r="A33" s="4">
        <v>44409</v>
      </c>
      <c r="B33" s="5">
        <f>-640/12 *O2 + (-0.09*640/12*O2)</f>
        <v>-3509.509333333333</v>
      </c>
      <c r="C33" s="5">
        <f>-Q2*27</f>
        <v>-1776.6890999999998</v>
      </c>
      <c r="D33" s="5">
        <f>-53*O1+ (-0.09*53*O1)</f>
        <v>-4774.1590160000005</v>
      </c>
      <c r="E33" s="5"/>
      <c r="F33" s="5">
        <f t="shared" si="3"/>
        <v>-5331.9894481466663</v>
      </c>
      <c r="G33" s="5">
        <v>4000</v>
      </c>
      <c r="H33" s="5">
        <f t="shared" si="4"/>
        <v>-9125.0969177147999</v>
      </c>
      <c r="I33" s="22">
        <v>-2500</v>
      </c>
      <c r="J33" s="7"/>
      <c r="K33" s="8"/>
    </row>
    <row r="34" spans="1:12" x14ac:dyDescent="0.25">
      <c r="A34" s="4">
        <v>44440</v>
      </c>
      <c r="B34" s="5">
        <f>-640/12 *O2 + (-0.09*640/12*O2)</f>
        <v>-3509.509333333333</v>
      </c>
      <c r="C34" s="5">
        <f>-Q2*27</f>
        <v>-1776.6890999999998</v>
      </c>
      <c r="D34" s="5">
        <f>-53*O1+ (-0.09*53*O1)</f>
        <v>-4774.1590160000005</v>
      </c>
      <c r="E34" s="5"/>
      <c r="F34" s="5">
        <f t="shared" si="3"/>
        <v>-5331.9894481466663</v>
      </c>
      <c r="G34" s="5">
        <v>3000</v>
      </c>
      <c r="H34" s="5">
        <f t="shared" si="4"/>
        <v>-9125.0969177147999</v>
      </c>
      <c r="I34" s="22">
        <v>-2500</v>
      </c>
      <c r="J34" s="7"/>
      <c r="K34" s="8"/>
    </row>
    <row r="35" spans="1:12" x14ac:dyDescent="0.25">
      <c r="A35" s="4">
        <v>44470</v>
      </c>
      <c r="B35" s="5">
        <f>-640/12 *O2 + (-0.09*640/12*O2)</f>
        <v>-3509.509333333333</v>
      </c>
      <c r="C35" s="5">
        <f>-Q2*27</f>
        <v>-1776.6890999999998</v>
      </c>
      <c r="D35" s="5">
        <f>-53*O1+ (-0.09*53*O1)</f>
        <v>-4774.1590160000005</v>
      </c>
      <c r="E35" s="5"/>
      <c r="F35" s="5">
        <f t="shared" si="3"/>
        <v>-5331.9894481466663</v>
      </c>
      <c r="G35" s="5">
        <v>3000</v>
      </c>
      <c r="H35" s="5">
        <f t="shared" si="4"/>
        <v>-9125.0969177147999</v>
      </c>
      <c r="I35" s="22">
        <v>-2500</v>
      </c>
      <c r="K35" s="8"/>
    </row>
    <row r="36" spans="1:12" x14ac:dyDescent="0.25">
      <c r="A36" s="4">
        <v>44501</v>
      </c>
      <c r="B36" s="5">
        <f>-640/12 *O2 + (-0.09*640/12*O2)</f>
        <v>-3509.509333333333</v>
      </c>
      <c r="C36" s="5">
        <f>-Q2*27</f>
        <v>-1776.6890999999998</v>
      </c>
      <c r="D36" s="5">
        <f>-53*O1+ (-0.09*53*O1)</f>
        <v>-4774.1590160000005</v>
      </c>
      <c r="E36" s="5"/>
      <c r="F36" s="5">
        <f t="shared" si="3"/>
        <v>-5331.9894481466663</v>
      </c>
      <c r="G36" s="5">
        <v>3000</v>
      </c>
      <c r="H36" s="5">
        <f t="shared" si="4"/>
        <v>-9125.0969177147999</v>
      </c>
      <c r="I36" s="22">
        <v>-2500</v>
      </c>
      <c r="J36" s="7">
        <v>0</v>
      </c>
      <c r="K36" s="8"/>
    </row>
    <row r="37" spans="1:12" x14ac:dyDescent="0.25">
      <c r="A37" s="4">
        <v>44531</v>
      </c>
      <c r="B37" s="5">
        <f>-640/12 *O2 + (-0.09*640/12*O2)</f>
        <v>-3509.509333333333</v>
      </c>
      <c r="C37" s="5">
        <f>-Q2*27</f>
        <v>-1776.6890999999998</v>
      </c>
      <c r="D37" s="5">
        <f>-53*O1+ (-0.09*53*O1)</f>
        <v>-4774.1590160000005</v>
      </c>
      <c r="E37" s="5"/>
      <c r="F37" s="5">
        <f t="shared" si="3"/>
        <v>-5331.9894481466663</v>
      </c>
      <c r="G37" s="5">
        <v>3000</v>
      </c>
      <c r="H37" s="5">
        <f t="shared" si="4"/>
        <v>-9125.0969177147999</v>
      </c>
      <c r="I37" s="22">
        <v>-2500</v>
      </c>
      <c r="J37" s="7"/>
      <c r="K37" s="8"/>
    </row>
    <row r="38" spans="1:12" x14ac:dyDescent="0.25">
      <c r="A38" s="4">
        <v>44562</v>
      </c>
      <c r="B38" s="5">
        <f>-640/12 *O2 + (-0.09*640/12*O2)</f>
        <v>-3509.509333333333</v>
      </c>
      <c r="C38" s="5">
        <f>-Q2*27</f>
        <v>-1776.6890999999998</v>
      </c>
      <c r="D38" s="5">
        <f>-53*O1+ (-0.09*53*O1)</f>
        <v>-4774.1590160000005</v>
      </c>
      <c r="E38" s="5"/>
      <c r="F38" s="5">
        <f t="shared" si="3"/>
        <v>-5331.9894481466663</v>
      </c>
      <c r="G38" s="5">
        <v>3000</v>
      </c>
      <c r="H38" s="5">
        <f t="shared" si="4"/>
        <v>-9125.0969177147999</v>
      </c>
      <c r="I38" s="22">
        <v>-2500</v>
      </c>
      <c r="J38" s="7">
        <v>-21800</v>
      </c>
      <c r="K38" s="8"/>
    </row>
    <row r="39" spans="1:12" x14ac:dyDescent="0.25">
      <c r="A39" s="4">
        <v>44593</v>
      </c>
      <c r="B39" s="5">
        <f>-640/12 *O2 + (-0.09*640/12*O2)</f>
        <v>-3509.509333333333</v>
      </c>
      <c r="C39" s="5">
        <f>-Q2*27</f>
        <v>-1776.6890999999998</v>
      </c>
      <c r="D39" s="5">
        <f>-53*O1+ (-0.09*53*O1)</f>
        <v>-4774.1590160000005</v>
      </c>
      <c r="E39" s="5"/>
      <c r="F39" s="5">
        <f t="shared" si="3"/>
        <v>-5331.9894481466663</v>
      </c>
      <c r="G39" s="5">
        <v>3000</v>
      </c>
      <c r="H39" s="5">
        <f t="shared" si="4"/>
        <v>-9125.0969177147999</v>
      </c>
      <c r="I39" s="22">
        <v>-2500</v>
      </c>
      <c r="J39" s="7"/>
      <c r="K39" s="8"/>
    </row>
    <row r="40" spans="1:12" x14ac:dyDescent="0.25">
      <c r="A40" s="11" t="s">
        <v>44</v>
      </c>
      <c r="B40" s="2">
        <f>SUM(B28:E39)</f>
        <v>-106990.38488800004</v>
      </c>
      <c r="C40" s="2"/>
      <c r="D40" s="2"/>
      <c r="E40" s="2"/>
      <c r="F40" s="2">
        <f>SUM(F28:F39)</f>
        <v>-56704.903990640007</v>
      </c>
      <c r="G40" s="2">
        <f>SUM(G28:G39)</f>
        <v>42000</v>
      </c>
      <c r="H40" s="2">
        <f>SUM(H28:H39)</f>
        <v>-101079.59732810641</v>
      </c>
      <c r="I40" s="22">
        <f>SUM(I28:I39)</f>
        <v>-34500</v>
      </c>
      <c r="J40" s="3">
        <f>SUM(J12:J39)</f>
        <v>-87201</v>
      </c>
      <c r="K40" s="8">
        <f>SUM(B40:J40)</f>
        <v>-344475.88620674645</v>
      </c>
      <c r="L40" s="8">
        <f>K40+87200</f>
        <v>-257275.88620674645</v>
      </c>
    </row>
    <row r="41" spans="1:12" x14ac:dyDescent="0.25">
      <c r="A41" s="11" t="s">
        <v>42</v>
      </c>
      <c r="B41" s="5"/>
      <c r="C41" s="5"/>
      <c r="D41" s="5"/>
      <c r="E41" s="5"/>
      <c r="F41" s="5"/>
      <c r="H41" s="5"/>
      <c r="I41" s="5"/>
      <c r="J41" s="7"/>
      <c r="K41" s="8">
        <f>SUM(K40,K28)</f>
        <v>-182953.67458616244</v>
      </c>
    </row>
    <row r="42" spans="1:12" x14ac:dyDescent="0.25">
      <c r="A42" s="11" t="s">
        <v>39</v>
      </c>
      <c r="B42" s="5"/>
      <c r="C42" s="5"/>
      <c r="D42" s="5"/>
      <c r="E42" s="5"/>
      <c r="F42" s="5"/>
      <c r="G42" s="23">
        <v>150886.34</v>
      </c>
      <c r="H42" s="5"/>
      <c r="I42" s="5"/>
      <c r="J42" s="7"/>
      <c r="K42" s="8"/>
    </row>
    <row r="43" spans="1:12" x14ac:dyDescent="0.25">
      <c r="A43" s="11" t="s">
        <v>47</v>
      </c>
      <c r="B43" s="5"/>
      <c r="C43" s="5"/>
      <c r="D43" s="5"/>
      <c r="E43" s="5"/>
      <c r="F43" s="5"/>
      <c r="G43" s="23"/>
      <c r="H43" s="5"/>
      <c r="I43" s="5"/>
      <c r="J43" s="7"/>
      <c r="K43" s="8"/>
    </row>
    <row r="44" spans="1:12" x14ac:dyDescent="0.25">
      <c r="B44" s="5"/>
      <c r="C44" s="5"/>
      <c r="D44" s="5"/>
      <c r="E44" s="5"/>
      <c r="F44" s="5"/>
      <c r="G44" s="5"/>
      <c r="H44" s="5"/>
      <c r="I44" s="5"/>
      <c r="J44" s="7"/>
    </row>
    <row r="45" spans="1:12" x14ac:dyDescent="0.25">
      <c r="B45" s="5"/>
      <c r="C45" s="5"/>
      <c r="D45" s="5"/>
      <c r="E45" s="5"/>
      <c r="F45" s="5"/>
      <c r="G45" s="5"/>
      <c r="H45" s="5"/>
      <c r="I45" s="5"/>
      <c r="J45" s="7"/>
      <c r="K45" s="8"/>
    </row>
    <row r="46" spans="1:12" x14ac:dyDescent="0.25">
      <c r="B46" s="5"/>
      <c r="C46" s="5"/>
      <c r="D46" s="5"/>
      <c r="E46" s="5"/>
      <c r="F46" s="5"/>
      <c r="G46" s="5"/>
      <c r="H46" s="5"/>
      <c r="I46" s="5"/>
      <c r="J46" s="7"/>
      <c r="K46" s="8"/>
    </row>
    <row r="47" spans="1:12" x14ac:dyDescent="0.25">
      <c r="B47" s="5"/>
      <c r="C47" s="5"/>
      <c r="D47" s="5"/>
      <c r="E47" s="5"/>
      <c r="F47" s="5"/>
      <c r="G47" s="5"/>
      <c r="H47" s="5"/>
      <c r="I47" s="5"/>
      <c r="J47" s="7"/>
      <c r="K47" s="8"/>
    </row>
    <row r="48" spans="1:12" x14ac:dyDescent="0.25">
      <c r="B48" s="5"/>
      <c r="C48" s="5"/>
      <c r="D48" s="5"/>
      <c r="E48" s="5"/>
      <c r="F48" s="5"/>
      <c r="G48" s="5"/>
      <c r="H48" s="5"/>
      <c r="I48" s="5"/>
      <c r="J48" s="7"/>
      <c r="K48" s="8"/>
    </row>
    <row r="49" spans="2:11" x14ac:dyDescent="0.25">
      <c r="B49" s="5"/>
      <c r="C49" s="5"/>
      <c r="D49" s="5"/>
      <c r="E49" s="5"/>
      <c r="F49" s="5"/>
      <c r="G49" s="5"/>
      <c r="H49" s="5"/>
      <c r="I49" s="5"/>
      <c r="J49" s="7"/>
      <c r="K49" s="8"/>
    </row>
    <row r="50" spans="2:11" x14ac:dyDescent="0.25">
      <c r="B50" s="5"/>
      <c r="C50" s="5"/>
      <c r="D50" s="5"/>
      <c r="E50" s="5"/>
      <c r="F50" s="5"/>
      <c r="G50" s="5"/>
      <c r="H50" s="5"/>
      <c r="I50" s="5"/>
      <c r="J50" s="7"/>
      <c r="K50" s="8"/>
    </row>
  </sheetData>
  <pageMargins left="0.7" right="0.7" top="0.75" bottom="0.75" header="0.3" footer="0.3"/>
  <pageSetup paperSize="17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5A0329EA4676428181F97AF11AD08F" ma:contentTypeVersion="10" ma:contentTypeDescription="Create a new document." ma:contentTypeScope="" ma:versionID="f2c88749f15cf38712269b26b7f72d9c">
  <xsd:schema xmlns:xsd="http://www.w3.org/2001/XMLSchema" xmlns:xs="http://www.w3.org/2001/XMLSchema" xmlns:p="http://schemas.microsoft.com/office/2006/metadata/properties" xmlns:ns3="f5c130c8-187c-4e9f-bcf5-7c797d18df11" targetNamespace="http://schemas.microsoft.com/office/2006/metadata/properties" ma:root="true" ma:fieldsID="3b41c4addea60a3470085daeb25219ab" ns3:_="">
    <xsd:import namespace="f5c130c8-187c-4e9f-bcf5-7c797d18df1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130c8-187c-4e9f-bcf5-7c797d18df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A233570-CB07-4F5B-9665-F0DBBE3CD5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72C7AF-E68D-48F2-BDDE-D08E833675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c130c8-187c-4e9f-bcf5-7c797d18df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93C700-B0CF-4592-BEB7-D0F240592903}">
  <ds:schemaRefs>
    <ds:schemaRef ds:uri="http://purl.org/dc/elements/1.1/"/>
    <ds:schemaRef ds:uri="f5c130c8-187c-4e9f-bcf5-7c797d18df11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Dawe</dc:creator>
  <cp:lastModifiedBy>Craig Dawe</cp:lastModifiedBy>
  <cp:lastPrinted>2020-07-08T15:23:26Z</cp:lastPrinted>
  <dcterms:created xsi:type="dcterms:W3CDTF">2020-07-07T20:22:41Z</dcterms:created>
  <dcterms:modified xsi:type="dcterms:W3CDTF">2020-10-05T15:18:49Z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0x010100935A0329EA4676428181F97AF11AD08F</vt:lpwstr>
  </property>
</Properties>
</file>